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2">Actuals!$D$638:$I$651</definedName>
    <definedName name="_xlnm.Print_Area" localSheetId="10">'BGC-EGM-FLSH'!$A$1:$M$82</definedName>
    <definedName name="_xlnm.Print_Area" localSheetId="34">'BGC-EGM-VAR'!$A$1:$I$82</definedName>
    <definedName name="_xlnm.Print_Area" localSheetId="41">BUG_VAR!$A$1:$I$82</definedName>
    <definedName name="_xlnm.Print_Area" localSheetId="30">'CE-VAR'!$A$1:$I$82</definedName>
    <definedName name="_xlnm.Print_Area" localSheetId="2">Check!$A$1:$D$39</definedName>
    <definedName name="_xlnm.Print_Area" localSheetId="9">'EAST-CON-FLSH'!$A$1:$M$82</definedName>
    <definedName name="_xlnm.Print_Area" localSheetId="33">'EAST-CON-VAR'!$A$1:$I$82</definedName>
    <definedName name="_xlnm.Print_Area" localSheetId="7">'EAST-EGM-FLSH'!$A$1:$M$82</definedName>
    <definedName name="_xlnm.Print_Area" localSheetId="31">'EAST-EGM-VAR'!$A$1:$I$82</definedName>
    <definedName name="_xlnm.Print_Area" localSheetId="8">'EAST-LRC-FLSH'!$A$1:$M$82</definedName>
    <definedName name="_xlnm.Print_Area" localSheetId="32">'EAST-LRC-VAR'!$A$1:$I$82</definedName>
    <definedName name="_xlnm.Print_Area" localSheetId="40">ONT_VAR!$A$1:$I$82</definedName>
    <definedName name="_xlnm.Print_Area" localSheetId="4">RECLASS!$A$1:$Y$82</definedName>
    <definedName name="_xlnm.Print_Area" localSheetId="39">STG_VAR!$A$1:$I$82</definedName>
    <definedName name="_xlnm.Print_Area" localSheetId="5">'TIE-OUT'!$A$1:$Y$95</definedName>
    <definedName name="_xlnm.Print_Area" localSheetId="3">TOTAL!$A$1:$I$82</definedName>
    <definedName name="_xlnm.Print_Area" localSheetId="13">'TX-CON-FLSH'!$A$1:$M$82</definedName>
    <definedName name="_xlnm.Print_Area" localSheetId="37">'TX-CON-VAR'!$A$1:$I$82</definedName>
    <definedName name="_xlnm.Print_Area" localSheetId="11">'TX-EGM-FLSH'!$A$1:$M$82</definedName>
    <definedName name="_xlnm.Print_Area" localSheetId="35">'TX-EGM-VAR'!$A$1:$I$82</definedName>
    <definedName name="_xlnm.Print_Area" localSheetId="12">'TX-HPL-FLSH'!$A$1:$M$82</definedName>
    <definedName name="_xlnm.Print_Area" localSheetId="36">'TX-HPL-VAR '!$A$1:$I$82</definedName>
    <definedName name="_xlnm.Print_Area" localSheetId="14">'WE-FLSH'!$A$1:$M$82</definedName>
    <definedName name="_xlnm.Print_Area" localSheetId="38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/>
  <c r="K1" i="44"/>
  <c r="M1" i="44" s="1"/>
  <c r="O1" i="44" s="1"/>
  <c r="Q1" i="44" s="1"/>
  <c r="S1" i="44" s="1"/>
  <c r="U1" i="44" s="1"/>
  <c r="W1" i="44" s="1"/>
  <c r="Y1" i="44" s="1"/>
  <c r="AA1" i="44" s="1"/>
  <c r="AC1" i="44" s="1"/>
  <c r="AE1" i="44" s="1"/>
  <c r="H638" i="44"/>
  <c r="J638" i="44"/>
  <c r="L638" i="44" s="1"/>
  <c r="N638" i="44" s="1"/>
  <c r="P638" i="44" s="1"/>
  <c r="R638" i="44" s="1"/>
  <c r="T638" i="44" s="1"/>
  <c r="V638" i="44" s="1"/>
  <c r="X638" i="44" s="1"/>
  <c r="Z638" i="44" s="1"/>
  <c r="AB638" i="44" s="1"/>
  <c r="AD638" i="44" s="1"/>
  <c r="AF638" i="44" s="1"/>
  <c r="AH638" i="44" s="1"/>
  <c r="AJ638" i="44" s="1"/>
  <c r="AL638" i="44" s="1"/>
  <c r="A4" i="10"/>
  <c r="A5" i="10"/>
  <c r="F11" i="10"/>
  <c r="H11" i="10"/>
  <c r="I11" i="10"/>
  <c r="L11" i="10"/>
  <c r="G12" i="10"/>
  <c r="H12" i="10"/>
  <c r="I12" i="10"/>
  <c r="M12" i="10"/>
  <c r="E12" i="34" s="1"/>
  <c r="F13" i="10"/>
  <c r="G13" i="10"/>
  <c r="H13" i="10"/>
  <c r="I13" i="10"/>
  <c r="M13" i="10" s="1"/>
  <c r="L13" i="10"/>
  <c r="D13" i="34" s="1"/>
  <c r="H14" i="10"/>
  <c r="I14" i="10"/>
  <c r="G14" i="10" s="1"/>
  <c r="M14" i="10"/>
  <c r="E14" i="34" s="1"/>
  <c r="F15" i="10"/>
  <c r="H15" i="10"/>
  <c r="I15" i="10"/>
  <c r="L15" i="10"/>
  <c r="J16" i="10"/>
  <c r="K16" i="10"/>
  <c r="H18" i="10"/>
  <c r="I18" i="10"/>
  <c r="H19" i="10"/>
  <c r="I19" i="10"/>
  <c r="G20" i="10"/>
  <c r="H20" i="10"/>
  <c r="I20" i="10"/>
  <c r="M20" i="10"/>
  <c r="F21" i="10"/>
  <c r="H21" i="10"/>
  <c r="I21" i="10"/>
  <c r="L21" i="10"/>
  <c r="D21" i="34" s="1"/>
  <c r="F22" i="10"/>
  <c r="G22" i="10"/>
  <c r="H22" i="10"/>
  <c r="L22" i="10" s="1"/>
  <c r="D22" i="34" s="1"/>
  <c r="I22" i="10"/>
  <c r="M22" i="10" s="1"/>
  <c r="H23" i="10"/>
  <c r="F23" i="10" s="1"/>
  <c r="I23" i="10"/>
  <c r="G23" i="10" s="1"/>
  <c r="L23" i="10"/>
  <c r="J24" i="10"/>
  <c r="K24" i="10"/>
  <c r="G27" i="10"/>
  <c r="H27" i="10"/>
  <c r="I27" i="10"/>
  <c r="L27" i="10"/>
  <c r="M27" i="10"/>
  <c r="F28" i="10"/>
  <c r="H28" i="10"/>
  <c r="I28" i="10"/>
  <c r="L28" i="10"/>
  <c r="D28" i="34" s="1"/>
  <c r="J29" i="10"/>
  <c r="K29" i="10"/>
  <c r="F32" i="10"/>
  <c r="G32" i="10"/>
  <c r="H32" i="10"/>
  <c r="L32" i="10" s="1"/>
  <c r="I32" i="10"/>
  <c r="M32" i="10" s="1"/>
  <c r="H33" i="10"/>
  <c r="I33" i="10"/>
  <c r="G33" i="10" s="1"/>
  <c r="M33" i="10"/>
  <c r="E33" i="34" s="1"/>
  <c r="G34" i="10"/>
  <c r="H34" i="10"/>
  <c r="F34" i="10" s="1"/>
  <c r="I34" i="10"/>
  <c r="L34" i="10"/>
  <c r="D34" i="34" s="1"/>
  <c r="M34" i="10"/>
  <c r="F35" i="10"/>
  <c r="H35" i="10"/>
  <c r="I35" i="10"/>
  <c r="M35" i="10" s="1"/>
  <c r="L35" i="10"/>
  <c r="I36" i="10"/>
  <c r="J36" i="10"/>
  <c r="K36" i="10"/>
  <c r="L37" i="10"/>
  <c r="M37" i="10"/>
  <c r="H38" i="10"/>
  <c r="I38" i="10"/>
  <c r="G39" i="10"/>
  <c r="H39" i="10"/>
  <c r="F39" i="10" s="1"/>
  <c r="I39" i="10"/>
  <c r="L39" i="10"/>
  <c r="D39" i="34" s="1"/>
  <c r="M39" i="10"/>
  <c r="F40" i="10"/>
  <c r="H40" i="10"/>
  <c r="I40" i="10"/>
  <c r="L40" i="10"/>
  <c r="L42" i="10" s="1"/>
  <c r="F41" i="10"/>
  <c r="G41" i="10"/>
  <c r="H41" i="10"/>
  <c r="L41" i="10" s="1"/>
  <c r="I41" i="10"/>
  <c r="M41" i="10"/>
  <c r="E41" i="34" s="1"/>
  <c r="F42" i="10"/>
  <c r="F43" i="10" s="1"/>
  <c r="H42" i="10"/>
  <c r="H43" i="10" s="1"/>
  <c r="J42" i="10"/>
  <c r="K42" i="10"/>
  <c r="K43" i="10" s="1"/>
  <c r="K82" i="10" s="1"/>
  <c r="J43" i="10"/>
  <c r="F45" i="10"/>
  <c r="H45" i="10"/>
  <c r="I45" i="10"/>
  <c r="G45" i="10" s="1"/>
  <c r="L45" i="10"/>
  <c r="M45" i="10"/>
  <c r="E45" i="34" s="1"/>
  <c r="G47" i="10"/>
  <c r="H47" i="10"/>
  <c r="I47" i="10"/>
  <c r="M47" i="10"/>
  <c r="F49" i="10"/>
  <c r="H49" i="10"/>
  <c r="I49" i="10"/>
  <c r="L49" i="10"/>
  <c r="F51" i="10"/>
  <c r="G51" i="10"/>
  <c r="H51" i="10"/>
  <c r="L51" i="10" s="1"/>
  <c r="I51" i="10"/>
  <c r="M51" i="10"/>
  <c r="H54" i="10"/>
  <c r="I54" i="10"/>
  <c r="L54" i="10"/>
  <c r="L56" i="10" s="1"/>
  <c r="G55" i="10"/>
  <c r="H55" i="10"/>
  <c r="F55" i="10" s="1"/>
  <c r="I55" i="10"/>
  <c r="L55" i="10"/>
  <c r="D55" i="34" s="1"/>
  <c r="M55" i="10"/>
  <c r="E55" i="34" s="1"/>
  <c r="J56" i="10"/>
  <c r="K56" i="10"/>
  <c r="F59" i="10"/>
  <c r="G59" i="10"/>
  <c r="H59" i="10"/>
  <c r="I59" i="10"/>
  <c r="L59" i="10"/>
  <c r="G60" i="10"/>
  <c r="H60" i="10"/>
  <c r="I60" i="10"/>
  <c r="M60" i="10" s="1"/>
  <c r="E60" i="34" s="1"/>
  <c r="H61" i="10"/>
  <c r="J61" i="10"/>
  <c r="K61" i="10"/>
  <c r="H64" i="10"/>
  <c r="I64" i="10"/>
  <c r="G65" i="10"/>
  <c r="H65" i="10"/>
  <c r="F65" i="10" s="1"/>
  <c r="I65" i="10"/>
  <c r="L65" i="10"/>
  <c r="M65" i="10"/>
  <c r="J66" i="10"/>
  <c r="K66" i="10"/>
  <c r="L69" i="10"/>
  <c r="M69" i="10"/>
  <c r="G70" i="10"/>
  <c r="H70" i="10"/>
  <c r="F70" i="10" s="1"/>
  <c r="F72" i="10" s="1"/>
  <c r="I70" i="10"/>
  <c r="L70" i="10"/>
  <c r="M70" i="10"/>
  <c r="F71" i="10"/>
  <c r="H71" i="10"/>
  <c r="I71" i="10"/>
  <c r="L71" i="10"/>
  <c r="H72" i="10"/>
  <c r="J72" i="10"/>
  <c r="K72" i="10"/>
  <c r="H73" i="10"/>
  <c r="I73" i="10"/>
  <c r="G73" i="10" s="1"/>
  <c r="M73" i="10"/>
  <c r="E73" i="34" s="1"/>
  <c r="F74" i="10"/>
  <c r="H74" i="10"/>
  <c r="L74" i="10" s="1"/>
  <c r="I74" i="10"/>
  <c r="G75" i="10"/>
  <c r="H75" i="10"/>
  <c r="F75" i="10" s="1"/>
  <c r="I75" i="10"/>
  <c r="L75" i="10"/>
  <c r="M75" i="10"/>
  <c r="E75" i="34" s="1"/>
  <c r="F76" i="10"/>
  <c r="H76" i="10"/>
  <c r="I76" i="10"/>
  <c r="L76" i="10"/>
  <c r="G77" i="10"/>
  <c r="H77" i="10"/>
  <c r="I77" i="10"/>
  <c r="M77" i="10" s="1"/>
  <c r="E77" i="34" s="1"/>
  <c r="H78" i="10"/>
  <c r="I78" i="10"/>
  <c r="G78" i="10" s="1"/>
  <c r="M78" i="10"/>
  <c r="G79" i="10"/>
  <c r="H79" i="10"/>
  <c r="I79" i="10"/>
  <c r="M79" i="10"/>
  <c r="F80" i="10"/>
  <c r="H80" i="10"/>
  <c r="I80" i="10"/>
  <c r="L80" i="10"/>
  <c r="H81" i="10"/>
  <c r="I81" i="10"/>
  <c r="G81" i="10" s="1"/>
  <c r="M81" i="10"/>
  <c r="E81" i="34" s="1"/>
  <c r="D82" i="10"/>
  <c r="E82" i="10"/>
  <c r="A5" i="22"/>
  <c r="H8" i="22"/>
  <c r="J8" i="22"/>
  <c r="L8" i="22"/>
  <c r="N8" i="22"/>
  <c r="D11" i="22"/>
  <c r="F11" i="34" s="1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U16" i="22" s="1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G16" i="22" s="1"/>
  <c r="AH11" i="22"/>
  <c r="AI11" i="22"/>
  <c r="AJ11" i="22"/>
  <c r="AK11" i="22"/>
  <c r="AL11" i="22"/>
  <c r="AM11" i="22"/>
  <c r="AN11" i="22"/>
  <c r="AO11" i="22"/>
  <c r="F12" i="22"/>
  <c r="G12" i="22"/>
  <c r="H12" i="22"/>
  <c r="I12" i="22"/>
  <c r="J12" i="22"/>
  <c r="K12" i="22"/>
  <c r="K16" i="22" s="1"/>
  <c r="L12" i="22"/>
  <c r="M12" i="22"/>
  <c r="N12" i="22"/>
  <c r="O12" i="22"/>
  <c r="P12" i="22"/>
  <c r="Q12" i="22"/>
  <c r="R12" i="22"/>
  <c r="S12" i="22"/>
  <c r="S16" i="22" s="1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I16" i="22" s="1"/>
  <c r="AJ12" i="22"/>
  <c r="AK12" i="22"/>
  <c r="AL12" i="22"/>
  <c r="AM12" i="22"/>
  <c r="AN12" i="22"/>
  <c r="AO12" i="22"/>
  <c r="F13" i="22"/>
  <c r="G13" i="22"/>
  <c r="H13" i="22"/>
  <c r="I13" i="22"/>
  <c r="J13" i="22"/>
  <c r="K13" i="22"/>
  <c r="L13" i="22"/>
  <c r="D13" i="22" s="1"/>
  <c r="F13" i="34" s="1"/>
  <c r="H13" i="34" s="1"/>
  <c r="M13" i="22"/>
  <c r="M16" i="22" s="1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B16" i="22" s="1"/>
  <c r="AC13" i="22"/>
  <c r="AC16" i="22" s="1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F15" i="22"/>
  <c r="G15" i="22"/>
  <c r="H15" i="22"/>
  <c r="I15" i="22"/>
  <c r="J15" i="22"/>
  <c r="K15" i="22"/>
  <c r="L15" i="22"/>
  <c r="M15" i="22"/>
  <c r="E15" i="22" s="1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G16" i="22"/>
  <c r="I16" i="22"/>
  <c r="Q16" i="22"/>
  <c r="T16" i="22"/>
  <c r="Y16" i="22"/>
  <c r="AA16" i="22"/>
  <c r="AF16" i="22"/>
  <c r="AK16" i="22"/>
  <c r="AN16" i="22"/>
  <c r="AO16" i="22"/>
  <c r="F19" i="22"/>
  <c r="G19" i="22"/>
  <c r="G24" i="22" s="1"/>
  <c r="H19" i="22"/>
  <c r="I19" i="22"/>
  <c r="J19" i="22"/>
  <c r="K19" i="22"/>
  <c r="K24" i="22" s="1"/>
  <c r="L19" i="22"/>
  <c r="M19" i="22"/>
  <c r="N19" i="22"/>
  <c r="O19" i="22"/>
  <c r="P19" i="22"/>
  <c r="Q19" i="22"/>
  <c r="R19" i="22"/>
  <c r="R24" i="22" s="1"/>
  <c r="S19" i="22"/>
  <c r="S24" i="22" s="1"/>
  <c r="T19" i="22"/>
  <c r="U19" i="22"/>
  <c r="V19" i="22"/>
  <c r="W19" i="22"/>
  <c r="X19" i="22"/>
  <c r="Y19" i="22"/>
  <c r="Z19" i="22"/>
  <c r="Z24" i="22" s="1"/>
  <c r="AA19" i="22"/>
  <c r="AA24" i="22" s="1"/>
  <c r="AB19" i="22"/>
  <c r="AC19" i="22"/>
  <c r="AD19" i="22"/>
  <c r="AE19" i="22"/>
  <c r="AE24" i="22" s="1"/>
  <c r="AF19" i="22"/>
  <c r="AG19" i="22"/>
  <c r="AH19" i="22"/>
  <c r="AH24" i="22" s="1"/>
  <c r="AI19" i="22"/>
  <c r="AI24" i="22" s="1"/>
  <c r="AJ19" i="22"/>
  <c r="AK19" i="22"/>
  <c r="AL19" i="22"/>
  <c r="AM19" i="22"/>
  <c r="AN19" i="22"/>
  <c r="AO19" i="22"/>
  <c r="F20" i="22"/>
  <c r="G20" i="22"/>
  <c r="H20" i="22"/>
  <c r="I20" i="22"/>
  <c r="J20" i="22"/>
  <c r="K20" i="22"/>
  <c r="L20" i="22"/>
  <c r="M20" i="22"/>
  <c r="M24" i="22" s="1"/>
  <c r="N20" i="22"/>
  <c r="O20" i="22"/>
  <c r="P20" i="22"/>
  <c r="Q20" i="22"/>
  <c r="R20" i="22"/>
  <c r="S20" i="22"/>
  <c r="T20" i="22"/>
  <c r="U20" i="22"/>
  <c r="U24" i="22" s="1"/>
  <c r="V20" i="22"/>
  <c r="W20" i="22"/>
  <c r="X20" i="22"/>
  <c r="Y20" i="22"/>
  <c r="Z20" i="22"/>
  <c r="AA20" i="22"/>
  <c r="AB20" i="22"/>
  <c r="AC20" i="22"/>
  <c r="AC24" i="22" s="1"/>
  <c r="AD20" i="22"/>
  <c r="AE20" i="22"/>
  <c r="AF20" i="22"/>
  <c r="AG20" i="22"/>
  <c r="AH20" i="22"/>
  <c r="AI20" i="22"/>
  <c r="AJ20" i="22"/>
  <c r="AK20" i="22"/>
  <c r="AK24" i="22" s="1"/>
  <c r="AL20" i="22"/>
  <c r="AM20" i="22"/>
  <c r="AN20" i="22"/>
  <c r="AO20" i="22"/>
  <c r="F21" i="22"/>
  <c r="G21" i="22"/>
  <c r="H21" i="22"/>
  <c r="H24" i="22" s="1"/>
  <c r="I21" i="22"/>
  <c r="J21" i="22"/>
  <c r="K21" i="22"/>
  <c r="L21" i="22"/>
  <c r="M21" i="22"/>
  <c r="N21" i="22"/>
  <c r="O21" i="22"/>
  <c r="P21" i="22"/>
  <c r="P24" i="22" s="1"/>
  <c r="Q21" i="22"/>
  <c r="Q24" i="22" s="1"/>
  <c r="R21" i="22"/>
  <c r="S21" i="22"/>
  <c r="T21" i="22"/>
  <c r="U21" i="22"/>
  <c r="V21" i="22"/>
  <c r="W21" i="22"/>
  <c r="X21" i="22"/>
  <c r="X24" i="22" s="1"/>
  <c r="Y21" i="22"/>
  <c r="Z21" i="22"/>
  <c r="AA21" i="22"/>
  <c r="AB21" i="22"/>
  <c r="AC21" i="22"/>
  <c r="AD21" i="22"/>
  <c r="AE21" i="22"/>
  <c r="AF21" i="22"/>
  <c r="AF24" i="22" s="1"/>
  <c r="AG21" i="22"/>
  <c r="AG24" i="22" s="1"/>
  <c r="AH21" i="22"/>
  <c r="AI21" i="22"/>
  <c r="AJ21" i="22"/>
  <c r="AK21" i="22"/>
  <c r="AL21" i="22"/>
  <c r="AM21" i="22"/>
  <c r="AN21" i="22"/>
  <c r="AN24" i="22" s="1"/>
  <c r="AO21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F23" i="22"/>
  <c r="G23" i="22"/>
  <c r="H23" i="22"/>
  <c r="I23" i="22"/>
  <c r="J23" i="22"/>
  <c r="K23" i="22"/>
  <c r="L23" i="22"/>
  <c r="M23" i="22"/>
  <c r="E23" i="22" s="1"/>
  <c r="G23" i="34" s="1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O24" i="22"/>
  <c r="W24" i="22"/>
  <c r="AD24" i="22"/>
  <c r="AM24" i="22"/>
  <c r="F27" i="22"/>
  <c r="G27" i="22"/>
  <c r="H27" i="22"/>
  <c r="I27" i="22"/>
  <c r="J27" i="22"/>
  <c r="J29" i="22" s="1"/>
  <c r="K27" i="22"/>
  <c r="L27" i="22"/>
  <c r="M27" i="22"/>
  <c r="N27" i="22"/>
  <c r="O27" i="22"/>
  <c r="O29" i="22" s="1"/>
  <c r="P27" i="22"/>
  <c r="Q27" i="22"/>
  <c r="R27" i="22"/>
  <c r="S27" i="22"/>
  <c r="T27" i="22"/>
  <c r="T29" i="22" s="1"/>
  <c r="U27" i="22"/>
  <c r="V27" i="22"/>
  <c r="W27" i="22"/>
  <c r="W29" i="22" s="1"/>
  <c r="X27" i="22"/>
  <c r="Y27" i="22"/>
  <c r="Z27" i="22"/>
  <c r="AA27" i="22"/>
  <c r="AA29" i="22" s="1"/>
  <c r="AB27" i="22"/>
  <c r="AB29" i="22" s="1"/>
  <c r="AC27" i="22"/>
  <c r="AD27" i="22"/>
  <c r="AE27" i="22"/>
  <c r="AE29" i="22" s="1"/>
  <c r="AF27" i="22"/>
  <c r="AG27" i="22"/>
  <c r="AH27" i="22"/>
  <c r="AI27" i="22"/>
  <c r="AJ27" i="22"/>
  <c r="AJ29" i="22" s="1"/>
  <c r="AK27" i="22"/>
  <c r="AL27" i="22"/>
  <c r="AM27" i="22"/>
  <c r="AM29" i="22" s="1"/>
  <c r="AN27" i="22"/>
  <c r="AO27" i="22"/>
  <c r="F28" i="22"/>
  <c r="G28" i="22"/>
  <c r="H28" i="22"/>
  <c r="I28" i="22"/>
  <c r="J28" i="22"/>
  <c r="K28" i="22"/>
  <c r="L28" i="22"/>
  <c r="M28" i="22"/>
  <c r="M29" i="22" s="1"/>
  <c r="N28" i="22"/>
  <c r="N29" i="22" s="1"/>
  <c r="O28" i="22"/>
  <c r="P28" i="22"/>
  <c r="Q28" i="22"/>
  <c r="R28" i="22"/>
  <c r="S28" i="22"/>
  <c r="T28" i="22"/>
  <c r="U28" i="22"/>
  <c r="V28" i="22"/>
  <c r="V29" i="22" s="1"/>
  <c r="W28" i="22"/>
  <c r="X28" i="22"/>
  <c r="Y28" i="22"/>
  <c r="Z28" i="22"/>
  <c r="AA28" i="22"/>
  <c r="AB28" i="22"/>
  <c r="AC28" i="22"/>
  <c r="AC29" i="22" s="1"/>
  <c r="AD28" i="22"/>
  <c r="AE28" i="22"/>
  <c r="AF28" i="22"/>
  <c r="AG28" i="22"/>
  <c r="AH28" i="22"/>
  <c r="AI28" i="22"/>
  <c r="AI29" i="22" s="1"/>
  <c r="AJ28" i="22"/>
  <c r="AK28" i="22"/>
  <c r="AK29" i="22" s="1"/>
  <c r="AL28" i="22"/>
  <c r="AL29" i="22" s="1"/>
  <c r="AM28" i="22"/>
  <c r="AN28" i="22"/>
  <c r="AO28" i="22"/>
  <c r="F29" i="22"/>
  <c r="H29" i="22"/>
  <c r="L29" i="22"/>
  <c r="P29" i="22"/>
  <c r="R29" i="22"/>
  <c r="U29" i="22"/>
  <c r="X29" i="22"/>
  <c r="Z29" i="22"/>
  <c r="AD29" i="22"/>
  <c r="AF29" i="22"/>
  <c r="AH29" i="22"/>
  <c r="AN29" i="22"/>
  <c r="F32" i="22"/>
  <c r="G32" i="22"/>
  <c r="G36" i="22" s="1"/>
  <c r="H32" i="22"/>
  <c r="I32" i="22"/>
  <c r="J32" i="22"/>
  <c r="K32" i="22"/>
  <c r="L32" i="22"/>
  <c r="M32" i="22"/>
  <c r="M36" i="22" s="1"/>
  <c r="N32" i="22"/>
  <c r="O32" i="22"/>
  <c r="O36" i="22" s="1"/>
  <c r="P32" i="22"/>
  <c r="Q32" i="22"/>
  <c r="R32" i="22"/>
  <c r="S32" i="22"/>
  <c r="T32" i="22"/>
  <c r="U32" i="22"/>
  <c r="U36" i="22" s="1"/>
  <c r="V32" i="22"/>
  <c r="V36" i="22" s="1"/>
  <c r="W32" i="22"/>
  <c r="W36" i="22" s="1"/>
  <c r="X32" i="22"/>
  <c r="Y32" i="22"/>
  <c r="Z32" i="22"/>
  <c r="AA32" i="22"/>
  <c r="AB32" i="22"/>
  <c r="AC32" i="22"/>
  <c r="AC36" i="22" s="1"/>
  <c r="AD32" i="22"/>
  <c r="AD36" i="22" s="1"/>
  <c r="AE32" i="22"/>
  <c r="AE36" i="22" s="1"/>
  <c r="AF32" i="22"/>
  <c r="AG32" i="22"/>
  <c r="AH32" i="22"/>
  <c r="AI32" i="22"/>
  <c r="AJ32" i="22"/>
  <c r="AK32" i="22"/>
  <c r="AK36" i="22" s="1"/>
  <c r="AL32" i="22"/>
  <c r="AL36" i="22" s="1"/>
  <c r="AM32" i="22"/>
  <c r="AN32" i="22"/>
  <c r="AO32" i="22"/>
  <c r="F33" i="22"/>
  <c r="G33" i="22"/>
  <c r="H33" i="22"/>
  <c r="I33" i="22"/>
  <c r="I36" i="22" s="1"/>
  <c r="J33" i="22"/>
  <c r="K33" i="22"/>
  <c r="L33" i="22"/>
  <c r="M33" i="22"/>
  <c r="N33" i="22"/>
  <c r="O33" i="22"/>
  <c r="P33" i="22"/>
  <c r="P36" i="22" s="1"/>
  <c r="Q33" i="22"/>
  <c r="Q36" i="22" s="1"/>
  <c r="R33" i="22"/>
  <c r="S33" i="22"/>
  <c r="T33" i="22"/>
  <c r="U33" i="22"/>
  <c r="V33" i="22"/>
  <c r="W33" i="22"/>
  <c r="X33" i="22"/>
  <c r="Y33" i="22"/>
  <c r="Y36" i="22" s="1"/>
  <c r="Z33" i="22"/>
  <c r="AA33" i="22"/>
  <c r="AB33" i="22"/>
  <c r="AC33" i="22"/>
  <c r="AD33" i="22"/>
  <c r="AE33" i="22"/>
  <c r="AF33" i="22"/>
  <c r="AF36" i="22" s="1"/>
  <c r="AG33" i="22"/>
  <c r="AG36" i="22" s="1"/>
  <c r="AH33" i="22"/>
  <c r="AH36" i="22" s="1"/>
  <c r="AI33" i="22"/>
  <c r="AJ33" i="22"/>
  <c r="AK33" i="22"/>
  <c r="AL33" i="22"/>
  <c r="AM33" i="22"/>
  <c r="AN33" i="22"/>
  <c r="AN36" i="22" s="1"/>
  <c r="AO33" i="22"/>
  <c r="AO36" i="22" s="1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J36" i="22" s="1"/>
  <c r="AK34" i="22"/>
  <c r="AL34" i="22"/>
  <c r="AM34" i="22"/>
  <c r="AN34" i="22"/>
  <c r="AO34" i="22"/>
  <c r="F35" i="22"/>
  <c r="G35" i="22"/>
  <c r="H35" i="22"/>
  <c r="I35" i="22"/>
  <c r="J35" i="22"/>
  <c r="K35" i="22"/>
  <c r="L35" i="22"/>
  <c r="M35" i="22"/>
  <c r="E35" i="22" s="1"/>
  <c r="G35" i="34" s="1"/>
  <c r="I35" i="34" s="1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H36" i="22"/>
  <c r="N36" i="22"/>
  <c r="X36" i="22"/>
  <c r="Z36" i="22"/>
  <c r="AM36" i="22"/>
  <c r="D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F40" i="22"/>
  <c r="G40" i="22"/>
  <c r="H40" i="22"/>
  <c r="I40" i="22"/>
  <c r="J40" i="22"/>
  <c r="K40" i="22"/>
  <c r="L40" i="22"/>
  <c r="L42" i="22" s="1"/>
  <c r="M40" i="22"/>
  <c r="N40" i="22"/>
  <c r="O40" i="22"/>
  <c r="P40" i="22"/>
  <c r="Q40" i="22"/>
  <c r="Q42" i="22" s="1"/>
  <c r="Q43" i="22" s="1"/>
  <c r="R40" i="22"/>
  <c r="S40" i="22"/>
  <c r="T40" i="22"/>
  <c r="U40" i="22"/>
  <c r="V40" i="22"/>
  <c r="W40" i="22"/>
  <c r="X40" i="22"/>
  <c r="Y40" i="22"/>
  <c r="Y42" i="22" s="1"/>
  <c r="Z40" i="22"/>
  <c r="AA40" i="22"/>
  <c r="AB40" i="22"/>
  <c r="AB42" i="22" s="1"/>
  <c r="AB43" i="22" s="1"/>
  <c r="AC40" i="22"/>
  <c r="AD40" i="22"/>
  <c r="AE40" i="22"/>
  <c r="AF40" i="22"/>
  <c r="AG40" i="22"/>
  <c r="AG42" i="22" s="1"/>
  <c r="AG43" i="22" s="1"/>
  <c r="AH40" i="22"/>
  <c r="AI40" i="22"/>
  <c r="AJ40" i="22"/>
  <c r="AK40" i="22"/>
  <c r="AL40" i="22"/>
  <c r="AM40" i="22"/>
  <c r="AN40" i="22"/>
  <c r="AO40" i="22"/>
  <c r="AO42" i="22" s="1"/>
  <c r="AO43" i="22" s="1"/>
  <c r="F41" i="22"/>
  <c r="G41" i="22"/>
  <c r="H41" i="22"/>
  <c r="H42" i="22" s="1"/>
  <c r="H43" i="22" s="1"/>
  <c r="I41" i="22"/>
  <c r="J41" i="22"/>
  <c r="K41" i="22"/>
  <c r="L41" i="22"/>
  <c r="M41" i="22"/>
  <c r="N41" i="22"/>
  <c r="O41" i="22"/>
  <c r="O42" i="22" s="1"/>
  <c r="P41" i="22"/>
  <c r="Q41" i="22"/>
  <c r="R41" i="22"/>
  <c r="R42" i="22" s="1"/>
  <c r="S41" i="22"/>
  <c r="T41" i="22"/>
  <c r="U41" i="22"/>
  <c r="V41" i="22"/>
  <c r="W41" i="22"/>
  <c r="X41" i="22"/>
  <c r="Y41" i="22"/>
  <c r="Z41" i="22"/>
  <c r="Z42" i="22" s="1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J42" i="22"/>
  <c r="J43" i="22" s="1"/>
  <c r="M42" i="22"/>
  <c r="M43" i="22" s="1"/>
  <c r="N42" i="22"/>
  <c r="N43" i="22" s="1"/>
  <c r="T42" i="22"/>
  <c r="T43" i="22" s="1"/>
  <c r="U42" i="22"/>
  <c r="U43" i="22" s="1"/>
  <c r="V42" i="22"/>
  <c r="W42" i="22"/>
  <c r="W43" i="22" s="1"/>
  <c r="AC42" i="22"/>
  <c r="AC43" i="22" s="1"/>
  <c r="AD42" i="22"/>
  <c r="AD43" i="22" s="1"/>
  <c r="AE42" i="22"/>
  <c r="AF42" i="22"/>
  <c r="AF43" i="22" s="1"/>
  <c r="AJ42" i="22"/>
  <c r="AJ43" i="22" s="1"/>
  <c r="AK42" i="22"/>
  <c r="AK43" i="22" s="1"/>
  <c r="AL42" i="22"/>
  <c r="AM42" i="22"/>
  <c r="L43" i="22"/>
  <c r="O43" i="22"/>
  <c r="R43" i="22"/>
  <c r="Y43" i="22"/>
  <c r="Z43" i="22"/>
  <c r="AE43" i="22"/>
  <c r="AM43" i="22"/>
  <c r="F45" i="22"/>
  <c r="G45" i="22"/>
  <c r="H45" i="22"/>
  <c r="I45" i="22"/>
  <c r="J45" i="22"/>
  <c r="K45" i="22"/>
  <c r="L45" i="22"/>
  <c r="D45" i="22" s="1"/>
  <c r="F45" i="34" s="1"/>
  <c r="H45" i="34" s="1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F49" i="22"/>
  <c r="D49" i="22" s="1"/>
  <c r="F49" i="34" s="1"/>
  <c r="H49" i="34" s="1"/>
  <c r="G49" i="22"/>
  <c r="H49" i="22"/>
  <c r="I49" i="22"/>
  <c r="J49" i="22"/>
  <c r="K49" i="22"/>
  <c r="L49" i="22"/>
  <c r="M49" i="22"/>
  <c r="E49" i="22" s="1"/>
  <c r="G49" i="34" s="1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D50" i="22"/>
  <c r="E50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F54" i="22"/>
  <c r="G54" i="22"/>
  <c r="G56" i="22" s="1"/>
  <c r="H54" i="22"/>
  <c r="I54" i="22"/>
  <c r="J54" i="22"/>
  <c r="K54" i="22"/>
  <c r="K56" i="22" s="1"/>
  <c r="L54" i="22"/>
  <c r="L56" i="22" s="1"/>
  <c r="M54" i="22"/>
  <c r="N54" i="22"/>
  <c r="O54" i="22"/>
  <c r="P54" i="22"/>
  <c r="Q54" i="22"/>
  <c r="R54" i="22"/>
  <c r="R56" i="22" s="1"/>
  <c r="S54" i="22"/>
  <c r="S56" i="22" s="1"/>
  <c r="T54" i="22"/>
  <c r="T56" i="22" s="1"/>
  <c r="U54" i="22"/>
  <c r="V54" i="22"/>
  <c r="W54" i="22"/>
  <c r="W56" i="22" s="1"/>
  <c r="X54" i="22"/>
  <c r="Y54" i="22"/>
  <c r="Z54" i="22"/>
  <c r="Z56" i="22" s="1"/>
  <c r="AA54" i="22"/>
  <c r="AA56" i="22" s="1"/>
  <c r="AB54" i="22"/>
  <c r="AB56" i="22" s="1"/>
  <c r="AC54" i="22"/>
  <c r="AD54" i="22"/>
  <c r="AE54" i="22"/>
  <c r="AF54" i="22"/>
  <c r="AG54" i="22"/>
  <c r="AH54" i="22"/>
  <c r="AH56" i="22" s="1"/>
  <c r="AI54" i="22"/>
  <c r="AI56" i="22" s="1"/>
  <c r="AJ54" i="22"/>
  <c r="AJ56" i="22" s="1"/>
  <c r="AK54" i="22"/>
  <c r="AL54" i="22"/>
  <c r="AM54" i="22"/>
  <c r="AM56" i="22" s="1"/>
  <c r="AN54" i="22"/>
  <c r="AO54" i="22"/>
  <c r="F55" i="22"/>
  <c r="G55" i="22"/>
  <c r="H55" i="22"/>
  <c r="I55" i="22"/>
  <c r="J55" i="22"/>
  <c r="K55" i="22"/>
  <c r="L55" i="22"/>
  <c r="M55" i="22"/>
  <c r="M56" i="22" s="1"/>
  <c r="N55" i="22"/>
  <c r="N56" i="22" s="1"/>
  <c r="O55" i="22"/>
  <c r="P55" i="22"/>
  <c r="Q55" i="22"/>
  <c r="R55" i="22"/>
  <c r="S55" i="22"/>
  <c r="T55" i="22"/>
  <c r="U55" i="22"/>
  <c r="U56" i="22" s="1"/>
  <c r="V55" i="22"/>
  <c r="V56" i="22" s="1"/>
  <c r="W55" i="22"/>
  <c r="X55" i="22"/>
  <c r="Y55" i="22"/>
  <c r="Z55" i="22"/>
  <c r="AA55" i="22"/>
  <c r="AB55" i="22"/>
  <c r="AC55" i="22"/>
  <c r="AD55" i="22"/>
  <c r="AD56" i="22" s="1"/>
  <c r="AE55" i="22"/>
  <c r="AF55" i="22"/>
  <c r="AG55" i="22"/>
  <c r="AH55" i="22"/>
  <c r="AI55" i="22"/>
  <c r="AJ55" i="22"/>
  <c r="AK55" i="22"/>
  <c r="AK56" i="22" s="1"/>
  <c r="AL55" i="22"/>
  <c r="AL56" i="22" s="1"/>
  <c r="AM55" i="22"/>
  <c r="AN55" i="22"/>
  <c r="AO55" i="22"/>
  <c r="H56" i="22"/>
  <c r="O56" i="22"/>
  <c r="P56" i="22"/>
  <c r="X56" i="22"/>
  <c r="AC56" i="22"/>
  <c r="AE56" i="22"/>
  <c r="AF56" i="22"/>
  <c r="AN56" i="22"/>
  <c r="F59" i="22"/>
  <c r="G59" i="22"/>
  <c r="H59" i="22"/>
  <c r="H61" i="22" s="1"/>
  <c r="I59" i="22"/>
  <c r="I61" i="22" s="1"/>
  <c r="J59" i="22"/>
  <c r="K59" i="22"/>
  <c r="L59" i="22"/>
  <c r="M59" i="22"/>
  <c r="N59" i="22"/>
  <c r="O59" i="22"/>
  <c r="O61" i="22" s="1"/>
  <c r="P59" i="22"/>
  <c r="P61" i="22" s="1"/>
  <c r="Q59" i="22"/>
  <c r="Q61" i="22" s="1"/>
  <c r="R59" i="22"/>
  <c r="S59" i="22"/>
  <c r="T59" i="22"/>
  <c r="U59" i="22"/>
  <c r="V59" i="22"/>
  <c r="W59" i="22"/>
  <c r="W61" i="22" s="1"/>
  <c r="X59" i="22"/>
  <c r="X61" i="22" s="1"/>
  <c r="Y59" i="22"/>
  <c r="Y61" i="22" s="1"/>
  <c r="Z59" i="22"/>
  <c r="AA59" i="22"/>
  <c r="AB59" i="22"/>
  <c r="AC59" i="22"/>
  <c r="AD59" i="22"/>
  <c r="AE59" i="22"/>
  <c r="AE61" i="22" s="1"/>
  <c r="AF59" i="22"/>
  <c r="AF61" i="22" s="1"/>
  <c r="AG59" i="22"/>
  <c r="AH59" i="22"/>
  <c r="AI59" i="22"/>
  <c r="AJ59" i="22"/>
  <c r="AK59" i="22"/>
  <c r="AL59" i="22"/>
  <c r="AM59" i="22"/>
  <c r="AM61" i="22" s="1"/>
  <c r="AN59" i="22"/>
  <c r="AN61" i="22" s="1"/>
  <c r="AO59" i="22"/>
  <c r="AO61" i="22" s="1"/>
  <c r="F60" i="22"/>
  <c r="G60" i="22"/>
  <c r="H60" i="22"/>
  <c r="I60" i="22"/>
  <c r="J60" i="22"/>
  <c r="K60" i="22"/>
  <c r="K61" i="22" s="1"/>
  <c r="L60" i="22"/>
  <c r="M60" i="22"/>
  <c r="N60" i="22"/>
  <c r="O60" i="22"/>
  <c r="P60" i="22"/>
  <c r="Q60" i="22"/>
  <c r="R60" i="22"/>
  <c r="S60" i="22"/>
  <c r="T60" i="22"/>
  <c r="T61" i="22" s="1"/>
  <c r="U60" i="22"/>
  <c r="V60" i="22"/>
  <c r="W60" i="22"/>
  <c r="X60" i="22"/>
  <c r="Y60" i="22"/>
  <c r="Z60" i="22"/>
  <c r="AA60" i="22"/>
  <c r="AA61" i="22" s="1"/>
  <c r="AB60" i="22"/>
  <c r="AC60" i="22"/>
  <c r="AD60" i="22"/>
  <c r="AE60" i="22"/>
  <c r="AF60" i="22"/>
  <c r="AG60" i="22"/>
  <c r="AH60" i="22"/>
  <c r="AI60" i="22"/>
  <c r="AI61" i="22" s="1"/>
  <c r="AJ60" i="22"/>
  <c r="AJ61" i="22" s="1"/>
  <c r="AK60" i="22"/>
  <c r="AL60" i="22"/>
  <c r="AM60" i="22"/>
  <c r="AN60" i="22"/>
  <c r="AO60" i="22"/>
  <c r="F61" i="22"/>
  <c r="L61" i="22"/>
  <c r="M61" i="22"/>
  <c r="N61" i="22"/>
  <c r="S61" i="22"/>
  <c r="U61" i="22"/>
  <c r="V61" i="22"/>
  <c r="AB61" i="22"/>
  <c r="AC61" i="22"/>
  <c r="AD61" i="22"/>
  <c r="AG61" i="22"/>
  <c r="AK61" i="22"/>
  <c r="AL61" i="22"/>
  <c r="F64" i="22"/>
  <c r="G64" i="22"/>
  <c r="H64" i="22"/>
  <c r="I64" i="22"/>
  <c r="J64" i="22"/>
  <c r="K64" i="22"/>
  <c r="L64" i="22"/>
  <c r="M64" i="22"/>
  <c r="M66" i="22" s="1"/>
  <c r="N64" i="22"/>
  <c r="N66" i="22" s="1"/>
  <c r="O64" i="22"/>
  <c r="P64" i="22"/>
  <c r="Q64" i="22"/>
  <c r="R64" i="22"/>
  <c r="S64" i="22"/>
  <c r="T64" i="22"/>
  <c r="U64" i="22"/>
  <c r="U66" i="22" s="1"/>
  <c r="V64" i="22"/>
  <c r="V66" i="22" s="1"/>
  <c r="W64" i="22"/>
  <c r="X64" i="22"/>
  <c r="Y64" i="22"/>
  <c r="Z64" i="22"/>
  <c r="AA64" i="22"/>
  <c r="AB64" i="22"/>
  <c r="AC64" i="22"/>
  <c r="AC66" i="22" s="1"/>
  <c r="AD64" i="22"/>
  <c r="AD66" i="22" s="1"/>
  <c r="AE64" i="22"/>
  <c r="AF64" i="22"/>
  <c r="AG64" i="22"/>
  <c r="AH64" i="22"/>
  <c r="AI64" i="22"/>
  <c r="AJ64" i="22"/>
  <c r="AK64" i="22"/>
  <c r="AK66" i="22" s="1"/>
  <c r="AL64" i="22"/>
  <c r="AL66" i="22" s="1"/>
  <c r="AM64" i="22"/>
  <c r="AN64" i="22"/>
  <c r="AO64" i="22"/>
  <c r="F65" i="22"/>
  <c r="G65" i="22"/>
  <c r="H65" i="22"/>
  <c r="I65" i="22"/>
  <c r="I66" i="22" s="1"/>
  <c r="J65" i="22"/>
  <c r="J66" i="22" s="1"/>
  <c r="K65" i="22"/>
  <c r="L65" i="22"/>
  <c r="M65" i="22"/>
  <c r="N65" i="22"/>
  <c r="O65" i="22"/>
  <c r="O66" i="22" s="1"/>
  <c r="P65" i="22"/>
  <c r="Q65" i="22"/>
  <c r="R65" i="22"/>
  <c r="S65" i="22"/>
  <c r="T65" i="22"/>
  <c r="U65" i="22"/>
  <c r="V65" i="22"/>
  <c r="W65" i="22"/>
  <c r="X65" i="22"/>
  <c r="Y65" i="22"/>
  <c r="Y66" i="22" s="1"/>
  <c r="Z65" i="22"/>
  <c r="AA65" i="22"/>
  <c r="AB65" i="22"/>
  <c r="AC65" i="22"/>
  <c r="AD65" i="22"/>
  <c r="AE65" i="22"/>
  <c r="AE66" i="22" s="1"/>
  <c r="AF65" i="22"/>
  <c r="AG65" i="22"/>
  <c r="AG66" i="22" s="1"/>
  <c r="AH65" i="22"/>
  <c r="AH66" i="22" s="1"/>
  <c r="AI65" i="22"/>
  <c r="AJ65" i="22"/>
  <c r="AK65" i="22"/>
  <c r="AL65" i="22"/>
  <c r="AM65" i="22"/>
  <c r="AM66" i="22" s="1"/>
  <c r="AN65" i="22"/>
  <c r="AO65" i="22"/>
  <c r="AO66" i="22" s="1"/>
  <c r="K66" i="22"/>
  <c r="L66" i="22"/>
  <c r="Q66" i="22"/>
  <c r="R66" i="22"/>
  <c r="S66" i="22"/>
  <c r="T66" i="22"/>
  <c r="Z66" i="22"/>
  <c r="AA66" i="22"/>
  <c r="AB66" i="22"/>
  <c r="AI66" i="22"/>
  <c r="AJ66" i="22"/>
  <c r="D70" i="22"/>
  <c r="F70" i="22"/>
  <c r="G70" i="22"/>
  <c r="H70" i="22"/>
  <c r="I70" i="22"/>
  <c r="J70" i="22"/>
  <c r="K70" i="22"/>
  <c r="E70" i="22" s="1"/>
  <c r="L70" i="22"/>
  <c r="L72" i="22" s="1"/>
  <c r="M70" i="22"/>
  <c r="N70" i="22"/>
  <c r="O70" i="22"/>
  <c r="P70" i="22"/>
  <c r="Q70" i="22"/>
  <c r="R70" i="22"/>
  <c r="S70" i="22"/>
  <c r="T70" i="22"/>
  <c r="T72" i="22" s="1"/>
  <c r="U70" i="22"/>
  <c r="V70" i="22"/>
  <c r="W70" i="22"/>
  <c r="X70" i="22"/>
  <c r="Y70" i="22"/>
  <c r="Z70" i="22"/>
  <c r="AA70" i="22"/>
  <c r="AB70" i="22"/>
  <c r="AB72" i="22" s="1"/>
  <c r="AC70" i="22"/>
  <c r="AD70" i="22"/>
  <c r="AE70" i="22"/>
  <c r="AF70" i="22"/>
  <c r="AG70" i="22"/>
  <c r="AH70" i="22"/>
  <c r="AI70" i="22"/>
  <c r="AJ70" i="22"/>
  <c r="AJ72" i="22" s="1"/>
  <c r="AK70" i="22"/>
  <c r="AL70" i="22"/>
  <c r="AM70" i="22"/>
  <c r="AN70" i="22"/>
  <c r="AO70" i="22"/>
  <c r="F71" i="22"/>
  <c r="G71" i="22"/>
  <c r="H71" i="22"/>
  <c r="I71" i="22"/>
  <c r="J71" i="22"/>
  <c r="K71" i="22"/>
  <c r="L71" i="22"/>
  <c r="M71" i="22"/>
  <c r="M72" i="22" s="1"/>
  <c r="N71" i="22"/>
  <c r="N72" i="22" s="1"/>
  <c r="O71" i="22"/>
  <c r="O72" i="22" s="1"/>
  <c r="P71" i="22"/>
  <c r="Q71" i="22"/>
  <c r="R71" i="22"/>
  <c r="S71" i="22"/>
  <c r="T71" i="22"/>
  <c r="U71" i="22"/>
  <c r="V71" i="22"/>
  <c r="W71" i="22"/>
  <c r="W72" i="22" s="1"/>
  <c r="X71" i="22"/>
  <c r="X72" i="22" s="1"/>
  <c r="Y71" i="22"/>
  <c r="Z71" i="22"/>
  <c r="AA71" i="22"/>
  <c r="AB71" i="22"/>
  <c r="AC71" i="22"/>
  <c r="AD71" i="22"/>
  <c r="AE71" i="22"/>
  <c r="AE72" i="22" s="1"/>
  <c r="AF71" i="22"/>
  <c r="AG71" i="22"/>
  <c r="AH71" i="22"/>
  <c r="AI71" i="22"/>
  <c r="AJ71" i="22"/>
  <c r="AK71" i="22"/>
  <c r="AL71" i="22"/>
  <c r="AM71" i="22"/>
  <c r="AM72" i="22" s="1"/>
  <c r="AN71" i="22"/>
  <c r="AO71" i="22"/>
  <c r="F72" i="22"/>
  <c r="H72" i="22"/>
  <c r="I72" i="22"/>
  <c r="J72" i="22"/>
  <c r="P72" i="22"/>
  <c r="Q72" i="22"/>
  <c r="R72" i="22"/>
  <c r="U72" i="22"/>
  <c r="V72" i="22"/>
  <c r="Y72" i="22"/>
  <c r="Z72" i="22"/>
  <c r="AD72" i="22"/>
  <c r="AF72" i="22"/>
  <c r="AG72" i="22"/>
  <c r="AH72" i="22"/>
  <c r="AL72" i="22"/>
  <c r="AN72" i="22"/>
  <c r="AO72" i="22"/>
  <c r="D73" i="22"/>
  <c r="F73" i="34" s="1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F75" i="22"/>
  <c r="G75" i="22"/>
  <c r="H75" i="22"/>
  <c r="I75" i="22"/>
  <c r="J75" i="22"/>
  <c r="K75" i="22"/>
  <c r="L75" i="22"/>
  <c r="M75" i="22"/>
  <c r="E75" i="22" s="1"/>
  <c r="G75" i="34" s="1"/>
  <c r="I75" i="34" s="1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F76" i="22"/>
  <c r="G76" i="22"/>
  <c r="H76" i="22"/>
  <c r="I76" i="22"/>
  <c r="J76" i="22"/>
  <c r="K76" i="22"/>
  <c r="L76" i="22"/>
  <c r="M76" i="22"/>
  <c r="E76" i="22" s="1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D77" i="22"/>
  <c r="F77" i="34" s="1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5" i="34"/>
  <c r="D11" i="34"/>
  <c r="E13" i="34"/>
  <c r="D15" i="34"/>
  <c r="G15" i="34"/>
  <c r="E20" i="34"/>
  <c r="E22" i="34"/>
  <c r="D23" i="34"/>
  <c r="D27" i="34"/>
  <c r="D29" i="34" s="1"/>
  <c r="E27" i="34"/>
  <c r="D32" i="34"/>
  <c r="E34" i="34"/>
  <c r="D35" i="34"/>
  <c r="E35" i="34"/>
  <c r="E39" i="34"/>
  <c r="F39" i="34"/>
  <c r="D40" i="34"/>
  <c r="D42" i="34" s="1"/>
  <c r="D41" i="34"/>
  <c r="D45" i="34"/>
  <c r="E47" i="34"/>
  <c r="D49" i="34"/>
  <c r="D51" i="34"/>
  <c r="E51" i="34"/>
  <c r="D59" i="34"/>
  <c r="D65" i="34"/>
  <c r="E65" i="34"/>
  <c r="E70" i="34"/>
  <c r="D71" i="34"/>
  <c r="D74" i="34"/>
  <c r="D75" i="34"/>
  <c r="D76" i="34"/>
  <c r="G76" i="34"/>
  <c r="E78" i="34"/>
  <c r="E79" i="34"/>
  <c r="D80" i="34"/>
  <c r="A5" i="17"/>
  <c r="H11" i="17"/>
  <c r="L11" i="17" s="1"/>
  <c r="I11" i="17"/>
  <c r="F12" i="17"/>
  <c r="G12" i="17"/>
  <c r="H12" i="17"/>
  <c r="I12" i="17"/>
  <c r="M12" i="17" s="1"/>
  <c r="L12" i="17"/>
  <c r="F13" i="17"/>
  <c r="H13" i="17"/>
  <c r="L13" i="17" s="1"/>
  <c r="I13" i="17"/>
  <c r="G13" i="17" s="1"/>
  <c r="M13" i="17"/>
  <c r="F14" i="17"/>
  <c r="G14" i="17"/>
  <c r="H14" i="17"/>
  <c r="L14" i="17" s="1"/>
  <c r="I14" i="17"/>
  <c r="M14" i="17"/>
  <c r="H15" i="17"/>
  <c r="F15" i="17" s="1"/>
  <c r="I15" i="17"/>
  <c r="L15" i="17"/>
  <c r="J16" i="17"/>
  <c r="K16" i="17"/>
  <c r="H18" i="17"/>
  <c r="I18" i="17"/>
  <c r="G19" i="17"/>
  <c r="H19" i="17"/>
  <c r="I19" i="17"/>
  <c r="M19" i="17" s="1"/>
  <c r="F20" i="17"/>
  <c r="H20" i="17"/>
  <c r="I20" i="17"/>
  <c r="G20" i="17" s="1"/>
  <c r="L20" i="17"/>
  <c r="M20" i="17"/>
  <c r="F21" i="17"/>
  <c r="H21" i="17"/>
  <c r="L21" i="17" s="1"/>
  <c r="I21" i="17"/>
  <c r="F22" i="17"/>
  <c r="G22" i="17"/>
  <c r="H22" i="17"/>
  <c r="L22" i="17" s="1"/>
  <c r="I22" i="17"/>
  <c r="M22" i="17"/>
  <c r="G23" i="17"/>
  <c r="H23" i="17"/>
  <c r="F23" i="17" s="1"/>
  <c r="I23" i="17"/>
  <c r="M23" i="17" s="1"/>
  <c r="L23" i="17"/>
  <c r="J24" i="17"/>
  <c r="K24" i="17"/>
  <c r="F27" i="17"/>
  <c r="H27" i="17"/>
  <c r="I27" i="17"/>
  <c r="L27" i="17"/>
  <c r="L29" i="17" s="1"/>
  <c r="F28" i="17"/>
  <c r="H28" i="17"/>
  <c r="L28" i="17" s="1"/>
  <c r="I28" i="17"/>
  <c r="F29" i="17"/>
  <c r="H29" i="17"/>
  <c r="J29" i="17"/>
  <c r="K29" i="17"/>
  <c r="G32" i="17"/>
  <c r="H32" i="17"/>
  <c r="I32" i="17"/>
  <c r="M32" i="17"/>
  <c r="G33" i="17"/>
  <c r="H33" i="17"/>
  <c r="F33" i="17" s="1"/>
  <c r="I33" i="17"/>
  <c r="L33" i="17"/>
  <c r="F34" i="17"/>
  <c r="G34" i="17"/>
  <c r="H34" i="17"/>
  <c r="I34" i="17"/>
  <c r="M34" i="17" s="1"/>
  <c r="L34" i="17"/>
  <c r="F35" i="17"/>
  <c r="H35" i="17"/>
  <c r="L35" i="17" s="1"/>
  <c r="I35" i="17"/>
  <c r="G35" i="17" s="1"/>
  <c r="M35" i="17"/>
  <c r="J36" i="17"/>
  <c r="K36" i="17"/>
  <c r="L37" i="17"/>
  <c r="M37" i="17"/>
  <c r="H38" i="17"/>
  <c r="I38" i="17"/>
  <c r="F39" i="17"/>
  <c r="H39" i="17"/>
  <c r="I39" i="17"/>
  <c r="L39" i="17"/>
  <c r="F40" i="17"/>
  <c r="F42" i="17" s="1"/>
  <c r="F43" i="17" s="1"/>
  <c r="H40" i="17"/>
  <c r="L40" i="17" s="1"/>
  <c r="L42" i="17" s="1"/>
  <c r="L43" i="17" s="1"/>
  <c r="I40" i="17"/>
  <c r="F41" i="17"/>
  <c r="G41" i="17"/>
  <c r="H41" i="17"/>
  <c r="L41" i="17" s="1"/>
  <c r="I41" i="17"/>
  <c r="M41" i="17"/>
  <c r="H42" i="17"/>
  <c r="J42" i="17"/>
  <c r="K42" i="17"/>
  <c r="H43" i="17"/>
  <c r="J43" i="17"/>
  <c r="K43" i="17"/>
  <c r="G45" i="17"/>
  <c r="H45" i="17"/>
  <c r="F45" i="17" s="1"/>
  <c r="I45" i="17"/>
  <c r="M45" i="17" s="1"/>
  <c r="L45" i="17"/>
  <c r="F47" i="17"/>
  <c r="G47" i="17"/>
  <c r="H47" i="17"/>
  <c r="I47" i="17"/>
  <c r="M47" i="17" s="1"/>
  <c r="L47" i="17"/>
  <c r="F49" i="17"/>
  <c r="H49" i="17"/>
  <c r="L49" i="17" s="1"/>
  <c r="I49" i="17"/>
  <c r="G49" i="17" s="1"/>
  <c r="M49" i="17"/>
  <c r="G51" i="17"/>
  <c r="H51" i="17"/>
  <c r="I51" i="17"/>
  <c r="M51" i="17"/>
  <c r="H54" i="17"/>
  <c r="I54" i="17"/>
  <c r="F55" i="17"/>
  <c r="G55" i="17"/>
  <c r="H55" i="17"/>
  <c r="I55" i="17"/>
  <c r="M55" i="17" s="1"/>
  <c r="L55" i="17"/>
  <c r="J56" i="17"/>
  <c r="K56" i="17"/>
  <c r="F59" i="17"/>
  <c r="F61" i="17" s="1"/>
  <c r="H59" i="17"/>
  <c r="L59" i="17" s="1"/>
  <c r="L61" i="17" s="1"/>
  <c r="I59" i="17"/>
  <c r="F60" i="17"/>
  <c r="G60" i="17"/>
  <c r="H60" i="17"/>
  <c r="L60" i="17" s="1"/>
  <c r="I60" i="17"/>
  <c r="M60" i="17"/>
  <c r="H61" i="17"/>
  <c r="J61" i="17"/>
  <c r="K61" i="17"/>
  <c r="H64" i="17"/>
  <c r="L64" i="17" s="1"/>
  <c r="I64" i="17"/>
  <c r="I66" i="17" s="1"/>
  <c r="F65" i="17"/>
  <c r="G65" i="17"/>
  <c r="H65" i="17"/>
  <c r="I65" i="17"/>
  <c r="L65" i="17"/>
  <c r="M65" i="17"/>
  <c r="J66" i="17"/>
  <c r="K66" i="17"/>
  <c r="L66" i="17"/>
  <c r="L69" i="17"/>
  <c r="M69" i="17"/>
  <c r="F70" i="17"/>
  <c r="G70" i="17"/>
  <c r="G72" i="17" s="1"/>
  <c r="H70" i="17"/>
  <c r="I70" i="17"/>
  <c r="M70" i="17" s="1"/>
  <c r="L70" i="17"/>
  <c r="L72" i="17" s="1"/>
  <c r="F71" i="17"/>
  <c r="F72" i="17" s="1"/>
  <c r="H71" i="17"/>
  <c r="L71" i="17" s="1"/>
  <c r="I71" i="17"/>
  <c r="G71" i="17" s="1"/>
  <c r="M71" i="17"/>
  <c r="M72" i="17" s="1"/>
  <c r="H72" i="17"/>
  <c r="J72" i="17"/>
  <c r="K72" i="17"/>
  <c r="F73" i="17"/>
  <c r="G73" i="17"/>
  <c r="H73" i="17"/>
  <c r="L73" i="17" s="1"/>
  <c r="I73" i="17"/>
  <c r="M73" i="17"/>
  <c r="H74" i="17"/>
  <c r="I74" i="17"/>
  <c r="F75" i="17"/>
  <c r="H75" i="17"/>
  <c r="I75" i="17"/>
  <c r="G75" i="17" s="1"/>
  <c r="L75" i="17"/>
  <c r="M75" i="17"/>
  <c r="F76" i="17"/>
  <c r="H76" i="17"/>
  <c r="L76" i="17" s="1"/>
  <c r="I76" i="17"/>
  <c r="F77" i="17"/>
  <c r="G77" i="17"/>
  <c r="H77" i="17"/>
  <c r="L77" i="17" s="1"/>
  <c r="I77" i="17"/>
  <c r="M77" i="17"/>
  <c r="G78" i="17"/>
  <c r="H78" i="17"/>
  <c r="I78" i="17"/>
  <c r="M78" i="17" s="1"/>
  <c r="F79" i="17"/>
  <c r="H79" i="17"/>
  <c r="I79" i="17"/>
  <c r="G79" i="17" s="1"/>
  <c r="L79" i="17"/>
  <c r="M79" i="17"/>
  <c r="F80" i="17"/>
  <c r="H80" i="17"/>
  <c r="L80" i="17" s="1"/>
  <c r="I80" i="17"/>
  <c r="F81" i="17"/>
  <c r="G81" i="17"/>
  <c r="H81" i="17"/>
  <c r="L81" i="17" s="1"/>
  <c r="I81" i="17"/>
  <c r="M81" i="17"/>
  <c r="D82" i="17"/>
  <c r="E82" i="17"/>
  <c r="A5" i="29"/>
  <c r="H8" i="29"/>
  <c r="J8" i="29"/>
  <c r="L8" i="29"/>
  <c r="N8" i="29"/>
  <c r="D11" i="29"/>
  <c r="F11" i="29"/>
  <c r="G11" i="29"/>
  <c r="H11" i="29"/>
  <c r="I11" i="29"/>
  <c r="J11" i="29"/>
  <c r="J16" i="29" s="1"/>
  <c r="K11" i="29"/>
  <c r="L11" i="29"/>
  <c r="M11" i="29"/>
  <c r="N11" i="29"/>
  <c r="O11" i="29"/>
  <c r="O16" i="29" s="1"/>
  <c r="P11" i="29"/>
  <c r="Q11" i="29"/>
  <c r="T11" i="29"/>
  <c r="U11" i="29"/>
  <c r="V11" i="29"/>
  <c r="X11" i="29"/>
  <c r="Y11" i="29"/>
  <c r="Z11" i="29"/>
  <c r="Z16" i="29" s="1"/>
  <c r="AA11" i="29"/>
  <c r="AB11" i="29"/>
  <c r="AC11" i="29"/>
  <c r="AD11" i="29"/>
  <c r="AE11" i="29"/>
  <c r="AE16" i="29" s="1"/>
  <c r="AF11" i="29"/>
  <c r="AG11" i="29"/>
  <c r="AH11" i="29"/>
  <c r="AH16" i="29" s="1"/>
  <c r="AI11" i="29"/>
  <c r="AJ11" i="29"/>
  <c r="AK11" i="29"/>
  <c r="AL11" i="29"/>
  <c r="AM11" i="29"/>
  <c r="AM16" i="29" s="1"/>
  <c r="AN11" i="29"/>
  <c r="AO11" i="29"/>
  <c r="D12" i="29"/>
  <c r="F12" i="29"/>
  <c r="G12" i="29"/>
  <c r="H12" i="29"/>
  <c r="I12" i="29"/>
  <c r="I16" i="29" s="1"/>
  <c r="J12" i="29"/>
  <c r="K12" i="29"/>
  <c r="K16" i="29" s="1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A16" i="29" s="1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F13" i="29"/>
  <c r="G13" i="29"/>
  <c r="H13" i="29"/>
  <c r="I13" i="29"/>
  <c r="J13" i="29"/>
  <c r="K13" i="29"/>
  <c r="L13" i="29"/>
  <c r="M13" i="29"/>
  <c r="E13" i="29" s="1"/>
  <c r="G13" i="41" s="1"/>
  <c r="I13" i="41" s="1"/>
  <c r="N13" i="29"/>
  <c r="O13" i="29"/>
  <c r="P13" i="29"/>
  <c r="Q13" i="29"/>
  <c r="R13" i="29"/>
  <c r="R16" i="29" s="1"/>
  <c r="S13" i="29"/>
  <c r="T13" i="29"/>
  <c r="U13" i="29"/>
  <c r="U16" i="29" s="1"/>
  <c r="V13" i="29"/>
  <c r="W13" i="29"/>
  <c r="X13" i="29"/>
  <c r="Y13" i="29"/>
  <c r="Z13" i="29"/>
  <c r="AA13" i="29"/>
  <c r="AB13" i="29"/>
  <c r="AC13" i="29"/>
  <c r="AD13" i="29"/>
  <c r="AD16" i="29" s="1"/>
  <c r="AE13" i="29"/>
  <c r="AF13" i="29"/>
  <c r="AG13" i="29"/>
  <c r="AH13" i="29"/>
  <c r="AI13" i="29"/>
  <c r="AJ13" i="29"/>
  <c r="AK13" i="29"/>
  <c r="AL13" i="29"/>
  <c r="AL16" i="29" s="1"/>
  <c r="AM13" i="29"/>
  <c r="AN13" i="29"/>
  <c r="AO13" i="29"/>
  <c r="F14" i="29"/>
  <c r="G14" i="29"/>
  <c r="H14" i="29"/>
  <c r="I14" i="29"/>
  <c r="J14" i="29"/>
  <c r="K14" i="29"/>
  <c r="L14" i="29"/>
  <c r="M14" i="29"/>
  <c r="M16" i="29" s="1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C16" i="29" s="1"/>
  <c r="AD14" i="29"/>
  <c r="AE14" i="29"/>
  <c r="AF14" i="29"/>
  <c r="AG14" i="29"/>
  <c r="AG16" i="29" s="1"/>
  <c r="AH14" i="29"/>
  <c r="AI14" i="29"/>
  <c r="AJ14" i="29"/>
  <c r="AK14" i="29"/>
  <c r="AL14" i="29"/>
  <c r="AM14" i="29"/>
  <c r="AN14" i="29"/>
  <c r="AO14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T16" i="29" s="1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F16" i="29"/>
  <c r="Q16" i="29"/>
  <c r="S16" i="29"/>
  <c r="AI16" i="29"/>
  <c r="F19" i="29"/>
  <c r="G19" i="29"/>
  <c r="H19" i="29"/>
  <c r="H24" i="29" s="1"/>
  <c r="I19" i="29"/>
  <c r="J19" i="29"/>
  <c r="K19" i="29"/>
  <c r="K24" i="29" s="1"/>
  <c r="L19" i="29"/>
  <c r="M19" i="29"/>
  <c r="N19" i="29"/>
  <c r="O19" i="29"/>
  <c r="O24" i="29" s="1"/>
  <c r="P19" i="29"/>
  <c r="P24" i="29" s="1"/>
  <c r="Q19" i="29"/>
  <c r="T19" i="29"/>
  <c r="U19" i="29"/>
  <c r="V19" i="29"/>
  <c r="W19" i="29"/>
  <c r="W24" i="29" s="1"/>
  <c r="X19" i="29"/>
  <c r="Y19" i="29"/>
  <c r="Y24" i="29" s="1"/>
  <c r="Z19" i="29"/>
  <c r="Z24" i="29" s="1"/>
  <c r="AA19" i="29"/>
  <c r="AB19" i="29"/>
  <c r="AC19" i="29"/>
  <c r="AD19" i="29"/>
  <c r="AE19" i="29"/>
  <c r="AE24" i="29" s="1"/>
  <c r="AF19" i="29"/>
  <c r="AG19" i="29"/>
  <c r="AH19" i="29"/>
  <c r="AH24" i="29" s="1"/>
  <c r="AI19" i="29"/>
  <c r="AJ19" i="29"/>
  <c r="AK19" i="29"/>
  <c r="AL19" i="29"/>
  <c r="AM19" i="29"/>
  <c r="AM24" i="29" s="1"/>
  <c r="AN19" i="29"/>
  <c r="AO19" i="29"/>
  <c r="D20" i="29"/>
  <c r="F20" i="41" s="1"/>
  <c r="H20" i="41" s="1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R24" i="29" s="1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D21" i="29"/>
  <c r="F21" i="41" s="1"/>
  <c r="H21" i="41" s="1"/>
  <c r="F21" i="29"/>
  <c r="G21" i="29"/>
  <c r="H21" i="29"/>
  <c r="I21" i="29"/>
  <c r="J21" i="29"/>
  <c r="K21" i="29"/>
  <c r="L21" i="29"/>
  <c r="M21" i="29"/>
  <c r="E21" i="29" s="1"/>
  <c r="G21" i="41" s="1"/>
  <c r="I21" i="41" s="1"/>
  <c r="N21" i="29"/>
  <c r="O21" i="29"/>
  <c r="P21" i="29"/>
  <c r="Q21" i="29"/>
  <c r="Q24" i="29" s="1"/>
  <c r="R21" i="29"/>
  <c r="S21" i="29"/>
  <c r="T21" i="29"/>
  <c r="U21" i="29"/>
  <c r="V21" i="29"/>
  <c r="V24" i="29" s="1"/>
  <c r="W21" i="29"/>
  <c r="X21" i="29"/>
  <c r="Y21" i="29"/>
  <c r="Z21" i="29"/>
  <c r="AA21" i="29"/>
  <c r="AB21" i="29"/>
  <c r="AC21" i="29"/>
  <c r="AD21" i="29"/>
  <c r="AD24" i="29" s="1"/>
  <c r="AE21" i="29"/>
  <c r="AF21" i="29"/>
  <c r="AG21" i="29"/>
  <c r="AH21" i="29"/>
  <c r="AI21" i="29"/>
  <c r="AJ21" i="29"/>
  <c r="AK21" i="29"/>
  <c r="AL21" i="29"/>
  <c r="AL24" i="29" s="1"/>
  <c r="AM21" i="29"/>
  <c r="AN21" i="29"/>
  <c r="AO21" i="29"/>
  <c r="F22" i="29"/>
  <c r="G22" i="29"/>
  <c r="G24" i="29" s="1"/>
  <c r="H22" i="29"/>
  <c r="I22" i="29"/>
  <c r="J22" i="29"/>
  <c r="K22" i="29"/>
  <c r="L22" i="29"/>
  <c r="M22" i="29"/>
  <c r="E22" i="29" s="1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F23" i="29"/>
  <c r="G23" i="29"/>
  <c r="H23" i="29"/>
  <c r="I23" i="29"/>
  <c r="J23" i="29"/>
  <c r="K23" i="29"/>
  <c r="L23" i="29"/>
  <c r="M23" i="29"/>
  <c r="E23" i="29" s="1"/>
  <c r="G23" i="41" s="1"/>
  <c r="I23" i="41" s="1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I24" i="29"/>
  <c r="J24" i="29"/>
  <c r="S24" i="29"/>
  <c r="T24" i="29"/>
  <c r="AA24" i="29"/>
  <c r="AG24" i="29"/>
  <c r="AI24" i="29"/>
  <c r="AO24" i="29"/>
  <c r="F27" i="29"/>
  <c r="G27" i="29"/>
  <c r="H27" i="29"/>
  <c r="I27" i="29"/>
  <c r="I29" i="29" s="1"/>
  <c r="J27" i="29"/>
  <c r="K27" i="29"/>
  <c r="K29" i="29" s="1"/>
  <c r="L27" i="29"/>
  <c r="L29" i="29" s="1"/>
  <c r="M27" i="29"/>
  <c r="M29" i="29" s="1"/>
  <c r="N27" i="29"/>
  <c r="N29" i="29" s="1"/>
  <c r="O27" i="29"/>
  <c r="P27" i="29"/>
  <c r="Q27" i="29"/>
  <c r="R27" i="29"/>
  <c r="S27" i="29"/>
  <c r="S29" i="29" s="1"/>
  <c r="T27" i="29"/>
  <c r="T29" i="29" s="1"/>
  <c r="U27" i="29"/>
  <c r="U29" i="29" s="1"/>
  <c r="V27" i="29"/>
  <c r="V29" i="29" s="1"/>
  <c r="W27" i="29"/>
  <c r="X27" i="29"/>
  <c r="Y27" i="29"/>
  <c r="Y29" i="29" s="1"/>
  <c r="Z27" i="29"/>
  <c r="AA27" i="29"/>
  <c r="AA29" i="29" s="1"/>
  <c r="AB27" i="29"/>
  <c r="AB29" i="29" s="1"/>
  <c r="AC27" i="29"/>
  <c r="AC29" i="29" s="1"/>
  <c r="AD27" i="29"/>
  <c r="AD29" i="29" s="1"/>
  <c r="AE27" i="29"/>
  <c r="AF27" i="29"/>
  <c r="AG27" i="29"/>
  <c r="AH27" i="29"/>
  <c r="AI27" i="29"/>
  <c r="AI29" i="29" s="1"/>
  <c r="AJ27" i="29"/>
  <c r="AJ29" i="29" s="1"/>
  <c r="AK27" i="29"/>
  <c r="AK29" i="29" s="1"/>
  <c r="AL27" i="29"/>
  <c r="AL29" i="29" s="1"/>
  <c r="AM27" i="29"/>
  <c r="AN27" i="29"/>
  <c r="AO27" i="29"/>
  <c r="F28" i="29"/>
  <c r="G28" i="29"/>
  <c r="H28" i="29"/>
  <c r="H29" i="29" s="1"/>
  <c r="I28" i="29"/>
  <c r="J28" i="29"/>
  <c r="K28" i="29"/>
  <c r="L28" i="29"/>
  <c r="M28" i="29"/>
  <c r="N28" i="29"/>
  <c r="O28" i="29"/>
  <c r="P28" i="29"/>
  <c r="P29" i="29" s="1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F29" i="29" s="1"/>
  <c r="AG28" i="29"/>
  <c r="AH28" i="29"/>
  <c r="AI28" i="29"/>
  <c r="AJ28" i="29"/>
  <c r="AK28" i="29"/>
  <c r="AL28" i="29"/>
  <c r="AM28" i="29"/>
  <c r="AN28" i="29"/>
  <c r="AN29" i="29" s="1"/>
  <c r="AO28" i="29"/>
  <c r="G29" i="29"/>
  <c r="J29" i="29"/>
  <c r="O29" i="29"/>
  <c r="Q29" i="29"/>
  <c r="R29" i="29"/>
  <c r="W29" i="29"/>
  <c r="X29" i="29"/>
  <c r="Z29" i="29"/>
  <c r="AE29" i="29"/>
  <c r="AG29" i="29"/>
  <c r="AH29" i="29"/>
  <c r="AM29" i="29"/>
  <c r="AO29" i="29"/>
  <c r="D32" i="29"/>
  <c r="F32" i="29"/>
  <c r="G32" i="29"/>
  <c r="H32" i="29"/>
  <c r="I32" i="29"/>
  <c r="I36" i="29" s="1"/>
  <c r="J32" i="29"/>
  <c r="K32" i="29"/>
  <c r="L32" i="29"/>
  <c r="M32" i="29"/>
  <c r="N32" i="29"/>
  <c r="P32" i="29"/>
  <c r="R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F33" i="29"/>
  <c r="G33" i="29"/>
  <c r="G36" i="29" s="1"/>
  <c r="H33" i="29"/>
  <c r="I33" i="29"/>
  <c r="J33" i="29"/>
  <c r="K33" i="29"/>
  <c r="L33" i="29"/>
  <c r="M33" i="29"/>
  <c r="N33" i="29"/>
  <c r="O33" i="29"/>
  <c r="P33" i="29"/>
  <c r="Q33" i="29"/>
  <c r="Q36" i="29" s="1"/>
  <c r="R33" i="29"/>
  <c r="S33" i="29"/>
  <c r="T33" i="29"/>
  <c r="U33" i="29"/>
  <c r="V33" i="29"/>
  <c r="W33" i="29"/>
  <c r="W36" i="29" s="1"/>
  <c r="X33" i="29"/>
  <c r="Y33" i="29"/>
  <c r="Y36" i="29" s="1"/>
  <c r="Z33" i="29"/>
  <c r="AA33" i="29"/>
  <c r="AB33" i="29"/>
  <c r="AB36" i="29" s="1"/>
  <c r="AC33" i="29"/>
  <c r="AD33" i="29"/>
  <c r="AE33" i="29"/>
  <c r="AF33" i="29"/>
  <c r="AG33" i="29"/>
  <c r="AG36" i="29" s="1"/>
  <c r="AH33" i="29"/>
  <c r="AI33" i="29"/>
  <c r="AJ33" i="29"/>
  <c r="AK33" i="29"/>
  <c r="AL33" i="29"/>
  <c r="AM33" i="29"/>
  <c r="AN33" i="29"/>
  <c r="AO33" i="29"/>
  <c r="AO36" i="29" s="1"/>
  <c r="F34" i="29"/>
  <c r="G34" i="29"/>
  <c r="H34" i="29"/>
  <c r="I34" i="29"/>
  <c r="J34" i="29"/>
  <c r="J36" i="29" s="1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F35" i="29"/>
  <c r="G35" i="29"/>
  <c r="H35" i="29"/>
  <c r="I35" i="29"/>
  <c r="J35" i="29"/>
  <c r="K35" i="29"/>
  <c r="L35" i="29"/>
  <c r="M35" i="29"/>
  <c r="E35" i="29" s="1"/>
  <c r="G35" i="41" s="1"/>
  <c r="I35" i="41" s="1"/>
  <c r="N35" i="29"/>
  <c r="O35" i="29"/>
  <c r="P35" i="29"/>
  <c r="Q35" i="29"/>
  <c r="R35" i="29"/>
  <c r="R36" i="29" s="1"/>
  <c r="S35" i="29"/>
  <c r="T35" i="29"/>
  <c r="U35" i="29"/>
  <c r="V35" i="29"/>
  <c r="W35" i="29"/>
  <c r="X35" i="29"/>
  <c r="Y35" i="29"/>
  <c r="Z35" i="29"/>
  <c r="AA35" i="29"/>
  <c r="AB35" i="29"/>
  <c r="AC35" i="29"/>
  <c r="AC36" i="29" s="1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M36" i="29"/>
  <c r="N36" i="29"/>
  <c r="O36" i="29"/>
  <c r="U36" i="29"/>
  <c r="Z36" i="29"/>
  <c r="AH36" i="29"/>
  <c r="AK36" i="29"/>
  <c r="AL36" i="29"/>
  <c r="AM36" i="29"/>
  <c r="F39" i="29"/>
  <c r="G39" i="29"/>
  <c r="H39" i="29"/>
  <c r="I39" i="29"/>
  <c r="J39" i="29"/>
  <c r="K39" i="29"/>
  <c r="L39" i="29"/>
  <c r="M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L43" i="29" s="1"/>
  <c r="AM39" i="29"/>
  <c r="AN39" i="29"/>
  <c r="AO39" i="29"/>
  <c r="F40" i="29"/>
  <c r="G40" i="29"/>
  <c r="H40" i="29"/>
  <c r="I40" i="29"/>
  <c r="J40" i="29"/>
  <c r="K40" i="29"/>
  <c r="E40" i="29" s="1"/>
  <c r="L40" i="29"/>
  <c r="L42" i="29" s="1"/>
  <c r="M40" i="29"/>
  <c r="N40" i="29"/>
  <c r="O40" i="29"/>
  <c r="P40" i="29"/>
  <c r="P42" i="29" s="1"/>
  <c r="P43" i="29" s="1"/>
  <c r="Q40" i="29"/>
  <c r="R40" i="29"/>
  <c r="S40" i="29"/>
  <c r="S42" i="29" s="1"/>
  <c r="S43" i="29" s="1"/>
  <c r="T40" i="29"/>
  <c r="T42" i="29" s="1"/>
  <c r="T43" i="29" s="1"/>
  <c r="U40" i="29"/>
  <c r="V40" i="29"/>
  <c r="W40" i="29"/>
  <c r="X40" i="29"/>
  <c r="X42" i="29" s="1"/>
  <c r="X43" i="29" s="1"/>
  <c r="Y40" i="29"/>
  <c r="Z40" i="29"/>
  <c r="AA40" i="29"/>
  <c r="AB40" i="29"/>
  <c r="AB42" i="29" s="1"/>
  <c r="AB43" i="29" s="1"/>
  <c r="AC40" i="29"/>
  <c r="AD40" i="29"/>
  <c r="AE40" i="29"/>
  <c r="AF40" i="29"/>
  <c r="AG40" i="29"/>
  <c r="AH40" i="29"/>
  <c r="AI40" i="29"/>
  <c r="AJ40" i="29"/>
  <c r="AJ42" i="29" s="1"/>
  <c r="AJ43" i="29" s="1"/>
  <c r="AK40" i="29"/>
  <c r="AL40" i="29"/>
  <c r="AM40" i="29"/>
  <c r="AN40" i="29"/>
  <c r="AO40" i="29"/>
  <c r="F41" i="29"/>
  <c r="G41" i="29"/>
  <c r="H41" i="29"/>
  <c r="I41" i="29"/>
  <c r="J41" i="29"/>
  <c r="K41" i="29"/>
  <c r="L41" i="29"/>
  <c r="M41" i="29"/>
  <c r="E41" i="29" s="1"/>
  <c r="G41" i="41" s="1"/>
  <c r="N41" i="29"/>
  <c r="O41" i="29"/>
  <c r="P41" i="29"/>
  <c r="Q41" i="29"/>
  <c r="R41" i="29"/>
  <c r="S41" i="29"/>
  <c r="T41" i="29"/>
  <c r="U41" i="29"/>
  <c r="V41" i="29"/>
  <c r="W41" i="29"/>
  <c r="X41" i="29"/>
  <c r="Y41" i="29"/>
  <c r="Y42" i="29" s="1"/>
  <c r="Y43" i="29" s="1"/>
  <c r="Z41" i="29"/>
  <c r="AA41" i="29"/>
  <c r="AB41" i="29"/>
  <c r="AC41" i="29"/>
  <c r="AD41" i="29"/>
  <c r="AD42" i="29" s="1"/>
  <c r="AD43" i="29" s="1"/>
  <c r="AE41" i="29"/>
  <c r="AF41" i="29"/>
  <c r="AG41" i="29"/>
  <c r="AH41" i="29"/>
  <c r="AH42" i="29" s="1"/>
  <c r="AH43" i="29" s="1"/>
  <c r="AI41" i="29"/>
  <c r="AJ41" i="29"/>
  <c r="AK41" i="29"/>
  <c r="AL41" i="29"/>
  <c r="AL42" i="29" s="1"/>
  <c r="AM41" i="29"/>
  <c r="AN41" i="29"/>
  <c r="AN42" i="29" s="1"/>
  <c r="AO41" i="29"/>
  <c r="F42" i="29"/>
  <c r="F43" i="29" s="1"/>
  <c r="G42" i="29"/>
  <c r="G43" i="29" s="1"/>
  <c r="I42" i="29"/>
  <c r="I43" i="29" s="1"/>
  <c r="K42" i="29"/>
  <c r="N42" i="29"/>
  <c r="N43" i="29" s="1"/>
  <c r="O42" i="29"/>
  <c r="O43" i="29" s="1"/>
  <c r="Q42" i="29"/>
  <c r="R42" i="29"/>
  <c r="R43" i="29" s="1"/>
  <c r="V42" i="29"/>
  <c r="W42" i="29"/>
  <c r="W43" i="29" s="1"/>
  <c r="AA42" i="29"/>
  <c r="AA43" i="29" s="1"/>
  <c r="AE42" i="29"/>
  <c r="AE43" i="29" s="1"/>
  <c r="AF42" i="29"/>
  <c r="AF43" i="29" s="1"/>
  <c r="AG42" i="29"/>
  <c r="AG43" i="29" s="1"/>
  <c r="AI42" i="29"/>
  <c r="AM42" i="29"/>
  <c r="AM43" i="29" s="1"/>
  <c r="AO42" i="29"/>
  <c r="K43" i="29"/>
  <c r="Q43" i="29"/>
  <c r="AI43" i="29"/>
  <c r="AN43" i="29"/>
  <c r="AO43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F47" i="29"/>
  <c r="G47" i="29"/>
  <c r="H47" i="29"/>
  <c r="I47" i="29"/>
  <c r="J47" i="29"/>
  <c r="K47" i="29"/>
  <c r="L47" i="29"/>
  <c r="D47" i="29" s="1"/>
  <c r="F47" i="41" s="1"/>
  <c r="H47" i="41" s="1"/>
  <c r="M47" i="29"/>
  <c r="E47" i="29" s="1"/>
  <c r="G47" i="41" s="1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F49" i="29"/>
  <c r="G49" i="29"/>
  <c r="H49" i="29"/>
  <c r="I49" i="29"/>
  <c r="J49" i="29"/>
  <c r="K49" i="29"/>
  <c r="L49" i="29"/>
  <c r="M49" i="29"/>
  <c r="P49" i="29"/>
  <c r="Q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D50" i="29"/>
  <c r="E50" i="29"/>
  <c r="D51" i="29"/>
  <c r="F51" i="41" s="1"/>
  <c r="H51" i="41" s="1"/>
  <c r="F51" i="29"/>
  <c r="G51" i="29"/>
  <c r="H51" i="29"/>
  <c r="I51" i="29"/>
  <c r="J51" i="29"/>
  <c r="K51" i="29"/>
  <c r="L51" i="29"/>
  <c r="M51" i="29"/>
  <c r="N51" i="29"/>
  <c r="O51" i="29"/>
  <c r="P51" i="29"/>
  <c r="Q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F54" i="29"/>
  <c r="G54" i="29"/>
  <c r="G56" i="29" s="1"/>
  <c r="H54" i="29"/>
  <c r="I54" i="29"/>
  <c r="J54" i="29"/>
  <c r="J56" i="29" s="1"/>
  <c r="K54" i="29"/>
  <c r="L54" i="29"/>
  <c r="M54" i="29"/>
  <c r="N54" i="29"/>
  <c r="O54" i="29"/>
  <c r="O56" i="29" s="1"/>
  <c r="P54" i="29"/>
  <c r="Q54" i="29"/>
  <c r="Q56" i="29" s="1"/>
  <c r="R54" i="29"/>
  <c r="S54" i="29"/>
  <c r="T54" i="29"/>
  <c r="U54" i="29"/>
  <c r="U56" i="29" s="1"/>
  <c r="V54" i="29"/>
  <c r="W54" i="29"/>
  <c r="X54" i="29"/>
  <c r="X56" i="29" s="1"/>
  <c r="Y54" i="29"/>
  <c r="Z54" i="29"/>
  <c r="AA54" i="29"/>
  <c r="AB54" i="29"/>
  <c r="AC54" i="29"/>
  <c r="AC56" i="29" s="1"/>
  <c r="AD54" i="29"/>
  <c r="AE54" i="29"/>
  <c r="AF54" i="29"/>
  <c r="AF56" i="29" s="1"/>
  <c r="AG54" i="29"/>
  <c r="AH54" i="29"/>
  <c r="AI54" i="29"/>
  <c r="AJ54" i="29"/>
  <c r="AK54" i="29"/>
  <c r="AK56" i="29" s="1"/>
  <c r="AL54" i="29"/>
  <c r="AM54" i="29"/>
  <c r="AN54" i="29"/>
  <c r="AO54" i="29"/>
  <c r="F55" i="29"/>
  <c r="G55" i="29"/>
  <c r="H55" i="29"/>
  <c r="I55" i="29"/>
  <c r="J55" i="29"/>
  <c r="K55" i="29"/>
  <c r="L55" i="29"/>
  <c r="M55" i="29"/>
  <c r="E55" i="29" s="1"/>
  <c r="G55" i="41" s="1"/>
  <c r="I55" i="41" s="1"/>
  <c r="N55" i="29"/>
  <c r="O55" i="29"/>
  <c r="P55" i="29"/>
  <c r="R55" i="29"/>
  <c r="S55" i="29"/>
  <c r="T55" i="29"/>
  <c r="U55" i="29"/>
  <c r="V55" i="29"/>
  <c r="W55" i="29"/>
  <c r="X55" i="29"/>
  <c r="Y55" i="29"/>
  <c r="Z55" i="29"/>
  <c r="Z56" i="29" s="1"/>
  <c r="AA55" i="29"/>
  <c r="AB55" i="29"/>
  <c r="AB56" i="29" s="1"/>
  <c r="AC55" i="29"/>
  <c r="AD55" i="29"/>
  <c r="AD56" i="29" s="1"/>
  <c r="AE55" i="29"/>
  <c r="AF55" i="29"/>
  <c r="AG55" i="29"/>
  <c r="AH55" i="29"/>
  <c r="AH56" i="29" s="1"/>
  <c r="AI55" i="29"/>
  <c r="AJ55" i="29"/>
  <c r="AK55" i="29"/>
  <c r="AL55" i="29"/>
  <c r="AL56" i="29" s="1"/>
  <c r="AM55" i="29"/>
  <c r="AN55" i="29"/>
  <c r="AO55" i="29"/>
  <c r="H56" i="29"/>
  <c r="K56" i="29"/>
  <c r="L56" i="29"/>
  <c r="N56" i="29"/>
  <c r="R56" i="29"/>
  <c r="T56" i="29"/>
  <c r="V56" i="29"/>
  <c r="W56" i="29"/>
  <c r="AA56" i="29"/>
  <c r="AE56" i="29"/>
  <c r="AJ56" i="29"/>
  <c r="AM56" i="29"/>
  <c r="AN56" i="29"/>
  <c r="F59" i="29"/>
  <c r="G59" i="29"/>
  <c r="H59" i="29"/>
  <c r="I59" i="29"/>
  <c r="J59" i="29"/>
  <c r="K59" i="29"/>
  <c r="L59" i="29"/>
  <c r="L61" i="29" s="1"/>
  <c r="M59" i="29"/>
  <c r="N59" i="29"/>
  <c r="O59" i="29"/>
  <c r="P59" i="29"/>
  <c r="Q59" i="29"/>
  <c r="R59" i="29"/>
  <c r="S59" i="29"/>
  <c r="T59" i="29"/>
  <c r="T61" i="29" s="1"/>
  <c r="U59" i="29"/>
  <c r="V59" i="29"/>
  <c r="W59" i="29"/>
  <c r="X59" i="29"/>
  <c r="Y59" i="29"/>
  <c r="Z59" i="29"/>
  <c r="AA59" i="29"/>
  <c r="AB59" i="29"/>
  <c r="AB61" i="29" s="1"/>
  <c r="AC59" i="29"/>
  <c r="AD59" i="29"/>
  <c r="AE59" i="29"/>
  <c r="AF59" i="29"/>
  <c r="AG59" i="29"/>
  <c r="AG61" i="29" s="1"/>
  <c r="AH59" i="29"/>
  <c r="AI59" i="29"/>
  <c r="AJ59" i="29"/>
  <c r="AJ61" i="29" s="1"/>
  <c r="AK59" i="29"/>
  <c r="AL59" i="29"/>
  <c r="AM59" i="29"/>
  <c r="AN59" i="29"/>
  <c r="AO59" i="29"/>
  <c r="F60" i="29"/>
  <c r="G60" i="29"/>
  <c r="H60" i="29"/>
  <c r="I60" i="29"/>
  <c r="J60" i="29"/>
  <c r="J61" i="29" s="1"/>
  <c r="K60" i="29"/>
  <c r="L60" i="29"/>
  <c r="M60" i="29"/>
  <c r="N60" i="29"/>
  <c r="O60" i="29"/>
  <c r="P60" i="29"/>
  <c r="Q60" i="29"/>
  <c r="R60" i="29"/>
  <c r="S60" i="29"/>
  <c r="T60" i="29"/>
  <c r="U60" i="29"/>
  <c r="V60" i="29"/>
  <c r="V61" i="29" s="1"/>
  <c r="W60" i="29"/>
  <c r="X60" i="29"/>
  <c r="X61" i="29" s="1"/>
  <c r="Y60" i="29"/>
  <c r="Z60" i="29"/>
  <c r="AA60" i="29"/>
  <c r="AB60" i="29"/>
  <c r="AC60" i="29"/>
  <c r="AD60" i="29"/>
  <c r="AD61" i="29" s="1"/>
  <c r="AE60" i="29"/>
  <c r="AF60" i="29"/>
  <c r="AG60" i="29"/>
  <c r="AH60" i="29"/>
  <c r="AI60" i="29"/>
  <c r="AJ60" i="29"/>
  <c r="AK60" i="29"/>
  <c r="AL60" i="29"/>
  <c r="AM60" i="29"/>
  <c r="AN60" i="29"/>
  <c r="AO60" i="29"/>
  <c r="H61" i="29"/>
  <c r="I61" i="29"/>
  <c r="K61" i="29"/>
  <c r="M61" i="29"/>
  <c r="P61" i="29"/>
  <c r="Q61" i="29"/>
  <c r="S61" i="29"/>
  <c r="U61" i="29"/>
  <c r="Y61" i="29"/>
  <c r="AA61" i="29"/>
  <c r="AC61" i="29"/>
  <c r="AF61" i="29"/>
  <c r="AH61" i="29"/>
  <c r="AI61" i="29"/>
  <c r="AK61" i="29"/>
  <c r="AN61" i="29"/>
  <c r="AO61" i="29"/>
  <c r="F64" i="29"/>
  <c r="G64" i="29"/>
  <c r="H64" i="29"/>
  <c r="I64" i="29"/>
  <c r="J64" i="29"/>
  <c r="K64" i="29"/>
  <c r="K66" i="29" s="1"/>
  <c r="L64" i="29"/>
  <c r="M64" i="29"/>
  <c r="N64" i="29"/>
  <c r="O64" i="29"/>
  <c r="O66" i="29" s="1"/>
  <c r="P64" i="29"/>
  <c r="P66" i="29" s="1"/>
  <c r="Q64" i="29"/>
  <c r="R64" i="29"/>
  <c r="S64" i="29"/>
  <c r="T64" i="29"/>
  <c r="U64" i="29"/>
  <c r="V64" i="29"/>
  <c r="W64" i="29"/>
  <c r="W66" i="29" s="1"/>
  <c r="X64" i="29"/>
  <c r="X66" i="29" s="1"/>
  <c r="Y64" i="29"/>
  <c r="Z64" i="29"/>
  <c r="AA64" i="29"/>
  <c r="AB64" i="29"/>
  <c r="AC64" i="29"/>
  <c r="AD64" i="29"/>
  <c r="AE64" i="29"/>
  <c r="AE66" i="29" s="1"/>
  <c r="AF64" i="29"/>
  <c r="AF66" i="29" s="1"/>
  <c r="AG64" i="29"/>
  <c r="AH64" i="29"/>
  <c r="AI64" i="29"/>
  <c r="AJ64" i="29"/>
  <c r="AK64" i="29"/>
  <c r="AL64" i="29"/>
  <c r="AL66" i="29" s="1"/>
  <c r="AM64" i="29"/>
  <c r="AM66" i="29" s="1"/>
  <c r="AN64" i="29"/>
  <c r="AN66" i="29" s="1"/>
  <c r="AO64" i="29"/>
  <c r="F65" i="29"/>
  <c r="G65" i="29"/>
  <c r="H65" i="29"/>
  <c r="I65" i="29"/>
  <c r="I66" i="29" s="1"/>
  <c r="J65" i="29"/>
  <c r="J66" i="29" s="1"/>
  <c r="K65" i="29"/>
  <c r="L65" i="29"/>
  <c r="M65" i="29"/>
  <c r="N65" i="29"/>
  <c r="O65" i="29"/>
  <c r="P65" i="29"/>
  <c r="Q65" i="29"/>
  <c r="Q66" i="29" s="1"/>
  <c r="R65" i="29"/>
  <c r="S65" i="29"/>
  <c r="T65" i="29"/>
  <c r="U65" i="29"/>
  <c r="V65" i="29"/>
  <c r="W65" i="29"/>
  <c r="X65" i="29"/>
  <c r="Y65" i="29"/>
  <c r="Y66" i="29" s="1"/>
  <c r="Z65" i="29"/>
  <c r="AA65" i="29"/>
  <c r="AB65" i="29"/>
  <c r="AC65" i="29"/>
  <c r="AC66" i="29" s="1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H66" i="29"/>
  <c r="L66" i="29"/>
  <c r="N66" i="29"/>
  <c r="S66" i="29"/>
  <c r="T66" i="29"/>
  <c r="U66" i="29"/>
  <c r="V66" i="29"/>
  <c r="AA66" i="29"/>
  <c r="AB66" i="29"/>
  <c r="AD66" i="29"/>
  <c r="AG66" i="29"/>
  <c r="AI66" i="29"/>
  <c r="AJ66" i="29"/>
  <c r="AK66" i="29"/>
  <c r="AO66" i="29"/>
  <c r="F70" i="29"/>
  <c r="G70" i="29"/>
  <c r="H70" i="29"/>
  <c r="I70" i="29"/>
  <c r="J70" i="29"/>
  <c r="L70" i="29"/>
  <c r="L72" i="29" s="1"/>
  <c r="M70" i="29"/>
  <c r="N70" i="29"/>
  <c r="O70" i="29"/>
  <c r="O72" i="29" s="1"/>
  <c r="P70" i="29"/>
  <c r="Q70" i="29"/>
  <c r="R70" i="29"/>
  <c r="S70" i="29"/>
  <c r="T70" i="29"/>
  <c r="U70" i="29"/>
  <c r="V70" i="29"/>
  <c r="W70" i="29"/>
  <c r="W72" i="29" s="1"/>
  <c r="X70" i="29"/>
  <c r="Y70" i="29"/>
  <c r="Z70" i="29"/>
  <c r="AA70" i="29"/>
  <c r="AB70" i="29"/>
  <c r="AC70" i="29"/>
  <c r="AD70" i="29"/>
  <c r="AE70" i="29"/>
  <c r="AE72" i="29" s="1"/>
  <c r="AF70" i="29"/>
  <c r="AF72" i="29" s="1"/>
  <c r="AG70" i="29"/>
  <c r="AH70" i="29"/>
  <c r="AI70" i="29"/>
  <c r="AJ70" i="29"/>
  <c r="AK70" i="29"/>
  <c r="AL70" i="29"/>
  <c r="AM70" i="29"/>
  <c r="AM72" i="29" s="1"/>
  <c r="AN70" i="29"/>
  <c r="AN72" i="29" s="1"/>
  <c r="AO70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A72" i="29" s="1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H72" i="29"/>
  <c r="J72" i="29"/>
  <c r="K72" i="29"/>
  <c r="M72" i="29"/>
  <c r="P72" i="29"/>
  <c r="R72" i="29"/>
  <c r="S72" i="29"/>
  <c r="T72" i="29"/>
  <c r="U72" i="29"/>
  <c r="X72" i="29"/>
  <c r="Z72" i="29"/>
  <c r="AB72" i="29"/>
  <c r="AC72" i="29"/>
  <c r="AH72" i="29"/>
  <c r="AI72" i="29"/>
  <c r="AJ72" i="29"/>
  <c r="AK72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F74" i="29"/>
  <c r="G74" i="29"/>
  <c r="E74" i="29" s="1"/>
  <c r="G74" i="41" s="1"/>
  <c r="I74" i="41" s="1"/>
  <c r="H74" i="29"/>
  <c r="I74" i="29"/>
  <c r="J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D75" i="29"/>
  <c r="F75" i="41" s="1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F76" i="29"/>
  <c r="G76" i="29"/>
  <c r="H76" i="29"/>
  <c r="I76" i="29"/>
  <c r="J76" i="29"/>
  <c r="K76" i="29"/>
  <c r="L76" i="29"/>
  <c r="D76" i="29" s="1"/>
  <c r="F76" i="41" s="1"/>
  <c r="M76" i="29"/>
  <c r="E76" i="29" s="1"/>
  <c r="G76" i="41" s="1"/>
  <c r="I76" i="41" s="1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F80" i="29"/>
  <c r="G80" i="29"/>
  <c r="H80" i="29"/>
  <c r="I80" i="29"/>
  <c r="J80" i="29"/>
  <c r="K80" i="29"/>
  <c r="L80" i="29"/>
  <c r="D80" i="29" s="1"/>
  <c r="F80" i="41" s="1"/>
  <c r="H80" i="41" s="1"/>
  <c r="M80" i="29"/>
  <c r="E80" i="29" s="1"/>
  <c r="G80" i="41" s="1"/>
  <c r="I80" i="41" s="1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4" i="41"/>
  <c r="A5" i="41"/>
  <c r="D11" i="41"/>
  <c r="E11" i="41"/>
  <c r="D12" i="41"/>
  <c r="E12" i="41"/>
  <c r="F12" i="41"/>
  <c r="H12" i="41" s="1"/>
  <c r="D13" i="41"/>
  <c r="E13" i="41"/>
  <c r="D14" i="41"/>
  <c r="E14" i="41"/>
  <c r="D15" i="41"/>
  <c r="E15" i="41"/>
  <c r="D19" i="41"/>
  <c r="E19" i="41"/>
  <c r="D20" i="41"/>
  <c r="E20" i="41"/>
  <c r="D21" i="41"/>
  <c r="E21" i="41"/>
  <c r="D22" i="41"/>
  <c r="E22" i="41"/>
  <c r="G22" i="41"/>
  <c r="I22" i="41" s="1"/>
  <c r="D23" i="41"/>
  <c r="E23" i="41"/>
  <c r="E24" i="41" s="1"/>
  <c r="D27" i="41"/>
  <c r="D29" i="41" s="1"/>
  <c r="E27" i="41"/>
  <c r="D28" i="41"/>
  <c r="E28" i="41"/>
  <c r="E29" i="41"/>
  <c r="D32" i="41"/>
  <c r="E32" i="41"/>
  <c r="D33" i="41"/>
  <c r="D36" i="41" s="1"/>
  <c r="E33" i="41"/>
  <c r="D34" i="41"/>
  <c r="E34" i="41"/>
  <c r="D35" i="41"/>
  <c r="E35" i="41"/>
  <c r="E36" i="41"/>
  <c r="D39" i="41"/>
  <c r="E39" i="41"/>
  <c r="D40" i="41"/>
  <c r="D42" i="41" s="1"/>
  <c r="D43" i="41" s="1"/>
  <c r="E40" i="41"/>
  <c r="G40" i="41"/>
  <c r="I40" i="41"/>
  <c r="I42" i="41" s="1"/>
  <c r="D41" i="41"/>
  <c r="E41" i="41"/>
  <c r="E42" i="41" s="1"/>
  <c r="I41" i="41"/>
  <c r="G42" i="41"/>
  <c r="E43" i="41"/>
  <c r="D45" i="41"/>
  <c r="E45" i="41"/>
  <c r="D47" i="41"/>
  <c r="E47" i="41"/>
  <c r="D49" i="41"/>
  <c r="E49" i="41"/>
  <c r="D51" i="41"/>
  <c r="E51" i="41"/>
  <c r="D54" i="41"/>
  <c r="D56" i="41" s="1"/>
  <c r="E54" i="41"/>
  <c r="D55" i="41"/>
  <c r="E55" i="41"/>
  <c r="E56" i="41"/>
  <c r="D59" i="41"/>
  <c r="E59" i="41"/>
  <c r="D60" i="41"/>
  <c r="E60" i="41"/>
  <c r="D61" i="41"/>
  <c r="E61" i="41"/>
  <c r="D64" i="41"/>
  <c r="E64" i="41"/>
  <c r="D65" i="41"/>
  <c r="D66" i="41" s="1"/>
  <c r="E65" i="41"/>
  <c r="D70" i="41"/>
  <c r="E70" i="41"/>
  <c r="E72" i="41" s="1"/>
  <c r="D71" i="41"/>
  <c r="E71" i="41"/>
  <c r="D72" i="41"/>
  <c r="D73" i="41"/>
  <c r="E73" i="41"/>
  <c r="D74" i="41"/>
  <c r="E74" i="41"/>
  <c r="D75" i="41"/>
  <c r="E75" i="41"/>
  <c r="H75" i="41"/>
  <c r="D76" i="41"/>
  <c r="E76" i="41"/>
  <c r="D77" i="41"/>
  <c r="E77" i="41"/>
  <c r="D78" i="41"/>
  <c r="E78" i="41"/>
  <c r="D79" i="41"/>
  <c r="E79" i="41"/>
  <c r="D80" i="41"/>
  <c r="E80" i="41"/>
  <c r="D81" i="41"/>
  <c r="E81" i="41"/>
  <c r="A5" i="20"/>
  <c r="F11" i="20"/>
  <c r="H11" i="20"/>
  <c r="I11" i="20"/>
  <c r="J11" i="20"/>
  <c r="K11" i="20"/>
  <c r="L11" i="20"/>
  <c r="M11" i="20"/>
  <c r="N11" i="20"/>
  <c r="O11" i="20"/>
  <c r="P11" i="20"/>
  <c r="Q11" i="20"/>
  <c r="R11" i="20"/>
  <c r="R16" i="20" s="1"/>
  <c r="S11" i="20"/>
  <c r="T11" i="20"/>
  <c r="T16" i="20" s="1"/>
  <c r="U11" i="20"/>
  <c r="V11" i="20"/>
  <c r="W11" i="20"/>
  <c r="X11" i="20"/>
  <c r="Y11" i="20"/>
  <c r="Z11" i="20"/>
  <c r="AA11" i="20"/>
  <c r="AB11" i="20"/>
  <c r="AB16" i="20" s="1"/>
  <c r="AC11" i="20"/>
  <c r="AD11" i="20"/>
  <c r="AE11" i="20"/>
  <c r="AF11" i="20"/>
  <c r="AG11" i="20"/>
  <c r="AH11" i="20"/>
  <c r="AI11" i="20"/>
  <c r="AJ11" i="20"/>
  <c r="AJ16" i="20" s="1"/>
  <c r="AK11" i="20"/>
  <c r="AL11" i="20"/>
  <c r="AM11" i="20"/>
  <c r="AN11" i="20"/>
  <c r="AO11" i="20"/>
  <c r="F12" i="20"/>
  <c r="D12" i="20" s="1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E16" i="20" s="1"/>
  <c r="AF12" i="20"/>
  <c r="AG12" i="20"/>
  <c r="AH12" i="20"/>
  <c r="AI12" i="20"/>
  <c r="AJ12" i="20"/>
  <c r="AK12" i="20"/>
  <c r="AL12" i="20"/>
  <c r="AM12" i="20"/>
  <c r="AN12" i="20"/>
  <c r="AO12" i="20"/>
  <c r="F13" i="20"/>
  <c r="G13" i="20"/>
  <c r="H13" i="20"/>
  <c r="I13" i="20"/>
  <c r="J13" i="20"/>
  <c r="K13" i="20"/>
  <c r="L13" i="20"/>
  <c r="D13" i="20" s="1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F14" i="20"/>
  <c r="G14" i="20"/>
  <c r="H14" i="20"/>
  <c r="I14" i="20"/>
  <c r="J14" i="20"/>
  <c r="K14" i="20"/>
  <c r="K16" i="20" s="1"/>
  <c r="L14" i="20"/>
  <c r="M14" i="20"/>
  <c r="N14" i="20"/>
  <c r="N16" i="20" s="1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D16" i="20" s="1"/>
  <c r="AE14" i="20"/>
  <c r="AF14" i="20"/>
  <c r="AG14" i="20"/>
  <c r="AH14" i="20"/>
  <c r="AI14" i="20"/>
  <c r="AI16" i="20" s="1"/>
  <c r="AJ14" i="20"/>
  <c r="AK14" i="20"/>
  <c r="AL14" i="20"/>
  <c r="AM14" i="20"/>
  <c r="AN14" i="20"/>
  <c r="AO14" i="20"/>
  <c r="F15" i="20"/>
  <c r="H15" i="20"/>
  <c r="I15" i="20"/>
  <c r="J15" i="20"/>
  <c r="K15" i="20"/>
  <c r="L15" i="20"/>
  <c r="M15" i="20"/>
  <c r="N15" i="20"/>
  <c r="O15" i="20"/>
  <c r="P15" i="20"/>
  <c r="Q15" i="20"/>
  <c r="Q16" i="20" s="1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N16" i="20" s="1"/>
  <c r="AO15" i="20"/>
  <c r="AO16" i="20" s="1"/>
  <c r="V16" i="20"/>
  <c r="W16" i="20"/>
  <c r="AM16" i="20"/>
  <c r="F19" i="20"/>
  <c r="G19" i="20"/>
  <c r="H19" i="20"/>
  <c r="I19" i="20"/>
  <c r="J19" i="20"/>
  <c r="K19" i="20"/>
  <c r="K24" i="20" s="1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A24" i="20" s="1"/>
  <c r="AB19" i="20"/>
  <c r="AC19" i="20"/>
  <c r="AD19" i="20"/>
  <c r="AE19" i="20"/>
  <c r="AF19" i="20"/>
  <c r="AG19" i="20"/>
  <c r="AH19" i="20"/>
  <c r="AI19" i="20"/>
  <c r="AI24" i="20" s="1"/>
  <c r="F20" i="20"/>
  <c r="D20" i="20" s="1"/>
  <c r="F20" i="32" s="1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H24" i="20" s="1"/>
  <c r="AI20" i="20"/>
  <c r="AJ20" i="20"/>
  <c r="AK20" i="20"/>
  <c r="AL20" i="20"/>
  <c r="AM20" i="20"/>
  <c r="AN20" i="20"/>
  <c r="AO20" i="20"/>
  <c r="AO24" i="20" s="1"/>
  <c r="F21" i="20"/>
  <c r="G21" i="20"/>
  <c r="H21" i="20"/>
  <c r="I21" i="20"/>
  <c r="J21" i="20"/>
  <c r="K21" i="20"/>
  <c r="L21" i="20"/>
  <c r="D21" i="20" s="1"/>
  <c r="M21" i="20"/>
  <c r="E21" i="20" s="1"/>
  <c r="N21" i="20"/>
  <c r="O21" i="20"/>
  <c r="P21" i="20"/>
  <c r="Q21" i="20"/>
  <c r="R21" i="20"/>
  <c r="S21" i="20"/>
  <c r="T21" i="20"/>
  <c r="T24" i="20" s="1"/>
  <c r="U21" i="20"/>
  <c r="V21" i="20"/>
  <c r="W21" i="20"/>
  <c r="X21" i="20"/>
  <c r="Y21" i="20"/>
  <c r="Z21" i="20"/>
  <c r="AA21" i="20"/>
  <c r="AB21" i="20"/>
  <c r="AB24" i="20" s="1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F22" i="20"/>
  <c r="G22" i="20"/>
  <c r="H22" i="20"/>
  <c r="I22" i="20"/>
  <c r="J22" i="20"/>
  <c r="K22" i="20"/>
  <c r="L22" i="20"/>
  <c r="M22" i="20"/>
  <c r="N22" i="20"/>
  <c r="O22" i="20"/>
  <c r="O24" i="20" s="1"/>
  <c r="P22" i="20"/>
  <c r="Q22" i="20"/>
  <c r="R22" i="20"/>
  <c r="S22" i="20"/>
  <c r="T22" i="20"/>
  <c r="U22" i="20"/>
  <c r="V22" i="20"/>
  <c r="V24" i="20" s="1"/>
  <c r="W22" i="20"/>
  <c r="W24" i="20" s="1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L24" i="20" s="1"/>
  <c r="AM22" i="20"/>
  <c r="AN22" i="20"/>
  <c r="AN24" i="20" s="1"/>
  <c r="AO22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P24" i="20"/>
  <c r="S24" i="20"/>
  <c r="Y24" i="20"/>
  <c r="AE24" i="20"/>
  <c r="AM24" i="20"/>
  <c r="F27" i="20"/>
  <c r="G27" i="20"/>
  <c r="H27" i="20"/>
  <c r="I27" i="20"/>
  <c r="J27" i="20"/>
  <c r="J29" i="20" s="1"/>
  <c r="K27" i="20"/>
  <c r="L27" i="20"/>
  <c r="M27" i="20"/>
  <c r="M29" i="20" s="1"/>
  <c r="N27" i="20"/>
  <c r="O27" i="20"/>
  <c r="P27" i="20"/>
  <c r="P29" i="20" s="1"/>
  <c r="Q27" i="20"/>
  <c r="Q29" i="20" s="1"/>
  <c r="R27" i="20"/>
  <c r="R29" i="20" s="1"/>
  <c r="S27" i="20"/>
  <c r="T27" i="20"/>
  <c r="U27" i="20"/>
  <c r="V27" i="20"/>
  <c r="W27" i="20"/>
  <c r="X27" i="20"/>
  <c r="Y27" i="20"/>
  <c r="Y29" i="20" s="1"/>
  <c r="Z27" i="20"/>
  <c r="Z29" i="20" s="1"/>
  <c r="AA27" i="20"/>
  <c r="AB27" i="20"/>
  <c r="AC27" i="20"/>
  <c r="AC29" i="20" s="1"/>
  <c r="AD27" i="20"/>
  <c r="AE27" i="20"/>
  <c r="AF27" i="20"/>
  <c r="AF29" i="20" s="1"/>
  <c r="AG27" i="20"/>
  <c r="AG29" i="20" s="1"/>
  <c r="AH27" i="20"/>
  <c r="AH29" i="20" s="1"/>
  <c r="AI27" i="20"/>
  <c r="AJ27" i="20"/>
  <c r="AK27" i="20"/>
  <c r="AK29" i="20" s="1"/>
  <c r="AL27" i="20"/>
  <c r="AM27" i="20"/>
  <c r="AN27" i="20"/>
  <c r="AO27" i="20"/>
  <c r="AO29" i="20" s="1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B29" i="20" s="1"/>
  <c r="AC28" i="20"/>
  <c r="AD28" i="20"/>
  <c r="AE28" i="20"/>
  <c r="AF28" i="20"/>
  <c r="AG28" i="20"/>
  <c r="AH28" i="20"/>
  <c r="AI28" i="20"/>
  <c r="AJ28" i="20"/>
  <c r="AJ29" i="20" s="1"/>
  <c r="AK28" i="20"/>
  <c r="AL28" i="20"/>
  <c r="AL29" i="20" s="1"/>
  <c r="AM28" i="20"/>
  <c r="AN28" i="20"/>
  <c r="AO28" i="20"/>
  <c r="F29" i="20"/>
  <c r="N29" i="20"/>
  <c r="O29" i="20"/>
  <c r="U29" i="20"/>
  <c r="V29" i="20"/>
  <c r="W29" i="20"/>
  <c r="X29" i="20"/>
  <c r="AD29" i="20"/>
  <c r="AE29" i="20"/>
  <c r="AM29" i="20"/>
  <c r="AN29" i="20"/>
  <c r="F32" i="20"/>
  <c r="G32" i="20"/>
  <c r="H32" i="20"/>
  <c r="D32" i="20" s="1"/>
  <c r="I32" i="20"/>
  <c r="J32" i="20"/>
  <c r="K32" i="20"/>
  <c r="K36" i="20" s="1"/>
  <c r="L32" i="20"/>
  <c r="L36" i="20" s="1"/>
  <c r="M32" i="20"/>
  <c r="N32" i="20"/>
  <c r="O32" i="20"/>
  <c r="P32" i="20"/>
  <c r="Q32" i="20"/>
  <c r="R32" i="20"/>
  <c r="R36" i="20" s="1"/>
  <c r="S32" i="20"/>
  <c r="S36" i="20" s="1"/>
  <c r="T32" i="20"/>
  <c r="U32" i="20"/>
  <c r="V32" i="20"/>
  <c r="W32" i="20"/>
  <c r="X32" i="20"/>
  <c r="Y32" i="20"/>
  <c r="Z32" i="20"/>
  <c r="AA32" i="20"/>
  <c r="AA36" i="20" s="1"/>
  <c r="AB32" i="20"/>
  <c r="AC32" i="20"/>
  <c r="AD32" i="20"/>
  <c r="AE32" i="20"/>
  <c r="AF32" i="20"/>
  <c r="AG32" i="20"/>
  <c r="AH32" i="20"/>
  <c r="AI32" i="20"/>
  <c r="F33" i="20"/>
  <c r="G33" i="20"/>
  <c r="H33" i="20"/>
  <c r="I33" i="20"/>
  <c r="I36" i="20" s="1"/>
  <c r="J33" i="20"/>
  <c r="K33" i="20"/>
  <c r="L33" i="20"/>
  <c r="M33" i="20"/>
  <c r="N33" i="20"/>
  <c r="N36" i="20" s="1"/>
  <c r="O33" i="20"/>
  <c r="P33" i="20"/>
  <c r="Q33" i="20"/>
  <c r="Q36" i="20" s="1"/>
  <c r="R33" i="20"/>
  <c r="S33" i="20"/>
  <c r="T33" i="20"/>
  <c r="T36" i="20" s="1"/>
  <c r="U33" i="20"/>
  <c r="V33" i="20"/>
  <c r="V36" i="20" s="1"/>
  <c r="W33" i="20"/>
  <c r="X33" i="20"/>
  <c r="Y33" i="20"/>
  <c r="Y36" i="20" s="1"/>
  <c r="Z33" i="20"/>
  <c r="AA33" i="20"/>
  <c r="AB33" i="20"/>
  <c r="AC33" i="20"/>
  <c r="AD33" i="20"/>
  <c r="AD36" i="20" s="1"/>
  <c r="AE33" i="20"/>
  <c r="AF33" i="20"/>
  <c r="AG33" i="20"/>
  <c r="AG36" i="20" s="1"/>
  <c r="AH33" i="20"/>
  <c r="AI33" i="20"/>
  <c r="AJ33" i="20"/>
  <c r="AJ36" i="20" s="1"/>
  <c r="AK33" i="20"/>
  <c r="AK36" i="20" s="1"/>
  <c r="AL33" i="20"/>
  <c r="AL36" i="20" s="1"/>
  <c r="AM33" i="20"/>
  <c r="AN33" i="20"/>
  <c r="AO33" i="20"/>
  <c r="AO36" i="20" s="1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F35" i="20"/>
  <c r="G35" i="20"/>
  <c r="H35" i="20"/>
  <c r="I35" i="20"/>
  <c r="J35" i="20"/>
  <c r="J36" i="20" s="1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O35" i="20"/>
  <c r="M36" i="20"/>
  <c r="P36" i="20"/>
  <c r="U36" i="20"/>
  <c r="AB36" i="20"/>
  <c r="AC36" i="20"/>
  <c r="AF36" i="20"/>
  <c r="AI36" i="20"/>
  <c r="AN36" i="20"/>
  <c r="D39" i="20"/>
  <c r="F39" i="32" s="1"/>
  <c r="H39" i="32" s="1"/>
  <c r="F39" i="20"/>
  <c r="G39" i="20"/>
  <c r="H39" i="20"/>
  <c r="I39" i="20"/>
  <c r="J39" i="20"/>
  <c r="K39" i="20"/>
  <c r="L39" i="20"/>
  <c r="M39" i="20"/>
  <c r="E39" i="20" s="1"/>
  <c r="G39" i="32" s="1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F40" i="20"/>
  <c r="F42" i="20" s="1"/>
  <c r="G40" i="20"/>
  <c r="H40" i="20"/>
  <c r="I40" i="20"/>
  <c r="J40" i="20"/>
  <c r="K40" i="20"/>
  <c r="K42" i="20" s="1"/>
  <c r="K43" i="20" s="1"/>
  <c r="L40" i="20"/>
  <c r="M40" i="20"/>
  <c r="N40" i="20"/>
  <c r="N42" i="20" s="1"/>
  <c r="O40" i="20"/>
  <c r="P40" i="20"/>
  <c r="Q40" i="20"/>
  <c r="Q42" i="20" s="1"/>
  <c r="R40" i="20"/>
  <c r="R42" i="20" s="1"/>
  <c r="R43" i="20" s="1"/>
  <c r="S40" i="20"/>
  <c r="S42" i="20" s="1"/>
  <c r="S43" i="20" s="1"/>
  <c r="T40" i="20"/>
  <c r="U40" i="20"/>
  <c r="V40" i="20"/>
  <c r="V42" i="20" s="1"/>
  <c r="W40" i="20"/>
  <c r="X40" i="20"/>
  <c r="Y40" i="20"/>
  <c r="Y42" i="20" s="1"/>
  <c r="Z40" i="20"/>
  <c r="Z42" i="20" s="1"/>
  <c r="Z43" i="20" s="1"/>
  <c r="AA40" i="20"/>
  <c r="AA42" i="20" s="1"/>
  <c r="AA43" i="20" s="1"/>
  <c r="AB40" i="20"/>
  <c r="AC40" i="20"/>
  <c r="AD40" i="20"/>
  <c r="AD42" i="20" s="1"/>
  <c r="AD43" i="20" s="1"/>
  <c r="AE40" i="20"/>
  <c r="AF40" i="20"/>
  <c r="AG40" i="20"/>
  <c r="AG42" i="20" s="1"/>
  <c r="AH40" i="20"/>
  <c r="AH42" i="20" s="1"/>
  <c r="AH43" i="20" s="1"/>
  <c r="AI40" i="20"/>
  <c r="AI42" i="20" s="1"/>
  <c r="AI43" i="20" s="1"/>
  <c r="AJ40" i="20"/>
  <c r="AK40" i="20"/>
  <c r="AL40" i="20"/>
  <c r="AM40" i="20"/>
  <c r="AN40" i="20"/>
  <c r="AO40" i="20"/>
  <c r="AO42" i="20" s="1"/>
  <c r="AO43" i="20" s="1"/>
  <c r="F41" i="20"/>
  <c r="G41" i="20"/>
  <c r="H41" i="20"/>
  <c r="I41" i="20"/>
  <c r="J41" i="20"/>
  <c r="K41" i="20"/>
  <c r="L41" i="20"/>
  <c r="M41" i="20"/>
  <c r="M42" i="20" s="1"/>
  <c r="M43" i="20" s="1"/>
  <c r="N41" i="20"/>
  <c r="O41" i="20"/>
  <c r="P41" i="20"/>
  <c r="Q41" i="20"/>
  <c r="R41" i="20"/>
  <c r="S41" i="20"/>
  <c r="T41" i="20"/>
  <c r="T42" i="20" s="1"/>
  <c r="T43" i="20" s="1"/>
  <c r="U41" i="20"/>
  <c r="V41" i="20"/>
  <c r="W41" i="20"/>
  <c r="X41" i="20"/>
  <c r="Y41" i="20"/>
  <c r="Z41" i="20"/>
  <c r="AA41" i="20"/>
  <c r="AB41" i="20"/>
  <c r="AB42" i="20" s="1"/>
  <c r="AB43" i="20" s="1"/>
  <c r="AC41" i="20"/>
  <c r="AC42" i="20" s="1"/>
  <c r="AC43" i="20" s="1"/>
  <c r="AD41" i="20"/>
  <c r="AE41" i="20"/>
  <c r="AF41" i="20"/>
  <c r="AG41" i="20"/>
  <c r="AH41" i="20"/>
  <c r="AI41" i="20"/>
  <c r="AJ41" i="20"/>
  <c r="AK41" i="20"/>
  <c r="AK42" i="20" s="1"/>
  <c r="AK43" i="20" s="1"/>
  <c r="AL41" i="20"/>
  <c r="AM41" i="20"/>
  <c r="AN41" i="20"/>
  <c r="AO41" i="20"/>
  <c r="G42" i="20"/>
  <c r="G43" i="20" s="1"/>
  <c r="J42" i="20"/>
  <c r="J43" i="20" s="1"/>
  <c r="O42" i="20"/>
  <c r="U42" i="20"/>
  <c r="U43" i="20" s="1"/>
  <c r="W42" i="20"/>
  <c r="AE42" i="20"/>
  <c r="AJ42" i="20"/>
  <c r="AJ43" i="20" s="1"/>
  <c r="AL42" i="20"/>
  <c r="AL43" i="20" s="1"/>
  <c r="AM42" i="20"/>
  <c r="F43" i="20"/>
  <c r="N43" i="20"/>
  <c r="O43" i="20"/>
  <c r="Q43" i="20"/>
  <c r="V43" i="20"/>
  <c r="W43" i="20"/>
  <c r="Y43" i="20"/>
  <c r="AE43" i="20"/>
  <c r="AG43" i="20"/>
  <c r="AM43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F47" i="20"/>
  <c r="G47" i="20"/>
  <c r="H47" i="20"/>
  <c r="I47" i="20"/>
  <c r="J47" i="20"/>
  <c r="K47" i="20"/>
  <c r="L47" i="20"/>
  <c r="M47" i="20"/>
  <c r="E47" i="20" s="1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D49" i="20"/>
  <c r="F49" i="32" s="1"/>
  <c r="F49" i="20"/>
  <c r="G49" i="20"/>
  <c r="E49" i="20" s="1"/>
  <c r="G49" i="32" s="1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D50" i="20"/>
  <c r="E50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F54" i="20"/>
  <c r="G54" i="20"/>
  <c r="H54" i="20"/>
  <c r="H56" i="20" s="1"/>
  <c r="I54" i="20"/>
  <c r="J54" i="20"/>
  <c r="K54" i="20"/>
  <c r="L54" i="20"/>
  <c r="M54" i="20"/>
  <c r="N54" i="20"/>
  <c r="N56" i="20" s="1"/>
  <c r="O54" i="20"/>
  <c r="P54" i="20"/>
  <c r="P56" i="20" s="1"/>
  <c r="Q54" i="20"/>
  <c r="Q56" i="20" s="1"/>
  <c r="R54" i="20"/>
  <c r="S54" i="20"/>
  <c r="T54" i="20"/>
  <c r="U54" i="20"/>
  <c r="V54" i="20"/>
  <c r="V56" i="20" s="1"/>
  <c r="W54" i="20"/>
  <c r="X54" i="20"/>
  <c r="X56" i="20" s="1"/>
  <c r="Y54" i="20"/>
  <c r="Z54" i="20"/>
  <c r="AA54" i="20"/>
  <c r="AB54" i="20"/>
  <c r="AC54" i="20"/>
  <c r="AD54" i="20"/>
  <c r="AD56" i="20" s="1"/>
  <c r="AE54" i="20"/>
  <c r="AF54" i="20"/>
  <c r="AF56" i="20" s="1"/>
  <c r="AG54" i="20"/>
  <c r="AG56" i="20" s="1"/>
  <c r="AH54" i="20"/>
  <c r="AI54" i="20"/>
  <c r="AJ54" i="20"/>
  <c r="AK54" i="20"/>
  <c r="AL54" i="20"/>
  <c r="AL56" i="20" s="1"/>
  <c r="AM54" i="20"/>
  <c r="AO54" i="20"/>
  <c r="AO56" i="20" s="1"/>
  <c r="F55" i="20"/>
  <c r="H55" i="20"/>
  <c r="I55" i="20"/>
  <c r="J55" i="20"/>
  <c r="K55" i="20"/>
  <c r="K56" i="20" s="1"/>
  <c r="L55" i="20"/>
  <c r="L56" i="20" s="1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A56" i="20" s="1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F56" i="20"/>
  <c r="I56" i="20"/>
  <c r="M56" i="20"/>
  <c r="S56" i="20"/>
  <c r="T56" i="20"/>
  <c r="U56" i="20"/>
  <c r="Y56" i="20"/>
  <c r="AC56" i="20"/>
  <c r="AI56" i="20"/>
  <c r="AK56" i="20"/>
  <c r="AN56" i="20"/>
  <c r="F59" i="20"/>
  <c r="G59" i="20"/>
  <c r="H59" i="20"/>
  <c r="I59" i="20"/>
  <c r="J59" i="20"/>
  <c r="K59" i="20"/>
  <c r="L59" i="20"/>
  <c r="M59" i="20"/>
  <c r="M61" i="20" s="1"/>
  <c r="N59" i="20"/>
  <c r="N61" i="20" s="1"/>
  <c r="O59" i="20"/>
  <c r="P59" i="20"/>
  <c r="Q59" i="20"/>
  <c r="R59" i="20"/>
  <c r="S59" i="20"/>
  <c r="T59" i="20"/>
  <c r="U59" i="20"/>
  <c r="U61" i="20" s="1"/>
  <c r="V59" i="20"/>
  <c r="V61" i="20" s="1"/>
  <c r="W59" i="20"/>
  <c r="X59" i="20"/>
  <c r="Y59" i="20"/>
  <c r="Z59" i="20"/>
  <c r="AA59" i="20"/>
  <c r="AB59" i="20"/>
  <c r="AC59" i="20"/>
  <c r="AC61" i="20" s="1"/>
  <c r="AD59" i="20"/>
  <c r="AD61" i="20" s="1"/>
  <c r="AE59" i="20"/>
  <c r="AF59" i="20"/>
  <c r="AG59" i="20"/>
  <c r="AH59" i="20"/>
  <c r="AI59" i="20"/>
  <c r="AJ59" i="20"/>
  <c r="AK59" i="20"/>
  <c r="AK61" i="20" s="1"/>
  <c r="AL59" i="20"/>
  <c r="AL61" i="20" s="1"/>
  <c r="AM59" i="20"/>
  <c r="AN59" i="20"/>
  <c r="AO59" i="20"/>
  <c r="F60" i="20"/>
  <c r="G60" i="20"/>
  <c r="H60" i="20"/>
  <c r="I60" i="20"/>
  <c r="I61" i="20" s="1"/>
  <c r="J60" i="20"/>
  <c r="J61" i="20" s="1"/>
  <c r="K60" i="20"/>
  <c r="L60" i="20"/>
  <c r="M60" i="20"/>
  <c r="N60" i="20"/>
  <c r="O60" i="20"/>
  <c r="P60" i="20"/>
  <c r="Q60" i="20"/>
  <c r="R60" i="20"/>
  <c r="R61" i="20" s="1"/>
  <c r="S60" i="20"/>
  <c r="T60" i="20"/>
  <c r="U60" i="20"/>
  <c r="V60" i="20"/>
  <c r="W60" i="20"/>
  <c r="X60" i="20"/>
  <c r="Y60" i="20"/>
  <c r="Y61" i="20" s="1"/>
  <c r="Z60" i="20"/>
  <c r="Z61" i="20" s="1"/>
  <c r="AA60" i="20"/>
  <c r="AB60" i="20"/>
  <c r="AC60" i="20"/>
  <c r="AD60" i="20"/>
  <c r="AE60" i="20"/>
  <c r="AF60" i="20"/>
  <c r="AG60" i="20"/>
  <c r="AG61" i="20" s="1"/>
  <c r="AH60" i="20"/>
  <c r="AH61" i="20" s="1"/>
  <c r="AI60" i="20"/>
  <c r="AJ60" i="20"/>
  <c r="AK60" i="20"/>
  <c r="AL60" i="20"/>
  <c r="AM60" i="20"/>
  <c r="AN60" i="20"/>
  <c r="AO60" i="20"/>
  <c r="AO61" i="20" s="1"/>
  <c r="K61" i="20"/>
  <c r="L61" i="20"/>
  <c r="O61" i="20"/>
  <c r="Q61" i="20"/>
  <c r="S61" i="20"/>
  <c r="T61" i="20"/>
  <c r="AA61" i="20"/>
  <c r="AB61" i="20"/>
  <c r="AE61" i="20"/>
  <c r="AI61" i="20"/>
  <c r="AJ61" i="20"/>
  <c r="AM61" i="20"/>
  <c r="F64" i="20"/>
  <c r="G64" i="20"/>
  <c r="H64" i="20"/>
  <c r="I64" i="20"/>
  <c r="J64" i="20"/>
  <c r="K64" i="20"/>
  <c r="L64" i="20"/>
  <c r="L66" i="20" s="1"/>
  <c r="M64" i="20"/>
  <c r="E64" i="20" s="1"/>
  <c r="N64" i="20"/>
  <c r="O64" i="20"/>
  <c r="P64" i="20"/>
  <c r="Q64" i="20"/>
  <c r="R64" i="20"/>
  <c r="S64" i="20"/>
  <c r="T64" i="20"/>
  <c r="T66" i="20" s="1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F65" i="20"/>
  <c r="G65" i="20"/>
  <c r="G66" i="20" s="1"/>
  <c r="H65" i="20"/>
  <c r="H66" i="20" s="1"/>
  <c r="I65" i="20"/>
  <c r="J65" i="20"/>
  <c r="K65" i="20"/>
  <c r="L65" i="20"/>
  <c r="M65" i="20"/>
  <c r="E65" i="20" s="1"/>
  <c r="G65" i="32" s="1"/>
  <c r="I65" i="32" s="1"/>
  <c r="N65" i="20"/>
  <c r="O65" i="20"/>
  <c r="O66" i="20" s="1"/>
  <c r="P65" i="20"/>
  <c r="P66" i="20" s="1"/>
  <c r="Q65" i="20"/>
  <c r="R65" i="20"/>
  <c r="S65" i="20"/>
  <c r="T65" i="20"/>
  <c r="U65" i="20"/>
  <c r="V65" i="20"/>
  <c r="W65" i="20"/>
  <c r="X65" i="20"/>
  <c r="X66" i="20" s="1"/>
  <c r="Y65" i="20"/>
  <c r="Z65" i="20"/>
  <c r="Z66" i="20" s="1"/>
  <c r="AA65" i="20"/>
  <c r="AB65" i="20"/>
  <c r="AC65" i="20"/>
  <c r="AD65" i="20"/>
  <c r="AE65" i="20"/>
  <c r="AE66" i="20" s="1"/>
  <c r="AF65" i="20"/>
  <c r="AG65" i="20"/>
  <c r="AH65" i="20"/>
  <c r="AH66" i="20" s="1"/>
  <c r="AI65" i="20"/>
  <c r="AJ65" i="20"/>
  <c r="AK65" i="20"/>
  <c r="AL65" i="20"/>
  <c r="AM65" i="20"/>
  <c r="AN65" i="20"/>
  <c r="AN66" i="20" s="1"/>
  <c r="AO65" i="20"/>
  <c r="I66" i="20"/>
  <c r="J66" i="20"/>
  <c r="K66" i="20"/>
  <c r="M66" i="20"/>
  <c r="Q66" i="20"/>
  <c r="R66" i="20"/>
  <c r="S66" i="20"/>
  <c r="W66" i="20"/>
  <c r="Y66" i="20"/>
  <c r="AA66" i="20"/>
  <c r="AB66" i="20"/>
  <c r="AC66" i="20"/>
  <c r="AF66" i="20"/>
  <c r="AG66" i="20"/>
  <c r="AI66" i="20"/>
  <c r="AJ66" i="20"/>
  <c r="AM66" i="20"/>
  <c r="AO66" i="20"/>
  <c r="F70" i="20"/>
  <c r="G70" i="20"/>
  <c r="H70" i="20"/>
  <c r="I70" i="20"/>
  <c r="J70" i="20"/>
  <c r="J72" i="20" s="1"/>
  <c r="K70" i="20"/>
  <c r="L70" i="20"/>
  <c r="M70" i="20"/>
  <c r="N70" i="20"/>
  <c r="N72" i="20" s="1"/>
  <c r="O70" i="20"/>
  <c r="O72" i="20" s="1"/>
  <c r="P70" i="20"/>
  <c r="Q70" i="20"/>
  <c r="R70" i="20"/>
  <c r="S70" i="20"/>
  <c r="S72" i="20" s="1"/>
  <c r="T70" i="20"/>
  <c r="T72" i="20" s="1"/>
  <c r="U70" i="20"/>
  <c r="V70" i="20"/>
  <c r="W70" i="20"/>
  <c r="X70" i="20"/>
  <c r="Y70" i="20"/>
  <c r="Z70" i="20"/>
  <c r="AA70" i="20"/>
  <c r="AA72" i="20" s="1"/>
  <c r="AB70" i="20"/>
  <c r="AB72" i="20" s="1"/>
  <c r="AC70" i="20"/>
  <c r="AD70" i="20"/>
  <c r="AD72" i="20" s="1"/>
  <c r="AE70" i="20"/>
  <c r="AE72" i="20" s="1"/>
  <c r="AF70" i="20"/>
  <c r="AG70" i="20"/>
  <c r="AH70" i="20"/>
  <c r="AI70" i="20"/>
  <c r="AJ70" i="20"/>
  <c r="AJ72" i="20" s="1"/>
  <c r="AK70" i="20"/>
  <c r="AL70" i="20"/>
  <c r="AL72" i="20" s="1"/>
  <c r="AM70" i="20"/>
  <c r="AM72" i="20" s="1"/>
  <c r="AN70" i="20"/>
  <c r="AO70" i="20"/>
  <c r="F71" i="20"/>
  <c r="G71" i="20"/>
  <c r="H71" i="20"/>
  <c r="H72" i="20" s="1"/>
  <c r="I71" i="20"/>
  <c r="J71" i="20"/>
  <c r="K71" i="20"/>
  <c r="L71" i="20"/>
  <c r="M71" i="20"/>
  <c r="M72" i="20" s="1"/>
  <c r="N71" i="20"/>
  <c r="O71" i="20"/>
  <c r="P71" i="20"/>
  <c r="P72" i="20" s="1"/>
  <c r="Q71" i="20"/>
  <c r="Q72" i="20" s="1"/>
  <c r="R71" i="20"/>
  <c r="S71" i="20"/>
  <c r="T71" i="20"/>
  <c r="U71" i="20"/>
  <c r="U72" i="20" s="1"/>
  <c r="V71" i="20"/>
  <c r="W71" i="20"/>
  <c r="X71" i="20"/>
  <c r="X72" i="20" s="1"/>
  <c r="Y71" i="20"/>
  <c r="Z71" i="20"/>
  <c r="AA71" i="20"/>
  <c r="AB71" i="20"/>
  <c r="AC71" i="20"/>
  <c r="AC72" i="20" s="1"/>
  <c r="AD71" i="20"/>
  <c r="AE71" i="20"/>
  <c r="AF71" i="20"/>
  <c r="AF72" i="20" s="1"/>
  <c r="AG71" i="20"/>
  <c r="AH71" i="20"/>
  <c r="AI71" i="20"/>
  <c r="AJ71" i="20"/>
  <c r="AK71" i="20"/>
  <c r="AK72" i="20" s="1"/>
  <c r="AL71" i="20"/>
  <c r="AM71" i="20"/>
  <c r="AN71" i="20"/>
  <c r="AN72" i="20" s="1"/>
  <c r="AO71" i="20"/>
  <c r="AO72" i="20" s="1"/>
  <c r="K72" i="20"/>
  <c r="R72" i="20"/>
  <c r="V72" i="20"/>
  <c r="W72" i="20"/>
  <c r="Z72" i="20"/>
  <c r="AH72" i="20"/>
  <c r="AI72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F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F76" i="20"/>
  <c r="G76" i="20"/>
  <c r="H76" i="20"/>
  <c r="I76" i="20"/>
  <c r="J76" i="20"/>
  <c r="K76" i="20"/>
  <c r="L76" i="20"/>
  <c r="M76" i="20"/>
  <c r="E76" i="20" s="1"/>
  <c r="G76" i="32" s="1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D77" i="20"/>
  <c r="F77" i="32" s="1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F78" i="20"/>
  <c r="G78" i="20"/>
  <c r="H78" i="20"/>
  <c r="I78" i="20"/>
  <c r="J78" i="20"/>
  <c r="K78" i="20"/>
  <c r="L78" i="20"/>
  <c r="M78" i="20"/>
  <c r="E78" i="20" s="1"/>
  <c r="G78" i="32" s="1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F81" i="20"/>
  <c r="G81" i="20"/>
  <c r="H81" i="20"/>
  <c r="I81" i="20"/>
  <c r="J81" i="20"/>
  <c r="K81" i="20"/>
  <c r="L81" i="20"/>
  <c r="D81" i="20" s="1"/>
  <c r="F81" i="32" s="1"/>
  <c r="H81" i="32" s="1"/>
  <c r="M81" i="20"/>
  <c r="E81" i="20" s="1"/>
  <c r="G81" i="32" s="1"/>
  <c r="I81" i="32" s="1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4" i="8"/>
  <c r="A5" i="8"/>
  <c r="F11" i="8"/>
  <c r="H11" i="8"/>
  <c r="L11" i="8" s="1"/>
  <c r="I11" i="8"/>
  <c r="G12" i="8"/>
  <c r="H12" i="8"/>
  <c r="F12" i="8" s="1"/>
  <c r="I12" i="8"/>
  <c r="M12" i="8" s="1"/>
  <c r="E12" i="32" s="1"/>
  <c r="L12" i="8"/>
  <c r="G13" i="8"/>
  <c r="H13" i="8"/>
  <c r="F13" i="8" s="1"/>
  <c r="I13" i="8"/>
  <c r="L13" i="8"/>
  <c r="M13" i="8"/>
  <c r="F14" i="8"/>
  <c r="H14" i="8"/>
  <c r="I14" i="8"/>
  <c r="L14" i="8"/>
  <c r="F15" i="8"/>
  <c r="G15" i="8"/>
  <c r="H15" i="8"/>
  <c r="L15" i="8" s="1"/>
  <c r="I15" i="8"/>
  <c r="M15" i="8" s="1"/>
  <c r="E15" i="32" s="1"/>
  <c r="J16" i="8"/>
  <c r="K16" i="8"/>
  <c r="H18" i="8"/>
  <c r="I18" i="8"/>
  <c r="H19" i="8"/>
  <c r="I19" i="8"/>
  <c r="M19" i="8"/>
  <c r="F20" i="8"/>
  <c r="H20" i="8"/>
  <c r="L20" i="8" s="1"/>
  <c r="I20" i="8"/>
  <c r="G20" i="8" s="1"/>
  <c r="M20" i="8"/>
  <c r="E20" i="32" s="1"/>
  <c r="G21" i="8"/>
  <c r="H21" i="8"/>
  <c r="I21" i="8"/>
  <c r="M21" i="8"/>
  <c r="E21" i="32" s="1"/>
  <c r="F22" i="8"/>
  <c r="H22" i="8"/>
  <c r="I22" i="8"/>
  <c r="G22" i="8" s="1"/>
  <c r="L22" i="8"/>
  <c r="D22" i="32" s="1"/>
  <c r="M22" i="8"/>
  <c r="E22" i="32" s="1"/>
  <c r="G23" i="8"/>
  <c r="H23" i="8"/>
  <c r="L23" i="8" s="1"/>
  <c r="I23" i="8"/>
  <c r="M23" i="8"/>
  <c r="J24" i="8"/>
  <c r="K24" i="8"/>
  <c r="G27" i="8"/>
  <c r="H27" i="8"/>
  <c r="I27" i="8"/>
  <c r="M27" i="8"/>
  <c r="E27" i="32" s="1"/>
  <c r="H28" i="8"/>
  <c r="F28" i="8" s="1"/>
  <c r="I28" i="8"/>
  <c r="L28" i="8"/>
  <c r="D28" i="32" s="1"/>
  <c r="I29" i="8"/>
  <c r="J29" i="8"/>
  <c r="K29" i="8"/>
  <c r="F32" i="8"/>
  <c r="H32" i="8"/>
  <c r="I32" i="8"/>
  <c r="L32" i="8"/>
  <c r="G33" i="8"/>
  <c r="H33" i="8"/>
  <c r="I33" i="8"/>
  <c r="M33" i="8" s="1"/>
  <c r="E33" i="32" s="1"/>
  <c r="F34" i="8"/>
  <c r="H34" i="8"/>
  <c r="I34" i="8"/>
  <c r="M34" i="8" s="1"/>
  <c r="E34" i="32" s="1"/>
  <c r="L34" i="8"/>
  <c r="G35" i="8"/>
  <c r="H35" i="8"/>
  <c r="F35" i="8" s="1"/>
  <c r="I35" i="8"/>
  <c r="M35" i="8" s="1"/>
  <c r="L35" i="8"/>
  <c r="D35" i="32" s="1"/>
  <c r="J36" i="8"/>
  <c r="K36" i="8"/>
  <c r="L37" i="8"/>
  <c r="M37" i="8"/>
  <c r="H38" i="8"/>
  <c r="I38" i="8"/>
  <c r="H39" i="8"/>
  <c r="L39" i="8" s="1"/>
  <c r="I39" i="8"/>
  <c r="H40" i="8"/>
  <c r="I40" i="8"/>
  <c r="M40" i="8"/>
  <c r="F41" i="8"/>
  <c r="H41" i="8"/>
  <c r="I41" i="8"/>
  <c r="G41" i="8" s="1"/>
  <c r="L41" i="8"/>
  <c r="H42" i="8"/>
  <c r="H43" i="8" s="1"/>
  <c r="J42" i="8"/>
  <c r="K42" i="8"/>
  <c r="J43" i="8"/>
  <c r="K43" i="8"/>
  <c r="G45" i="8"/>
  <c r="H45" i="8"/>
  <c r="I45" i="8"/>
  <c r="M45" i="8"/>
  <c r="G47" i="8"/>
  <c r="H47" i="8"/>
  <c r="I47" i="8"/>
  <c r="M47" i="8"/>
  <c r="E47" i="32" s="1"/>
  <c r="H49" i="8"/>
  <c r="F49" i="8" s="1"/>
  <c r="I49" i="8"/>
  <c r="G49" i="8" s="1"/>
  <c r="L49" i="8"/>
  <c r="M49" i="8"/>
  <c r="E49" i="32" s="1"/>
  <c r="F51" i="8"/>
  <c r="G51" i="8"/>
  <c r="H51" i="8"/>
  <c r="I51" i="8"/>
  <c r="L51" i="8"/>
  <c r="M51" i="8"/>
  <c r="E51" i="32" s="1"/>
  <c r="F54" i="8"/>
  <c r="F56" i="8" s="1"/>
  <c r="G54" i="8"/>
  <c r="H54" i="8"/>
  <c r="L54" i="8" s="1"/>
  <c r="I54" i="8"/>
  <c r="H55" i="8"/>
  <c r="F55" i="8" s="1"/>
  <c r="I55" i="8"/>
  <c r="M55" i="8" s="1"/>
  <c r="E55" i="32" s="1"/>
  <c r="L55" i="8"/>
  <c r="H56" i="8"/>
  <c r="J56" i="8"/>
  <c r="K56" i="8"/>
  <c r="L56" i="8"/>
  <c r="G59" i="8"/>
  <c r="H59" i="8"/>
  <c r="I59" i="8"/>
  <c r="M59" i="8"/>
  <c r="F60" i="8"/>
  <c r="G60" i="8"/>
  <c r="H60" i="8"/>
  <c r="I60" i="8"/>
  <c r="L60" i="8"/>
  <c r="D60" i="32" s="1"/>
  <c r="M60" i="8"/>
  <c r="E60" i="32" s="1"/>
  <c r="H61" i="8"/>
  <c r="I61" i="8"/>
  <c r="J61" i="8"/>
  <c r="K61" i="8"/>
  <c r="G64" i="8"/>
  <c r="H64" i="8"/>
  <c r="I64" i="8"/>
  <c r="M64" i="8"/>
  <c r="M66" i="8" s="1"/>
  <c r="F65" i="8"/>
  <c r="G65" i="8"/>
  <c r="H65" i="8"/>
  <c r="I65" i="8"/>
  <c r="L65" i="8"/>
  <c r="M65" i="8"/>
  <c r="E65" i="32" s="1"/>
  <c r="H66" i="8"/>
  <c r="I66" i="8"/>
  <c r="J66" i="8"/>
  <c r="K66" i="8"/>
  <c r="L69" i="8"/>
  <c r="M69" i="8"/>
  <c r="G70" i="8"/>
  <c r="G72" i="8" s="1"/>
  <c r="H70" i="8"/>
  <c r="I70" i="8"/>
  <c r="M70" i="8" s="1"/>
  <c r="G71" i="8"/>
  <c r="H71" i="8"/>
  <c r="F71" i="8" s="1"/>
  <c r="I71" i="8"/>
  <c r="M71" i="8" s="1"/>
  <c r="E71" i="32" s="1"/>
  <c r="L71" i="8"/>
  <c r="I72" i="8"/>
  <c r="J72" i="8"/>
  <c r="K72" i="8"/>
  <c r="F73" i="8"/>
  <c r="H73" i="8"/>
  <c r="I73" i="8"/>
  <c r="G73" i="8" s="1"/>
  <c r="L73" i="8"/>
  <c r="M73" i="8"/>
  <c r="E73" i="32" s="1"/>
  <c r="G74" i="8"/>
  <c r="H74" i="8"/>
  <c r="L74" i="8" s="1"/>
  <c r="I74" i="8"/>
  <c r="M74" i="8" s="1"/>
  <c r="F75" i="8"/>
  <c r="H75" i="8"/>
  <c r="I75" i="8"/>
  <c r="L75" i="8"/>
  <c r="H76" i="8"/>
  <c r="F76" i="8" s="1"/>
  <c r="I76" i="8"/>
  <c r="L76" i="8"/>
  <c r="F77" i="8"/>
  <c r="G77" i="8"/>
  <c r="H77" i="8"/>
  <c r="I77" i="8"/>
  <c r="M77" i="8" s="1"/>
  <c r="E77" i="32" s="1"/>
  <c r="L77" i="8"/>
  <c r="F78" i="8"/>
  <c r="H78" i="8"/>
  <c r="L78" i="8" s="1"/>
  <c r="D78" i="32" s="1"/>
  <c r="I78" i="8"/>
  <c r="G78" i="8" s="1"/>
  <c r="H79" i="8"/>
  <c r="F79" i="8" s="1"/>
  <c r="I79" i="8"/>
  <c r="H80" i="8"/>
  <c r="I80" i="8"/>
  <c r="F81" i="8"/>
  <c r="G81" i="8"/>
  <c r="H81" i="8"/>
  <c r="I81" i="8"/>
  <c r="L81" i="8"/>
  <c r="D81" i="32" s="1"/>
  <c r="M81" i="8"/>
  <c r="E81" i="32" s="1"/>
  <c r="D82" i="8"/>
  <c r="E82" i="8"/>
  <c r="A5" i="32"/>
  <c r="D11" i="32"/>
  <c r="D12" i="32"/>
  <c r="F12" i="32"/>
  <c r="H12" i="32"/>
  <c r="D13" i="32"/>
  <c r="E13" i="32"/>
  <c r="F13" i="32"/>
  <c r="D14" i="32"/>
  <c r="D15" i="32"/>
  <c r="D20" i="32"/>
  <c r="H20" i="32"/>
  <c r="F21" i="32"/>
  <c r="G21" i="32"/>
  <c r="I21" i="32" s="1"/>
  <c r="D23" i="32"/>
  <c r="E23" i="32"/>
  <c r="D34" i="32"/>
  <c r="E35" i="32"/>
  <c r="D39" i="32"/>
  <c r="E40" i="32"/>
  <c r="D41" i="32"/>
  <c r="E45" i="32"/>
  <c r="G47" i="32"/>
  <c r="I47" i="32" s="1"/>
  <c r="D49" i="32"/>
  <c r="D51" i="32"/>
  <c r="D54" i="32"/>
  <c r="D55" i="32"/>
  <c r="D56" i="32" s="1"/>
  <c r="E64" i="32"/>
  <c r="G64" i="32"/>
  <c r="D65" i="32"/>
  <c r="E66" i="32"/>
  <c r="D71" i="32"/>
  <c r="D73" i="32"/>
  <c r="D74" i="32"/>
  <c r="E74" i="32"/>
  <c r="D75" i="32"/>
  <c r="D76" i="32"/>
  <c r="D77" i="32"/>
  <c r="H77" i="32"/>
  <c r="I11" i="4"/>
  <c r="D12" i="4"/>
  <c r="H12" i="4"/>
  <c r="F15" i="4"/>
  <c r="F22" i="4"/>
  <c r="G24" i="4"/>
  <c r="B30" i="4"/>
  <c r="C31" i="4"/>
  <c r="D31" i="4" s="1"/>
  <c r="B32" i="4"/>
  <c r="B33" i="4"/>
  <c r="B34" i="4"/>
  <c r="B35" i="4"/>
  <c r="B36" i="4"/>
  <c r="B37" i="4"/>
  <c r="B38" i="4"/>
  <c r="B39" i="4" s="1"/>
  <c r="A5" i="12"/>
  <c r="D11" i="12"/>
  <c r="E11" i="12"/>
  <c r="J11" i="12"/>
  <c r="J16" i="12" s="1"/>
  <c r="K11" i="12"/>
  <c r="K16" i="12" s="1"/>
  <c r="D12" i="12"/>
  <c r="E12" i="12"/>
  <c r="J12" i="12"/>
  <c r="K12" i="12"/>
  <c r="D13" i="12"/>
  <c r="E13" i="12"/>
  <c r="J13" i="12"/>
  <c r="K13" i="12"/>
  <c r="D14" i="12"/>
  <c r="E14" i="12"/>
  <c r="J14" i="12"/>
  <c r="K14" i="12"/>
  <c r="D15" i="12"/>
  <c r="D16" i="12" s="1"/>
  <c r="E15" i="12"/>
  <c r="J15" i="12"/>
  <c r="K15" i="12"/>
  <c r="E16" i="12"/>
  <c r="D19" i="12"/>
  <c r="E19" i="12"/>
  <c r="E24" i="12" s="1"/>
  <c r="J19" i="12"/>
  <c r="K19" i="12"/>
  <c r="K24" i="12" s="1"/>
  <c r="D20" i="12"/>
  <c r="D24" i="12" s="1"/>
  <c r="E20" i="12"/>
  <c r="J20" i="12"/>
  <c r="K20" i="12"/>
  <c r="D21" i="12"/>
  <c r="E21" i="12"/>
  <c r="J21" i="12"/>
  <c r="K21" i="12"/>
  <c r="D22" i="12"/>
  <c r="E22" i="12"/>
  <c r="J22" i="12"/>
  <c r="K22" i="12"/>
  <c r="D23" i="12"/>
  <c r="E23" i="12"/>
  <c r="J23" i="12"/>
  <c r="K23" i="12"/>
  <c r="D27" i="12"/>
  <c r="D29" i="12" s="1"/>
  <c r="E27" i="12"/>
  <c r="J27" i="12"/>
  <c r="K27" i="12"/>
  <c r="D28" i="12"/>
  <c r="E28" i="12"/>
  <c r="J28" i="12"/>
  <c r="K28" i="12"/>
  <c r="J29" i="12"/>
  <c r="K29" i="12"/>
  <c r="D32" i="12"/>
  <c r="E32" i="12"/>
  <c r="J32" i="12"/>
  <c r="J36" i="12" s="1"/>
  <c r="K32" i="12"/>
  <c r="K36" i="12" s="1"/>
  <c r="D33" i="12"/>
  <c r="E33" i="12"/>
  <c r="J33" i="12"/>
  <c r="K33" i="12"/>
  <c r="D34" i="12"/>
  <c r="E34" i="12"/>
  <c r="J34" i="12"/>
  <c r="K34" i="12"/>
  <c r="D35" i="12"/>
  <c r="D36" i="12" s="1"/>
  <c r="E35" i="12"/>
  <c r="J35" i="12"/>
  <c r="K35" i="12"/>
  <c r="L37" i="12"/>
  <c r="M37" i="12"/>
  <c r="D39" i="12"/>
  <c r="E39" i="12"/>
  <c r="J39" i="12"/>
  <c r="K39" i="12"/>
  <c r="D40" i="12"/>
  <c r="E40" i="12"/>
  <c r="E42" i="12" s="1"/>
  <c r="J40" i="12"/>
  <c r="K40" i="12"/>
  <c r="K42" i="12" s="1"/>
  <c r="D41" i="12"/>
  <c r="E41" i="12"/>
  <c r="J41" i="12"/>
  <c r="K41" i="12"/>
  <c r="D42" i="12"/>
  <c r="D43" i="12" s="1"/>
  <c r="E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D56" i="12" s="1"/>
  <c r="E54" i="12"/>
  <c r="J54" i="12"/>
  <c r="J56" i="12" s="1"/>
  <c r="K54" i="12"/>
  <c r="K56" i="12" s="1"/>
  <c r="D55" i="12"/>
  <c r="E55" i="12"/>
  <c r="J55" i="12"/>
  <c r="K55" i="12"/>
  <c r="E56" i="12"/>
  <c r="D59" i="12"/>
  <c r="E59" i="12"/>
  <c r="E61" i="12" s="1"/>
  <c r="J59" i="12"/>
  <c r="J61" i="12" s="1"/>
  <c r="K59" i="12"/>
  <c r="D60" i="12"/>
  <c r="E60" i="12"/>
  <c r="J60" i="12"/>
  <c r="K60" i="12"/>
  <c r="D61" i="12"/>
  <c r="K61" i="12"/>
  <c r="D64" i="12"/>
  <c r="D66" i="12" s="1"/>
  <c r="E64" i="12"/>
  <c r="E66" i="12" s="1"/>
  <c r="J64" i="12"/>
  <c r="J66" i="12" s="1"/>
  <c r="K64" i="12"/>
  <c r="D65" i="12"/>
  <c r="E65" i="12"/>
  <c r="J65" i="12"/>
  <c r="K65" i="12"/>
  <c r="K66" i="12" s="1"/>
  <c r="D70" i="12"/>
  <c r="E70" i="12"/>
  <c r="J70" i="12"/>
  <c r="K70" i="12"/>
  <c r="K72" i="12" s="1"/>
  <c r="D71" i="12"/>
  <c r="E71" i="12"/>
  <c r="J71" i="12"/>
  <c r="K71" i="12"/>
  <c r="D72" i="12"/>
  <c r="E72" i="12"/>
  <c r="J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D86" i="12"/>
  <c r="E86" i="12"/>
  <c r="J86" i="12"/>
  <c r="K86" i="12"/>
  <c r="D87" i="12"/>
  <c r="E87" i="12"/>
  <c r="J87" i="12"/>
  <c r="K87" i="12"/>
  <c r="D88" i="12"/>
  <c r="E88" i="12"/>
  <c r="J88" i="12"/>
  <c r="K88" i="12"/>
  <c r="D89" i="12"/>
  <c r="E89" i="12"/>
  <c r="J89" i="12"/>
  <c r="K89" i="12"/>
  <c r="A5" i="24"/>
  <c r="H8" i="24"/>
  <c r="J8" i="24"/>
  <c r="L8" i="24"/>
  <c r="N8" i="24"/>
  <c r="F11" i="24"/>
  <c r="G11" i="24"/>
  <c r="Y11" i="24"/>
  <c r="AA11" i="24"/>
  <c r="AJ11" i="24"/>
  <c r="AK11" i="24"/>
  <c r="AL11" i="24"/>
  <c r="AM11" i="24"/>
  <c r="AN11" i="24"/>
  <c r="AO11" i="24"/>
  <c r="AO16" i="24" s="1"/>
  <c r="F12" i="24"/>
  <c r="AJ12" i="24"/>
  <c r="AK12" i="24"/>
  <c r="AL12" i="24"/>
  <c r="AM12" i="24"/>
  <c r="AN12" i="24"/>
  <c r="AO12" i="24"/>
  <c r="F13" i="24"/>
  <c r="G13" i="24"/>
  <c r="AJ13" i="24"/>
  <c r="AK13" i="24"/>
  <c r="AL13" i="24"/>
  <c r="AM13" i="24"/>
  <c r="AN13" i="24"/>
  <c r="AO13" i="24"/>
  <c r="F14" i="24"/>
  <c r="G14" i="24"/>
  <c r="AJ14" i="24"/>
  <c r="AK14" i="24"/>
  <c r="AL14" i="24"/>
  <c r="AM14" i="24"/>
  <c r="AN14" i="24"/>
  <c r="AO14" i="24"/>
  <c r="F15" i="24"/>
  <c r="G15" i="24"/>
  <c r="AJ15" i="24"/>
  <c r="AJ16" i="24" s="1"/>
  <c r="AK15" i="24"/>
  <c r="AL15" i="24"/>
  <c r="AM15" i="24"/>
  <c r="AN15" i="24"/>
  <c r="AO15" i="24"/>
  <c r="F16" i="24"/>
  <c r="AK16" i="24"/>
  <c r="AL16" i="24"/>
  <c r="F19" i="24"/>
  <c r="G19" i="24"/>
  <c r="O19" i="24"/>
  <c r="AJ19" i="24"/>
  <c r="AK19" i="24"/>
  <c r="AL19" i="24"/>
  <c r="AM19" i="24"/>
  <c r="AN19" i="24"/>
  <c r="AO19" i="24"/>
  <c r="F20" i="24"/>
  <c r="AJ20" i="24"/>
  <c r="AK20" i="24"/>
  <c r="AL20" i="24"/>
  <c r="AM20" i="24"/>
  <c r="AN20" i="24"/>
  <c r="AO20" i="24"/>
  <c r="F21" i="24"/>
  <c r="G21" i="24"/>
  <c r="AJ21" i="24"/>
  <c r="AK21" i="24"/>
  <c r="AL21" i="24"/>
  <c r="AM21" i="24"/>
  <c r="AN21" i="24"/>
  <c r="AO21" i="24"/>
  <c r="F22" i="24"/>
  <c r="G22" i="24"/>
  <c r="T22" i="24"/>
  <c r="AJ22" i="24"/>
  <c r="AK22" i="24"/>
  <c r="AL22" i="24"/>
  <c r="AM22" i="24"/>
  <c r="AN22" i="24"/>
  <c r="AO22" i="24"/>
  <c r="F23" i="24"/>
  <c r="G23" i="24"/>
  <c r="AJ23" i="24"/>
  <c r="AK23" i="24"/>
  <c r="AL23" i="24"/>
  <c r="AM23" i="24"/>
  <c r="AM24" i="24" s="1"/>
  <c r="AN23" i="24"/>
  <c r="AN24" i="24" s="1"/>
  <c r="AO23" i="24"/>
  <c r="AO24" i="24"/>
  <c r="F27" i="24"/>
  <c r="G27" i="24"/>
  <c r="AJ27" i="24"/>
  <c r="AJ29" i="24" s="1"/>
  <c r="AK27" i="24"/>
  <c r="AL27" i="24"/>
  <c r="AM27" i="24"/>
  <c r="AN27" i="24"/>
  <c r="AO27" i="24"/>
  <c r="AO29" i="24" s="1"/>
  <c r="F28" i="24"/>
  <c r="G28" i="24"/>
  <c r="AI28" i="24"/>
  <c r="AJ28" i="24"/>
  <c r="AK28" i="24"/>
  <c r="AK29" i="24" s="1"/>
  <c r="AL28" i="24"/>
  <c r="AM28" i="24"/>
  <c r="AN28" i="24"/>
  <c r="AO28" i="24"/>
  <c r="F29" i="24"/>
  <c r="G29" i="24"/>
  <c r="AL29" i="24"/>
  <c r="AM29" i="24"/>
  <c r="AN29" i="24"/>
  <c r="F32" i="24"/>
  <c r="G32" i="24"/>
  <c r="R32" i="24"/>
  <c r="AE32" i="24"/>
  <c r="AJ32" i="24"/>
  <c r="AK32" i="24"/>
  <c r="AL32" i="24"/>
  <c r="AM32" i="24"/>
  <c r="AN32" i="24"/>
  <c r="AO32" i="24"/>
  <c r="F33" i="24"/>
  <c r="F36" i="24" s="1"/>
  <c r="G33" i="24"/>
  <c r="AJ33" i="24"/>
  <c r="AJ36" i="24" s="1"/>
  <c r="AK33" i="24"/>
  <c r="AL33" i="24"/>
  <c r="AM33" i="24"/>
  <c r="AN33" i="24"/>
  <c r="AO33" i="24"/>
  <c r="F34" i="24"/>
  <c r="G34" i="24"/>
  <c r="AJ34" i="24"/>
  <c r="AK34" i="24"/>
  <c r="AL34" i="24"/>
  <c r="AM34" i="24"/>
  <c r="AN34" i="24"/>
  <c r="AO34" i="24"/>
  <c r="F35" i="24"/>
  <c r="G35" i="24"/>
  <c r="G36" i="24" s="1"/>
  <c r="N35" i="24"/>
  <c r="P35" i="24"/>
  <c r="AJ35" i="24"/>
  <c r="AK35" i="24"/>
  <c r="AL35" i="24"/>
  <c r="AM35" i="24"/>
  <c r="AN35" i="24"/>
  <c r="AO35" i="24"/>
  <c r="AK36" i="24"/>
  <c r="AM36" i="24"/>
  <c r="F39" i="24"/>
  <c r="G39" i="24"/>
  <c r="R39" i="24"/>
  <c r="T39" i="24"/>
  <c r="AJ39" i="24"/>
  <c r="AK39" i="24"/>
  <c r="AL39" i="24"/>
  <c r="AM39" i="24"/>
  <c r="AN39" i="24"/>
  <c r="AO39" i="24"/>
  <c r="F40" i="24"/>
  <c r="G40" i="24"/>
  <c r="AI40" i="24"/>
  <c r="AJ40" i="24"/>
  <c r="AK40" i="24"/>
  <c r="AL40" i="24"/>
  <c r="AM40" i="24"/>
  <c r="AN40" i="24"/>
  <c r="AN42" i="24" s="1"/>
  <c r="AN43" i="24" s="1"/>
  <c r="AO40" i="24"/>
  <c r="F41" i="24"/>
  <c r="G41" i="24"/>
  <c r="AH41" i="24"/>
  <c r="AJ41" i="24"/>
  <c r="AK41" i="24"/>
  <c r="AL41" i="24"/>
  <c r="AM41" i="24"/>
  <c r="AN41" i="24"/>
  <c r="AO41" i="24"/>
  <c r="AO42" i="24" s="1"/>
  <c r="AO43" i="24" s="1"/>
  <c r="AJ42" i="24"/>
  <c r="AK42" i="24"/>
  <c r="AK43" i="24" s="1"/>
  <c r="AL42" i="24"/>
  <c r="AL43" i="24" s="1"/>
  <c r="AM42" i="24"/>
  <c r="AM43" i="24"/>
  <c r="F45" i="24"/>
  <c r="G45" i="24"/>
  <c r="J45" i="24"/>
  <c r="AJ45" i="24"/>
  <c r="AK45" i="24"/>
  <c r="AL45" i="24"/>
  <c r="AM45" i="24"/>
  <c r="AN45" i="24"/>
  <c r="AO45" i="24"/>
  <c r="F47" i="24"/>
  <c r="G47" i="24"/>
  <c r="K47" i="24"/>
  <c r="S47" i="24"/>
  <c r="AJ47" i="24"/>
  <c r="AK47" i="24"/>
  <c r="AL47" i="24"/>
  <c r="AM47" i="24"/>
  <c r="AN47" i="24"/>
  <c r="AO47" i="24"/>
  <c r="F49" i="24"/>
  <c r="G49" i="24"/>
  <c r="M49" i="24"/>
  <c r="AJ49" i="24"/>
  <c r="AK49" i="24"/>
  <c r="AL49" i="24"/>
  <c r="AM49" i="24"/>
  <c r="AN49" i="24"/>
  <c r="AO49" i="24"/>
  <c r="D50" i="24"/>
  <c r="E50" i="24"/>
  <c r="F51" i="24"/>
  <c r="G51" i="24"/>
  <c r="L51" i="24"/>
  <c r="U51" i="24"/>
  <c r="AJ51" i="24"/>
  <c r="AK51" i="24"/>
  <c r="AL51" i="24"/>
  <c r="AM51" i="24"/>
  <c r="AN51" i="24"/>
  <c r="AO51" i="24"/>
  <c r="F54" i="24"/>
  <c r="G54" i="24"/>
  <c r="AJ54" i="24"/>
  <c r="AK54" i="24"/>
  <c r="AL54" i="24"/>
  <c r="AL56" i="24" s="1"/>
  <c r="AM54" i="24"/>
  <c r="AM56" i="24" s="1"/>
  <c r="AN54" i="24"/>
  <c r="AN56" i="24" s="1"/>
  <c r="AO54" i="24"/>
  <c r="F55" i="24"/>
  <c r="G55" i="24"/>
  <c r="R55" i="24"/>
  <c r="AJ55" i="24"/>
  <c r="AK55" i="24"/>
  <c r="AL55" i="24"/>
  <c r="AM55" i="24"/>
  <c r="AN55" i="24"/>
  <c r="AO55" i="24"/>
  <c r="AJ56" i="24"/>
  <c r="AK56" i="24"/>
  <c r="F59" i="24"/>
  <c r="G59" i="24"/>
  <c r="N59" i="24"/>
  <c r="AJ59" i="24"/>
  <c r="AJ61" i="24" s="1"/>
  <c r="AK59" i="24"/>
  <c r="AK61" i="24" s="1"/>
  <c r="AL59" i="24"/>
  <c r="AL61" i="24" s="1"/>
  <c r="AM59" i="24"/>
  <c r="AM61" i="24" s="1"/>
  <c r="AN59" i="24"/>
  <c r="AO59" i="24"/>
  <c r="F60" i="24"/>
  <c r="G60" i="24"/>
  <c r="AJ60" i="24"/>
  <c r="AK60" i="24"/>
  <c r="AL60" i="24"/>
  <c r="AM60" i="24"/>
  <c r="AN60" i="24"/>
  <c r="AO60" i="24"/>
  <c r="AO61" i="24" s="1"/>
  <c r="AN61" i="24"/>
  <c r="F64" i="24"/>
  <c r="G64" i="24"/>
  <c r="F65" i="24"/>
  <c r="G65" i="24"/>
  <c r="F66" i="24"/>
  <c r="G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F70" i="24"/>
  <c r="G70" i="24"/>
  <c r="G72" i="24" s="1"/>
  <c r="AC70" i="24"/>
  <c r="AD70" i="24"/>
  <c r="AJ70" i="24"/>
  <c r="AJ72" i="24" s="1"/>
  <c r="AK70" i="24"/>
  <c r="AK72" i="24" s="1"/>
  <c r="AL70" i="24"/>
  <c r="AM70" i="24"/>
  <c r="AN70" i="24"/>
  <c r="AO70" i="24"/>
  <c r="F71" i="24"/>
  <c r="G71" i="24"/>
  <c r="I71" i="24"/>
  <c r="AG71" i="24"/>
  <c r="AJ71" i="24"/>
  <c r="AK71" i="24"/>
  <c r="AL71" i="24"/>
  <c r="AM71" i="24"/>
  <c r="AN71" i="24"/>
  <c r="AO71" i="24"/>
  <c r="AN72" i="24"/>
  <c r="AO72" i="24"/>
  <c r="F73" i="24"/>
  <c r="G73" i="24"/>
  <c r="AJ73" i="24"/>
  <c r="AK73" i="24"/>
  <c r="AL73" i="24"/>
  <c r="AM73" i="24"/>
  <c r="AN73" i="24"/>
  <c r="AO73" i="24"/>
  <c r="F74" i="24"/>
  <c r="V74" i="24"/>
  <c r="AJ74" i="24"/>
  <c r="AK74" i="24"/>
  <c r="AL74" i="24"/>
  <c r="AM74" i="24"/>
  <c r="AN74" i="24"/>
  <c r="AO74" i="24"/>
  <c r="F75" i="24"/>
  <c r="G75" i="24"/>
  <c r="AJ75" i="24"/>
  <c r="AK75" i="24"/>
  <c r="AL75" i="24"/>
  <c r="AM75" i="24"/>
  <c r="AN75" i="24"/>
  <c r="AO75" i="24"/>
  <c r="F76" i="24"/>
  <c r="G76" i="24"/>
  <c r="N76" i="24"/>
  <c r="R76" i="24"/>
  <c r="AJ76" i="24"/>
  <c r="AK76" i="24"/>
  <c r="AL76" i="24"/>
  <c r="AM76" i="24"/>
  <c r="AN76" i="24"/>
  <c r="AO76" i="24"/>
  <c r="F77" i="24"/>
  <c r="G77" i="24"/>
  <c r="X77" i="24"/>
  <c r="AJ77" i="24"/>
  <c r="AK77" i="24"/>
  <c r="AL77" i="24"/>
  <c r="AM77" i="24"/>
  <c r="AN77" i="24"/>
  <c r="AO77" i="24"/>
  <c r="F78" i="24"/>
  <c r="G78" i="24"/>
  <c r="AJ78" i="24"/>
  <c r="AK78" i="24"/>
  <c r="AL78" i="24"/>
  <c r="AM78" i="24"/>
  <c r="AN78" i="24"/>
  <c r="AO78" i="24"/>
  <c r="F79" i="24"/>
  <c r="G79" i="24"/>
  <c r="H79" i="24"/>
  <c r="L79" i="24"/>
  <c r="AJ79" i="24"/>
  <c r="AK79" i="24"/>
  <c r="AL79" i="24"/>
  <c r="AM79" i="24"/>
  <c r="AN79" i="24"/>
  <c r="AO79" i="24"/>
  <c r="F80" i="24"/>
  <c r="G80" i="24"/>
  <c r="N80" i="24"/>
  <c r="P80" i="24"/>
  <c r="AJ80" i="24"/>
  <c r="AK80" i="24"/>
  <c r="AL80" i="24"/>
  <c r="AM80" i="24"/>
  <c r="AN80" i="24"/>
  <c r="AO80" i="24"/>
  <c r="F81" i="24"/>
  <c r="G81" i="24"/>
  <c r="O81" i="24"/>
  <c r="AH81" i="24"/>
  <c r="AJ81" i="24"/>
  <c r="AK81" i="24"/>
  <c r="AL81" i="24"/>
  <c r="AM81" i="24"/>
  <c r="AN81" i="24"/>
  <c r="AO81" i="24"/>
  <c r="H86" i="24"/>
  <c r="H89" i="24" s="1"/>
  <c r="I86" i="24"/>
  <c r="J86" i="24"/>
  <c r="K86" i="24"/>
  <c r="L86" i="24"/>
  <c r="M86" i="24"/>
  <c r="N86" i="24"/>
  <c r="O86" i="24"/>
  <c r="P86" i="24"/>
  <c r="P89" i="24" s="1"/>
  <c r="Q86" i="24"/>
  <c r="R86" i="24"/>
  <c r="S86" i="24"/>
  <c r="S89" i="24" s="1"/>
  <c r="T86" i="24"/>
  <c r="U86" i="24"/>
  <c r="V86" i="24"/>
  <c r="W86" i="24"/>
  <c r="X86" i="24"/>
  <c r="X89" i="24" s="1"/>
  <c r="Y86" i="24"/>
  <c r="Z86" i="24"/>
  <c r="AA86" i="24"/>
  <c r="AA89" i="24" s="1"/>
  <c r="AB86" i="24"/>
  <c r="AC86" i="24"/>
  <c r="AD86" i="24"/>
  <c r="AD89" i="24" s="1"/>
  <c r="AE86" i="24"/>
  <c r="AF86" i="24"/>
  <c r="AF89" i="24" s="1"/>
  <c r="AG86" i="24"/>
  <c r="AH86" i="24"/>
  <c r="AI86" i="24"/>
  <c r="AI89" i="24" s="1"/>
  <c r="AJ86" i="24"/>
  <c r="AK86" i="24"/>
  <c r="AL86" i="24"/>
  <c r="AM86" i="24"/>
  <c r="AN86" i="24"/>
  <c r="AN89" i="24" s="1"/>
  <c r="AO86" i="24"/>
  <c r="H87" i="24"/>
  <c r="I87" i="24"/>
  <c r="I89" i="24" s="1"/>
  <c r="J87" i="24"/>
  <c r="K87" i="24"/>
  <c r="L87" i="24"/>
  <c r="L89" i="24" s="1"/>
  <c r="M87" i="24"/>
  <c r="N87" i="24"/>
  <c r="O87" i="24"/>
  <c r="P87" i="24"/>
  <c r="Q87" i="24"/>
  <c r="Q89" i="24" s="1"/>
  <c r="R87" i="24"/>
  <c r="S87" i="24"/>
  <c r="T87" i="24"/>
  <c r="T89" i="24" s="1"/>
  <c r="U87" i="24"/>
  <c r="V87" i="24"/>
  <c r="W87" i="24"/>
  <c r="X87" i="24"/>
  <c r="Y87" i="24"/>
  <c r="Z87" i="24"/>
  <c r="Z89" i="24" s="1"/>
  <c r="AA87" i="24"/>
  <c r="AB87" i="24"/>
  <c r="AC87" i="24"/>
  <c r="AD87" i="24"/>
  <c r="AE87" i="24"/>
  <c r="AF87" i="24"/>
  <c r="AG87" i="24"/>
  <c r="AG89" i="24" s="1"/>
  <c r="AH87" i="24"/>
  <c r="AH89" i="24" s="1"/>
  <c r="AI87" i="24"/>
  <c r="AJ87" i="24"/>
  <c r="AJ89" i="24" s="1"/>
  <c r="AK87" i="24"/>
  <c r="AL87" i="24"/>
  <c r="AM87" i="24"/>
  <c r="AN87" i="24"/>
  <c r="AO87" i="24"/>
  <c r="D88" i="24"/>
  <c r="F88" i="36" s="1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AH88" i="24"/>
  <c r="AI88" i="24"/>
  <c r="AJ88" i="24"/>
  <c r="AK88" i="24"/>
  <c r="AL88" i="24"/>
  <c r="AM88" i="24"/>
  <c r="AN88" i="24"/>
  <c r="AO88" i="24"/>
  <c r="J89" i="24"/>
  <c r="K89" i="24"/>
  <c r="M89" i="24"/>
  <c r="N89" i="24"/>
  <c r="V89" i="24"/>
  <c r="Y89" i="24"/>
  <c r="AB89" i="24"/>
  <c r="AC89" i="24"/>
  <c r="AK89" i="24"/>
  <c r="AL89" i="24"/>
  <c r="AO89" i="24"/>
  <c r="A4" i="36"/>
  <c r="A5" i="36"/>
  <c r="A4" i="9"/>
  <c r="A5" i="9"/>
  <c r="F11" i="9"/>
  <c r="G11" i="9"/>
  <c r="H11" i="9"/>
  <c r="I11" i="9"/>
  <c r="L11" i="9"/>
  <c r="F12" i="9"/>
  <c r="H12" i="9"/>
  <c r="I12" i="9"/>
  <c r="M12" i="9"/>
  <c r="G13" i="9"/>
  <c r="H13" i="9"/>
  <c r="I13" i="9"/>
  <c r="L13" i="9"/>
  <c r="D13" i="33" s="1"/>
  <c r="M13" i="9"/>
  <c r="E13" i="33" s="1"/>
  <c r="G14" i="9"/>
  <c r="H14" i="9"/>
  <c r="I14" i="9"/>
  <c r="F15" i="9"/>
  <c r="H15" i="9"/>
  <c r="I15" i="9"/>
  <c r="L15" i="9"/>
  <c r="D15" i="33" s="1"/>
  <c r="M15" i="9"/>
  <c r="E15" i="33" s="1"/>
  <c r="J16" i="9"/>
  <c r="K16" i="9"/>
  <c r="H18" i="9"/>
  <c r="I18" i="9"/>
  <c r="F19" i="9"/>
  <c r="H19" i="9"/>
  <c r="I19" i="9"/>
  <c r="L19" i="9"/>
  <c r="M19" i="9"/>
  <c r="F20" i="9"/>
  <c r="H20" i="9"/>
  <c r="I20" i="9"/>
  <c r="M20" i="9" s="1"/>
  <c r="G21" i="9"/>
  <c r="H21" i="9"/>
  <c r="I21" i="9"/>
  <c r="L21" i="9"/>
  <c r="D21" i="33" s="1"/>
  <c r="M21" i="9"/>
  <c r="G22" i="9"/>
  <c r="H22" i="9"/>
  <c r="I22" i="9"/>
  <c r="L22" i="9"/>
  <c r="D22" i="33" s="1"/>
  <c r="F23" i="9"/>
  <c r="G23" i="9"/>
  <c r="H23" i="9"/>
  <c r="I23" i="9"/>
  <c r="L23" i="9"/>
  <c r="M23" i="9"/>
  <c r="I24" i="9"/>
  <c r="J24" i="9"/>
  <c r="K24" i="9"/>
  <c r="H27" i="9"/>
  <c r="I27" i="9"/>
  <c r="F28" i="9"/>
  <c r="H28" i="9"/>
  <c r="L28" i="9" s="1"/>
  <c r="D28" i="33" s="1"/>
  <c r="I28" i="9"/>
  <c r="M28" i="9"/>
  <c r="J29" i="9"/>
  <c r="K29" i="9"/>
  <c r="F32" i="9"/>
  <c r="G32" i="9"/>
  <c r="H32" i="9"/>
  <c r="I32" i="9"/>
  <c r="M32" i="9"/>
  <c r="H33" i="9"/>
  <c r="I33" i="9"/>
  <c r="L33" i="9"/>
  <c r="D33" i="33" s="1"/>
  <c r="F34" i="9"/>
  <c r="H34" i="9"/>
  <c r="I34" i="9"/>
  <c r="L34" i="9"/>
  <c r="D34" i="33" s="1"/>
  <c r="F35" i="9"/>
  <c r="H35" i="9"/>
  <c r="L35" i="9" s="1"/>
  <c r="I35" i="9"/>
  <c r="M35" i="9"/>
  <c r="H36" i="9"/>
  <c r="J36" i="9"/>
  <c r="K36" i="9"/>
  <c r="H38" i="9"/>
  <c r="I38" i="9"/>
  <c r="F39" i="9"/>
  <c r="H39" i="9"/>
  <c r="L39" i="9" s="1"/>
  <c r="D39" i="33" s="1"/>
  <c r="I39" i="9"/>
  <c r="M39" i="9"/>
  <c r="E39" i="33" s="1"/>
  <c r="G40" i="9"/>
  <c r="H40" i="9"/>
  <c r="I40" i="9"/>
  <c r="M40" i="9"/>
  <c r="G41" i="9"/>
  <c r="H41" i="9"/>
  <c r="I41" i="9"/>
  <c r="I42" i="9"/>
  <c r="J42" i="9"/>
  <c r="J43" i="9" s="1"/>
  <c r="J82" i="9" s="1"/>
  <c r="J91" i="9" s="1"/>
  <c r="K42" i="9"/>
  <c r="K43" i="9" s="1"/>
  <c r="I43" i="9"/>
  <c r="F45" i="9"/>
  <c r="H45" i="9"/>
  <c r="I45" i="9"/>
  <c r="L45" i="9"/>
  <c r="D45" i="33" s="1"/>
  <c r="M45" i="9"/>
  <c r="E45" i="33" s="1"/>
  <c r="F47" i="9"/>
  <c r="H47" i="9"/>
  <c r="L47" i="9" s="1"/>
  <c r="I47" i="9"/>
  <c r="M47" i="9"/>
  <c r="F49" i="9"/>
  <c r="G49" i="9"/>
  <c r="H49" i="9"/>
  <c r="I49" i="9"/>
  <c r="M49" i="9"/>
  <c r="H51" i="9"/>
  <c r="I51" i="9"/>
  <c r="L51" i="9"/>
  <c r="D51" i="33" s="1"/>
  <c r="F54" i="9"/>
  <c r="H54" i="9"/>
  <c r="I54" i="9"/>
  <c r="L54" i="9"/>
  <c r="F55" i="9"/>
  <c r="F56" i="9" s="1"/>
  <c r="H55" i="9"/>
  <c r="L55" i="9" s="1"/>
  <c r="I55" i="9"/>
  <c r="M55" i="9"/>
  <c r="E55" i="33" s="1"/>
  <c r="H56" i="9"/>
  <c r="J56" i="9"/>
  <c r="K56" i="9"/>
  <c r="F59" i="9"/>
  <c r="G59" i="9"/>
  <c r="H59" i="9"/>
  <c r="I59" i="9"/>
  <c r="M59" i="9"/>
  <c r="H60" i="9"/>
  <c r="I60" i="9"/>
  <c r="L60" i="9"/>
  <c r="D60" i="33" s="1"/>
  <c r="I61" i="9"/>
  <c r="J61" i="9"/>
  <c r="K61" i="9"/>
  <c r="F64" i="9"/>
  <c r="H64" i="9"/>
  <c r="I64" i="9"/>
  <c r="L64" i="9"/>
  <c r="M64" i="9"/>
  <c r="F65" i="9"/>
  <c r="H65" i="9"/>
  <c r="L65" i="9" s="1"/>
  <c r="D65" i="33" s="1"/>
  <c r="I65" i="9"/>
  <c r="M65" i="9"/>
  <c r="E65" i="33" s="1"/>
  <c r="F66" i="9"/>
  <c r="H66" i="9"/>
  <c r="J66" i="9"/>
  <c r="K66" i="9"/>
  <c r="M66" i="9"/>
  <c r="F70" i="9"/>
  <c r="G70" i="9"/>
  <c r="H70" i="9"/>
  <c r="I70" i="9"/>
  <c r="M70" i="9"/>
  <c r="G71" i="9"/>
  <c r="H71" i="9"/>
  <c r="I71" i="9"/>
  <c r="L71" i="9"/>
  <c r="D71" i="33" s="1"/>
  <c r="J72" i="9"/>
  <c r="K72" i="9"/>
  <c r="F73" i="9"/>
  <c r="H73" i="9"/>
  <c r="I73" i="9"/>
  <c r="L73" i="9"/>
  <c r="D73" i="33" s="1"/>
  <c r="F74" i="9"/>
  <c r="H74" i="9"/>
  <c r="L74" i="9" s="1"/>
  <c r="I74" i="9"/>
  <c r="M74" i="9"/>
  <c r="E74" i="33" s="1"/>
  <c r="G75" i="9"/>
  <c r="H75" i="9"/>
  <c r="I75" i="9"/>
  <c r="M75" i="9"/>
  <c r="H76" i="9"/>
  <c r="I76" i="9"/>
  <c r="F77" i="9"/>
  <c r="H77" i="9"/>
  <c r="I77" i="9"/>
  <c r="L77" i="9"/>
  <c r="D77" i="33" s="1"/>
  <c r="M77" i="9"/>
  <c r="F78" i="9"/>
  <c r="H78" i="9"/>
  <c r="L78" i="9" s="1"/>
  <c r="D78" i="33" s="1"/>
  <c r="I78" i="9"/>
  <c r="M78" i="9"/>
  <c r="E78" i="33" s="1"/>
  <c r="F79" i="9"/>
  <c r="G79" i="9"/>
  <c r="H79" i="9"/>
  <c r="I79" i="9"/>
  <c r="M79" i="9"/>
  <c r="H80" i="9"/>
  <c r="I80" i="9"/>
  <c r="L80" i="9"/>
  <c r="D80" i="33" s="1"/>
  <c r="F81" i="9"/>
  <c r="H81" i="9"/>
  <c r="I81" i="9"/>
  <c r="L81" i="9"/>
  <c r="D81" i="33" s="1"/>
  <c r="M81" i="9"/>
  <c r="D82" i="9"/>
  <c r="E82" i="9"/>
  <c r="F86" i="9"/>
  <c r="F86" i="12" s="1"/>
  <c r="H86" i="9"/>
  <c r="H86" i="12" s="1"/>
  <c r="I86" i="9"/>
  <c r="L86" i="9"/>
  <c r="M86" i="9"/>
  <c r="F87" i="9"/>
  <c r="F87" i="12" s="1"/>
  <c r="H87" i="9"/>
  <c r="H87" i="12" s="1"/>
  <c r="I87" i="9"/>
  <c r="I87" i="12" s="1"/>
  <c r="M87" i="9"/>
  <c r="F88" i="9"/>
  <c r="F88" i="12" s="1"/>
  <c r="G88" i="9"/>
  <c r="G88" i="12" s="1"/>
  <c r="H88" i="9"/>
  <c r="I88" i="9"/>
  <c r="I88" i="12" s="1"/>
  <c r="M88" i="9"/>
  <c r="M88" i="12" s="1"/>
  <c r="E88" i="36" s="1"/>
  <c r="D89" i="9"/>
  <c r="E89" i="9"/>
  <c r="F89" i="9"/>
  <c r="J89" i="9"/>
  <c r="K89" i="9"/>
  <c r="D91" i="9"/>
  <c r="E91" i="9"/>
  <c r="A5" i="21"/>
  <c r="H8" i="21"/>
  <c r="J8" i="21"/>
  <c r="L8" i="21"/>
  <c r="N8" i="21"/>
  <c r="F11" i="21"/>
  <c r="G11" i="21"/>
  <c r="H11" i="21"/>
  <c r="I11" i="21"/>
  <c r="J11" i="21"/>
  <c r="K11" i="21"/>
  <c r="L11" i="21"/>
  <c r="D11" i="21" s="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J16" i="21" s="1"/>
  <c r="AK11" i="21"/>
  <c r="AL11" i="21"/>
  <c r="AM11" i="21"/>
  <c r="AN11" i="21"/>
  <c r="AO11" i="21"/>
  <c r="F12" i="21"/>
  <c r="H12" i="21"/>
  <c r="I12" i="21"/>
  <c r="J12" i="21"/>
  <c r="K12" i="21"/>
  <c r="K12" i="24" s="1"/>
  <c r="L12" i="21"/>
  <c r="M12" i="21"/>
  <c r="N12" i="21"/>
  <c r="O12" i="21"/>
  <c r="P12" i="21"/>
  <c r="P12" i="24" s="1"/>
  <c r="Q12" i="21"/>
  <c r="R12" i="21"/>
  <c r="S12" i="21"/>
  <c r="T12" i="21"/>
  <c r="U12" i="21"/>
  <c r="V12" i="21"/>
  <c r="W12" i="21"/>
  <c r="X12" i="21"/>
  <c r="Y12" i="21"/>
  <c r="Z12" i="21"/>
  <c r="AA12" i="21"/>
  <c r="AA12" i="24" s="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N16" i="21" s="1"/>
  <c r="AN82" i="21" s="1"/>
  <c r="AO12" i="21"/>
  <c r="F13" i="21"/>
  <c r="D13" i="21" s="1"/>
  <c r="F13" i="33" s="1"/>
  <c r="G13" i="21"/>
  <c r="H13" i="21"/>
  <c r="I13" i="21"/>
  <c r="J13" i="21"/>
  <c r="K13" i="21"/>
  <c r="L13" i="21"/>
  <c r="M13" i="21"/>
  <c r="N13" i="21"/>
  <c r="O13" i="21"/>
  <c r="P13" i="21"/>
  <c r="Q13" i="21"/>
  <c r="Q16" i="21" s="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G16" i="21" s="1"/>
  <c r="AH13" i="21"/>
  <c r="AH16" i="21" s="1"/>
  <c r="AI13" i="21"/>
  <c r="AJ13" i="21"/>
  <c r="AK13" i="21"/>
  <c r="AL13" i="21"/>
  <c r="AM13" i="21"/>
  <c r="AN13" i="21"/>
  <c r="AO13" i="21"/>
  <c r="F14" i="21"/>
  <c r="G14" i="21"/>
  <c r="H14" i="21"/>
  <c r="I14" i="21"/>
  <c r="J14" i="21"/>
  <c r="K14" i="21"/>
  <c r="L14" i="21"/>
  <c r="M14" i="21"/>
  <c r="M14" i="24" s="1"/>
  <c r="N14" i="21"/>
  <c r="O14" i="21"/>
  <c r="P14" i="21"/>
  <c r="Q14" i="21"/>
  <c r="R14" i="21"/>
  <c r="S14" i="21"/>
  <c r="T14" i="21"/>
  <c r="U14" i="21"/>
  <c r="U14" i="24" s="1"/>
  <c r="V14" i="21"/>
  <c r="W14" i="21"/>
  <c r="X14" i="21"/>
  <c r="X14" i="24" s="1"/>
  <c r="Y14" i="21"/>
  <c r="Z14" i="21"/>
  <c r="AA14" i="21"/>
  <c r="AB14" i="21"/>
  <c r="AC14" i="21"/>
  <c r="AC14" i="24" s="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F15" i="21"/>
  <c r="D15" i="21" s="1"/>
  <c r="F15" i="33" s="1"/>
  <c r="H15" i="33" s="1"/>
  <c r="G15" i="21"/>
  <c r="H15" i="21"/>
  <c r="I15" i="21"/>
  <c r="J15" i="21"/>
  <c r="K15" i="21"/>
  <c r="L15" i="21"/>
  <c r="M15" i="21"/>
  <c r="N15" i="21"/>
  <c r="O15" i="21"/>
  <c r="O15" i="24" s="1"/>
  <c r="P15" i="21"/>
  <c r="Q15" i="21"/>
  <c r="R15" i="21"/>
  <c r="S15" i="21"/>
  <c r="T15" i="21"/>
  <c r="U15" i="21"/>
  <c r="V15" i="21"/>
  <c r="W15" i="21"/>
  <c r="W15" i="24" s="1"/>
  <c r="X15" i="21"/>
  <c r="Y15" i="21"/>
  <c r="Z15" i="21"/>
  <c r="AA15" i="21"/>
  <c r="AB15" i="21"/>
  <c r="AC15" i="21"/>
  <c r="AD15" i="21"/>
  <c r="AE15" i="21"/>
  <c r="AE15" i="24" s="1"/>
  <c r="AF15" i="21"/>
  <c r="AG15" i="21"/>
  <c r="AH15" i="21"/>
  <c r="AI15" i="21"/>
  <c r="AJ15" i="21"/>
  <c r="AK15" i="21"/>
  <c r="AL15" i="21"/>
  <c r="AM15" i="21"/>
  <c r="AI15" i="24" s="1"/>
  <c r="AN15" i="21"/>
  <c r="AO15" i="21"/>
  <c r="F16" i="21"/>
  <c r="I16" i="21"/>
  <c r="P16" i="21"/>
  <c r="V16" i="21"/>
  <c r="Y16" i="21"/>
  <c r="AF16" i="21"/>
  <c r="AF82" i="21" s="1"/>
  <c r="AL16" i="21"/>
  <c r="AO16" i="21"/>
  <c r="F19" i="21"/>
  <c r="G19" i="21"/>
  <c r="H19" i="21"/>
  <c r="I19" i="21"/>
  <c r="J19" i="21"/>
  <c r="K19" i="21"/>
  <c r="L19" i="21"/>
  <c r="M19" i="21"/>
  <c r="N19" i="21"/>
  <c r="O19" i="21"/>
  <c r="P19" i="21"/>
  <c r="P24" i="21" s="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F24" i="21" s="1"/>
  <c r="AG19" i="21"/>
  <c r="AH19" i="21"/>
  <c r="AI19" i="21"/>
  <c r="AJ19" i="21"/>
  <c r="AK19" i="21"/>
  <c r="AL19" i="21"/>
  <c r="AM19" i="21"/>
  <c r="AN19" i="21"/>
  <c r="AN24" i="21" s="1"/>
  <c r="AO19" i="21"/>
  <c r="D20" i="21"/>
  <c r="F20" i="33" s="1"/>
  <c r="F20" i="21"/>
  <c r="H20" i="21"/>
  <c r="I20" i="21"/>
  <c r="J20" i="21"/>
  <c r="J20" i="24" s="1"/>
  <c r="K20" i="21"/>
  <c r="L20" i="21"/>
  <c r="M20" i="21"/>
  <c r="N20" i="21"/>
  <c r="O20" i="21"/>
  <c r="P20" i="21"/>
  <c r="Q20" i="21"/>
  <c r="R20" i="21"/>
  <c r="R20" i="24" s="1"/>
  <c r="S20" i="21"/>
  <c r="T20" i="21"/>
  <c r="U20" i="21"/>
  <c r="V20" i="21"/>
  <c r="W20" i="21"/>
  <c r="X20" i="21"/>
  <c r="Y20" i="21"/>
  <c r="Z20" i="21"/>
  <c r="Z20" i="24" s="1"/>
  <c r="AA20" i="21"/>
  <c r="AB20" i="21"/>
  <c r="AC20" i="21"/>
  <c r="AD20" i="21"/>
  <c r="AE20" i="21"/>
  <c r="AF20" i="21"/>
  <c r="AG20" i="21"/>
  <c r="AH20" i="21"/>
  <c r="AF20" i="24" s="1"/>
  <c r="AI20" i="21"/>
  <c r="AJ20" i="21"/>
  <c r="AK20" i="21"/>
  <c r="AK24" i="21" s="1"/>
  <c r="AL20" i="21"/>
  <c r="AM20" i="21"/>
  <c r="AN20" i="21"/>
  <c r="AO20" i="21"/>
  <c r="F21" i="21"/>
  <c r="G21" i="21"/>
  <c r="H21" i="21"/>
  <c r="I21" i="21"/>
  <c r="J21" i="21"/>
  <c r="K21" i="21"/>
  <c r="L21" i="21"/>
  <c r="L21" i="24" s="1"/>
  <c r="M21" i="21"/>
  <c r="N21" i="21"/>
  <c r="O21" i="21"/>
  <c r="P21" i="21"/>
  <c r="Q21" i="21"/>
  <c r="R21" i="21"/>
  <c r="S21" i="21"/>
  <c r="T21" i="21"/>
  <c r="T21" i="24" s="1"/>
  <c r="U21" i="21"/>
  <c r="V21" i="21"/>
  <c r="W21" i="21"/>
  <c r="W21" i="24" s="1"/>
  <c r="X21" i="21"/>
  <c r="Y21" i="21"/>
  <c r="Z21" i="21"/>
  <c r="AA21" i="21"/>
  <c r="AB21" i="21"/>
  <c r="AC21" i="21"/>
  <c r="AD21" i="21"/>
  <c r="AE21" i="21"/>
  <c r="AE21" i="24" s="1"/>
  <c r="AF21" i="21"/>
  <c r="AG21" i="21"/>
  <c r="AH21" i="21"/>
  <c r="AI21" i="21"/>
  <c r="AJ21" i="21"/>
  <c r="AK21" i="21"/>
  <c r="AL21" i="21"/>
  <c r="AM21" i="21"/>
  <c r="AN21" i="21"/>
  <c r="AO21" i="21"/>
  <c r="F22" i="21"/>
  <c r="G22" i="21"/>
  <c r="H22" i="21"/>
  <c r="I22" i="21"/>
  <c r="I22" i="24" s="1"/>
  <c r="J22" i="21"/>
  <c r="K22" i="21"/>
  <c r="K22" i="24" s="1"/>
  <c r="L22" i="21"/>
  <c r="M22" i="21"/>
  <c r="N22" i="21"/>
  <c r="O22" i="21"/>
  <c r="P22" i="21"/>
  <c r="Q22" i="21"/>
  <c r="Q22" i="24" s="1"/>
  <c r="R22" i="21"/>
  <c r="S22" i="21"/>
  <c r="S22" i="24" s="1"/>
  <c r="T22" i="21"/>
  <c r="U22" i="21"/>
  <c r="V22" i="21"/>
  <c r="W22" i="21"/>
  <c r="X22" i="21"/>
  <c r="Y22" i="21"/>
  <c r="Y22" i="24" s="1"/>
  <c r="Z22" i="21"/>
  <c r="AA22" i="21"/>
  <c r="AA22" i="24" s="1"/>
  <c r="AB22" i="21"/>
  <c r="AC22" i="21"/>
  <c r="AD22" i="21"/>
  <c r="AE22" i="21"/>
  <c r="AF22" i="21"/>
  <c r="AG22" i="21"/>
  <c r="AH22" i="21"/>
  <c r="AI22" i="21"/>
  <c r="AG22" i="24" s="1"/>
  <c r="AJ22" i="21"/>
  <c r="AK22" i="21"/>
  <c r="AL22" i="21"/>
  <c r="AM22" i="21"/>
  <c r="AI22" i="24" s="1"/>
  <c r="AN22" i="21"/>
  <c r="AO22" i="21"/>
  <c r="F23" i="21"/>
  <c r="D23" i="21" s="1"/>
  <c r="F23" i="33" s="1"/>
  <c r="H23" i="33" s="1"/>
  <c r="G23" i="21"/>
  <c r="H23" i="21"/>
  <c r="H23" i="24" s="1"/>
  <c r="I23" i="21"/>
  <c r="J23" i="21"/>
  <c r="K23" i="21"/>
  <c r="K23" i="24" s="1"/>
  <c r="L23" i="21"/>
  <c r="M23" i="21"/>
  <c r="N23" i="21"/>
  <c r="O23" i="21"/>
  <c r="P23" i="21"/>
  <c r="Q23" i="21"/>
  <c r="R23" i="21"/>
  <c r="S23" i="21"/>
  <c r="S23" i="24" s="1"/>
  <c r="T23" i="21"/>
  <c r="U23" i="21"/>
  <c r="V23" i="21"/>
  <c r="W23" i="21"/>
  <c r="X23" i="21"/>
  <c r="Y23" i="21"/>
  <c r="Z23" i="21"/>
  <c r="AA23" i="21"/>
  <c r="AA23" i="24" s="1"/>
  <c r="AB23" i="21"/>
  <c r="AC23" i="21"/>
  <c r="AD23" i="21"/>
  <c r="AE23" i="21"/>
  <c r="AF23" i="21"/>
  <c r="AG23" i="21"/>
  <c r="AH23" i="21"/>
  <c r="AI23" i="21"/>
  <c r="AG23" i="24" s="1"/>
  <c r="AJ23" i="21"/>
  <c r="AK23" i="21"/>
  <c r="AL23" i="21"/>
  <c r="AM23" i="21"/>
  <c r="AN23" i="21"/>
  <c r="AO23" i="21"/>
  <c r="L24" i="21"/>
  <c r="T24" i="21"/>
  <c r="AE24" i="21"/>
  <c r="AJ24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U29" i="21" s="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J29" i="21" s="1"/>
  <c r="AK27" i="21"/>
  <c r="AL27" i="21"/>
  <c r="AM27" i="21"/>
  <c r="AN27" i="21"/>
  <c r="AO27" i="21"/>
  <c r="AO29" i="21" s="1"/>
  <c r="F28" i="21"/>
  <c r="G28" i="21"/>
  <c r="H28" i="21"/>
  <c r="I28" i="21"/>
  <c r="J28" i="21"/>
  <c r="K28" i="21"/>
  <c r="L28" i="21"/>
  <c r="M28" i="21"/>
  <c r="N28" i="21"/>
  <c r="N28" i="24" s="1"/>
  <c r="O28" i="21"/>
  <c r="P28" i="21"/>
  <c r="Q28" i="21"/>
  <c r="R28" i="21"/>
  <c r="S28" i="21"/>
  <c r="T28" i="21"/>
  <c r="U28" i="21"/>
  <c r="V28" i="21"/>
  <c r="V28" i="24" s="1"/>
  <c r="W28" i="21"/>
  <c r="X28" i="21"/>
  <c r="Y28" i="21"/>
  <c r="Z28" i="21"/>
  <c r="AA28" i="21"/>
  <c r="AB28" i="21"/>
  <c r="AC28" i="21"/>
  <c r="AD28" i="21"/>
  <c r="AD28" i="24" s="1"/>
  <c r="AE28" i="21"/>
  <c r="AF28" i="21"/>
  <c r="AG28" i="21"/>
  <c r="AH28" i="21"/>
  <c r="AI28" i="21"/>
  <c r="AJ28" i="21"/>
  <c r="AK28" i="21"/>
  <c r="AL28" i="21"/>
  <c r="AH28" i="24" s="1"/>
  <c r="AM28" i="21"/>
  <c r="AN28" i="21"/>
  <c r="AN29" i="21" s="1"/>
  <c r="AO28" i="21"/>
  <c r="H29" i="21"/>
  <c r="J29" i="21"/>
  <c r="M29" i="21"/>
  <c r="P29" i="21"/>
  <c r="R29" i="21"/>
  <c r="X29" i="21"/>
  <c r="Y29" i="21"/>
  <c r="Z29" i="21"/>
  <c r="AC29" i="21"/>
  <c r="AF29" i="21"/>
  <c r="AG29" i="21"/>
  <c r="AH29" i="21"/>
  <c r="AK29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K36" i="21" s="1"/>
  <c r="AL32" i="21"/>
  <c r="AM32" i="21"/>
  <c r="F33" i="21"/>
  <c r="G33" i="21"/>
  <c r="H33" i="21"/>
  <c r="I33" i="21"/>
  <c r="J33" i="21"/>
  <c r="K33" i="21"/>
  <c r="K33" i="24" s="1"/>
  <c r="L33" i="21"/>
  <c r="M33" i="21"/>
  <c r="N33" i="21"/>
  <c r="N33" i="24" s="1"/>
  <c r="O33" i="21"/>
  <c r="P33" i="21"/>
  <c r="Q33" i="21"/>
  <c r="R33" i="21"/>
  <c r="S33" i="21"/>
  <c r="S33" i="24" s="1"/>
  <c r="T33" i="21"/>
  <c r="U33" i="21"/>
  <c r="V33" i="21"/>
  <c r="W33" i="21"/>
  <c r="X33" i="21"/>
  <c r="Y33" i="21"/>
  <c r="Z33" i="21"/>
  <c r="AA33" i="21"/>
  <c r="AA33" i="24" s="1"/>
  <c r="AB33" i="21"/>
  <c r="AC33" i="21"/>
  <c r="AD33" i="21"/>
  <c r="AE33" i="21"/>
  <c r="AF33" i="21"/>
  <c r="AF36" i="21" s="1"/>
  <c r="AG33" i="21"/>
  <c r="AG36" i="21" s="1"/>
  <c r="AH33" i="21"/>
  <c r="AI33" i="21"/>
  <c r="AG33" i="24" s="1"/>
  <c r="AJ33" i="21"/>
  <c r="AK33" i="21"/>
  <c r="AL33" i="21"/>
  <c r="AL36" i="21" s="1"/>
  <c r="AM33" i="21"/>
  <c r="AN33" i="21"/>
  <c r="AN36" i="21" s="1"/>
  <c r="AO33" i="21"/>
  <c r="AO36" i="21" s="1"/>
  <c r="F34" i="21"/>
  <c r="G34" i="21"/>
  <c r="H34" i="21"/>
  <c r="I34" i="21"/>
  <c r="J34" i="21"/>
  <c r="J34" i="24" s="1"/>
  <c r="K34" i="21"/>
  <c r="L34" i="21"/>
  <c r="M34" i="21"/>
  <c r="M34" i="24" s="1"/>
  <c r="N34" i="21"/>
  <c r="N34" i="24" s="1"/>
  <c r="O34" i="21"/>
  <c r="P34" i="21"/>
  <c r="Q34" i="21"/>
  <c r="Q34" i="24" s="1"/>
  <c r="R34" i="21"/>
  <c r="R34" i="24" s="1"/>
  <c r="S34" i="21"/>
  <c r="T34" i="21"/>
  <c r="U34" i="21"/>
  <c r="V34" i="21"/>
  <c r="W34" i="21"/>
  <c r="X34" i="21"/>
  <c r="Y34" i="21"/>
  <c r="Y34" i="24" s="1"/>
  <c r="Z34" i="21"/>
  <c r="Z34" i="24" s="1"/>
  <c r="AA34" i="21"/>
  <c r="AB34" i="21"/>
  <c r="AC34" i="21"/>
  <c r="AD34" i="21"/>
  <c r="AE34" i="21"/>
  <c r="AF34" i="21"/>
  <c r="AG34" i="21"/>
  <c r="AH34" i="21"/>
  <c r="AF34" i="24" s="1"/>
  <c r="AI34" i="21"/>
  <c r="AJ34" i="21"/>
  <c r="AK34" i="21"/>
  <c r="AL34" i="21"/>
  <c r="AM34" i="21"/>
  <c r="AN34" i="21"/>
  <c r="AO34" i="21"/>
  <c r="D35" i="21"/>
  <c r="F35" i="33" s="1"/>
  <c r="H35" i="33" s="1"/>
  <c r="F35" i="21"/>
  <c r="G35" i="21"/>
  <c r="H35" i="21"/>
  <c r="I35" i="21"/>
  <c r="J35" i="21"/>
  <c r="K35" i="21"/>
  <c r="K35" i="24" s="1"/>
  <c r="L35" i="21"/>
  <c r="M35" i="21"/>
  <c r="N35" i="21"/>
  <c r="O35" i="21"/>
  <c r="P35" i="21"/>
  <c r="Q35" i="21"/>
  <c r="R35" i="21"/>
  <c r="S35" i="21"/>
  <c r="S35" i="24" s="1"/>
  <c r="T35" i="21"/>
  <c r="U35" i="21"/>
  <c r="V35" i="21"/>
  <c r="W35" i="21"/>
  <c r="X35" i="21"/>
  <c r="Y35" i="21"/>
  <c r="Z35" i="21"/>
  <c r="AA35" i="21"/>
  <c r="AA35" i="24" s="1"/>
  <c r="AB35" i="21"/>
  <c r="AC35" i="21"/>
  <c r="AD35" i="21"/>
  <c r="AE35" i="21"/>
  <c r="AE35" i="24" s="1"/>
  <c r="AF35" i="21"/>
  <c r="AG35" i="21"/>
  <c r="AH35" i="21"/>
  <c r="AI35" i="21"/>
  <c r="AG35" i="24" s="1"/>
  <c r="AJ35" i="21"/>
  <c r="AJ36" i="21" s="1"/>
  <c r="AK35" i="21"/>
  <c r="AL35" i="21"/>
  <c r="AM35" i="21"/>
  <c r="AN35" i="21"/>
  <c r="AO35" i="21"/>
  <c r="N36" i="21"/>
  <c r="Q36" i="21"/>
  <c r="T36" i="21"/>
  <c r="Y36" i="21"/>
  <c r="AB36" i="21"/>
  <c r="F39" i="21"/>
  <c r="G39" i="21"/>
  <c r="H39" i="21"/>
  <c r="I39" i="21"/>
  <c r="J39" i="21"/>
  <c r="K39" i="21"/>
  <c r="K39" i="24" s="1"/>
  <c r="L39" i="21"/>
  <c r="L39" i="24" s="1"/>
  <c r="M39" i="21"/>
  <c r="N39" i="21"/>
  <c r="O39" i="21"/>
  <c r="O39" i="24" s="1"/>
  <c r="P39" i="21"/>
  <c r="Q39" i="21"/>
  <c r="R39" i="21"/>
  <c r="S39" i="21"/>
  <c r="S39" i="24" s="1"/>
  <c r="T39" i="21"/>
  <c r="U39" i="21"/>
  <c r="V39" i="21"/>
  <c r="V39" i="24" s="1"/>
  <c r="W39" i="21"/>
  <c r="X39" i="21"/>
  <c r="Y39" i="21"/>
  <c r="Z39" i="21"/>
  <c r="AA39" i="21"/>
  <c r="AA39" i="24" s="1"/>
  <c r="AB39" i="21"/>
  <c r="AC39" i="21"/>
  <c r="AD39" i="21"/>
  <c r="AD39" i="24" s="1"/>
  <c r="AE39" i="21"/>
  <c r="AE39" i="24" s="1"/>
  <c r="AF39" i="21"/>
  <c r="AG39" i="21"/>
  <c r="AH39" i="21"/>
  <c r="AI39" i="21"/>
  <c r="AG39" i="24" s="1"/>
  <c r="AJ39" i="21"/>
  <c r="AK39" i="21"/>
  <c r="AL39" i="21"/>
  <c r="AH39" i="24" s="1"/>
  <c r="AM39" i="21"/>
  <c r="AI39" i="24" s="1"/>
  <c r="AN39" i="21"/>
  <c r="AO39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Y40" i="24" s="1"/>
  <c r="Z40" i="21"/>
  <c r="AA40" i="21"/>
  <c r="AB40" i="21"/>
  <c r="AC40" i="21"/>
  <c r="AC42" i="21" s="1"/>
  <c r="AC43" i="21" s="1"/>
  <c r="AD40" i="21"/>
  <c r="AE40" i="21"/>
  <c r="AF40" i="21"/>
  <c r="AF42" i="21" s="1"/>
  <c r="AG40" i="21"/>
  <c r="AG42" i="21" s="1"/>
  <c r="AG43" i="21" s="1"/>
  <c r="AH40" i="21"/>
  <c r="AI40" i="21"/>
  <c r="AJ40" i="21"/>
  <c r="AK40" i="21"/>
  <c r="AL40" i="21"/>
  <c r="AM40" i="21"/>
  <c r="AN40" i="21"/>
  <c r="AN42" i="21" s="1"/>
  <c r="AO40" i="21"/>
  <c r="AO42" i="21" s="1"/>
  <c r="AO43" i="21" s="1"/>
  <c r="D41" i="21"/>
  <c r="F41" i="33" s="1"/>
  <c r="F41" i="21"/>
  <c r="G41" i="21"/>
  <c r="E41" i="21" s="1"/>
  <c r="H41" i="21"/>
  <c r="I41" i="21"/>
  <c r="J41" i="21"/>
  <c r="K41" i="21"/>
  <c r="K41" i="24" s="1"/>
  <c r="L41" i="21"/>
  <c r="M41" i="21"/>
  <c r="N41" i="21"/>
  <c r="O41" i="21"/>
  <c r="O42" i="21" s="1"/>
  <c r="O43" i="21" s="1"/>
  <c r="P41" i="21"/>
  <c r="P41" i="24" s="1"/>
  <c r="Q41" i="21"/>
  <c r="R41" i="21"/>
  <c r="S41" i="21"/>
  <c r="S41" i="24" s="1"/>
  <c r="T41" i="21"/>
  <c r="U41" i="21"/>
  <c r="V41" i="21"/>
  <c r="W41" i="21"/>
  <c r="X41" i="21"/>
  <c r="X41" i="24" s="1"/>
  <c r="Y41" i="21"/>
  <c r="Z41" i="21"/>
  <c r="AA41" i="21"/>
  <c r="AA41" i="24" s="1"/>
  <c r="AB41" i="21"/>
  <c r="AC41" i="21"/>
  <c r="AD41" i="21"/>
  <c r="AE41" i="21"/>
  <c r="AF41" i="21"/>
  <c r="AG41" i="21"/>
  <c r="AH41" i="21"/>
  <c r="AI41" i="21"/>
  <c r="AG41" i="24" s="1"/>
  <c r="AJ41" i="21"/>
  <c r="AJ42" i="21" s="1"/>
  <c r="AJ43" i="21" s="1"/>
  <c r="AK41" i="21"/>
  <c r="AL41" i="21"/>
  <c r="AM41" i="21"/>
  <c r="AN41" i="21"/>
  <c r="AO41" i="21"/>
  <c r="F42" i="21"/>
  <c r="G42" i="21"/>
  <c r="M42" i="21"/>
  <c r="M43" i="21" s="1"/>
  <c r="N42" i="21"/>
  <c r="U42" i="21"/>
  <c r="U43" i="21" s="1"/>
  <c r="V42" i="21"/>
  <c r="W42" i="21"/>
  <c r="Y42" i="21"/>
  <c r="AB42" i="21"/>
  <c r="AB43" i="21" s="1"/>
  <c r="AD42" i="21"/>
  <c r="AE42" i="21"/>
  <c r="AE43" i="21" s="1"/>
  <c r="AK42" i="21"/>
  <c r="AK43" i="21" s="1"/>
  <c r="AL42" i="21"/>
  <c r="AL43" i="21" s="1"/>
  <c r="AM42" i="21"/>
  <c r="AM43" i="21" s="1"/>
  <c r="G43" i="21"/>
  <c r="Y43" i="21"/>
  <c r="AF43" i="21"/>
  <c r="AN43" i="21"/>
  <c r="F45" i="21"/>
  <c r="G45" i="21"/>
  <c r="H45" i="21"/>
  <c r="I45" i="21"/>
  <c r="J45" i="21"/>
  <c r="K45" i="21"/>
  <c r="L45" i="21"/>
  <c r="M45" i="21"/>
  <c r="M45" i="24" s="1"/>
  <c r="N45" i="21"/>
  <c r="O45" i="21"/>
  <c r="P45" i="21"/>
  <c r="Q45" i="21"/>
  <c r="R45" i="21"/>
  <c r="S45" i="21"/>
  <c r="S45" i="24" s="1"/>
  <c r="T45" i="21"/>
  <c r="U45" i="21"/>
  <c r="U45" i="24" s="1"/>
  <c r="V45" i="21"/>
  <c r="W45" i="21"/>
  <c r="X45" i="21"/>
  <c r="X45" i="24" s="1"/>
  <c r="Y45" i="21"/>
  <c r="Z45" i="21"/>
  <c r="AA45" i="21"/>
  <c r="AA45" i="24" s="1"/>
  <c r="AB45" i="21"/>
  <c r="AC45" i="21"/>
  <c r="AC45" i="24" s="1"/>
  <c r="AD45" i="21"/>
  <c r="AE45" i="21"/>
  <c r="AF45" i="21"/>
  <c r="AG45" i="21"/>
  <c r="AH45" i="21"/>
  <c r="AI45" i="21"/>
  <c r="AG45" i="24" s="1"/>
  <c r="AJ45" i="21"/>
  <c r="AK45" i="21"/>
  <c r="AL45" i="21"/>
  <c r="AM45" i="21"/>
  <c r="AN45" i="21"/>
  <c r="AO45" i="21"/>
  <c r="F47" i="21"/>
  <c r="G47" i="21"/>
  <c r="H47" i="21"/>
  <c r="I47" i="21"/>
  <c r="J47" i="21"/>
  <c r="J47" i="24" s="1"/>
  <c r="K47" i="21"/>
  <c r="L47" i="21"/>
  <c r="M47" i="21"/>
  <c r="M47" i="24" s="1"/>
  <c r="N47" i="21"/>
  <c r="O47" i="21"/>
  <c r="O47" i="24" s="1"/>
  <c r="P47" i="21"/>
  <c r="Q47" i="21"/>
  <c r="R47" i="21"/>
  <c r="S47" i="21"/>
  <c r="T47" i="21"/>
  <c r="U47" i="21"/>
  <c r="U47" i="24" s="1"/>
  <c r="V47" i="21"/>
  <c r="W47" i="21"/>
  <c r="W47" i="24" s="1"/>
  <c r="X47" i="21"/>
  <c r="Y47" i="21"/>
  <c r="Z47" i="21"/>
  <c r="AA47" i="21"/>
  <c r="AB47" i="21"/>
  <c r="AC47" i="21"/>
  <c r="AC47" i="24" s="1"/>
  <c r="AD47" i="21"/>
  <c r="AE47" i="21"/>
  <c r="AE47" i="24" s="1"/>
  <c r="AF47" i="21"/>
  <c r="AG47" i="21"/>
  <c r="AH47" i="21"/>
  <c r="AI47" i="21"/>
  <c r="AJ47" i="21"/>
  <c r="AK47" i="21"/>
  <c r="AL47" i="21"/>
  <c r="AM47" i="21"/>
  <c r="AI47" i="24" s="1"/>
  <c r="AN47" i="21"/>
  <c r="AO47" i="21"/>
  <c r="F49" i="21"/>
  <c r="G49" i="21"/>
  <c r="H49" i="21"/>
  <c r="I49" i="21"/>
  <c r="I49" i="24" s="1"/>
  <c r="J49" i="21"/>
  <c r="K49" i="21"/>
  <c r="L49" i="21"/>
  <c r="M49" i="21"/>
  <c r="N49" i="21"/>
  <c r="O49" i="21"/>
  <c r="P49" i="21"/>
  <c r="Q49" i="21"/>
  <c r="Q49" i="24" s="1"/>
  <c r="R49" i="21"/>
  <c r="S49" i="21"/>
  <c r="T49" i="21"/>
  <c r="U49" i="21"/>
  <c r="U49" i="24" s="1"/>
  <c r="V49" i="21"/>
  <c r="W49" i="21"/>
  <c r="X49" i="21"/>
  <c r="Y49" i="21"/>
  <c r="Y49" i="24" s="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D50" i="21"/>
  <c r="E50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V51" i="24" s="1"/>
  <c r="W51" i="21"/>
  <c r="X51" i="21"/>
  <c r="Y51" i="21"/>
  <c r="Z51" i="21"/>
  <c r="AA51" i="21"/>
  <c r="AA51" i="24" s="1"/>
  <c r="AB51" i="21"/>
  <c r="AC51" i="21"/>
  <c r="AC51" i="24" s="1"/>
  <c r="AD51" i="21"/>
  <c r="AD51" i="24" s="1"/>
  <c r="AE51" i="21"/>
  <c r="AF51" i="21"/>
  <c r="AG51" i="21"/>
  <c r="AH51" i="21"/>
  <c r="AI51" i="21"/>
  <c r="AG51" i="24" s="1"/>
  <c r="AJ51" i="21"/>
  <c r="AK51" i="21"/>
  <c r="AL51" i="21"/>
  <c r="AH51" i="24" s="1"/>
  <c r="AM51" i="21"/>
  <c r="AN51" i="21"/>
  <c r="AO51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S56" i="21" s="1"/>
  <c r="T54" i="21"/>
  <c r="U54" i="21"/>
  <c r="V54" i="21"/>
  <c r="W54" i="21"/>
  <c r="X54" i="21"/>
  <c r="Y54" i="21"/>
  <c r="Z54" i="21"/>
  <c r="AB54" i="21"/>
  <c r="AC54" i="21"/>
  <c r="AD54" i="21"/>
  <c r="AD54" i="24" s="1"/>
  <c r="AE54" i="21"/>
  <c r="AF54" i="21"/>
  <c r="AG54" i="21"/>
  <c r="AG56" i="21" s="1"/>
  <c r="AH54" i="21"/>
  <c r="AI54" i="21"/>
  <c r="AJ54" i="21"/>
  <c r="AK54" i="21"/>
  <c r="AL54" i="21"/>
  <c r="AM54" i="21"/>
  <c r="AO54" i="21"/>
  <c r="D55" i="21"/>
  <c r="F55" i="33" s="1"/>
  <c r="H55" i="33" s="1"/>
  <c r="F55" i="21"/>
  <c r="G55" i="21"/>
  <c r="G56" i="21" s="1"/>
  <c r="H55" i="21"/>
  <c r="I55" i="21"/>
  <c r="I56" i="21" s="1"/>
  <c r="J55" i="21"/>
  <c r="K55" i="21"/>
  <c r="L55" i="21"/>
  <c r="M55" i="21"/>
  <c r="M55" i="24" s="1"/>
  <c r="N55" i="21"/>
  <c r="O55" i="21"/>
  <c r="O56" i="21" s="1"/>
  <c r="P55" i="21"/>
  <c r="Q55" i="21"/>
  <c r="R55" i="21"/>
  <c r="S55" i="21"/>
  <c r="T55" i="21"/>
  <c r="U55" i="21"/>
  <c r="U55" i="24" s="1"/>
  <c r="V55" i="21"/>
  <c r="W55" i="21"/>
  <c r="X55" i="21"/>
  <c r="Y55" i="21"/>
  <c r="Y55" i="24" s="1"/>
  <c r="Z55" i="21"/>
  <c r="AA55" i="21"/>
  <c r="AB55" i="21"/>
  <c r="AC55" i="21"/>
  <c r="AC55" i="24" s="1"/>
  <c r="AD55" i="21"/>
  <c r="AE55" i="21"/>
  <c r="AF55" i="21"/>
  <c r="AG55" i="21"/>
  <c r="AH55" i="21"/>
  <c r="AF55" i="24" s="1"/>
  <c r="AI55" i="21"/>
  <c r="AJ55" i="21"/>
  <c r="AK55" i="21"/>
  <c r="AL55" i="21"/>
  <c r="AM55" i="21"/>
  <c r="AN55" i="21"/>
  <c r="AO55" i="21"/>
  <c r="AO56" i="21" s="1"/>
  <c r="F56" i="21"/>
  <c r="N56" i="21"/>
  <c r="V56" i="21"/>
  <c r="W56" i="21"/>
  <c r="AA56" i="21"/>
  <c r="AE56" i="21"/>
  <c r="AF56" i="21"/>
  <c r="AI56" i="21"/>
  <c r="AM56" i="21"/>
  <c r="AN56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Y61" i="21" s="1"/>
  <c r="Z59" i="21"/>
  <c r="AA59" i="21"/>
  <c r="AB59" i="21"/>
  <c r="AC59" i="21"/>
  <c r="AD59" i="21"/>
  <c r="AE59" i="21"/>
  <c r="AF59" i="21"/>
  <c r="AF61" i="21" s="1"/>
  <c r="AG59" i="21"/>
  <c r="AH59" i="21"/>
  <c r="AI59" i="21"/>
  <c r="AJ59" i="21"/>
  <c r="AK59" i="21"/>
  <c r="AK61" i="21" s="1"/>
  <c r="AL59" i="21"/>
  <c r="AM59" i="21"/>
  <c r="AN59" i="21"/>
  <c r="AN61" i="21" s="1"/>
  <c r="AO59" i="21"/>
  <c r="F60" i="21"/>
  <c r="G60" i="21"/>
  <c r="H60" i="21"/>
  <c r="I60" i="21"/>
  <c r="J60" i="21"/>
  <c r="K60" i="21"/>
  <c r="L60" i="21"/>
  <c r="M60" i="21"/>
  <c r="N60" i="21"/>
  <c r="O60" i="21"/>
  <c r="O60" i="24" s="1"/>
  <c r="P60" i="21"/>
  <c r="Q60" i="21"/>
  <c r="R60" i="21"/>
  <c r="R60" i="24" s="1"/>
  <c r="S60" i="21"/>
  <c r="T60" i="21"/>
  <c r="U60" i="21"/>
  <c r="V60" i="21"/>
  <c r="W60" i="21"/>
  <c r="X60" i="21"/>
  <c r="Y60" i="21"/>
  <c r="Z60" i="21"/>
  <c r="Z60" i="24" s="1"/>
  <c r="AA60" i="21"/>
  <c r="AB60" i="21"/>
  <c r="AC60" i="21"/>
  <c r="AD60" i="21"/>
  <c r="AE60" i="21"/>
  <c r="AF60" i="21"/>
  <c r="AG60" i="21"/>
  <c r="AH60" i="21"/>
  <c r="AF60" i="24" s="1"/>
  <c r="AI60" i="21"/>
  <c r="AJ60" i="21"/>
  <c r="AK60" i="21"/>
  <c r="AL60" i="21"/>
  <c r="AM60" i="21"/>
  <c r="AN60" i="21"/>
  <c r="AO60" i="21"/>
  <c r="F61" i="21"/>
  <c r="I61" i="21"/>
  <c r="L61" i="21"/>
  <c r="N61" i="21"/>
  <c r="Q61" i="21"/>
  <c r="T61" i="21"/>
  <c r="V61" i="21"/>
  <c r="AB61" i="21"/>
  <c r="AD61" i="21"/>
  <c r="AG61" i="21"/>
  <c r="AJ61" i="21"/>
  <c r="AL61" i="21"/>
  <c r="AO61" i="21"/>
  <c r="F64" i="21"/>
  <c r="G64" i="21"/>
  <c r="H64" i="21"/>
  <c r="I64" i="21"/>
  <c r="J64" i="21"/>
  <c r="K64" i="21"/>
  <c r="L64" i="21"/>
  <c r="M64" i="21"/>
  <c r="N64" i="21"/>
  <c r="N66" i="21" s="1"/>
  <c r="O64" i="21"/>
  <c r="O66" i="21" s="1"/>
  <c r="P64" i="21"/>
  <c r="Q64" i="21"/>
  <c r="Q66" i="21" s="1"/>
  <c r="R64" i="21"/>
  <c r="S64" i="21"/>
  <c r="T64" i="21"/>
  <c r="U64" i="21"/>
  <c r="V64" i="21"/>
  <c r="V66" i="21" s="1"/>
  <c r="W64" i="21"/>
  <c r="W66" i="21" s="1"/>
  <c r="X64" i="21"/>
  <c r="Y64" i="21"/>
  <c r="Y66" i="21" s="1"/>
  <c r="Z64" i="21"/>
  <c r="AA64" i="21"/>
  <c r="AB64" i="21"/>
  <c r="AC64" i="21"/>
  <c r="AD64" i="21"/>
  <c r="AD66" i="21" s="1"/>
  <c r="AE64" i="21"/>
  <c r="AE66" i="21" s="1"/>
  <c r="AF64" i="21"/>
  <c r="AG64" i="21"/>
  <c r="AG66" i="21" s="1"/>
  <c r="AH64" i="21"/>
  <c r="AI64" i="21"/>
  <c r="AJ64" i="21"/>
  <c r="AK64" i="21"/>
  <c r="AL64" i="21"/>
  <c r="AL66" i="21" s="1"/>
  <c r="AM64" i="21"/>
  <c r="AN64" i="21"/>
  <c r="AO64" i="21"/>
  <c r="AO66" i="21" s="1"/>
  <c r="F65" i="21"/>
  <c r="G65" i="21"/>
  <c r="H65" i="21"/>
  <c r="I65" i="21"/>
  <c r="J65" i="21"/>
  <c r="K65" i="21"/>
  <c r="K66" i="21" s="1"/>
  <c r="L65" i="21"/>
  <c r="M65" i="21"/>
  <c r="E65" i="21" s="1"/>
  <c r="G65" i="33" s="1"/>
  <c r="I65" i="33" s="1"/>
  <c r="N65" i="21"/>
  <c r="O65" i="21"/>
  <c r="P65" i="21"/>
  <c r="Q65" i="21"/>
  <c r="R65" i="21"/>
  <c r="S65" i="21"/>
  <c r="T65" i="21"/>
  <c r="U65" i="21"/>
  <c r="U66" i="21" s="1"/>
  <c r="V65" i="21"/>
  <c r="W65" i="21"/>
  <c r="X65" i="21"/>
  <c r="Y65" i="21"/>
  <c r="Z65" i="21"/>
  <c r="AA65" i="21"/>
  <c r="AB65" i="21"/>
  <c r="AC65" i="21"/>
  <c r="AC66" i="21" s="1"/>
  <c r="AD65" i="21"/>
  <c r="AE65" i="21"/>
  <c r="AF65" i="21"/>
  <c r="AG65" i="21"/>
  <c r="AH65" i="21"/>
  <c r="AI65" i="21"/>
  <c r="AJ65" i="21"/>
  <c r="AK65" i="21"/>
  <c r="AK66" i="21" s="1"/>
  <c r="AL65" i="21"/>
  <c r="AM65" i="21"/>
  <c r="AN65" i="21"/>
  <c r="AO65" i="21"/>
  <c r="G66" i="21"/>
  <c r="J66" i="21"/>
  <c r="L66" i="21"/>
  <c r="M66" i="21"/>
  <c r="R66" i="21"/>
  <c r="S66" i="21"/>
  <c r="T66" i="21"/>
  <c r="Z66" i="21"/>
  <c r="AA66" i="21"/>
  <c r="AB66" i="21"/>
  <c r="AH66" i="21"/>
  <c r="AI66" i="21"/>
  <c r="AJ66" i="21"/>
  <c r="AM66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V72" i="21" s="1"/>
  <c r="W70" i="21"/>
  <c r="X70" i="21"/>
  <c r="Y70" i="21"/>
  <c r="Z70" i="21"/>
  <c r="AA70" i="21"/>
  <c r="AB70" i="21"/>
  <c r="AC70" i="21"/>
  <c r="AC72" i="21" s="1"/>
  <c r="AD70" i="21"/>
  <c r="AD72" i="21" s="1"/>
  <c r="AE70" i="21"/>
  <c r="AF70" i="21"/>
  <c r="AF72" i="21" s="1"/>
  <c r="AG70" i="21"/>
  <c r="AH70" i="21"/>
  <c r="AI70" i="21"/>
  <c r="AJ70" i="21"/>
  <c r="AK70" i="21"/>
  <c r="AK72" i="21" s="1"/>
  <c r="AL70" i="21"/>
  <c r="AM70" i="21"/>
  <c r="AN70" i="21"/>
  <c r="AN72" i="21" s="1"/>
  <c r="AO70" i="21"/>
  <c r="F71" i="21"/>
  <c r="G71" i="21"/>
  <c r="H71" i="21"/>
  <c r="H72" i="21" s="1"/>
  <c r="I71" i="21"/>
  <c r="J71" i="21"/>
  <c r="J72" i="21" s="1"/>
  <c r="K71" i="21"/>
  <c r="L71" i="21"/>
  <c r="M71" i="21"/>
  <c r="N71" i="21"/>
  <c r="O71" i="21"/>
  <c r="O71" i="24" s="1"/>
  <c r="P71" i="21"/>
  <c r="Q71" i="21"/>
  <c r="R71" i="21"/>
  <c r="S71" i="21"/>
  <c r="T71" i="21"/>
  <c r="U71" i="21"/>
  <c r="V71" i="21"/>
  <c r="W71" i="21"/>
  <c r="W71" i="24" s="1"/>
  <c r="X71" i="21"/>
  <c r="Y71" i="21"/>
  <c r="Z71" i="21"/>
  <c r="AA71" i="21"/>
  <c r="AB71" i="21"/>
  <c r="AC71" i="21"/>
  <c r="AD71" i="21"/>
  <c r="AE71" i="21"/>
  <c r="AE71" i="24" s="1"/>
  <c r="AF71" i="21"/>
  <c r="AG71" i="21"/>
  <c r="AH71" i="21"/>
  <c r="AI71" i="21"/>
  <c r="AJ71" i="21"/>
  <c r="AJ72" i="21" s="1"/>
  <c r="AK71" i="21"/>
  <c r="AL71" i="21"/>
  <c r="AM71" i="21"/>
  <c r="AI71" i="24" s="1"/>
  <c r="AN71" i="21"/>
  <c r="AO71" i="21"/>
  <c r="AO72" i="21" s="1"/>
  <c r="F72" i="21"/>
  <c r="I72" i="21"/>
  <c r="K72" i="21"/>
  <c r="Q72" i="21"/>
  <c r="R72" i="21"/>
  <c r="S72" i="21"/>
  <c r="Y72" i="21"/>
  <c r="Z72" i="21"/>
  <c r="AA72" i="21"/>
  <c r="AG72" i="21"/>
  <c r="AH72" i="21"/>
  <c r="AI72" i="21"/>
  <c r="AL72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R73" i="24" s="1"/>
  <c r="S73" i="21"/>
  <c r="T73" i="21"/>
  <c r="U73" i="21"/>
  <c r="V73" i="21"/>
  <c r="W73" i="21"/>
  <c r="X73" i="21"/>
  <c r="Y73" i="21"/>
  <c r="Z73" i="21"/>
  <c r="AA73" i="21"/>
  <c r="AA73" i="24" s="1"/>
  <c r="AB73" i="21"/>
  <c r="AC73" i="21"/>
  <c r="AC73" i="24" s="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F74" i="21"/>
  <c r="H74" i="21"/>
  <c r="I74" i="21"/>
  <c r="J74" i="21"/>
  <c r="J74" i="24" s="1"/>
  <c r="K74" i="21"/>
  <c r="L74" i="21"/>
  <c r="M74" i="21"/>
  <c r="M74" i="24" s="1"/>
  <c r="N74" i="21"/>
  <c r="O74" i="21"/>
  <c r="P74" i="21"/>
  <c r="Q74" i="21"/>
  <c r="R74" i="21"/>
  <c r="R74" i="24" s="1"/>
  <c r="S74" i="21"/>
  <c r="T74" i="21"/>
  <c r="U74" i="21"/>
  <c r="U74" i="24" s="1"/>
  <c r="V74" i="21"/>
  <c r="W74" i="21"/>
  <c r="X74" i="21"/>
  <c r="Y74" i="21"/>
  <c r="Z74" i="21"/>
  <c r="Z74" i="24" s="1"/>
  <c r="AA74" i="21"/>
  <c r="AB74" i="21"/>
  <c r="AC74" i="21"/>
  <c r="AC74" i="24" s="1"/>
  <c r="AD74" i="21"/>
  <c r="AE74" i="21"/>
  <c r="AF74" i="21"/>
  <c r="AG74" i="21"/>
  <c r="AH74" i="21"/>
  <c r="AF74" i="24" s="1"/>
  <c r="AI74" i="21"/>
  <c r="AJ74" i="21"/>
  <c r="AK74" i="21"/>
  <c r="AL74" i="21"/>
  <c r="AM74" i="21"/>
  <c r="AN74" i="21"/>
  <c r="AO74" i="21"/>
  <c r="F75" i="21"/>
  <c r="G75" i="21"/>
  <c r="H75" i="21"/>
  <c r="H75" i="24" s="1"/>
  <c r="I75" i="21"/>
  <c r="J75" i="21"/>
  <c r="K75" i="21"/>
  <c r="L75" i="21"/>
  <c r="L75" i="24" s="1"/>
  <c r="M75" i="21"/>
  <c r="N75" i="21"/>
  <c r="O75" i="21"/>
  <c r="O75" i="24" s="1"/>
  <c r="P75" i="21"/>
  <c r="P75" i="24" s="1"/>
  <c r="Q75" i="21"/>
  <c r="R75" i="21"/>
  <c r="S75" i="21"/>
  <c r="T75" i="21"/>
  <c r="T75" i="24" s="1"/>
  <c r="U75" i="21"/>
  <c r="V75" i="21"/>
  <c r="W75" i="21"/>
  <c r="W75" i="24" s="1"/>
  <c r="X75" i="21"/>
  <c r="X75" i="24" s="1"/>
  <c r="Y75" i="21"/>
  <c r="Y75" i="24" s="1"/>
  <c r="Z75" i="21"/>
  <c r="AA75" i="21"/>
  <c r="AB75" i="21"/>
  <c r="AB75" i="24" s="1"/>
  <c r="AC75" i="21"/>
  <c r="AD75" i="21"/>
  <c r="AE75" i="21"/>
  <c r="AE75" i="24" s="1"/>
  <c r="AF75" i="21"/>
  <c r="AG75" i="21"/>
  <c r="AH75" i="21"/>
  <c r="AF75" i="24" s="1"/>
  <c r="AI75" i="21"/>
  <c r="AJ75" i="21"/>
  <c r="AK75" i="21"/>
  <c r="AL75" i="21"/>
  <c r="AM75" i="21"/>
  <c r="AI75" i="24" s="1"/>
  <c r="AN75" i="21"/>
  <c r="AO75" i="21"/>
  <c r="F76" i="21"/>
  <c r="G76" i="21"/>
  <c r="H76" i="21"/>
  <c r="I76" i="21"/>
  <c r="J76" i="21"/>
  <c r="K76" i="21"/>
  <c r="K76" i="24" s="1"/>
  <c r="L76" i="21"/>
  <c r="M76" i="21"/>
  <c r="N76" i="21"/>
  <c r="O76" i="21"/>
  <c r="P76" i="21"/>
  <c r="Q76" i="21"/>
  <c r="Q76" i="24" s="1"/>
  <c r="R76" i="21"/>
  <c r="S76" i="21"/>
  <c r="S76" i="24" s="1"/>
  <c r="T76" i="21"/>
  <c r="U76" i="21"/>
  <c r="V76" i="21"/>
  <c r="W76" i="21"/>
  <c r="X76" i="21"/>
  <c r="Y76" i="21"/>
  <c r="Z76" i="21"/>
  <c r="Z76" i="24" s="1"/>
  <c r="AA76" i="21"/>
  <c r="AA76" i="24" s="1"/>
  <c r="AB76" i="21"/>
  <c r="AC76" i="21"/>
  <c r="AD76" i="21"/>
  <c r="AE76" i="21"/>
  <c r="AF76" i="21"/>
  <c r="AG76" i="21"/>
  <c r="AH76" i="21"/>
  <c r="AF76" i="24" s="1"/>
  <c r="AI76" i="21"/>
  <c r="AG76" i="24" s="1"/>
  <c r="AJ76" i="21"/>
  <c r="AK76" i="21"/>
  <c r="AL76" i="21"/>
  <c r="AM76" i="21"/>
  <c r="AN76" i="21"/>
  <c r="AO76" i="21"/>
  <c r="F77" i="21"/>
  <c r="G77" i="21"/>
  <c r="H77" i="21"/>
  <c r="H77" i="24" s="1"/>
  <c r="I77" i="21"/>
  <c r="J77" i="21"/>
  <c r="K77" i="21"/>
  <c r="L77" i="21"/>
  <c r="L77" i="24" s="1"/>
  <c r="M77" i="21"/>
  <c r="M77" i="24" s="1"/>
  <c r="N77" i="21"/>
  <c r="O77" i="21"/>
  <c r="P77" i="21"/>
  <c r="Q77" i="21"/>
  <c r="R77" i="21"/>
  <c r="S77" i="21"/>
  <c r="T77" i="21"/>
  <c r="T77" i="24" s="1"/>
  <c r="U77" i="21"/>
  <c r="U77" i="24" s="1"/>
  <c r="V77" i="21"/>
  <c r="W77" i="21"/>
  <c r="X77" i="21"/>
  <c r="Y77" i="21"/>
  <c r="Z77" i="21"/>
  <c r="AA77" i="21"/>
  <c r="AB77" i="21"/>
  <c r="AB77" i="24" s="1"/>
  <c r="AC77" i="21"/>
  <c r="AC77" i="24" s="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F78" i="21"/>
  <c r="G78" i="21"/>
  <c r="H78" i="21"/>
  <c r="I78" i="21"/>
  <c r="J78" i="21"/>
  <c r="K78" i="21"/>
  <c r="L78" i="21"/>
  <c r="M78" i="21"/>
  <c r="M78" i="24" s="1"/>
  <c r="N78" i="21"/>
  <c r="O78" i="21"/>
  <c r="O78" i="24" s="1"/>
  <c r="P78" i="21"/>
  <c r="Q78" i="21"/>
  <c r="R78" i="21"/>
  <c r="S78" i="21"/>
  <c r="T78" i="21"/>
  <c r="U78" i="21"/>
  <c r="U78" i="24" s="1"/>
  <c r="V78" i="21"/>
  <c r="W78" i="21"/>
  <c r="W78" i="24" s="1"/>
  <c r="X78" i="21"/>
  <c r="Y78" i="21"/>
  <c r="Z78" i="21"/>
  <c r="AA78" i="21"/>
  <c r="AB78" i="21"/>
  <c r="AC78" i="21"/>
  <c r="AC78" i="24" s="1"/>
  <c r="AD78" i="21"/>
  <c r="AE78" i="21"/>
  <c r="AE78" i="24" s="1"/>
  <c r="AF78" i="21"/>
  <c r="AG78" i="21"/>
  <c r="AH78" i="21"/>
  <c r="AI78" i="21"/>
  <c r="AJ78" i="21"/>
  <c r="AK78" i="21"/>
  <c r="AL78" i="21"/>
  <c r="AM78" i="21"/>
  <c r="AI78" i="24" s="1"/>
  <c r="AN78" i="21"/>
  <c r="AO78" i="21"/>
  <c r="F79" i="21"/>
  <c r="G79" i="21"/>
  <c r="H79" i="21"/>
  <c r="I79" i="21"/>
  <c r="I79" i="24" s="1"/>
  <c r="J79" i="21"/>
  <c r="K79" i="21"/>
  <c r="L79" i="21"/>
  <c r="M79" i="21"/>
  <c r="N79" i="21"/>
  <c r="O79" i="21"/>
  <c r="O79" i="24" s="1"/>
  <c r="P79" i="21"/>
  <c r="P79" i="24" s="1"/>
  <c r="Q79" i="21"/>
  <c r="R79" i="21"/>
  <c r="S79" i="21"/>
  <c r="T79" i="21"/>
  <c r="U79" i="21"/>
  <c r="V79" i="21"/>
  <c r="W79" i="21"/>
  <c r="W79" i="24" s="1"/>
  <c r="X79" i="21"/>
  <c r="X79" i="24" s="1"/>
  <c r="Y79" i="21"/>
  <c r="Z79" i="21"/>
  <c r="AA79" i="21"/>
  <c r="AB79" i="21"/>
  <c r="AC79" i="21"/>
  <c r="AD79" i="21"/>
  <c r="AE79" i="21"/>
  <c r="AE79" i="24" s="1"/>
  <c r="AF79" i="21"/>
  <c r="AG79" i="21"/>
  <c r="AH79" i="21"/>
  <c r="AI79" i="21"/>
  <c r="AJ79" i="21"/>
  <c r="AK79" i="21"/>
  <c r="AL79" i="21"/>
  <c r="AM79" i="21"/>
  <c r="AI79" i="24" s="1"/>
  <c r="AN79" i="21"/>
  <c r="AO79" i="21"/>
  <c r="F80" i="21"/>
  <c r="G80" i="21"/>
  <c r="H80" i="21"/>
  <c r="I80" i="21"/>
  <c r="J80" i="21"/>
  <c r="J80" i="24" s="1"/>
  <c r="K80" i="21"/>
  <c r="K80" i="24" s="1"/>
  <c r="L80" i="21"/>
  <c r="M80" i="21"/>
  <c r="N80" i="21"/>
  <c r="O80" i="21"/>
  <c r="P80" i="21"/>
  <c r="Q80" i="21"/>
  <c r="R80" i="21"/>
  <c r="R80" i="24" s="1"/>
  <c r="S80" i="21"/>
  <c r="S80" i="24" s="1"/>
  <c r="T80" i="21"/>
  <c r="U80" i="21"/>
  <c r="V80" i="21"/>
  <c r="V80" i="24" s="1"/>
  <c r="W80" i="21"/>
  <c r="X80" i="21"/>
  <c r="Y80" i="21"/>
  <c r="Z80" i="21"/>
  <c r="Z80" i="24" s="1"/>
  <c r="AA80" i="21"/>
  <c r="AA80" i="24" s="1"/>
  <c r="AB80" i="21"/>
  <c r="AC80" i="21"/>
  <c r="AD80" i="21"/>
  <c r="AD80" i="24" s="1"/>
  <c r="AE80" i="21"/>
  <c r="AF80" i="21"/>
  <c r="AG80" i="21"/>
  <c r="AH80" i="21"/>
  <c r="AF80" i="24" s="1"/>
  <c r="AI80" i="21"/>
  <c r="AG80" i="24" s="1"/>
  <c r="AJ80" i="21"/>
  <c r="AK80" i="21"/>
  <c r="AL80" i="21"/>
  <c r="AH80" i="24" s="1"/>
  <c r="AM80" i="21"/>
  <c r="AN80" i="21"/>
  <c r="AO80" i="21"/>
  <c r="F81" i="21"/>
  <c r="G81" i="21"/>
  <c r="H81" i="21"/>
  <c r="I81" i="21"/>
  <c r="I81" i="24" s="1"/>
  <c r="J81" i="21"/>
  <c r="K81" i="21"/>
  <c r="K81" i="24" s="1"/>
  <c r="L81" i="21"/>
  <c r="L81" i="24" s="1"/>
  <c r="M81" i="21"/>
  <c r="M81" i="24" s="1"/>
  <c r="N81" i="21"/>
  <c r="O81" i="21"/>
  <c r="P81" i="21"/>
  <c r="P81" i="24" s="1"/>
  <c r="Q81" i="21"/>
  <c r="R81" i="21"/>
  <c r="S81" i="21"/>
  <c r="T81" i="21"/>
  <c r="T81" i="24" s="1"/>
  <c r="U81" i="21"/>
  <c r="U81" i="24" s="1"/>
  <c r="V81" i="21"/>
  <c r="W81" i="21"/>
  <c r="W81" i="24" s="1"/>
  <c r="X81" i="21"/>
  <c r="X81" i="24" s="1"/>
  <c r="Y81" i="21"/>
  <c r="Z81" i="21"/>
  <c r="AA81" i="21"/>
  <c r="AB81" i="21"/>
  <c r="AB81" i="24" s="1"/>
  <c r="AC81" i="21"/>
  <c r="AC81" i="24" s="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D86" i="21"/>
  <c r="F86" i="21"/>
  <c r="F86" i="24" s="1"/>
  <c r="G86" i="21"/>
  <c r="E87" i="21"/>
  <c r="F87" i="21"/>
  <c r="G87" i="21"/>
  <c r="G87" i="24" s="1"/>
  <c r="E87" i="24" s="1"/>
  <c r="G87" i="36" s="1"/>
  <c r="D88" i="21"/>
  <c r="F88" i="33" s="1"/>
  <c r="F88" i="21"/>
  <c r="F88" i="24" s="1"/>
  <c r="G88" i="21"/>
  <c r="E88" i="21" s="1"/>
  <c r="G88" i="33" s="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5" i="33"/>
  <c r="D11" i="33"/>
  <c r="E12" i="33"/>
  <c r="E20" i="33"/>
  <c r="E21" i="33"/>
  <c r="D23" i="33"/>
  <c r="E23" i="33"/>
  <c r="E28" i="33"/>
  <c r="E32" i="33"/>
  <c r="D35" i="33"/>
  <c r="E35" i="33"/>
  <c r="E40" i="33"/>
  <c r="G41" i="33"/>
  <c r="D47" i="33"/>
  <c r="E47" i="33"/>
  <c r="E49" i="33"/>
  <c r="D55" i="33"/>
  <c r="E59" i="33"/>
  <c r="E64" i="33"/>
  <c r="E66" i="33" s="1"/>
  <c r="E70" i="33"/>
  <c r="D74" i="33"/>
  <c r="E75" i="33"/>
  <c r="E77" i="33"/>
  <c r="E79" i="33"/>
  <c r="E81" i="33"/>
  <c r="E86" i="33"/>
  <c r="F86" i="33"/>
  <c r="G87" i="33"/>
  <c r="E88" i="33"/>
  <c r="I88" i="33" s="1"/>
  <c r="A4" i="11"/>
  <c r="A5" i="11"/>
  <c r="G11" i="11"/>
  <c r="H11" i="11"/>
  <c r="I11" i="11"/>
  <c r="M11" i="11"/>
  <c r="F12" i="11"/>
  <c r="H12" i="11"/>
  <c r="I12" i="11"/>
  <c r="L12" i="11"/>
  <c r="H13" i="11"/>
  <c r="I13" i="11"/>
  <c r="F14" i="11"/>
  <c r="H14" i="11"/>
  <c r="I14" i="11"/>
  <c r="G14" i="11" s="1"/>
  <c r="L14" i="11"/>
  <c r="D14" i="35" s="1"/>
  <c r="H14" i="35" s="1"/>
  <c r="M14" i="11"/>
  <c r="E14" i="35" s="1"/>
  <c r="G15" i="11"/>
  <c r="H15" i="11"/>
  <c r="I15" i="11"/>
  <c r="M15" i="11"/>
  <c r="I16" i="11"/>
  <c r="J16" i="11"/>
  <c r="K16" i="11"/>
  <c r="H18" i="11"/>
  <c r="I18" i="11"/>
  <c r="G19" i="11"/>
  <c r="H19" i="11"/>
  <c r="I19" i="11"/>
  <c r="M19" i="11"/>
  <c r="F20" i="11"/>
  <c r="G20" i="11"/>
  <c r="H20" i="11"/>
  <c r="I20" i="11"/>
  <c r="M20" i="11" s="1"/>
  <c r="L20" i="11"/>
  <c r="H21" i="11"/>
  <c r="I21" i="11"/>
  <c r="M21" i="11"/>
  <c r="E21" i="35" s="1"/>
  <c r="F22" i="11"/>
  <c r="H22" i="11"/>
  <c r="I22" i="11"/>
  <c r="G22" i="11" s="1"/>
  <c r="L22" i="11"/>
  <c r="M22" i="11"/>
  <c r="G23" i="11"/>
  <c r="H23" i="11"/>
  <c r="I23" i="11"/>
  <c r="M23" i="11"/>
  <c r="J24" i="11"/>
  <c r="K24" i="11"/>
  <c r="F27" i="11"/>
  <c r="H27" i="11"/>
  <c r="I27" i="11"/>
  <c r="L27" i="11"/>
  <c r="H28" i="11"/>
  <c r="I28" i="11"/>
  <c r="G28" i="11" s="1"/>
  <c r="J29" i="11"/>
  <c r="K29" i="11"/>
  <c r="F32" i="11"/>
  <c r="H32" i="11"/>
  <c r="I32" i="11"/>
  <c r="G32" i="11" s="1"/>
  <c r="L32" i="11"/>
  <c r="M32" i="11"/>
  <c r="E32" i="35" s="1"/>
  <c r="G33" i="11"/>
  <c r="H33" i="11"/>
  <c r="I33" i="11"/>
  <c r="M33" i="11"/>
  <c r="F34" i="11"/>
  <c r="H34" i="11"/>
  <c r="I34" i="11"/>
  <c r="L34" i="11"/>
  <c r="H35" i="11"/>
  <c r="I35" i="11"/>
  <c r="G35" i="11" s="1"/>
  <c r="M35" i="11"/>
  <c r="E35" i="35" s="1"/>
  <c r="J36" i="11"/>
  <c r="K36" i="11"/>
  <c r="L37" i="11"/>
  <c r="M37" i="11"/>
  <c r="H38" i="11"/>
  <c r="I38" i="11"/>
  <c r="F39" i="11"/>
  <c r="H39" i="11"/>
  <c r="I39" i="11"/>
  <c r="L39" i="11"/>
  <c r="D39" i="35" s="1"/>
  <c r="H40" i="11"/>
  <c r="I40" i="11"/>
  <c r="M40" i="11"/>
  <c r="F41" i="11"/>
  <c r="H41" i="11"/>
  <c r="I41" i="11"/>
  <c r="G41" i="11" s="1"/>
  <c r="L41" i="11"/>
  <c r="D41" i="35" s="1"/>
  <c r="M41" i="11"/>
  <c r="E41" i="35" s="1"/>
  <c r="H42" i="11"/>
  <c r="J42" i="11"/>
  <c r="K42" i="11"/>
  <c r="H43" i="11"/>
  <c r="J43" i="11"/>
  <c r="K43" i="11"/>
  <c r="G45" i="11"/>
  <c r="H45" i="11"/>
  <c r="I45" i="11"/>
  <c r="M45" i="11" s="1"/>
  <c r="F47" i="11"/>
  <c r="H47" i="11"/>
  <c r="I47" i="11"/>
  <c r="L47" i="11"/>
  <c r="H49" i="11"/>
  <c r="I49" i="11"/>
  <c r="G49" i="11" s="1"/>
  <c r="M49" i="11"/>
  <c r="E49" i="35" s="1"/>
  <c r="F51" i="11"/>
  <c r="H51" i="11"/>
  <c r="I51" i="11"/>
  <c r="G51" i="11" s="1"/>
  <c r="L51" i="11"/>
  <c r="D51" i="35" s="1"/>
  <c r="M51" i="11"/>
  <c r="G54" i="11"/>
  <c r="H54" i="11"/>
  <c r="I54" i="11"/>
  <c r="M54" i="11"/>
  <c r="F55" i="11"/>
  <c r="G55" i="11"/>
  <c r="H55" i="11"/>
  <c r="I55" i="11"/>
  <c r="M55" i="11" s="1"/>
  <c r="L55" i="11"/>
  <c r="H56" i="11"/>
  <c r="I56" i="11"/>
  <c r="J56" i="11"/>
  <c r="K56" i="11"/>
  <c r="H59" i="11"/>
  <c r="I59" i="11"/>
  <c r="M59" i="11"/>
  <c r="F60" i="11"/>
  <c r="H60" i="11"/>
  <c r="I60" i="11"/>
  <c r="G60" i="11" s="1"/>
  <c r="L60" i="11"/>
  <c r="M60" i="11"/>
  <c r="J61" i="11"/>
  <c r="K61" i="11"/>
  <c r="G64" i="11"/>
  <c r="H64" i="11"/>
  <c r="I64" i="11"/>
  <c r="M64" i="11"/>
  <c r="F65" i="11"/>
  <c r="H65" i="11"/>
  <c r="I65" i="11"/>
  <c r="L65" i="11"/>
  <c r="D65" i="35" s="1"/>
  <c r="H66" i="11"/>
  <c r="I66" i="11"/>
  <c r="J66" i="11"/>
  <c r="K66" i="11"/>
  <c r="H70" i="11"/>
  <c r="I70" i="11"/>
  <c r="F71" i="11"/>
  <c r="H71" i="11"/>
  <c r="I71" i="11"/>
  <c r="G71" i="11" s="1"/>
  <c r="L71" i="11"/>
  <c r="M71" i="11"/>
  <c r="E71" i="35" s="1"/>
  <c r="H72" i="11"/>
  <c r="J72" i="11"/>
  <c r="K72" i="11"/>
  <c r="G73" i="11"/>
  <c r="H73" i="11"/>
  <c r="I73" i="11"/>
  <c r="M73" i="11"/>
  <c r="F74" i="11"/>
  <c r="G74" i="11"/>
  <c r="H74" i="11"/>
  <c r="I74" i="11"/>
  <c r="M74" i="11" s="1"/>
  <c r="E74" i="35" s="1"/>
  <c r="L74" i="11"/>
  <c r="H75" i="11"/>
  <c r="I75" i="11"/>
  <c r="F76" i="11"/>
  <c r="H76" i="11"/>
  <c r="I76" i="11"/>
  <c r="G76" i="11" s="1"/>
  <c r="L76" i="11"/>
  <c r="D76" i="35" s="1"/>
  <c r="M76" i="11"/>
  <c r="G77" i="11"/>
  <c r="H77" i="11"/>
  <c r="I77" i="11"/>
  <c r="M77" i="11"/>
  <c r="F78" i="11"/>
  <c r="G78" i="11"/>
  <c r="H78" i="11"/>
  <c r="I78" i="11"/>
  <c r="M78" i="11" s="1"/>
  <c r="E78" i="35" s="1"/>
  <c r="L78" i="11"/>
  <c r="H79" i="11"/>
  <c r="I79" i="11"/>
  <c r="F80" i="11"/>
  <c r="H80" i="11"/>
  <c r="I80" i="11"/>
  <c r="G80" i="11" s="1"/>
  <c r="L80" i="11"/>
  <c r="D80" i="35" s="1"/>
  <c r="M80" i="11"/>
  <c r="G81" i="11"/>
  <c r="H81" i="11"/>
  <c r="I81" i="11"/>
  <c r="M81" i="11"/>
  <c r="D82" i="11"/>
  <c r="E82" i="11"/>
  <c r="E84" i="12" s="1"/>
  <c r="A5" i="23"/>
  <c r="H8" i="23"/>
  <c r="J8" i="23"/>
  <c r="L8" i="23"/>
  <c r="N8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Q16" i="23" s="1"/>
  <c r="R11" i="23"/>
  <c r="S11" i="23"/>
  <c r="T11" i="23"/>
  <c r="U11" i="23"/>
  <c r="V11" i="23"/>
  <c r="W11" i="23"/>
  <c r="X11" i="23"/>
  <c r="Y11" i="23"/>
  <c r="Y16" i="23" s="1"/>
  <c r="Z11" i="23"/>
  <c r="AA11" i="23"/>
  <c r="AB11" i="23"/>
  <c r="AC11" i="23"/>
  <c r="AD11" i="23"/>
  <c r="AE11" i="23"/>
  <c r="AF11" i="23"/>
  <c r="AG11" i="23"/>
  <c r="AG16" i="23" s="1"/>
  <c r="AH11" i="23"/>
  <c r="AI11" i="23"/>
  <c r="AJ11" i="23"/>
  <c r="AK11" i="23"/>
  <c r="AL11" i="23"/>
  <c r="AM11" i="23"/>
  <c r="AN11" i="23"/>
  <c r="AO11" i="23"/>
  <c r="AO16" i="23" s="1"/>
  <c r="F12" i="23"/>
  <c r="D12" i="23" s="1"/>
  <c r="F12" i="35" s="1"/>
  <c r="H12" i="35" s="1"/>
  <c r="H12" i="23"/>
  <c r="I12" i="23"/>
  <c r="J12" i="23"/>
  <c r="J16" i="23" s="1"/>
  <c r="K12" i="23"/>
  <c r="L12" i="23"/>
  <c r="M12" i="23"/>
  <c r="N12" i="23"/>
  <c r="O12" i="23"/>
  <c r="P12" i="23"/>
  <c r="Q12" i="23"/>
  <c r="R12" i="23"/>
  <c r="R16" i="23" s="1"/>
  <c r="S12" i="23"/>
  <c r="T12" i="23"/>
  <c r="U12" i="23"/>
  <c r="V12" i="23"/>
  <c r="W12" i="23"/>
  <c r="X12" i="23"/>
  <c r="Y12" i="23"/>
  <c r="Z12" i="23"/>
  <c r="Z16" i="23" s="1"/>
  <c r="AA12" i="23"/>
  <c r="AB12" i="23"/>
  <c r="AC12" i="23"/>
  <c r="AD12" i="23"/>
  <c r="AE12" i="23"/>
  <c r="AF12" i="23"/>
  <c r="AG12" i="23"/>
  <c r="AH12" i="23"/>
  <c r="AH16" i="23" s="1"/>
  <c r="AI12" i="23"/>
  <c r="AJ12" i="23"/>
  <c r="AK12" i="23"/>
  <c r="AL12" i="23"/>
  <c r="AM12" i="23"/>
  <c r="AN12" i="23"/>
  <c r="AO12" i="23"/>
  <c r="F13" i="23"/>
  <c r="G13" i="23"/>
  <c r="H13" i="23"/>
  <c r="I13" i="23"/>
  <c r="J13" i="23"/>
  <c r="K13" i="23"/>
  <c r="L13" i="23"/>
  <c r="M13" i="23"/>
  <c r="E13" i="23" s="1"/>
  <c r="G13" i="35" s="1"/>
  <c r="N13" i="23"/>
  <c r="O13" i="23"/>
  <c r="P13" i="23"/>
  <c r="Q13" i="23"/>
  <c r="R13" i="23"/>
  <c r="S13" i="23"/>
  <c r="T13" i="23"/>
  <c r="T16" i="23" s="1"/>
  <c r="U13" i="23"/>
  <c r="U13" i="24" s="1"/>
  <c r="V13" i="23"/>
  <c r="W13" i="23"/>
  <c r="X13" i="23"/>
  <c r="Y13" i="23"/>
  <c r="Z13" i="23"/>
  <c r="AA13" i="23"/>
  <c r="AB13" i="23"/>
  <c r="AB16" i="23" s="1"/>
  <c r="AB82" i="23" s="1"/>
  <c r="Z643" i="44" s="1"/>
  <c r="AC13" i="23"/>
  <c r="AD13" i="23"/>
  <c r="AD13" i="24" s="1"/>
  <c r="AE13" i="23"/>
  <c r="AF13" i="23"/>
  <c r="AG13" i="23"/>
  <c r="AH13" i="23"/>
  <c r="AI13" i="23"/>
  <c r="AJ13" i="23"/>
  <c r="AJ16" i="23" s="1"/>
  <c r="AK13" i="23"/>
  <c r="AL13" i="23"/>
  <c r="AM13" i="23"/>
  <c r="AN13" i="23"/>
  <c r="AO13" i="23"/>
  <c r="D14" i="23"/>
  <c r="F14" i="35" s="1"/>
  <c r="F14" i="23"/>
  <c r="G14" i="23"/>
  <c r="H14" i="23"/>
  <c r="H14" i="24" s="1"/>
  <c r="I14" i="23"/>
  <c r="J14" i="23"/>
  <c r="K14" i="23"/>
  <c r="L14" i="23"/>
  <c r="M14" i="23"/>
  <c r="N14" i="23"/>
  <c r="O14" i="23"/>
  <c r="O16" i="23" s="1"/>
  <c r="P14" i="23"/>
  <c r="Q14" i="23"/>
  <c r="R14" i="23"/>
  <c r="S14" i="23"/>
  <c r="T14" i="23"/>
  <c r="U14" i="23"/>
  <c r="V14" i="23"/>
  <c r="W14" i="23"/>
  <c r="W16" i="23" s="1"/>
  <c r="W82" i="23" s="1"/>
  <c r="U643" i="44" s="1"/>
  <c r="X14" i="23"/>
  <c r="Y14" i="23"/>
  <c r="Z14" i="23"/>
  <c r="AA14" i="23"/>
  <c r="AB14" i="23"/>
  <c r="AC14" i="23"/>
  <c r="AD14" i="23"/>
  <c r="AE14" i="23"/>
  <c r="AE16" i="23" s="1"/>
  <c r="AF14" i="23"/>
  <c r="AG14" i="23"/>
  <c r="AH14" i="23"/>
  <c r="AI14" i="23"/>
  <c r="AJ14" i="23"/>
  <c r="AK14" i="23"/>
  <c r="AL14" i="23"/>
  <c r="AM14" i="23"/>
  <c r="AM16" i="23" s="1"/>
  <c r="AM82" i="23" s="1"/>
  <c r="AK643" i="44" s="1"/>
  <c r="AN14" i="23"/>
  <c r="AO14" i="23"/>
  <c r="F15" i="23"/>
  <c r="G15" i="23"/>
  <c r="H15" i="23"/>
  <c r="I15" i="23"/>
  <c r="J15" i="23"/>
  <c r="K15" i="23"/>
  <c r="L15" i="23"/>
  <c r="M15" i="23"/>
  <c r="E15" i="23" s="1"/>
  <c r="G15" i="35" s="1"/>
  <c r="N15" i="23"/>
  <c r="O15" i="23"/>
  <c r="P15" i="23"/>
  <c r="P16" i="23" s="1"/>
  <c r="Q15" i="23"/>
  <c r="R15" i="23"/>
  <c r="S15" i="23"/>
  <c r="T15" i="23"/>
  <c r="U15" i="23"/>
  <c r="V15" i="23"/>
  <c r="W15" i="23"/>
  <c r="X15" i="23"/>
  <c r="Y15" i="23"/>
  <c r="Y15" i="24" s="1"/>
  <c r="Z15" i="23"/>
  <c r="AA15" i="23"/>
  <c r="AB15" i="23"/>
  <c r="AC15" i="23"/>
  <c r="AD15" i="23"/>
  <c r="AE15" i="23"/>
  <c r="AF15" i="23"/>
  <c r="AF16" i="23" s="1"/>
  <c r="AG15" i="23"/>
  <c r="AH15" i="23"/>
  <c r="AI15" i="23"/>
  <c r="AJ15" i="23"/>
  <c r="AK15" i="23"/>
  <c r="AL15" i="23"/>
  <c r="AH15" i="24" s="1"/>
  <c r="AM15" i="23"/>
  <c r="AN15" i="23"/>
  <c r="AO15" i="23"/>
  <c r="H16" i="23"/>
  <c r="K16" i="23"/>
  <c r="X16" i="23"/>
  <c r="AA16" i="23"/>
  <c r="AN16" i="23"/>
  <c r="F19" i="23"/>
  <c r="G19" i="23"/>
  <c r="H19" i="23"/>
  <c r="I19" i="23"/>
  <c r="J19" i="23"/>
  <c r="K19" i="23"/>
  <c r="L19" i="23"/>
  <c r="M19" i="23"/>
  <c r="M24" i="23" s="1"/>
  <c r="N19" i="23"/>
  <c r="O19" i="23"/>
  <c r="P19" i="23"/>
  <c r="Q19" i="23"/>
  <c r="R19" i="23"/>
  <c r="R24" i="23" s="1"/>
  <c r="S19" i="23"/>
  <c r="T19" i="23"/>
  <c r="U19" i="23"/>
  <c r="U24" i="23" s="1"/>
  <c r="V19" i="23"/>
  <c r="W19" i="23"/>
  <c r="X19" i="23"/>
  <c r="Y19" i="23"/>
  <c r="Z19" i="23"/>
  <c r="Z24" i="23" s="1"/>
  <c r="AA19" i="23"/>
  <c r="AB19" i="23"/>
  <c r="AC19" i="23"/>
  <c r="AC24" i="23" s="1"/>
  <c r="AD19" i="23"/>
  <c r="AE19" i="23"/>
  <c r="AE19" i="24" s="1"/>
  <c r="AF19" i="23"/>
  <c r="AG19" i="23"/>
  <c r="AH19" i="23"/>
  <c r="AH24" i="23" s="1"/>
  <c r="AI19" i="23"/>
  <c r="AJ19" i="23"/>
  <c r="AK19" i="23"/>
  <c r="AK24" i="23" s="1"/>
  <c r="AL19" i="23"/>
  <c r="AM19" i="23"/>
  <c r="AN19" i="23"/>
  <c r="AO19" i="23"/>
  <c r="D20" i="23"/>
  <c r="F20" i="35" s="1"/>
  <c r="F20" i="23"/>
  <c r="F24" i="23" s="1"/>
  <c r="G20" i="23"/>
  <c r="H20" i="23"/>
  <c r="I20" i="23"/>
  <c r="J20" i="23"/>
  <c r="K20" i="23"/>
  <c r="L20" i="23"/>
  <c r="M20" i="23"/>
  <c r="N20" i="23"/>
  <c r="N24" i="23" s="1"/>
  <c r="O20" i="23"/>
  <c r="P20" i="23"/>
  <c r="Q20" i="23"/>
  <c r="R20" i="23"/>
  <c r="S20" i="23"/>
  <c r="T20" i="23"/>
  <c r="U20" i="23"/>
  <c r="V20" i="23"/>
  <c r="V24" i="23" s="1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F21" i="23"/>
  <c r="G21" i="23"/>
  <c r="H21" i="23"/>
  <c r="H24" i="23" s="1"/>
  <c r="I21" i="23"/>
  <c r="J21" i="23"/>
  <c r="K21" i="23"/>
  <c r="L21" i="23"/>
  <c r="M21" i="23"/>
  <c r="N21" i="23"/>
  <c r="O21" i="23"/>
  <c r="P21" i="23"/>
  <c r="P24" i="23" s="1"/>
  <c r="Q21" i="23"/>
  <c r="R21" i="23"/>
  <c r="S21" i="23"/>
  <c r="S21" i="24" s="1"/>
  <c r="T21" i="23"/>
  <c r="U21" i="23"/>
  <c r="V21" i="23"/>
  <c r="W21" i="23"/>
  <c r="X21" i="23"/>
  <c r="X24" i="23" s="1"/>
  <c r="Y21" i="23"/>
  <c r="Z21" i="23"/>
  <c r="AA21" i="23"/>
  <c r="AB21" i="23"/>
  <c r="AC21" i="23"/>
  <c r="AD21" i="23"/>
  <c r="AE21" i="23"/>
  <c r="AF21" i="23"/>
  <c r="AF24" i="23" s="1"/>
  <c r="AG21" i="23"/>
  <c r="AH21" i="23"/>
  <c r="AI21" i="23"/>
  <c r="AJ21" i="23"/>
  <c r="AK21" i="23"/>
  <c r="AL21" i="23"/>
  <c r="AM21" i="23"/>
  <c r="AN21" i="23"/>
  <c r="AN24" i="23" s="1"/>
  <c r="AO21" i="23"/>
  <c r="F22" i="23"/>
  <c r="G22" i="23"/>
  <c r="H22" i="23"/>
  <c r="I22" i="23"/>
  <c r="J22" i="23"/>
  <c r="K22" i="23"/>
  <c r="L22" i="23"/>
  <c r="M22" i="23"/>
  <c r="N22" i="23"/>
  <c r="O22" i="23"/>
  <c r="O24" i="23" s="1"/>
  <c r="P22" i="23"/>
  <c r="Q22" i="23"/>
  <c r="R22" i="23"/>
  <c r="S22" i="23"/>
  <c r="T22" i="23"/>
  <c r="U22" i="23"/>
  <c r="U22" i="24" s="1"/>
  <c r="V22" i="23"/>
  <c r="W22" i="23"/>
  <c r="W24" i="23" s="1"/>
  <c r="X22" i="23"/>
  <c r="Y22" i="23"/>
  <c r="Z22" i="23"/>
  <c r="AA22" i="23"/>
  <c r="AB22" i="23"/>
  <c r="AC22" i="23"/>
  <c r="AD22" i="23"/>
  <c r="AE22" i="23"/>
  <c r="AE24" i="23" s="1"/>
  <c r="AF22" i="23"/>
  <c r="AG22" i="23"/>
  <c r="AH22" i="23"/>
  <c r="AI22" i="23"/>
  <c r="AJ22" i="23"/>
  <c r="AK22" i="23"/>
  <c r="AL22" i="23"/>
  <c r="AM22" i="23"/>
  <c r="AM24" i="23" s="1"/>
  <c r="AN22" i="23"/>
  <c r="AO22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K24" i="23"/>
  <c r="L24" i="23"/>
  <c r="S24" i="23"/>
  <c r="T24" i="23"/>
  <c r="AA24" i="23"/>
  <c r="AB24" i="23"/>
  <c r="AD24" i="23"/>
  <c r="AI24" i="23"/>
  <c r="AJ24" i="23"/>
  <c r="F27" i="23"/>
  <c r="G27" i="23"/>
  <c r="H27" i="23"/>
  <c r="I27" i="23"/>
  <c r="J27" i="23"/>
  <c r="K27" i="23"/>
  <c r="L27" i="23"/>
  <c r="M27" i="23"/>
  <c r="M29" i="23" s="1"/>
  <c r="N27" i="23"/>
  <c r="N29" i="23" s="1"/>
  <c r="O27" i="23"/>
  <c r="P27" i="23"/>
  <c r="Q27" i="23"/>
  <c r="Q29" i="23" s="1"/>
  <c r="R27" i="23"/>
  <c r="S27" i="23"/>
  <c r="T27" i="23"/>
  <c r="U27" i="23"/>
  <c r="V27" i="23"/>
  <c r="V29" i="23" s="1"/>
  <c r="W27" i="23"/>
  <c r="X27" i="23"/>
  <c r="Y27" i="23"/>
  <c r="Y29" i="23" s="1"/>
  <c r="Z27" i="23"/>
  <c r="AA27" i="23"/>
  <c r="AB27" i="23"/>
  <c r="AC27" i="23"/>
  <c r="AC29" i="23" s="1"/>
  <c r="AD27" i="23"/>
  <c r="AD29" i="23" s="1"/>
  <c r="AE27" i="23"/>
  <c r="AF27" i="23"/>
  <c r="AG27" i="23"/>
  <c r="AG29" i="23" s="1"/>
  <c r="AH27" i="23"/>
  <c r="AI27" i="23"/>
  <c r="AJ27" i="23"/>
  <c r="AK27" i="23"/>
  <c r="AL27" i="23"/>
  <c r="AL29" i="23" s="1"/>
  <c r="AM27" i="23"/>
  <c r="AN27" i="23"/>
  <c r="AO27" i="23"/>
  <c r="AO29" i="23" s="1"/>
  <c r="F28" i="23"/>
  <c r="G28" i="23"/>
  <c r="H28" i="23"/>
  <c r="I28" i="23"/>
  <c r="J28" i="23"/>
  <c r="K28" i="23"/>
  <c r="L28" i="23"/>
  <c r="M28" i="23"/>
  <c r="N28" i="23"/>
  <c r="O28" i="23"/>
  <c r="O29" i="23" s="1"/>
  <c r="P28" i="23"/>
  <c r="Q28" i="23"/>
  <c r="R28" i="23"/>
  <c r="R29" i="23" s="1"/>
  <c r="S28" i="23"/>
  <c r="T28" i="23"/>
  <c r="U28" i="23"/>
  <c r="V28" i="23"/>
  <c r="W28" i="23"/>
  <c r="W29" i="23" s="1"/>
  <c r="X28" i="23"/>
  <c r="Y28" i="23"/>
  <c r="Z28" i="23"/>
  <c r="Z29" i="23" s="1"/>
  <c r="AA28" i="23"/>
  <c r="AB28" i="23"/>
  <c r="AC28" i="23"/>
  <c r="AD28" i="23"/>
  <c r="AE28" i="23"/>
  <c r="AE29" i="23" s="1"/>
  <c r="AF28" i="23"/>
  <c r="AG28" i="23"/>
  <c r="AH28" i="23"/>
  <c r="AH29" i="23" s="1"/>
  <c r="AI28" i="23"/>
  <c r="AJ28" i="23"/>
  <c r="AK28" i="23"/>
  <c r="AL28" i="23"/>
  <c r="AM28" i="23"/>
  <c r="AM29" i="23" s="1"/>
  <c r="AN28" i="23"/>
  <c r="AO28" i="23"/>
  <c r="J29" i="23"/>
  <c r="L29" i="23"/>
  <c r="T29" i="23"/>
  <c r="U29" i="23"/>
  <c r="AB29" i="23"/>
  <c r="AJ29" i="23"/>
  <c r="AK29" i="23"/>
  <c r="D32" i="23"/>
  <c r="F32" i="23"/>
  <c r="G32" i="23"/>
  <c r="H32" i="23"/>
  <c r="I32" i="23"/>
  <c r="J32" i="23"/>
  <c r="K32" i="23"/>
  <c r="K36" i="23" s="1"/>
  <c r="L32" i="23"/>
  <c r="M32" i="23"/>
  <c r="N32" i="23"/>
  <c r="N36" i="23" s="1"/>
  <c r="O32" i="23"/>
  <c r="P32" i="23"/>
  <c r="Q32" i="23"/>
  <c r="R32" i="23"/>
  <c r="S32" i="23"/>
  <c r="S36" i="23" s="1"/>
  <c r="T32" i="23"/>
  <c r="U32" i="23"/>
  <c r="V32" i="23"/>
  <c r="V36" i="23" s="1"/>
  <c r="W32" i="23"/>
  <c r="X32" i="23"/>
  <c r="Y32" i="23"/>
  <c r="Z32" i="23"/>
  <c r="AA32" i="23"/>
  <c r="AA36" i="23" s="1"/>
  <c r="AB32" i="23"/>
  <c r="AC32" i="23"/>
  <c r="AD32" i="23"/>
  <c r="AD36" i="23" s="1"/>
  <c r="AE32" i="23"/>
  <c r="AF32" i="23"/>
  <c r="AG32" i="23"/>
  <c r="AH32" i="23"/>
  <c r="AI32" i="23"/>
  <c r="AI36" i="23" s="1"/>
  <c r="AJ32" i="23"/>
  <c r="AK32" i="23"/>
  <c r="AL32" i="23"/>
  <c r="AM32" i="23"/>
  <c r="AN32" i="23"/>
  <c r="AO32" i="23"/>
  <c r="F33" i="23"/>
  <c r="G33" i="23"/>
  <c r="H33" i="23"/>
  <c r="H36" i="23" s="1"/>
  <c r="I33" i="23"/>
  <c r="J33" i="23"/>
  <c r="K33" i="23"/>
  <c r="L33" i="23"/>
  <c r="M33" i="23"/>
  <c r="M36" i="23" s="1"/>
  <c r="N33" i="23"/>
  <c r="O33" i="23"/>
  <c r="P33" i="23"/>
  <c r="P36" i="23" s="1"/>
  <c r="Q33" i="23"/>
  <c r="Q36" i="23" s="1"/>
  <c r="R33" i="23"/>
  <c r="S33" i="23"/>
  <c r="T33" i="23"/>
  <c r="U33" i="23"/>
  <c r="U36" i="23" s="1"/>
  <c r="V33" i="23"/>
  <c r="W33" i="23"/>
  <c r="X33" i="23"/>
  <c r="X36" i="23" s="1"/>
  <c r="Y33" i="23"/>
  <c r="Y36" i="23" s="1"/>
  <c r="Z33" i="23"/>
  <c r="AA33" i="23"/>
  <c r="AB33" i="23"/>
  <c r="AC33" i="23"/>
  <c r="AC36" i="23" s="1"/>
  <c r="AD33" i="23"/>
  <c r="AE33" i="23"/>
  <c r="AF33" i="23"/>
  <c r="AF36" i="23" s="1"/>
  <c r="AG33" i="23"/>
  <c r="AG36" i="23" s="1"/>
  <c r="AH33" i="23"/>
  <c r="AI33" i="23"/>
  <c r="AJ33" i="23"/>
  <c r="AK33" i="23"/>
  <c r="AK36" i="23" s="1"/>
  <c r="AL33" i="23"/>
  <c r="AM33" i="23"/>
  <c r="AN33" i="23"/>
  <c r="AN36" i="23" s="1"/>
  <c r="AO33" i="23"/>
  <c r="AO36" i="23" s="1"/>
  <c r="F34" i="23"/>
  <c r="G34" i="23"/>
  <c r="H34" i="23"/>
  <c r="I34" i="23"/>
  <c r="J34" i="23"/>
  <c r="J36" i="23" s="1"/>
  <c r="K34" i="23"/>
  <c r="L34" i="23"/>
  <c r="M34" i="23"/>
  <c r="N34" i="23"/>
  <c r="O34" i="23"/>
  <c r="O36" i="23" s="1"/>
  <c r="P34" i="23"/>
  <c r="Q34" i="23"/>
  <c r="R34" i="23"/>
  <c r="R36" i="23" s="1"/>
  <c r="S34" i="23"/>
  <c r="T34" i="23"/>
  <c r="T34" i="24" s="1"/>
  <c r="U34" i="23"/>
  <c r="V34" i="23"/>
  <c r="W34" i="23"/>
  <c r="X34" i="23"/>
  <c r="Y34" i="23"/>
  <c r="Z34" i="23"/>
  <c r="Z36" i="23" s="1"/>
  <c r="AA34" i="23"/>
  <c r="AB34" i="23"/>
  <c r="AC34" i="23"/>
  <c r="AD34" i="23"/>
  <c r="AE34" i="23"/>
  <c r="AE36" i="23" s="1"/>
  <c r="AF34" i="23"/>
  <c r="AG34" i="23"/>
  <c r="AH34" i="23"/>
  <c r="AH36" i="23" s="1"/>
  <c r="AI34" i="23"/>
  <c r="AJ34" i="23"/>
  <c r="AK34" i="23"/>
  <c r="AL34" i="23"/>
  <c r="AM34" i="23"/>
  <c r="AN34" i="23"/>
  <c r="AO34" i="23"/>
  <c r="D35" i="23"/>
  <c r="F35" i="35" s="1"/>
  <c r="F35" i="23"/>
  <c r="G35" i="23"/>
  <c r="H35" i="23"/>
  <c r="I35" i="23"/>
  <c r="E35" i="23" s="1"/>
  <c r="G35" i="35" s="1"/>
  <c r="I35" i="35" s="1"/>
  <c r="J35" i="23"/>
  <c r="K35" i="23"/>
  <c r="L35" i="23"/>
  <c r="M35" i="23"/>
  <c r="N35" i="23"/>
  <c r="O35" i="23"/>
  <c r="P35" i="23"/>
  <c r="Q35" i="23"/>
  <c r="R35" i="23"/>
  <c r="S35" i="23"/>
  <c r="T35" i="23"/>
  <c r="T36" i="23" s="1"/>
  <c r="U35" i="23"/>
  <c r="V35" i="23"/>
  <c r="V35" i="24" s="1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J36" i="23" s="1"/>
  <c r="AK35" i="23"/>
  <c r="AL35" i="23"/>
  <c r="AH35" i="24" s="1"/>
  <c r="AM35" i="23"/>
  <c r="AN35" i="23"/>
  <c r="AO35" i="23"/>
  <c r="F36" i="23"/>
  <c r="G36" i="23"/>
  <c r="L36" i="23"/>
  <c r="W36" i="23"/>
  <c r="AB36" i="23"/>
  <c r="AL36" i="23"/>
  <c r="AM36" i="23"/>
  <c r="F39" i="23"/>
  <c r="G39" i="23"/>
  <c r="H39" i="23"/>
  <c r="I39" i="23"/>
  <c r="E39" i="23" s="1"/>
  <c r="G39" i="35" s="1"/>
  <c r="J39" i="23"/>
  <c r="K39" i="23"/>
  <c r="L39" i="23"/>
  <c r="M39" i="23"/>
  <c r="N39" i="23"/>
  <c r="N43" i="23" s="1"/>
  <c r="O39" i="23"/>
  <c r="P39" i="23"/>
  <c r="Q39" i="23"/>
  <c r="R39" i="23"/>
  <c r="S39" i="23"/>
  <c r="T39" i="23"/>
  <c r="U39" i="23"/>
  <c r="U39" i="24" s="1"/>
  <c r="V39" i="23"/>
  <c r="V43" i="23" s="1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L43" i="23" s="1"/>
  <c r="AM39" i="23"/>
  <c r="AN39" i="23"/>
  <c r="AO39" i="23"/>
  <c r="F40" i="23"/>
  <c r="G40" i="23"/>
  <c r="H40" i="23"/>
  <c r="I40" i="23"/>
  <c r="J40" i="23"/>
  <c r="K40" i="23"/>
  <c r="L40" i="23"/>
  <c r="M40" i="23"/>
  <c r="N40" i="23"/>
  <c r="O40" i="23"/>
  <c r="P40" i="23"/>
  <c r="P42" i="23" s="1"/>
  <c r="P43" i="23" s="1"/>
  <c r="Q40" i="23"/>
  <c r="R40" i="23"/>
  <c r="S40" i="23"/>
  <c r="T40" i="23"/>
  <c r="U40" i="23"/>
  <c r="V40" i="23"/>
  <c r="W40" i="23"/>
  <c r="X40" i="23"/>
  <c r="X42" i="23" s="1"/>
  <c r="X43" i="23" s="1"/>
  <c r="Y40" i="23"/>
  <c r="Z40" i="23"/>
  <c r="AA40" i="23"/>
  <c r="AA42" i="23" s="1"/>
  <c r="AA43" i="23" s="1"/>
  <c r="AB40" i="23"/>
  <c r="AC40" i="23"/>
  <c r="AD40" i="23"/>
  <c r="AE40" i="23"/>
  <c r="AE42" i="23" s="1"/>
  <c r="AE43" i="23" s="1"/>
  <c r="AF40" i="23"/>
  <c r="AF42" i="23" s="1"/>
  <c r="AF43" i="23" s="1"/>
  <c r="AG40" i="23"/>
  <c r="AH40" i="23"/>
  <c r="AI40" i="23"/>
  <c r="AG40" i="24" s="1"/>
  <c r="AG42" i="24" s="1"/>
  <c r="AG43" i="24" s="1"/>
  <c r="AJ40" i="23"/>
  <c r="AK40" i="23"/>
  <c r="AL40" i="23"/>
  <c r="AM40" i="23"/>
  <c r="AN40" i="23"/>
  <c r="AN42" i="23" s="1"/>
  <c r="AN43" i="23" s="1"/>
  <c r="AO40" i="23"/>
  <c r="F41" i="23"/>
  <c r="G41" i="23"/>
  <c r="H41" i="23"/>
  <c r="I41" i="23"/>
  <c r="J41" i="23"/>
  <c r="K41" i="23"/>
  <c r="L41" i="23"/>
  <c r="L42" i="23" s="1"/>
  <c r="L43" i="23" s="1"/>
  <c r="M41" i="23"/>
  <c r="N41" i="23"/>
  <c r="O41" i="23"/>
  <c r="P41" i="23"/>
  <c r="Q41" i="23"/>
  <c r="Q42" i="23" s="1"/>
  <c r="Q43" i="23" s="1"/>
  <c r="R41" i="23"/>
  <c r="S41" i="23"/>
  <c r="T41" i="23"/>
  <c r="U41" i="23"/>
  <c r="V41" i="23"/>
  <c r="W41" i="23"/>
  <c r="X41" i="23"/>
  <c r="Y41" i="23"/>
  <c r="Y42" i="23" s="1"/>
  <c r="Y43" i="23" s="1"/>
  <c r="Z41" i="23"/>
  <c r="AA41" i="23"/>
  <c r="AB41" i="23"/>
  <c r="AB42" i="23" s="1"/>
  <c r="AB43" i="23" s="1"/>
  <c r="AC41" i="23"/>
  <c r="AD41" i="23"/>
  <c r="AE41" i="23"/>
  <c r="AF41" i="23"/>
  <c r="AG41" i="23"/>
  <c r="AG42" i="23" s="1"/>
  <c r="AH41" i="23"/>
  <c r="AI41" i="23"/>
  <c r="AJ41" i="23"/>
  <c r="AJ42" i="23" s="1"/>
  <c r="AJ43" i="23" s="1"/>
  <c r="AK41" i="23"/>
  <c r="AL41" i="23"/>
  <c r="AM41" i="23"/>
  <c r="AN41" i="23"/>
  <c r="AO41" i="23"/>
  <c r="AO42" i="23" s="1"/>
  <c r="AO43" i="23" s="1"/>
  <c r="F42" i="23"/>
  <c r="K42" i="23"/>
  <c r="K43" i="23" s="1"/>
  <c r="N42" i="23"/>
  <c r="S42" i="23"/>
  <c r="S43" i="23" s="1"/>
  <c r="T42" i="23"/>
  <c r="T43" i="23" s="1"/>
  <c r="V42" i="23"/>
  <c r="W42" i="23"/>
  <c r="W43" i="23" s="1"/>
  <c r="AD42" i="23"/>
  <c r="AI42" i="23"/>
  <c r="AI43" i="23" s="1"/>
  <c r="AL42" i="23"/>
  <c r="AM42" i="23"/>
  <c r="AM43" i="23" s="1"/>
  <c r="AD43" i="23"/>
  <c r="AG43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F47" i="23"/>
  <c r="G47" i="23"/>
  <c r="H47" i="23"/>
  <c r="I47" i="23"/>
  <c r="J47" i="23"/>
  <c r="K47" i="23"/>
  <c r="L47" i="23"/>
  <c r="D47" i="23" s="1"/>
  <c r="F47" i="35" s="1"/>
  <c r="H47" i="35" s="1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F49" i="23"/>
  <c r="G49" i="23"/>
  <c r="H49" i="23"/>
  <c r="I49" i="23"/>
  <c r="J49" i="23"/>
  <c r="K49" i="23"/>
  <c r="L49" i="23"/>
  <c r="L49" i="24" s="1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D50" i="23"/>
  <c r="E50" i="23"/>
  <c r="D51" i="23"/>
  <c r="F51" i="35" s="1"/>
  <c r="F51" i="23"/>
  <c r="G51" i="23"/>
  <c r="H51" i="23"/>
  <c r="I51" i="23"/>
  <c r="J51" i="23"/>
  <c r="K51" i="23"/>
  <c r="L51" i="23"/>
  <c r="M51" i="23"/>
  <c r="M51" i="24" s="1"/>
  <c r="N51" i="23"/>
  <c r="O51" i="23"/>
  <c r="P51" i="23"/>
  <c r="Q51" i="23"/>
  <c r="R51" i="23"/>
  <c r="S51" i="23"/>
  <c r="T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F54" i="23"/>
  <c r="G54" i="23"/>
  <c r="H54" i="23"/>
  <c r="I54" i="23"/>
  <c r="I56" i="23" s="1"/>
  <c r="J54" i="23"/>
  <c r="K54" i="23"/>
  <c r="L54" i="23"/>
  <c r="M54" i="23"/>
  <c r="N54" i="23"/>
  <c r="N54" i="24" s="1"/>
  <c r="O54" i="23"/>
  <c r="O56" i="23" s="1"/>
  <c r="P54" i="23"/>
  <c r="Q54" i="23"/>
  <c r="Q56" i="23" s="1"/>
  <c r="R54" i="23"/>
  <c r="R56" i="23" s="1"/>
  <c r="S54" i="23"/>
  <c r="T54" i="23"/>
  <c r="U54" i="23"/>
  <c r="V54" i="23"/>
  <c r="W54" i="23"/>
  <c r="W56" i="23" s="1"/>
  <c r="X54" i="23"/>
  <c r="Y54" i="23"/>
  <c r="Y56" i="23" s="1"/>
  <c r="Z54" i="23"/>
  <c r="AA54" i="23"/>
  <c r="AA54" i="24" s="1"/>
  <c r="AB54" i="23"/>
  <c r="AC54" i="23"/>
  <c r="AD54" i="23"/>
  <c r="AE54" i="23"/>
  <c r="AE56" i="23" s="1"/>
  <c r="AF54" i="23"/>
  <c r="AG54" i="23"/>
  <c r="AG56" i="23" s="1"/>
  <c r="AH54" i="23"/>
  <c r="AH56" i="23" s="1"/>
  <c r="AI54" i="23"/>
  <c r="AJ54" i="23"/>
  <c r="AK54" i="23"/>
  <c r="AL54" i="23"/>
  <c r="AM54" i="23"/>
  <c r="AM56" i="23" s="1"/>
  <c r="AN54" i="23"/>
  <c r="AO54" i="23"/>
  <c r="AO56" i="23" s="1"/>
  <c r="D55" i="23"/>
  <c r="F55" i="35" s="1"/>
  <c r="H55" i="35" s="1"/>
  <c r="F55" i="23"/>
  <c r="G55" i="23"/>
  <c r="H55" i="23"/>
  <c r="H56" i="23" s="1"/>
  <c r="I55" i="23"/>
  <c r="J55" i="23"/>
  <c r="K55" i="23"/>
  <c r="L55" i="23"/>
  <c r="M55" i="23"/>
  <c r="N55" i="23"/>
  <c r="O55" i="23"/>
  <c r="P55" i="23"/>
  <c r="P56" i="23" s="1"/>
  <c r="Q55" i="23"/>
  <c r="R55" i="23"/>
  <c r="S55" i="23"/>
  <c r="S55" i="24" s="1"/>
  <c r="T55" i="23"/>
  <c r="U55" i="23"/>
  <c r="V55" i="23"/>
  <c r="W55" i="23"/>
  <c r="X55" i="23"/>
  <c r="X56" i="23" s="1"/>
  <c r="Y55" i="23"/>
  <c r="Z55" i="23"/>
  <c r="AA55" i="23"/>
  <c r="AA55" i="24" s="1"/>
  <c r="AB55" i="23"/>
  <c r="AC55" i="23"/>
  <c r="AD55" i="23"/>
  <c r="AE55" i="23"/>
  <c r="AF55" i="23"/>
  <c r="AF56" i="23" s="1"/>
  <c r="AG55" i="23"/>
  <c r="AH55" i="23"/>
  <c r="AI55" i="23"/>
  <c r="AJ55" i="23"/>
  <c r="AK55" i="23"/>
  <c r="AL55" i="23"/>
  <c r="AM55" i="23"/>
  <c r="AN55" i="23"/>
  <c r="AN56" i="23" s="1"/>
  <c r="AO55" i="23"/>
  <c r="F56" i="23"/>
  <c r="J56" i="23"/>
  <c r="K56" i="23"/>
  <c r="M56" i="23"/>
  <c r="N56" i="23"/>
  <c r="S56" i="23"/>
  <c r="U56" i="23"/>
  <c r="V56" i="23"/>
  <c r="Z56" i="23"/>
  <c r="AA56" i="23"/>
  <c r="AC56" i="23"/>
  <c r="AD56" i="23"/>
  <c r="AI56" i="23"/>
  <c r="AK56" i="23"/>
  <c r="AL56" i="23"/>
  <c r="E59" i="23"/>
  <c r="F59" i="23"/>
  <c r="G59" i="23"/>
  <c r="G61" i="23" s="1"/>
  <c r="H59" i="23"/>
  <c r="I59" i="23"/>
  <c r="J59" i="23"/>
  <c r="J61" i="23" s="1"/>
  <c r="K59" i="23"/>
  <c r="L59" i="23"/>
  <c r="M59" i="23"/>
  <c r="M61" i="23" s="1"/>
  <c r="N59" i="23"/>
  <c r="O59" i="23"/>
  <c r="O61" i="23" s="1"/>
  <c r="P59" i="23"/>
  <c r="P61" i="23" s="1"/>
  <c r="Q59" i="23"/>
  <c r="R59" i="23"/>
  <c r="R61" i="23" s="1"/>
  <c r="S59" i="23"/>
  <c r="T59" i="23"/>
  <c r="T61" i="23" s="1"/>
  <c r="U59" i="23"/>
  <c r="U61" i="23" s="1"/>
  <c r="V59" i="23"/>
  <c r="W59" i="23"/>
  <c r="W61" i="23" s="1"/>
  <c r="X59" i="23"/>
  <c r="X61" i="23" s="1"/>
  <c r="Y59" i="23"/>
  <c r="Z59" i="23"/>
  <c r="Z61" i="23" s="1"/>
  <c r="AA59" i="23"/>
  <c r="AB59" i="23"/>
  <c r="AB61" i="23" s="1"/>
  <c r="AC59" i="23"/>
  <c r="AC61" i="23" s="1"/>
  <c r="AD59" i="23"/>
  <c r="AE59" i="23"/>
  <c r="AE61" i="23" s="1"/>
  <c r="AF59" i="23"/>
  <c r="AF61" i="23" s="1"/>
  <c r="AG59" i="23"/>
  <c r="AH59" i="23"/>
  <c r="AH61" i="23" s="1"/>
  <c r="AI59" i="23"/>
  <c r="AJ59" i="23"/>
  <c r="AJ61" i="23" s="1"/>
  <c r="AK59" i="23"/>
  <c r="AK61" i="23" s="1"/>
  <c r="AL59" i="23"/>
  <c r="AM59" i="23"/>
  <c r="AM61" i="23" s="1"/>
  <c r="AN59" i="23"/>
  <c r="AO59" i="23"/>
  <c r="F60" i="23"/>
  <c r="G60" i="23"/>
  <c r="H60" i="23"/>
  <c r="I60" i="23"/>
  <c r="I61" i="23" s="1"/>
  <c r="J60" i="23"/>
  <c r="K60" i="23"/>
  <c r="L60" i="23"/>
  <c r="M60" i="23"/>
  <c r="N60" i="23"/>
  <c r="N61" i="23" s="1"/>
  <c r="O60" i="23"/>
  <c r="P60" i="23"/>
  <c r="P60" i="24" s="1"/>
  <c r="Q60" i="23"/>
  <c r="Q61" i="23" s="1"/>
  <c r="R60" i="23"/>
  <c r="S60" i="23"/>
  <c r="T60" i="23"/>
  <c r="U60" i="23"/>
  <c r="V60" i="23"/>
  <c r="W60" i="23"/>
  <c r="X60" i="23"/>
  <c r="Y60" i="23"/>
  <c r="Y61" i="23" s="1"/>
  <c r="Z60" i="23"/>
  <c r="AA60" i="23"/>
  <c r="AB60" i="23"/>
  <c r="AC60" i="23"/>
  <c r="AD60" i="23"/>
  <c r="AD61" i="23" s="1"/>
  <c r="AE60" i="23"/>
  <c r="AF60" i="23"/>
  <c r="AG60" i="23"/>
  <c r="AG61" i="23" s="1"/>
  <c r="AH60" i="23"/>
  <c r="AI60" i="23"/>
  <c r="AJ60" i="23"/>
  <c r="AK60" i="23"/>
  <c r="AL60" i="23"/>
  <c r="AL61" i="23" s="1"/>
  <c r="AM60" i="23"/>
  <c r="AN60" i="23"/>
  <c r="AO60" i="23"/>
  <c r="AO61" i="23" s="1"/>
  <c r="H61" i="23"/>
  <c r="K61" i="23"/>
  <c r="S61" i="23"/>
  <c r="AA61" i="23"/>
  <c r="AI61" i="23"/>
  <c r="AN61" i="23"/>
  <c r="F64" i="23"/>
  <c r="G64" i="23"/>
  <c r="H64" i="23"/>
  <c r="H66" i="23" s="1"/>
  <c r="I64" i="23"/>
  <c r="J64" i="23"/>
  <c r="K64" i="23"/>
  <c r="L64" i="23"/>
  <c r="M64" i="23"/>
  <c r="N64" i="23"/>
  <c r="O64" i="23"/>
  <c r="P64" i="23"/>
  <c r="P66" i="23" s="1"/>
  <c r="Q64" i="23"/>
  <c r="R64" i="23"/>
  <c r="S64" i="23"/>
  <c r="S66" i="23" s="1"/>
  <c r="T64" i="23"/>
  <c r="U64" i="23"/>
  <c r="V64" i="23"/>
  <c r="W64" i="23"/>
  <c r="X64" i="23"/>
  <c r="X66" i="23" s="1"/>
  <c r="Y64" i="23"/>
  <c r="Z64" i="23"/>
  <c r="AA64" i="23"/>
  <c r="AA66" i="23" s="1"/>
  <c r="AB64" i="23"/>
  <c r="AC64" i="23"/>
  <c r="AD64" i="23"/>
  <c r="AE64" i="23"/>
  <c r="AF64" i="23"/>
  <c r="AF66" i="23" s="1"/>
  <c r="AG64" i="23"/>
  <c r="AH64" i="23"/>
  <c r="AI64" i="23"/>
  <c r="AI66" i="23" s="1"/>
  <c r="AJ64" i="23"/>
  <c r="AK64" i="23"/>
  <c r="AL64" i="23"/>
  <c r="AM64" i="23"/>
  <c r="AN64" i="23"/>
  <c r="AN66" i="23" s="1"/>
  <c r="AO64" i="23"/>
  <c r="F65" i="23"/>
  <c r="G65" i="23"/>
  <c r="H65" i="23"/>
  <c r="D65" i="23" s="1"/>
  <c r="F65" i="35" s="1"/>
  <c r="H65" i="35" s="1"/>
  <c r="I65" i="23"/>
  <c r="J65" i="23"/>
  <c r="K65" i="23"/>
  <c r="L65" i="23"/>
  <c r="L66" i="23" s="1"/>
  <c r="M65" i="23"/>
  <c r="E65" i="23" s="1"/>
  <c r="G65" i="35" s="1"/>
  <c r="N65" i="23"/>
  <c r="O65" i="23"/>
  <c r="P65" i="23"/>
  <c r="Q65" i="23"/>
  <c r="R65" i="23"/>
  <c r="S65" i="23"/>
  <c r="T65" i="23"/>
  <c r="T66" i="23" s="1"/>
  <c r="U65" i="23"/>
  <c r="V65" i="23"/>
  <c r="W65" i="23"/>
  <c r="X65" i="23"/>
  <c r="Y65" i="23"/>
  <c r="Z65" i="23"/>
  <c r="AA65" i="23"/>
  <c r="AB65" i="23"/>
  <c r="AB66" i="23" s="1"/>
  <c r="AC65" i="23"/>
  <c r="AD65" i="23"/>
  <c r="AE65" i="23"/>
  <c r="AF65" i="23"/>
  <c r="AG65" i="23"/>
  <c r="AH65" i="23"/>
  <c r="AI65" i="23"/>
  <c r="AJ65" i="23"/>
  <c r="AJ66" i="23" s="1"/>
  <c r="AK65" i="23"/>
  <c r="AL65" i="23"/>
  <c r="AM65" i="23"/>
  <c r="AN65" i="23"/>
  <c r="AO65" i="23"/>
  <c r="F66" i="23"/>
  <c r="G66" i="23"/>
  <c r="I66" i="23"/>
  <c r="J66" i="23"/>
  <c r="N66" i="23"/>
  <c r="O66" i="23"/>
  <c r="Q66" i="23"/>
  <c r="R66" i="23"/>
  <c r="V66" i="23"/>
  <c r="W66" i="23"/>
  <c r="Y66" i="23"/>
  <c r="Z66" i="23"/>
  <c r="AD66" i="23"/>
  <c r="AE66" i="23"/>
  <c r="AG66" i="23"/>
  <c r="AH66" i="23"/>
  <c r="AL66" i="23"/>
  <c r="AM66" i="23"/>
  <c r="AO66" i="23"/>
  <c r="D70" i="23"/>
  <c r="F70" i="23"/>
  <c r="F72" i="23" s="1"/>
  <c r="G70" i="23"/>
  <c r="H70" i="23"/>
  <c r="I70" i="23"/>
  <c r="J70" i="23"/>
  <c r="K70" i="23"/>
  <c r="L70" i="23"/>
  <c r="M70" i="23"/>
  <c r="N70" i="23"/>
  <c r="N72" i="23" s="1"/>
  <c r="O70" i="23"/>
  <c r="P70" i="23"/>
  <c r="Q70" i="23"/>
  <c r="Q72" i="23" s="1"/>
  <c r="R70" i="23"/>
  <c r="S70" i="23"/>
  <c r="S72" i="23" s="1"/>
  <c r="T70" i="23"/>
  <c r="U70" i="23"/>
  <c r="V70" i="23"/>
  <c r="V72" i="23" s="1"/>
  <c r="W70" i="23"/>
  <c r="X70" i="23"/>
  <c r="Y70" i="23"/>
  <c r="Y72" i="23" s="1"/>
  <c r="Z70" i="23"/>
  <c r="AA70" i="23"/>
  <c r="AA72" i="23" s="1"/>
  <c r="AB70" i="23"/>
  <c r="AC70" i="23"/>
  <c r="AD70" i="23"/>
  <c r="AD72" i="23" s="1"/>
  <c r="AE70" i="23"/>
  <c r="AF70" i="23"/>
  <c r="AG70" i="23"/>
  <c r="AG72" i="23" s="1"/>
  <c r="AH70" i="23"/>
  <c r="AI70" i="23"/>
  <c r="AI72" i="23" s="1"/>
  <c r="AJ70" i="23"/>
  <c r="AK70" i="23"/>
  <c r="AL70" i="23"/>
  <c r="AL72" i="23" s="1"/>
  <c r="AM70" i="23"/>
  <c r="AN70" i="23"/>
  <c r="AO70" i="23"/>
  <c r="AO72" i="23" s="1"/>
  <c r="F71" i="23"/>
  <c r="G71" i="23"/>
  <c r="H71" i="23"/>
  <c r="I71" i="23"/>
  <c r="J71" i="23"/>
  <c r="J72" i="23" s="1"/>
  <c r="K71" i="23"/>
  <c r="L71" i="23"/>
  <c r="M71" i="23"/>
  <c r="M72" i="23" s="1"/>
  <c r="N71" i="23"/>
  <c r="O71" i="23"/>
  <c r="P71" i="23"/>
  <c r="Q71" i="23"/>
  <c r="R71" i="23"/>
  <c r="R72" i="23" s="1"/>
  <c r="S71" i="23"/>
  <c r="T71" i="23"/>
  <c r="U71" i="23"/>
  <c r="U72" i="23" s="1"/>
  <c r="V71" i="23"/>
  <c r="W71" i="23"/>
  <c r="X71" i="23"/>
  <c r="Y71" i="23"/>
  <c r="Z71" i="23"/>
  <c r="Z72" i="23" s="1"/>
  <c r="AA71" i="23"/>
  <c r="AB71" i="23"/>
  <c r="AC71" i="23"/>
  <c r="AC72" i="23" s="1"/>
  <c r="AD71" i="23"/>
  <c r="AE71" i="23"/>
  <c r="AF71" i="23"/>
  <c r="AG71" i="23"/>
  <c r="AH71" i="23"/>
  <c r="AH72" i="23" s="1"/>
  <c r="AI71" i="23"/>
  <c r="AJ71" i="23"/>
  <c r="AK71" i="23"/>
  <c r="AK72" i="23" s="1"/>
  <c r="AL71" i="23"/>
  <c r="AM71" i="23"/>
  <c r="AN71" i="23"/>
  <c r="AO71" i="23"/>
  <c r="G72" i="23"/>
  <c r="H72" i="23"/>
  <c r="L72" i="23"/>
  <c r="O72" i="23"/>
  <c r="P72" i="23"/>
  <c r="T72" i="23"/>
  <c r="W72" i="23"/>
  <c r="X72" i="23"/>
  <c r="AB72" i="23"/>
  <c r="AE72" i="23"/>
  <c r="AF72" i="23"/>
  <c r="AJ72" i="23"/>
  <c r="AM72" i="23"/>
  <c r="AN72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Z73" i="24" s="1"/>
  <c r="AA73" i="23"/>
  <c r="AB73" i="23"/>
  <c r="AC73" i="23"/>
  <c r="AD73" i="23"/>
  <c r="AE73" i="23"/>
  <c r="AE73" i="24" s="1"/>
  <c r="AF73" i="23"/>
  <c r="AG73" i="23"/>
  <c r="AH73" i="23"/>
  <c r="AI73" i="23"/>
  <c r="AJ73" i="23"/>
  <c r="AK73" i="23"/>
  <c r="AL73" i="23"/>
  <c r="AM73" i="23"/>
  <c r="AN73" i="23"/>
  <c r="AO73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Y74" i="24" s="1"/>
  <c r="Z74" i="23"/>
  <c r="AA74" i="23"/>
  <c r="AB74" i="23"/>
  <c r="AB74" i="24" s="1"/>
  <c r="AC74" i="23"/>
  <c r="AD74" i="23"/>
  <c r="AE74" i="23"/>
  <c r="AF74" i="23"/>
  <c r="AG74" i="23"/>
  <c r="AH74" i="23"/>
  <c r="AI74" i="23"/>
  <c r="AG74" i="24" s="1"/>
  <c r="AJ74" i="23"/>
  <c r="AK74" i="23"/>
  <c r="AL74" i="23"/>
  <c r="AM74" i="23"/>
  <c r="AN74" i="23"/>
  <c r="AO74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V75" i="24" s="1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F76" i="23"/>
  <c r="G76" i="23"/>
  <c r="H76" i="23"/>
  <c r="I76" i="23"/>
  <c r="J76" i="23"/>
  <c r="K76" i="23"/>
  <c r="L76" i="23"/>
  <c r="M76" i="23"/>
  <c r="E76" i="23" s="1"/>
  <c r="G76" i="35" s="1"/>
  <c r="N76" i="23"/>
  <c r="O76" i="23"/>
  <c r="P76" i="23"/>
  <c r="Q76" i="23"/>
  <c r="R76" i="23"/>
  <c r="S76" i="23"/>
  <c r="T76" i="23"/>
  <c r="U76" i="23"/>
  <c r="V76" i="23"/>
  <c r="W76" i="23"/>
  <c r="X76" i="23"/>
  <c r="X76" i="24" s="1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I76" i="24" s="1"/>
  <c r="AN76" i="23"/>
  <c r="AO76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Z77" i="24" s="1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Q78" i="24" s="1"/>
  <c r="R78" i="23"/>
  <c r="S78" i="23"/>
  <c r="T78" i="23"/>
  <c r="T78" i="24" s="1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F79" i="23"/>
  <c r="G79" i="23"/>
  <c r="H79" i="23"/>
  <c r="I79" i="23"/>
  <c r="J79" i="23"/>
  <c r="K79" i="23"/>
  <c r="L79" i="23"/>
  <c r="M79" i="23"/>
  <c r="N79" i="23"/>
  <c r="N79" i="24" s="1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A79" i="24" s="1"/>
  <c r="AB79" i="23"/>
  <c r="AC79" i="23"/>
  <c r="AD79" i="23"/>
  <c r="AD79" i="24" s="1"/>
  <c r="AE79" i="23"/>
  <c r="AF79" i="23"/>
  <c r="AG79" i="23"/>
  <c r="AH79" i="23"/>
  <c r="AI79" i="23"/>
  <c r="AJ79" i="23"/>
  <c r="AK79" i="23"/>
  <c r="AL79" i="23"/>
  <c r="AM79" i="23"/>
  <c r="AN79" i="23"/>
  <c r="AO79" i="23"/>
  <c r="F80" i="23"/>
  <c r="G80" i="23"/>
  <c r="H80" i="23"/>
  <c r="I80" i="23"/>
  <c r="J80" i="23"/>
  <c r="K80" i="23"/>
  <c r="L80" i="23"/>
  <c r="D80" i="23" s="1"/>
  <c r="F80" i="35" s="1"/>
  <c r="H80" i="35" s="1"/>
  <c r="M80" i="23"/>
  <c r="E80" i="23" s="1"/>
  <c r="G80" i="35" s="1"/>
  <c r="I80" i="35" s="1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C80" i="24" s="1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F81" i="23"/>
  <c r="G81" i="23"/>
  <c r="H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F81" i="24" s="1"/>
  <c r="AI81" i="23"/>
  <c r="AJ81" i="23"/>
  <c r="AK81" i="23"/>
  <c r="AL81" i="23"/>
  <c r="AM81" i="23"/>
  <c r="AN81" i="23"/>
  <c r="AO81" i="23"/>
  <c r="A4" i="35"/>
  <c r="A5" i="35"/>
  <c r="E11" i="35"/>
  <c r="D12" i="35"/>
  <c r="E15" i="35"/>
  <c r="E19" i="35"/>
  <c r="D20" i="35"/>
  <c r="H20" i="35"/>
  <c r="D22" i="35"/>
  <c r="E22" i="35"/>
  <c r="E23" i="35"/>
  <c r="D32" i="35"/>
  <c r="E33" i="35"/>
  <c r="D34" i="35"/>
  <c r="E40" i="35"/>
  <c r="E45" i="35"/>
  <c r="D47" i="35"/>
  <c r="E51" i="35"/>
  <c r="H51" i="35"/>
  <c r="E54" i="35"/>
  <c r="D55" i="35"/>
  <c r="E59" i="35"/>
  <c r="D60" i="35"/>
  <c r="E64" i="35"/>
  <c r="D71" i="35"/>
  <c r="E73" i="35"/>
  <c r="D74" i="35"/>
  <c r="E76" i="35"/>
  <c r="E77" i="35"/>
  <c r="D78" i="35"/>
  <c r="E80" i="35"/>
  <c r="E81" i="35"/>
  <c r="A5" i="19"/>
  <c r="F11" i="19"/>
  <c r="H11" i="19"/>
  <c r="I11" i="19"/>
  <c r="L11" i="19"/>
  <c r="F12" i="19"/>
  <c r="H12" i="19"/>
  <c r="I12" i="19"/>
  <c r="L12" i="19"/>
  <c r="D12" i="43" s="1"/>
  <c r="F13" i="19"/>
  <c r="H13" i="19"/>
  <c r="I13" i="19"/>
  <c r="G13" i="19" s="1"/>
  <c r="F14" i="19"/>
  <c r="G14" i="19"/>
  <c r="H14" i="19"/>
  <c r="I14" i="19"/>
  <c r="L14" i="19"/>
  <c r="D14" i="43" s="1"/>
  <c r="M14" i="19"/>
  <c r="H15" i="19"/>
  <c r="I15" i="19"/>
  <c r="J16" i="19"/>
  <c r="J82" i="19" s="1"/>
  <c r="J91" i="19" s="1"/>
  <c r="K16" i="19"/>
  <c r="H18" i="19"/>
  <c r="I18" i="19"/>
  <c r="F19" i="19"/>
  <c r="G19" i="19"/>
  <c r="H19" i="19"/>
  <c r="I19" i="19"/>
  <c r="M19" i="19" s="1"/>
  <c r="L19" i="19"/>
  <c r="H20" i="19"/>
  <c r="L20" i="19" s="1"/>
  <c r="D20" i="43" s="1"/>
  <c r="I20" i="19"/>
  <c r="H21" i="19"/>
  <c r="I21" i="19"/>
  <c r="F22" i="19"/>
  <c r="G22" i="19"/>
  <c r="H22" i="19"/>
  <c r="I22" i="19"/>
  <c r="L22" i="19"/>
  <c r="D22" i="43" s="1"/>
  <c r="M22" i="19"/>
  <c r="E22" i="43" s="1"/>
  <c r="G23" i="19"/>
  <c r="H23" i="19"/>
  <c r="I23" i="19"/>
  <c r="M23" i="19" s="1"/>
  <c r="J24" i="19"/>
  <c r="K24" i="19"/>
  <c r="H27" i="19"/>
  <c r="I27" i="19"/>
  <c r="M27" i="19"/>
  <c r="F28" i="19"/>
  <c r="H28" i="19"/>
  <c r="L28" i="19" s="1"/>
  <c r="D28" i="43" s="1"/>
  <c r="I28" i="19"/>
  <c r="G28" i="19" s="1"/>
  <c r="M28" i="19"/>
  <c r="E28" i="43" s="1"/>
  <c r="H29" i="19"/>
  <c r="J29" i="19"/>
  <c r="K29" i="19"/>
  <c r="F32" i="19"/>
  <c r="G32" i="19"/>
  <c r="H32" i="19"/>
  <c r="I32" i="19"/>
  <c r="L32" i="19"/>
  <c r="D32" i="43" s="1"/>
  <c r="M32" i="19"/>
  <c r="H33" i="19"/>
  <c r="I33" i="19"/>
  <c r="F34" i="19"/>
  <c r="G34" i="19"/>
  <c r="H34" i="19"/>
  <c r="L34" i="19" s="1"/>
  <c r="D34" i="43" s="1"/>
  <c r="I34" i="19"/>
  <c r="M34" i="19"/>
  <c r="E34" i="43" s="1"/>
  <c r="F35" i="19"/>
  <c r="H35" i="19"/>
  <c r="I35" i="19"/>
  <c r="L35" i="19"/>
  <c r="J36" i="19"/>
  <c r="K36" i="19"/>
  <c r="L37" i="19"/>
  <c r="M37" i="19"/>
  <c r="H38" i="19"/>
  <c r="I38" i="19"/>
  <c r="H39" i="19"/>
  <c r="L39" i="19" s="1"/>
  <c r="I39" i="19"/>
  <c r="H40" i="19"/>
  <c r="I40" i="19"/>
  <c r="M40" i="19"/>
  <c r="F41" i="19"/>
  <c r="G41" i="19"/>
  <c r="H41" i="19"/>
  <c r="I41" i="19"/>
  <c r="L41" i="19"/>
  <c r="M41" i="19"/>
  <c r="E41" i="43" s="1"/>
  <c r="J42" i="19"/>
  <c r="K42" i="19"/>
  <c r="J43" i="19"/>
  <c r="K43" i="19"/>
  <c r="G45" i="19"/>
  <c r="H45" i="19"/>
  <c r="I45" i="19"/>
  <c r="M45" i="19" s="1"/>
  <c r="G47" i="19"/>
  <c r="H47" i="19"/>
  <c r="F47" i="19" s="1"/>
  <c r="I47" i="19"/>
  <c r="L47" i="19"/>
  <c r="D47" i="43" s="1"/>
  <c r="M47" i="19"/>
  <c r="E47" i="43" s="1"/>
  <c r="H49" i="19"/>
  <c r="F49" i="19" s="1"/>
  <c r="I49" i="19"/>
  <c r="G49" i="19" s="1"/>
  <c r="L49" i="19"/>
  <c r="D49" i="43" s="1"/>
  <c r="M49" i="19"/>
  <c r="E49" i="43" s="1"/>
  <c r="G51" i="19"/>
  <c r="H51" i="19"/>
  <c r="I51" i="19"/>
  <c r="M51" i="19"/>
  <c r="F54" i="19"/>
  <c r="H54" i="19"/>
  <c r="I54" i="19"/>
  <c r="L54" i="19"/>
  <c r="D54" i="43" s="1"/>
  <c r="F55" i="19"/>
  <c r="H55" i="19"/>
  <c r="I55" i="19"/>
  <c r="L55" i="19"/>
  <c r="F56" i="19"/>
  <c r="H56" i="19"/>
  <c r="J56" i="19"/>
  <c r="K56" i="19"/>
  <c r="L56" i="19"/>
  <c r="H59" i="19"/>
  <c r="I59" i="19"/>
  <c r="G60" i="19"/>
  <c r="H60" i="19"/>
  <c r="F60" i="19" s="1"/>
  <c r="I60" i="19"/>
  <c r="L60" i="19"/>
  <c r="D60" i="43" s="1"/>
  <c r="M60" i="19"/>
  <c r="E60" i="43" s="1"/>
  <c r="I61" i="19"/>
  <c r="J61" i="19"/>
  <c r="K61" i="19"/>
  <c r="F64" i="19"/>
  <c r="H64" i="19"/>
  <c r="I64" i="19"/>
  <c r="L64" i="19"/>
  <c r="G65" i="19"/>
  <c r="H65" i="19"/>
  <c r="I65" i="19"/>
  <c r="M65" i="19" s="1"/>
  <c r="H66" i="19"/>
  <c r="J66" i="19"/>
  <c r="K66" i="19"/>
  <c r="L69" i="19"/>
  <c r="M69" i="19"/>
  <c r="H70" i="19"/>
  <c r="I70" i="19"/>
  <c r="H71" i="19"/>
  <c r="I71" i="19"/>
  <c r="J72" i="19"/>
  <c r="K72" i="19"/>
  <c r="F73" i="19"/>
  <c r="G73" i="19"/>
  <c r="H73" i="19"/>
  <c r="L73" i="19" s="1"/>
  <c r="D73" i="43" s="1"/>
  <c r="I73" i="19"/>
  <c r="M73" i="19"/>
  <c r="E73" i="43" s="1"/>
  <c r="H74" i="19"/>
  <c r="L74" i="19" s="1"/>
  <c r="I74" i="19"/>
  <c r="H75" i="19"/>
  <c r="I75" i="19"/>
  <c r="G75" i="19" s="1"/>
  <c r="M75" i="19"/>
  <c r="E75" i="43" s="1"/>
  <c r="F76" i="19"/>
  <c r="H76" i="19"/>
  <c r="L76" i="19" s="1"/>
  <c r="D76" i="43" s="1"/>
  <c r="I76" i="19"/>
  <c r="G76" i="19" s="1"/>
  <c r="M76" i="19"/>
  <c r="G77" i="19"/>
  <c r="H77" i="19"/>
  <c r="I77" i="19"/>
  <c r="M77" i="19"/>
  <c r="G78" i="19"/>
  <c r="H78" i="19"/>
  <c r="F78" i="19" s="1"/>
  <c r="I78" i="19"/>
  <c r="M78" i="19" s="1"/>
  <c r="L78" i="19"/>
  <c r="F79" i="19"/>
  <c r="G79" i="19"/>
  <c r="H79" i="19"/>
  <c r="I79" i="19"/>
  <c r="L79" i="19"/>
  <c r="D79" i="43" s="1"/>
  <c r="M79" i="19"/>
  <c r="H80" i="19"/>
  <c r="I80" i="19"/>
  <c r="G81" i="19"/>
  <c r="H81" i="19"/>
  <c r="F81" i="19" s="1"/>
  <c r="I81" i="19"/>
  <c r="L81" i="19"/>
  <c r="D81" i="43" s="1"/>
  <c r="M81" i="19"/>
  <c r="E81" i="43" s="1"/>
  <c r="D82" i="19"/>
  <c r="E82" i="19"/>
  <c r="K82" i="19"/>
  <c r="K91" i="19" s="1"/>
  <c r="G86" i="19"/>
  <c r="H86" i="19"/>
  <c r="I86" i="19"/>
  <c r="M86" i="19"/>
  <c r="F87" i="19"/>
  <c r="G87" i="19"/>
  <c r="H87" i="19"/>
  <c r="I87" i="19"/>
  <c r="M87" i="19" s="1"/>
  <c r="L87" i="19"/>
  <c r="F88" i="19"/>
  <c r="H88" i="19"/>
  <c r="L88" i="19" s="1"/>
  <c r="D88" i="43" s="1"/>
  <c r="I88" i="19"/>
  <c r="D89" i="19"/>
  <c r="E89" i="19"/>
  <c r="I89" i="19"/>
  <c r="J89" i="19"/>
  <c r="K89" i="19"/>
  <c r="D91" i="19"/>
  <c r="E91" i="19"/>
  <c r="A5" i="31"/>
  <c r="H8" i="31"/>
  <c r="J8" i="31"/>
  <c r="L8" i="31"/>
  <c r="N8" i="31"/>
  <c r="F11" i="31"/>
  <c r="G11" i="31"/>
  <c r="N11" i="31"/>
  <c r="O11" i="31"/>
  <c r="O16" i="31" s="1"/>
  <c r="O82" i="31" s="1"/>
  <c r="X11" i="31"/>
  <c r="X16" i="31" s="1"/>
  <c r="Y11" i="31"/>
  <c r="Z11" i="31"/>
  <c r="AA11" i="31"/>
  <c r="AB11" i="31"/>
  <c r="AC11" i="31"/>
  <c r="AC16" i="31" s="1"/>
  <c r="AD11" i="31"/>
  <c r="AE11" i="31"/>
  <c r="AE16" i="31" s="1"/>
  <c r="AF11" i="31"/>
  <c r="AF16" i="31" s="1"/>
  <c r="AG11" i="31"/>
  <c r="AH11" i="31"/>
  <c r="AI11" i="31"/>
  <c r="AJ11" i="31"/>
  <c r="AK11" i="31"/>
  <c r="AK16" i="31" s="1"/>
  <c r="AL11" i="31"/>
  <c r="AM11" i="31"/>
  <c r="AN11" i="31"/>
  <c r="AN16" i="31" s="1"/>
  <c r="AO11" i="31"/>
  <c r="F12" i="31"/>
  <c r="G12" i="31"/>
  <c r="X12" i="31"/>
  <c r="Y12" i="31"/>
  <c r="Z12" i="31"/>
  <c r="Z16" i="31" s="1"/>
  <c r="AA12" i="31"/>
  <c r="AB12" i="31"/>
  <c r="AC12" i="31"/>
  <c r="AD12" i="31"/>
  <c r="AE12" i="31"/>
  <c r="AF12" i="31"/>
  <c r="AG12" i="31"/>
  <c r="AG16" i="31" s="1"/>
  <c r="AH12" i="31"/>
  <c r="AH16" i="31" s="1"/>
  <c r="AI12" i="31"/>
  <c r="AJ12" i="31"/>
  <c r="AK12" i="31"/>
  <c r="AL12" i="31"/>
  <c r="AM12" i="31"/>
  <c r="AN12" i="31"/>
  <c r="AO12" i="31"/>
  <c r="D13" i="31"/>
  <c r="F13" i="43" s="1"/>
  <c r="F13" i="31"/>
  <c r="G13" i="31"/>
  <c r="X13" i="31"/>
  <c r="Y13" i="31"/>
  <c r="Z13" i="31"/>
  <c r="AA13" i="31"/>
  <c r="AB13" i="31"/>
  <c r="AC13" i="31"/>
  <c r="AD13" i="31"/>
  <c r="AE13" i="31"/>
  <c r="AF13" i="31"/>
  <c r="AG13" i="31"/>
  <c r="AH13" i="31"/>
  <c r="AI13" i="31"/>
  <c r="AJ13" i="31"/>
  <c r="AK13" i="31"/>
  <c r="AL13" i="31"/>
  <c r="AM13" i="31"/>
  <c r="AN13" i="31"/>
  <c r="AO13" i="31"/>
  <c r="F14" i="31"/>
  <c r="G14" i="31"/>
  <c r="X14" i="31"/>
  <c r="Y14" i="31"/>
  <c r="Z14" i="31"/>
  <c r="AA14" i="31"/>
  <c r="AB14" i="31"/>
  <c r="AC14" i="31"/>
  <c r="E14" i="31" s="1"/>
  <c r="G14" i="43" s="1"/>
  <c r="AD14" i="31"/>
  <c r="AE14" i="31"/>
  <c r="AF14" i="31"/>
  <c r="AG14" i="31"/>
  <c r="AH14" i="31"/>
  <c r="AI14" i="31"/>
  <c r="AJ14" i="31"/>
  <c r="AK14" i="31"/>
  <c r="AL14" i="31"/>
  <c r="AM14" i="31"/>
  <c r="AN14" i="31"/>
  <c r="AO14" i="31"/>
  <c r="F15" i="31"/>
  <c r="G15" i="31"/>
  <c r="E15" i="31" s="1"/>
  <c r="G15" i="43" s="1"/>
  <c r="X15" i="31"/>
  <c r="Y15" i="31"/>
  <c r="Z15" i="31"/>
  <c r="AA15" i="31"/>
  <c r="AB15" i="31"/>
  <c r="D15" i="31" s="1"/>
  <c r="F15" i="43" s="1"/>
  <c r="AC15" i="31"/>
  <c r="AD15" i="31"/>
  <c r="AE15" i="31"/>
  <c r="AF15" i="31"/>
  <c r="AG15" i="31"/>
  <c r="AH15" i="31"/>
  <c r="AI15" i="31"/>
  <c r="AJ15" i="31"/>
  <c r="AK15" i="31"/>
  <c r="AL15" i="31"/>
  <c r="AM15" i="31"/>
  <c r="AN15" i="31"/>
  <c r="AO15" i="31"/>
  <c r="F16" i="31"/>
  <c r="G16" i="31"/>
  <c r="H16" i="31"/>
  <c r="I16" i="31"/>
  <c r="J16" i="31"/>
  <c r="K16" i="31"/>
  <c r="L16" i="31"/>
  <c r="M16" i="31"/>
  <c r="N16" i="31"/>
  <c r="P16" i="31"/>
  <c r="Q16" i="31"/>
  <c r="R16" i="31"/>
  <c r="S16" i="31"/>
  <c r="T16" i="31"/>
  <c r="U16" i="31"/>
  <c r="V16" i="31"/>
  <c r="V82" i="31" s="1"/>
  <c r="W16" i="31"/>
  <c r="Y16" i="31"/>
  <c r="AD16" i="31"/>
  <c r="AL16" i="31"/>
  <c r="AM16" i="31"/>
  <c r="AO16" i="31"/>
  <c r="F19" i="31"/>
  <c r="G19" i="31"/>
  <c r="H19" i="31"/>
  <c r="I19" i="31"/>
  <c r="X19" i="31"/>
  <c r="Y19" i="31"/>
  <c r="Y24" i="31" s="1"/>
  <c r="Z19" i="31"/>
  <c r="AA19" i="31"/>
  <c r="AB19" i="31"/>
  <c r="AC19" i="31"/>
  <c r="AD19" i="31"/>
  <c r="AE19" i="31"/>
  <c r="AE24" i="31" s="1"/>
  <c r="AF19" i="31"/>
  <c r="AG19" i="31"/>
  <c r="AG24" i="31" s="1"/>
  <c r="AH19" i="31"/>
  <c r="AH24" i="31" s="1"/>
  <c r="AI19" i="31"/>
  <c r="AJ19" i="31"/>
  <c r="AK19" i="31"/>
  <c r="AL19" i="31"/>
  <c r="AM19" i="31"/>
  <c r="AM24" i="31" s="1"/>
  <c r="AN19" i="31"/>
  <c r="AO19" i="31"/>
  <c r="D20" i="31"/>
  <c r="F20" i="43" s="1"/>
  <c r="H20" i="43" s="1"/>
  <c r="F20" i="31"/>
  <c r="G20" i="31"/>
  <c r="X20" i="31"/>
  <c r="Y20" i="31"/>
  <c r="Z20" i="31"/>
  <c r="AA20" i="31"/>
  <c r="AB20" i="31"/>
  <c r="AB24" i="31" s="1"/>
  <c r="AC20" i="31"/>
  <c r="AD20" i="31"/>
  <c r="AE20" i="31"/>
  <c r="AF20" i="31"/>
  <c r="AG20" i="31"/>
  <c r="AH20" i="31"/>
  <c r="AI20" i="31"/>
  <c r="AI24" i="31" s="1"/>
  <c r="AJ20" i="31"/>
  <c r="AJ24" i="31" s="1"/>
  <c r="AK20" i="31"/>
  <c r="AL20" i="31"/>
  <c r="AM20" i="31"/>
  <c r="AN20" i="31"/>
  <c r="AO20" i="31"/>
  <c r="F21" i="31"/>
  <c r="G21" i="31"/>
  <c r="G24" i="31" s="1"/>
  <c r="X21" i="31"/>
  <c r="Y21" i="31"/>
  <c r="Z21" i="31"/>
  <c r="AA21" i="31"/>
  <c r="AB21" i="31"/>
  <c r="AC21" i="31"/>
  <c r="AC24" i="31" s="1"/>
  <c r="AD21" i="31"/>
  <c r="AE21" i="31"/>
  <c r="AF21" i="31"/>
  <c r="AG21" i="31"/>
  <c r="AH21" i="31"/>
  <c r="AI21" i="31"/>
  <c r="AJ21" i="31"/>
  <c r="AK21" i="31"/>
  <c r="AK24" i="31" s="1"/>
  <c r="AL21" i="31"/>
  <c r="AM21" i="31"/>
  <c r="AN21" i="31"/>
  <c r="AO21" i="31"/>
  <c r="F22" i="31"/>
  <c r="G22" i="31"/>
  <c r="X22" i="31"/>
  <c r="Y22" i="31"/>
  <c r="Z22" i="31"/>
  <c r="AA22" i="31"/>
  <c r="AB22" i="31"/>
  <c r="AC22" i="31"/>
  <c r="AD22" i="31"/>
  <c r="AE22" i="31"/>
  <c r="AF22" i="31"/>
  <c r="AG22" i="31"/>
  <c r="AH22" i="31"/>
  <c r="AI22" i="31"/>
  <c r="AJ22" i="31"/>
  <c r="AK22" i="31"/>
  <c r="AL22" i="31"/>
  <c r="AM22" i="31"/>
  <c r="AN22" i="31"/>
  <c r="AN24" i="31" s="1"/>
  <c r="AO22" i="31"/>
  <c r="F23" i="31"/>
  <c r="G23" i="31"/>
  <c r="X23" i="31"/>
  <c r="Y23" i="31"/>
  <c r="Z23" i="31"/>
  <c r="AA23" i="31"/>
  <c r="AB23" i="31"/>
  <c r="AC23" i="31"/>
  <c r="AD23" i="31"/>
  <c r="AE23" i="31"/>
  <c r="AF23" i="31"/>
  <c r="AG23" i="31"/>
  <c r="AH23" i="31"/>
  <c r="AI23" i="31"/>
  <c r="AJ23" i="31"/>
  <c r="AK23" i="31"/>
  <c r="AL23" i="31"/>
  <c r="AM23" i="31"/>
  <c r="AN23" i="31"/>
  <c r="AO23" i="31"/>
  <c r="H24" i="31"/>
  <c r="H82" i="31" s="1"/>
  <c r="J24" i="31"/>
  <c r="K24" i="31"/>
  <c r="L24" i="31"/>
  <c r="M24" i="31"/>
  <c r="N24" i="31"/>
  <c r="O24" i="31"/>
  <c r="P24" i="31"/>
  <c r="P82" i="31" s="1"/>
  <c r="Q24" i="31"/>
  <c r="R24" i="31"/>
  <c r="S24" i="31"/>
  <c r="T24" i="31"/>
  <c r="U24" i="31"/>
  <c r="V24" i="31"/>
  <c r="W24" i="31"/>
  <c r="X24" i="31"/>
  <c r="AA24" i="31"/>
  <c r="AO24" i="31"/>
  <c r="F27" i="31"/>
  <c r="G27" i="31"/>
  <c r="X27" i="31"/>
  <c r="Y27" i="31"/>
  <c r="Z27" i="31"/>
  <c r="AA27" i="31"/>
  <c r="AA29" i="31" s="1"/>
  <c r="AB27" i="31"/>
  <c r="AC27" i="31"/>
  <c r="AC29" i="31" s="1"/>
  <c r="AD27" i="31"/>
  <c r="AD29" i="31" s="1"/>
  <c r="AE27" i="31"/>
  <c r="AF27" i="31"/>
  <c r="AG27" i="31"/>
  <c r="AH27" i="31"/>
  <c r="AI27" i="31"/>
  <c r="AI29" i="31" s="1"/>
  <c r="AJ27" i="31"/>
  <c r="AK27" i="31"/>
  <c r="AK29" i="31" s="1"/>
  <c r="AL27" i="31"/>
  <c r="AL29" i="31" s="1"/>
  <c r="AM27" i="31"/>
  <c r="AN27" i="31"/>
  <c r="AO27" i="31"/>
  <c r="F28" i="31"/>
  <c r="G28" i="31"/>
  <c r="X28" i="31"/>
  <c r="D28" i="31" s="1"/>
  <c r="F28" i="43" s="1"/>
  <c r="H28" i="43" s="1"/>
  <c r="Y28" i="31"/>
  <c r="Z28" i="31"/>
  <c r="AA28" i="31"/>
  <c r="AB28" i="31"/>
  <c r="AB29" i="31" s="1"/>
  <c r="AC28" i="31"/>
  <c r="AD28" i="31"/>
  <c r="AE28" i="31"/>
  <c r="AE29" i="31" s="1"/>
  <c r="AF28" i="31"/>
  <c r="AG28" i="31"/>
  <c r="AH28" i="31"/>
  <c r="AI28" i="31"/>
  <c r="AJ28" i="31"/>
  <c r="AJ29" i="31" s="1"/>
  <c r="AK28" i="31"/>
  <c r="AL28" i="31"/>
  <c r="AM28" i="31"/>
  <c r="AM29" i="31" s="1"/>
  <c r="AN28" i="31"/>
  <c r="AO28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Y29" i="31"/>
  <c r="Z29" i="31"/>
  <c r="AG29" i="31"/>
  <c r="AH29" i="31"/>
  <c r="AO29" i="31"/>
  <c r="D32" i="31"/>
  <c r="F32" i="31"/>
  <c r="G32" i="31"/>
  <c r="X32" i="31"/>
  <c r="X36" i="31" s="1"/>
  <c r="Y32" i="31"/>
  <c r="Z32" i="31"/>
  <c r="AA32" i="31"/>
  <c r="AA36" i="31" s="1"/>
  <c r="AB32" i="31"/>
  <c r="AC32" i="31"/>
  <c r="AD32" i="31"/>
  <c r="AE32" i="31"/>
  <c r="AF32" i="31"/>
  <c r="AF36" i="31" s="1"/>
  <c r="AG32" i="31"/>
  <c r="AH32" i="31"/>
  <c r="AI32" i="31"/>
  <c r="AJ32" i="31"/>
  <c r="AK32" i="31"/>
  <c r="AL32" i="31"/>
  <c r="AM32" i="31"/>
  <c r="AN32" i="31"/>
  <c r="AN36" i="31" s="1"/>
  <c r="AO32" i="31"/>
  <c r="F33" i="31"/>
  <c r="G33" i="31"/>
  <c r="X33" i="31"/>
  <c r="Y33" i="31"/>
  <c r="Z33" i="31"/>
  <c r="Z36" i="31" s="1"/>
  <c r="AA33" i="31"/>
  <c r="AB33" i="31"/>
  <c r="AC33" i="31"/>
  <c r="AD33" i="31"/>
  <c r="AE33" i="31"/>
  <c r="AF33" i="31"/>
  <c r="AG33" i="31"/>
  <c r="AH33" i="31"/>
  <c r="AH36" i="31" s="1"/>
  <c r="AI33" i="31"/>
  <c r="AJ33" i="31"/>
  <c r="AK33" i="31"/>
  <c r="AL33" i="31"/>
  <c r="AM33" i="31"/>
  <c r="AN33" i="31"/>
  <c r="AO33" i="31"/>
  <c r="D34" i="31"/>
  <c r="F34" i="43" s="1"/>
  <c r="H34" i="43" s="1"/>
  <c r="F34" i="31"/>
  <c r="G34" i="31"/>
  <c r="X34" i="31"/>
  <c r="Y34" i="31"/>
  <c r="Z34" i="31"/>
  <c r="AA34" i="31"/>
  <c r="AB34" i="31"/>
  <c r="AB36" i="31" s="1"/>
  <c r="AC34" i="31"/>
  <c r="E34" i="31" s="1"/>
  <c r="G34" i="43" s="1"/>
  <c r="I34" i="43" s="1"/>
  <c r="AD34" i="31"/>
  <c r="AE34" i="31"/>
  <c r="AF34" i="31"/>
  <c r="AG34" i="31"/>
  <c r="AH34" i="31"/>
  <c r="AI34" i="31"/>
  <c r="AJ34" i="31"/>
  <c r="AJ36" i="31" s="1"/>
  <c r="AK34" i="31"/>
  <c r="AL34" i="31"/>
  <c r="AM34" i="31"/>
  <c r="AN34" i="31"/>
  <c r="AO34" i="31"/>
  <c r="F35" i="31"/>
  <c r="G35" i="31"/>
  <c r="X35" i="31"/>
  <c r="Y35" i="31"/>
  <c r="Y36" i="31" s="1"/>
  <c r="Z35" i="31"/>
  <c r="AA35" i="31"/>
  <c r="AB35" i="31"/>
  <c r="AC35" i="31"/>
  <c r="AD35" i="31"/>
  <c r="AE35" i="31"/>
  <c r="AF35" i="31"/>
  <c r="AG35" i="31"/>
  <c r="AG36" i="31" s="1"/>
  <c r="AH35" i="31"/>
  <c r="AI35" i="31"/>
  <c r="AJ35" i="31"/>
  <c r="AK35" i="31"/>
  <c r="AL35" i="31"/>
  <c r="AM35" i="31"/>
  <c r="AN35" i="31"/>
  <c r="AO35" i="31"/>
  <c r="AO36" i="31" s="1"/>
  <c r="H36" i="31"/>
  <c r="I36" i="31"/>
  <c r="J36" i="31"/>
  <c r="K36" i="31"/>
  <c r="K82" i="31" s="1"/>
  <c r="L36" i="31"/>
  <c r="M36" i="31"/>
  <c r="N36" i="31"/>
  <c r="O36" i="31"/>
  <c r="P36" i="31"/>
  <c r="Q36" i="31"/>
  <c r="R36" i="31"/>
  <c r="S36" i="31"/>
  <c r="T36" i="31"/>
  <c r="U36" i="31"/>
  <c r="V36" i="31"/>
  <c r="W36" i="31"/>
  <c r="AI36" i="31"/>
  <c r="F39" i="31"/>
  <c r="G39" i="31"/>
  <c r="X39" i="31"/>
  <c r="Y39" i="31"/>
  <c r="Z39" i="31"/>
  <c r="AA39" i="31"/>
  <c r="E39" i="31" s="1"/>
  <c r="AB39" i="31"/>
  <c r="AC39" i="31"/>
  <c r="AD39" i="31"/>
  <c r="AE39" i="31"/>
  <c r="AF39" i="31"/>
  <c r="AG39" i="31"/>
  <c r="AH39" i="31"/>
  <c r="AI39" i="31"/>
  <c r="AJ39" i="31"/>
  <c r="AK39" i="31"/>
  <c r="AL39" i="31"/>
  <c r="AM39" i="31"/>
  <c r="AN39" i="31"/>
  <c r="AO39" i="31"/>
  <c r="F40" i="31"/>
  <c r="G40" i="31"/>
  <c r="X40" i="31"/>
  <c r="Y40" i="31"/>
  <c r="Z40" i="31"/>
  <c r="Z42" i="31" s="1"/>
  <c r="Z43" i="31" s="1"/>
  <c r="AA40" i="31"/>
  <c r="AB40" i="31"/>
  <c r="AC40" i="31"/>
  <c r="AC42" i="31" s="1"/>
  <c r="AC43" i="31" s="1"/>
  <c r="AD40" i="31"/>
  <c r="AE40" i="31"/>
  <c r="AF40" i="31"/>
  <c r="AG40" i="31"/>
  <c r="AH40" i="31"/>
  <c r="AH42" i="31" s="1"/>
  <c r="AI40" i="31"/>
  <c r="AJ40" i="31"/>
  <c r="AK40" i="31"/>
  <c r="AK42" i="31" s="1"/>
  <c r="AL40" i="31"/>
  <c r="AM40" i="31"/>
  <c r="AN40" i="31"/>
  <c r="AN42" i="31" s="1"/>
  <c r="AN43" i="31" s="1"/>
  <c r="AO40" i="31"/>
  <c r="F41" i="31"/>
  <c r="G41" i="31"/>
  <c r="X41" i="31"/>
  <c r="Y41" i="31"/>
  <c r="Z41" i="31"/>
  <c r="AA41" i="31"/>
  <c r="AB41" i="31"/>
  <c r="AC41" i="31"/>
  <c r="AD41" i="31"/>
  <c r="AD42" i="31" s="1"/>
  <c r="AD43" i="31" s="1"/>
  <c r="AE41" i="31"/>
  <c r="AF41" i="31"/>
  <c r="AG41" i="31"/>
  <c r="AG42" i="31" s="1"/>
  <c r="AG43" i="31" s="1"/>
  <c r="AH41" i="31"/>
  <c r="AI41" i="31"/>
  <c r="AJ41" i="31"/>
  <c r="AK41" i="31"/>
  <c r="AL41" i="31"/>
  <c r="AL42" i="31" s="1"/>
  <c r="AL43" i="31" s="1"/>
  <c r="AM41" i="31"/>
  <c r="AN41" i="31"/>
  <c r="AO41" i="31"/>
  <c r="H42" i="31"/>
  <c r="H43" i="31" s="1"/>
  <c r="I42" i="31"/>
  <c r="I43" i="31" s="1"/>
  <c r="J42" i="31"/>
  <c r="K42" i="31"/>
  <c r="K43" i="31" s="1"/>
  <c r="L42" i="31"/>
  <c r="L43" i="31" s="1"/>
  <c r="M42" i="31"/>
  <c r="N42" i="31"/>
  <c r="O42" i="31"/>
  <c r="P42" i="31"/>
  <c r="P43" i="31" s="1"/>
  <c r="Q42" i="31"/>
  <c r="Q43" i="31" s="1"/>
  <c r="R42" i="31"/>
  <c r="S42" i="31"/>
  <c r="S43" i="31" s="1"/>
  <c r="T42" i="31"/>
  <c r="T43" i="31" s="1"/>
  <c r="U42" i="31"/>
  <c r="V42" i="31"/>
  <c r="W42" i="31"/>
  <c r="Y42" i="31"/>
  <c r="Y43" i="31" s="1"/>
  <c r="AA42" i="31"/>
  <c r="AA43" i="31" s="1"/>
  <c r="AB42" i="31"/>
  <c r="AB43" i="31" s="1"/>
  <c r="AF42" i="31"/>
  <c r="AF43" i="31" s="1"/>
  <c r="AI42" i="31"/>
  <c r="AJ42" i="31"/>
  <c r="AJ43" i="31" s="1"/>
  <c r="AO42" i="31"/>
  <c r="AO43" i="31" s="1"/>
  <c r="J43" i="31"/>
  <c r="M43" i="31"/>
  <c r="N43" i="31"/>
  <c r="O43" i="31"/>
  <c r="R43" i="31"/>
  <c r="U43" i="31"/>
  <c r="V43" i="31"/>
  <c r="W43" i="31"/>
  <c r="AH43" i="31"/>
  <c r="AI43" i="31"/>
  <c r="AK43" i="31"/>
  <c r="F45" i="31"/>
  <c r="G45" i="31"/>
  <c r="X45" i="31"/>
  <c r="Y45" i="31"/>
  <c r="Z45" i="31"/>
  <c r="AA45" i="31"/>
  <c r="AB45" i="31"/>
  <c r="AC45" i="31"/>
  <c r="AD45" i="31"/>
  <c r="AE45" i="31"/>
  <c r="AF45" i="31"/>
  <c r="AG45" i="31"/>
  <c r="AH45" i="31"/>
  <c r="AI45" i="31"/>
  <c r="AJ45" i="31"/>
  <c r="AK45" i="31"/>
  <c r="AL45" i="31"/>
  <c r="AM45" i="31"/>
  <c r="AN45" i="31"/>
  <c r="AO45" i="31"/>
  <c r="F47" i="31"/>
  <c r="G47" i="31"/>
  <c r="X47" i="31"/>
  <c r="Y47" i="31"/>
  <c r="Z47" i="31"/>
  <c r="AA47" i="31"/>
  <c r="AB47" i="31"/>
  <c r="AC47" i="31"/>
  <c r="AD47" i="31"/>
  <c r="AE47" i="31"/>
  <c r="AF47" i="31"/>
  <c r="AG47" i="31"/>
  <c r="AH47" i="31"/>
  <c r="AI47" i="31"/>
  <c r="AJ47" i="31"/>
  <c r="AK47" i="31"/>
  <c r="AL47" i="31"/>
  <c r="AM47" i="31"/>
  <c r="AN47" i="31"/>
  <c r="AO47" i="31"/>
  <c r="F49" i="31"/>
  <c r="G49" i="31"/>
  <c r="X49" i="31"/>
  <c r="Y49" i="31"/>
  <c r="Z49" i="31"/>
  <c r="AA49" i="31"/>
  <c r="AB49" i="31"/>
  <c r="AC49" i="31"/>
  <c r="AD49" i="31"/>
  <c r="AE49" i="31"/>
  <c r="AF49" i="31"/>
  <c r="AG49" i="31"/>
  <c r="AH49" i="31"/>
  <c r="AI49" i="31"/>
  <c r="AJ49" i="31"/>
  <c r="AK49" i="31"/>
  <c r="AL49" i="31"/>
  <c r="AM49" i="31"/>
  <c r="AN49" i="31"/>
  <c r="AO49" i="31"/>
  <c r="D50" i="31"/>
  <c r="E50" i="31"/>
  <c r="F51" i="31"/>
  <c r="G51" i="31"/>
  <c r="X51" i="31"/>
  <c r="Y51" i="31"/>
  <c r="Z51" i="31"/>
  <c r="AA51" i="31"/>
  <c r="AB51" i="31"/>
  <c r="AC51" i="31"/>
  <c r="AD51" i="31"/>
  <c r="AE51" i="31"/>
  <c r="AF51" i="31"/>
  <c r="AG51" i="31"/>
  <c r="AH51" i="31"/>
  <c r="AI51" i="31"/>
  <c r="AJ51" i="31"/>
  <c r="AK51" i="31"/>
  <c r="AL51" i="31"/>
  <c r="AM51" i="31"/>
  <c r="AN51" i="31"/>
  <c r="AO51" i="31"/>
  <c r="F54" i="31"/>
  <c r="G54" i="31"/>
  <c r="X54" i="31"/>
  <c r="X56" i="31" s="1"/>
  <c r="Y54" i="31"/>
  <c r="Z54" i="31"/>
  <c r="AA54" i="31"/>
  <c r="AB54" i="31"/>
  <c r="AC54" i="31"/>
  <c r="AD54" i="31"/>
  <c r="AE54" i="31"/>
  <c r="AF54" i="31"/>
  <c r="AF56" i="31" s="1"/>
  <c r="AG54" i="31"/>
  <c r="AH54" i="31"/>
  <c r="AH56" i="31" s="1"/>
  <c r="AI54" i="31"/>
  <c r="AI56" i="31" s="1"/>
  <c r="AJ54" i="31"/>
  <c r="AK54" i="31"/>
  <c r="AL54" i="31"/>
  <c r="AM54" i="31"/>
  <c r="AN54" i="31"/>
  <c r="AN56" i="31" s="1"/>
  <c r="AO54" i="31"/>
  <c r="F55" i="31"/>
  <c r="X55" i="31"/>
  <c r="Y55" i="31"/>
  <c r="Z55" i="31"/>
  <c r="AA55" i="31"/>
  <c r="AB55" i="31"/>
  <c r="AB56" i="31" s="1"/>
  <c r="AC55" i="31"/>
  <c r="AD55" i="31"/>
  <c r="AE55" i="31"/>
  <c r="AE56" i="31" s="1"/>
  <c r="AF55" i="31"/>
  <c r="AG55" i="31"/>
  <c r="AH55" i="31"/>
  <c r="AI55" i="31"/>
  <c r="AJ55" i="31"/>
  <c r="AJ56" i="31" s="1"/>
  <c r="AK55" i="31"/>
  <c r="AL55" i="31"/>
  <c r="AM55" i="31"/>
  <c r="AM56" i="31" s="1"/>
  <c r="AN55" i="31"/>
  <c r="AO55" i="31"/>
  <c r="F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Y56" i="31"/>
  <c r="Z56" i="31"/>
  <c r="AD56" i="31"/>
  <c r="AG56" i="31"/>
  <c r="AL56" i="31"/>
  <c r="AO56" i="31"/>
  <c r="D59" i="31"/>
  <c r="F59" i="43" s="1"/>
  <c r="F59" i="31"/>
  <c r="F61" i="31" s="1"/>
  <c r="G59" i="31"/>
  <c r="X59" i="31"/>
  <c r="Y59" i="31"/>
  <c r="Z59" i="31"/>
  <c r="AA59" i="31"/>
  <c r="AB59" i="31"/>
  <c r="AB61" i="31" s="1"/>
  <c r="AC59" i="31"/>
  <c r="AD59" i="31"/>
  <c r="AD61" i="31" s="1"/>
  <c r="AE59" i="31"/>
  <c r="AF59" i="31"/>
  <c r="AG59" i="31"/>
  <c r="AG61" i="31" s="1"/>
  <c r="AH59" i="31"/>
  <c r="AI59" i="31"/>
  <c r="AJ59" i="31"/>
  <c r="AK59" i="31"/>
  <c r="AL59" i="31"/>
  <c r="AL61" i="31" s="1"/>
  <c r="AM59" i="31"/>
  <c r="AN59" i="31"/>
  <c r="AO59" i="31"/>
  <c r="AO61" i="31" s="1"/>
  <c r="F60" i="31"/>
  <c r="G60" i="31"/>
  <c r="X60" i="31"/>
  <c r="Y60" i="31"/>
  <c r="Z60" i="31"/>
  <c r="Z61" i="31" s="1"/>
  <c r="AA60" i="31"/>
  <c r="AB60" i="31"/>
  <c r="AC60" i="31"/>
  <c r="E60" i="31" s="1"/>
  <c r="AD60" i="31"/>
  <c r="AE60" i="31"/>
  <c r="AF60" i="31"/>
  <c r="AG60" i="31"/>
  <c r="AH60" i="31"/>
  <c r="AH61" i="31" s="1"/>
  <c r="AI60" i="31"/>
  <c r="AJ60" i="31"/>
  <c r="AK60" i="31"/>
  <c r="AK61" i="31" s="1"/>
  <c r="AL60" i="31"/>
  <c r="AM60" i="31"/>
  <c r="AN60" i="31"/>
  <c r="AO60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AC61" i="31"/>
  <c r="AE61" i="31"/>
  <c r="AF61" i="31"/>
  <c r="AJ61" i="31"/>
  <c r="AM61" i="31"/>
  <c r="AN61" i="31"/>
  <c r="F64" i="31"/>
  <c r="G64" i="31"/>
  <c r="X64" i="31"/>
  <c r="Y64" i="31"/>
  <c r="Y66" i="31" s="1"/>
  <c r="Z64" i="31"/>
  <c r="AA64" i="31"/>
  <c r="AB64" i="31"/>
  <c r="AC64" i="31"/>
  <c r="AD64" i="31"/>
  <c r="AE64" i="31"/>
  <c r="AE66" i="31" s="1"/>
  <c r="AF64" i="31"/>
  <c r="AG64" i="31"/>
  <c r="AG66" i="31" s="1"/>
  <c r="AH64" i="31"/>
  <c r="AH66" i="31" s="1"/>
  <c r="AI64" i="31"/>
  <c r="AJ64" i="31"/>
  <c r="AK64" i="31"/>
  <c r="AL64" i="31"/>
  <c r="AM64" i="31"/>
  <c r="AM66" i="31" s="1"/>
  <c r="AN64" i="31"/>
  <c r="AO64" i="31"/>
  <c r="AO66" i="31" s="1"/>
  <c r="F65" i="31"/>
  <c r="G65" i="31"/>
  <c r="X65" i="31"/>
  <c r="X66" i="31" s="1"/>
  <c r="Y65" i="31"/>
  <c r="Z65" i="31"/>
  <c r="AA65" i="31"/>
  <c r="AB65" i="31"/>
  <c r="D65" i="31" s="1"/>
  <c r="F65" i="43" s="1"/>
  <c r="AC65" i="31"/>
  <c r="AD65" i="31"/>
  <c r="AE65" i="31"/>
  <c r="AF65" i="31"/>
  <c r="AF66" i="31" s="1"/>
  <c r="AG65" i="31"/>
  <c r="AH65" i="31"/>
  <c r="AI65" i="31"/>
  <c r="AI66" i="31" s="1"/>
  <c r="AJ65" i="31"/>
  <c r="AK65" i="31"/>
  <c r="AL65" i="31"/>
  <c r="AM65" i="31"/>
  <c r="AN65" i="31"/>
  <c r="AN66" i="31" s="1"/>
  <c r="AO65" i="31"/>
  <c r="F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Z66" i="31"/>
  <c r="AA66" i="31"/>
  <c r="AC66" i="31"/>
  <c r="AD66" i="31"/>
  <c r="AK66" i="31"/>
  <c r="AL66" i="31"/>
  <c r="E70" i="31"/>
  <c r="F70" i="31"/>
  <c r="G70" i="31"/>
  <c r="G72" i="31" s="1"/>
  <c r="X70" i="31"/>
  <c r="X72" i="31" s="1"/>
  <c r="Y70" i="31"/>
  <c r="Z70" i="31"/>
  <c r="AA70" i="31"/>
  <c r="AB70" i="31"/>
  <c r="AB72" i="31" s="1"/>
  <c r="AD70" i="31"/>
  <c r="AF70" i="31"/>
  <c r="AH70" i="31"/>
  <c r="AH72" i="31" s="1"/>
  <c r="AJ70" i="31"/>
  <c r="AJ72" i="31" s="1"/>
  <c r="AL70" i="31"/>
  <c r="AN70" i="31"/>
  <c r="E71" i="31"/>
  <c r="G71" i="43" s="1"/>
  <c r="F71" i="31"/>
  <c r="G71" i="31"/>
  <c r="X71" i="31"/>
  <c r="Y71" i="31"/>
  <c r="Z71" i="31"/>
  <c r="AA71" i="31"/>
  <c r="AB71" i="31"/>
  <c r="AC71" i="31"/>
  <c r="AC72" i="31" s="1"/>
  <c r="AD71" i="31"/>
  <c r="AE71" i="31"/>
  <c r="AF71" i="31"/>
  <c r="AG71" i="31"/>
  <c r="AG72" i="31" s="1"/>
  <c r="AH71" i="31"/>
  <c r="AI71" i="31"/>
  <c r="AJ71" i="31"/>
  <c r="AK71" i="31"/>
  <c r="AK72" i="31" s="1"/>
  <c r="AL71" i="31"/>
  <c r="AL72" i="31" s="1"/>
  <c r="AM71" i="31"/>
  <c r="AN71" i="31"/>
  <c r="AO71" i="31"/>
  <c r="AO72" i="31" s="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Z72" i="31"/>
  <c r="AA72" i="31"/>
  <c r="AE72" i="31"/>
  <c r="AF72" i="31"/>
  <c r="AI72" i="31"/>
  <c r="AM72" i="31"/>
  <c r="AN72" i="31"/>
  <c r="F73" i="31"/>
  <c r="G73" i="31"/>
  <c r="X73" i="31"/>
  <c r="Y73" i="31"/>
  <c r="Z73" i="31"/>
  <c r="AA73" i="31"/>
  <c r="AB73" i="31"/>
  <c r="D73" i="31" s="1"/>
  <c r="AC73" i="31"/>
  <c r="E73" i="31" s="1"/>
  <c r="G73" i="43" s="1"/>
  <c r="AD73" i="31"/>
  <c r="AE73" i="31"/>
  <c r="AF73" i="31"/>
  <c r="AG73" i="31"/>
  <c r="AH73" i="31"/>
  <c r="AI73" i="31"/>
  <c r="AJ73" i="31"/>
  <c r="AK73" i="31"/>
  <c r="AL73" i="31"/>
  <c r="AM73" i="31"/>
  <c r="AN73" i="31"/>
  <c r="AO73" i="31"/>
  <c r="F74" i="31"/>
  <c r="G74" i="31"/>
  <c r="X74" i="31"/>
  <c r="Y74" i="31"/>
  <c r="Z74" i="31"/>
  <c r="AA74" i="31"/>
  <c r="AB74" i="31"/>
  <c r="D74" i="31" s="1"/>
  <c r="F74" i="43" s="1"/>
  <c r="H74" i="43" s="1"/>
  <c r="AC74" i="31"/>
  <c r="AD74" i="31"/>
  <c r="AE74" i="31"/>
  <c r="AF74" i="31"/>
  <c r="AG74" i="31"/>
  <c r="AH74" i="31"/>
  <c r="AI74" i="31"/>
  <c r="AJ74" i="31"/>
  <c r="AK74" i="31"/>
  <c r="AL74" i="31"/>
  <c r="AM74" i="31"/>
  <c r="AN74" i="31"/>
  <c r="AO74" i="31"/>
  <c r="E75" i="31"/>
  <c r="G75" i="43" s="1"/>
  <c r="F75" i="31"/>
  <c r="G75" i="31"/>
  <c r="X75" i="31"/>
  <c r="Y75" i="31"/>
  <c r="Z75" i="31"/>
  <c r="AA75" i="31"/>
  <c r="AB75" i="31"/>
  <c r="AC75" i="31"/>
  <c r="AD75" i="31"/>
  <c r="AE75" i="31"/>
  <c r="AF75" i="31"/>
  <c r="AG75" i="31"/>
  <c r="AH75" i="31"/>
  <c r="AI75" i="31"/>
  <c r="AJ75" i="31"/>
  <c r="AK75" i="31"/>
  <c r="AL75" i="31"/>
  <c r="AM75" i="31"/>
  <c r="AN75" i="31"/>
  <c r="AO75" i="31"/>
  <c r="F76" i="31"/>
  <c r="D76" i="31" s="1"/>
  <c r="F76" i="43" s="1"/>
  <c r="G76" i="31"/>
  <c r="X76" i="31"/>
  <c r="Y76" i="31"/>
  <c r="Z76" i="31"/>
  <c r="AA76" i="31"/>
  <c r="AB76" i="31"/>
  <c r="AC76" i="31"/>
  <c r="AD76" i="31"/>
  <c r="AE76" i="31"/>
  <c r="AF76" i="31"/>
  <c r="AG76" i="31"/>
  <c r="AH76" i="31"/>
  <c r="AI76" i="31"/>
  <c r="AJ76" i="31"/>
  <c r="AK76" i="31"/>
  <c r="AL76" i="31"/>
  <c r="AM76" i="31"/>
  <c r="AN76" i="31"/>
  <c r="AO76" i="31"/>
  <c r="F77" i="31"/>
  <c r="G77" i="31"/>
  <c r="X77" i="31"/>
  <c r="Y77" i="31"/>
  <c r="Z77" i="31"/>
  <c r="AA77" i="31"/>
  <c r="AB77" i="31"/>
  <c r="AC77" i="31"/>
  <c r="AD77" i="31"/>
  <c r="AE77" i="31"/>
  <c r="AF77" i="31"/>
  <c r="AG77" i="31"/>
  <c r="AH77" i="31"/>
  <c r="AI77" i="31"/>
  <c r="AJ77" i="31"/>
  <c r="AK77" i="31"/>
  <c r="AL77" i="31"/>
  <c r="AM77" i="31"/>
  <c r="AN77" i="31"/>
  <c r="AO77" i="31"/>
  <c r="D78" i="31"/>
  <c r="F78" i="43" s="1"/>
  <c r="H78" i="43" s="1"/>
  <c r="F78" i="31"/>
  <c r="G78" i="31"/>
  <c r="X78" i="31"/>
  <c r="Y78" i="31"/>
  <c r="Z78" i="31"/>
  <c r="AA78" i="31"/>
  <c r="AB78" i="31"/>
  <c r="AC78" i="31"/>
  <c r="AD78" i="31"/>
  <c r="AE78" i="31"/>
  <c r="AF78" i="31"/>
  <c r="AG78" i="31"/>
  <c r="AH78" i="31"/>
  <c r="AI78" i="31"/>
  <c r="AJ78" i="31"/>
  <c r="AK78" i="31"/>
  <c r="AL78" i="31"/>
  <c r="AM78" i="31"/>
  <c r="AN78" i="31"/>
  <c r="AO78" i="31"/>
  <c r="F79" i="31"/>
  <c r="G79" i="31"/>
  <c r="X79" i="31"/>
  <c r="Y79" i="31"/>
  <c r="Z79" i="31"/>
  <c r="AA79" i="31"/>
  <c r="AB79" i="31"/>
  <c r="AC79" i="31"/>
  <c r="AD79" i="31"/>
  <c r="AE79" i="31"/>
  <c r="AF79" i="31"/>
  <c r="AG79" i="31"/>
  <c r="AH79" i="31"/>
  <c r="AI79" i="31"/>
  <c r="AJ79" i="31"/>
  <c r="AK79" i="31"/>
  <c r="AL79" i="31"/>
  <c r="AM79" i="31"/>
  <c r="AN79" i="31"/>
  <c r="AO79" i="31"/>
  <c r="F80" i="31"/>
  <c r="G80" i="31"/>
  <c r="X80" i="31"/>
  <c r="Y80" i="31"/>
  <c r="Z80" i="31"/>
  <c r="AA80" i="31"/>
  <c r="AB80" i="31"/>
  <c r="AC80" i="31"/>
  <c r="AD80" i="31"/>
  <c r="AE80" i="31"/>
  <c r="AF80" i="31"/>
  <c r="AG80" i="31"/>
  <c r="AH80" i="31"/>
  <c r="AI80" i="31"/>
  <c r="AJ80" i="31"/>
  <c r="AK80" i="31"/>
  <c r="AL80" i="31"/>
  <c r="AM80" i="31"/>
  <c r="AN80" i="31"/>
  <c r="AO80" i="31"/>
  <c r="F81" i="31"/>
  <c r="G81" i="31"/>
  <c r="X81" i="31"/>
  <c r="Y81" i="31"/>
  <c r="Z81" i="31"/>
  <c r="AA81" i="31"/>
  <c r="AB81" i="31"/>
  <c r="D81" i="31" s="1"/>
  <c r="F81" i="43" s="1"/>
  <c r="H81" i="43" s="1"/>
  <c r="AC81" i="31"/>
  <c r="E81" i="31" s="1"/>
  <c r="G81" i="43" s="1"/>
  <c r="AD81" i="31"/>
  <c r="AE81" i="31"/>
  <c r="AF81" i="31"/>
  <c r="AG81" i="31"/>
  <c r="AH81" i="31"/>
  <c r="AI81" i="31"/>
  <c r="AJ81" i="31"/>
  <c r="AK81" i="31"/>
  <c r="AL81" i="31"/>
  <c r="AM81" i="31"/>
  <c r="AN81" i="31"/>
  <c r="AO81" i="31"/>
  <c r="L82" i="31"/>
  <c r="J651" i="44" s="1"/>
  <c r="N82" i="31"/>
  <c r="L651" i="44" s="1"/>
  <c r="W82" i="31"/>
  <c r="U651" i="44" s="1"/>
  <c r="E86" i="31"/>
  <c r="G86" i="43" s="1"/>
  <c r="F86" i="31"/>
  <c r="D87" i="31"/>
  <c r="F87" i="43" s="1"/>
  <c r="E87" i="31"/>
  <c r="F87" i="31"/>
  <c r="G87" i="31"/>
  <c r="E88" i="31"/>
  <c r="F88" i="31"/>
  <c r="D88" i="31" s="1"/>
  <c r="F88" i="43" s="1"/>
  <c r="G88" i="31"/>
  <c r="E89" i="31"/>
  <c r="C22" i="4" s="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L91" i="31"/>
  <c r="N91" i="31"/>
  <c r="W91" i="31"/>
  <c r="A5" i="43"/>
  <c r="D11" i="43"/>
  <c r="E14" i="43"/>
  <c r="D19" i="43"/>
  <c r="E19" i="43"/>
  <c r="E23" i="43"/>
  <c r="E32" i="43"/>
  <c r="D35" i="43"/>
  <c r="D39" i="43"/>
  <c r="G39" i="43"/>
  <c r="D41" i="43"/>
  <c r="E45" i="43"/>
  <c r="E51" i="43"/>
  <c r="D55" i="43"/>
  <c r="G60" i="43"/>
  <c r="I60" i="43"/>
  <c r="E65" i="43"/>
  <c r="F73" i="43"/>
  <c r="H73" i="43" s="1"/>
  <c r="D74" i="43"/>
  <c r="E76" i="43"/>
  <c r="E77" i="43"/>
  <c r="D78" i="43"/>
  <c r="E78" i="43"/>
  <c r="E79" i="43"/>
  <c r="E86" i="43"/>
  <c r="D87" i="43"/>
  <c r="E87" i="43"/>
  <c r="G87" i="43"/>
  <c r="I87" i="43" s="1"/>
  <c r="G88" i="43"/>
  <c r="A5" i="6"/>
  <c r="D11" i="6"/>
  <c r="G11" i="6"/>
  <c r="D12" i="6"/>
  <c r="E12" i="6"/>
  <c r="U12" i="6"/>
  <c r="D13" i="6"/>
  <c r="E13" i="6"/>
  <c r="D14" i="6"/>
  <c r="E14" i="6"/>
  <c r="D15" i="6"/>
  <c r="E15" i="6"/>
  <c r="G15" i="6"/>
  <c r="G15" i="20" s="1"/>
  <c r="E15" i="20" s="1"/>
  <c r="G15" i="32" s="1"/>
  <c r="I15" i="32" s="1"/>
  <c r="F16" i="6"/>
  <c r="H16" i="6"/>
  <c r="I16" i="6"/>
  <c r="J16" i="6"/>
  <c r="J82" i="6" s="1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E24" i="6" s="1"/>
  <c r="D20" i="6"/>
  <c r="E20" i="6"/>
  <c r="D21" i="6"/>
  <c r="E21" i="6"/>
  <c r="D22" i="6"/>
  <c r="E22" i="6"/>
  <c r="D23" i="6"/>
  <c r="E23" i="6"/>
  <c r="F24" i="6"/>
  <c r="F82" i="6" s="1"/>
  <c r="G24" i="6"/>
  <c r="H24" i="6"/>
  <c r="I24" i="6"/>
  <c r="J24" i="6"/>
  <c r="K24" i="6"/>
  <c r="L24" i="6"/>
  <c r="M24" i="6"/>
  <c r="N24" i="6"/>
  <c r="O24" i="6"/>
  <c r="O82" i="6" s="1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L82" i="6" s="1"/>
  <c r="M29" i="6"/>
  <c r="M82" i="6" s="1"/>
  <c r="N29" i="6"/>
  <c r="O29" i="6"/>
  <c r="P29" i="6"/>
  <c r="P82" i="6" s="1"/>
  <c r="Q29" i="6"/>
  <c r="R29" i="6"/>
  <c r="S29" i="6"/>
  <c r="T29" i="6"/>
  <c r="T82" i="6" s="1"/>
  <c r="U29" i="6"/>
  <c r="U82" i="6" s="1"/>
  <c r="V29" i="6"/>
  <c r="W29" i="6"/>
  <c r="X29" i="6"/>
  <c r="X82" i="6" s="1"/>
  <c r="Y29" i="6"/>
  <c r="D32" i="6"/>
  <c r="E32" i="6"/>
  <c r="D33" i="6"/>
  <c r="D36" i="6" s="1"/>
  <c r="E33" i="6"/>
  <c r="E36" i="6" s="1"/>
  <c r="D34" i="6"/>
  <c r="E34" i="6"/>
  <c r="D35" i="6"/>
  <c r="E35" i="6"/>
  <c r="F36" i="6"/>
  <c r="G36" i="6"/>
  <c r="H36" i="6"/>
  <c r="I36" i="6"/>
  <c r="I82" i="6" s="1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Y82" i="6" s="1"/>
  <c r="D39" i="6"/>
  <c r="E39" i="6"/>
  <c r="D40" i="6"/>
  <c r="E40" i="6"/>
  <c r="D41" i="6"/>
  <c r="E41" i="6"/>
  <c r="E42" i="6"/>
  <c r="E43" i="6" s="1"/>
  <c r="F42" i="6"/>
  <c r="F43" i="6" s="1"/>
  <c r="G42" i="6"/>
  <c r="H42" i="6"/>
  <c r="I42" i="6"/>
  <c r="J42" i="6"/>
  <c r="J43" i="6" s="1"/>
  <c r="K42" i="6"/>
  <c r="K43" i="6" s="1"/>
  <c r="L42" i="6"/>
  <c r="M42" i="6"/>
  <c r="M43" i="6" s="1"/>
  <c r="N42" i="6"/>
  <c r="N43" i="6" s="1"/>
  <c r="O42" i="6"/>
  <c r="P42" i="6"/>
  <c r="Q42" i="6"/>
  <c r="R42" i="6"/>
  <c r="R43" i="6" s="1"/>
  <c r="S42" i="6"/>
  <c r="S43" i="6" s="1"/>
  <c r="T42" i="6"/>
  <c r="U42" i="6"/>
  <c r="U43" i="6" s="1"/>
  <c r="V42" i="6"/>
  <c r="V43" i="6" s="1"/>
  <c r="W42" i="6"/>
  <c r="X42" i="6"/>
  <c r="Y42" i="6"/>
  <c r="G43" i="6"/>
  <c r="H43" i="6"/>
  <c r="I43" i="6"/>
  <c r="L43" i="6"/>
  <c r="O43" i="6"/>
  <c r="P43" i="6"/>
  <c r="Q43" i="6"/>
  <c r="T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D56" i="6" s="1"/>
  <c r="G55" i="6"/>
  <c r="G55" i="20" s="1"/>
  <c r="E55" i="20" s="1"/>
  <c r="G55" i="32" s="1"/>
  <c r="I55" i="32" s="1"/>
  <c r="W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X56" i="6"/>
  <c r="Y56" i="6"/>
  <c r="D59" i="6"/>
  <c r="E59" i="6"/>
  <c r="E61" i="6" s="1"/>
  <c r="D60" i="6"/>
  <c r="D61" i="6" s="1"/>
  <c r="E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D66" i="6" s="1"/>
  <c r="E64" i="6"/>
  <c r="D65" i="6"/>
  <c r="E65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D72" i="6" s="1"/>
  <c r="E70" i="6"/>
  <c r="D71" i="6"/>
  <c r="E71" i="6"/>
  <c r="E72" i="6" s="1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G74" i="20" s="1"/>
  <c r="E74" i="20" s="1"/>
  <c r="G74" i="32" s="1"/>
  <c r="I74" i="32" s="1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R82" i="6"/>
  <c r="A5" i="18"/>
  <c r="F11" i="18"/>
  <c r="H11" i="18"/>
  <c r="I11" i="18"/>
  <c r="L11" i="18"/>
  <c r="F12" i="18"/>
  <c r="G12" i="18"/>
  <c r="H12" i="18"/>
  <c r="L12" i="18" s="1"/>
  <c r="D12" i="42" s="1"/>
  <c r="I12" i="18"/>
  <c r="M12" i="18"/>
  <c r="E12" i="42" s="1"/>
  <c r="F13" i="18"/>
  <c r="H13" i="18"/>
  <c r="I13" i="18"/>
  <c r="G14" i="18"/>
  <c r="H14" i="18"/>
  <c r="I14" i="18"/>
  <c r="M14" i="18"/>
  <c r="H15" i="18"/>
  <c r="F15" i="18" s="1"/>
  <c r="I15" i="18"/>
  <c r="L15" i="18"/>
  <c r="D15" i="42" s="1"/>
  <c r="D16" i="18"/>
  <c r="D82" i="18" s="1"/>
  <c r="E16" i="18"/>
  <c r="I16" i="18"/>
  <c r="J16" i="18"/>
  <c r="K16" i="18"/>
  <c r="H18" i="18"/>
  <c r="I18" i="18"/>
  <c r="G19" i="18"/>
  <c r="H19" i="18"/>
  <c r="I19" i="18"/>
  <c r="M19" i="18"/>
  <c r="F20" i="18"/>
  <c r="H20" i="18"/>
  <c r="I20" i="18"/>
  <c r="L20" i="18"/>
  <c r="D20" i="42" s="1"/>
  <c r="F21" i="18"/>
  <c r="G21" i="18"/>
  <c r="H21" i="18"/>
  <c r="L21" i="18" s="1"/>
  <c r="I21" i="18"/>
  <c r="M21" i="18"/>
  <c r="F22" i="18"/>
  <c r="H22" i="18"/>
  <c r="I22" i="18"/>
  <c r="G23" i="18"/>
  <c r="H23" i="18"/>
  <c r="F23" i="18" s="1"/>
  <c r="I23" i="18"/>
  <c r="L23" i="18"/>
  <c r="M23" i="18"/>
  <c r="E23" i="42" s="1"/>
  <c r="D24" i="18"/>
  <c r="E24" i="18"/>
  <c r="J24" i="18"/>
  <c r="K24" i="18"/>
  <c r="G27" i="18"/>
  <c r="H27" i="18"/>
  <c r="I27" i="18"/>
  <c r="L27" i="18"/>
  <c r="M27" i="18"/>
  <c r="E27" i="42" s="1"/>
  <c r="H28" i="18"/>
  <c r="F28" i="18" s="1"/>
  <c r="I28" i="18"/>
  <c r="L28" i="18"/>
  <c r="D28" i="42" s="1"/>
  <c r="D29" i="18"/>
  <c r="E29" i="18"/>
  <c r="I29" i="18"/>
  <c r="J29" i="18"/>
  <c r="K29" i="18"/>
  <c r="H32" i="18"/>
  <c r="F32" i="18" s="1"/>
  <c r="I32" i="18"/>
  <c r="L32" i="18"/>
  <c r="F33" i="18"/>
  <c r="G33" i="18"/>
  <c r="H33" i="18"/>
  <c r="I33" i="18"/>
  <c r="L33" i="18"/>
  <c r="M33" i="18"/>
  <c r="F34" i="18"/>
  <c r="H34" i="18"/>
  <c r="L34" i="18" s="1"/>
  <c r="D34" i="42" s="1"/>
  <c r="I34" i="18"/>
  <c r="G35" i="18"/>
  <c r="H35" i="18"/>
  <c r="I35" i="18"/>
  <c r="M35" i="18"/>
  <c r="E35" i="42" s="1"/>
  <c r="D36" i="18"/>
  <c r="E36" i="18"/>
  <c r="J36" i="18"/>
  <c r="J82" i="18" s="1"/>
  <c r="K36" i="18"/>
  <c r="K82" i="18" s="1"/>
  <c r="L37" i="18"/>
  <c r="M37" i="18"/>
  <c r="H38" i="18"/>
  <c r="I38" i="18"/>
  <c r="F39" i="18"/>
  <c r="G39" i="18"/>
  <c r="H39" i="18"/>
  <c r="L39" i="18" s="1"/>
  <c r="I39" i="18"/>
  <c r="M39" i="18"/>
  <c r="F40" i="18"/>
  <c r="H40" i="18"/>
  <c r="L40" i="18" s="1"/>
  <c r="I40" i="18"/>
  <c r="G41" i="18"/>
  <c r="H41" i="18"/>
  <c r="I41" i="18"/>
  <c r="L41" i="18"/>
  <c r="D41" i="42" s="1"/>
  <c r="M41" i="18"/>
  <c r="E41" i="42" s="1"/>
  <c r="D42" i="18"/>
  <c r="E42" i="18"/>
  <c r="J42" i="18"/>
  <c r="J43" i="18" s="1"/>
  <c r="K42" i="18"/>
  <c r="K43" i="18" s="1"/>
  <c r="D43" i="18"/>
  <c r="E43" i="18"/>
  <c r="F45" i="18"/>
  <c r="H45" i="18"/>
  <c r="L45" i="18" s="1"/>
  <c r="D45" i="42" s="1"/>
  <c r="I45" i="18"/>
  <c r="G47" i="18"/>
  <c r="H47" i="18"/>
  <c r="F47" i="18" s="1"/>
  <c r="I47" i="18"/>
  <c r="M47" i="18"/>
  <c r="E47" i="42" s="1"/>
  <c r="H49" i="18"/>
  <c r="F49" i="18" s="1"/>
  <c r="I49" i="18"/>
  <c r="L49" i="18"/>
  <c r="D49" i="42" s="1"/>
  <c r="F51" i="18"/>
  <c r="G51" i="18"/>
  <c r="H51" i="18"/>
  <c r="L51" i="18" s="1"/>
  <c r="I51" i="18"/>
  <c r="M51" i="18"/>
  <c r="H54" i="18"/>
  <c r="I54" i="18"/>
  <c r="G55" i="18"/>
  <c r="H55" i="18"/>
  <c r="F55" i="18" s="1"/>
  <c r="I55" i="18"/>
  <c r="M55" i="18"/>
  <c r="E55" i="42" s="1"/>
  <c r="D56" i="18"/>
  <c r="E56" i="18"/>
  <c r="J56" i="18"/>
  <c r="K56" i="18"/>
  <c r="G59" i="18"/>
  <c r="H59" i="18"/>
  <c r="I59" i="18"/>
  <c r="L59" i="18"/>
  <c r="M59" i="18"/>
  <c r="H60" i="18"/>
  <c r="F60" i="18" s="1"/>
  <c r="I60" i="18"/>
  <c r="L60" i="18"/>
  <c r="D60" i="42" s="1"/>
  <c r="D61" i="18"/>
  <c r="E61" i="18"/>
  <c r="I61" i="18"/>
  <c r="J61" i="18"/>
  <c r="K61" i="18"/>
  <c r="H64" i="18"/>
  <c r="F64" i="18" s="1"/>
  <c r="I64" i="18"/>
  <c r="L64" i="18"/>
  <c r="F65" i="18"/>
  <c r="F66" i="18" s="1"/>
  <c r="G65" i="18"/>
  <c r="H65" i="18"/>
  <c r="L65" i="18" s="1"/>
  <c r="D65" i="42" s="1"/>
  <c r="I65" i="18"/>
  <c r="M65" i="18"/>
  <c r="D66" i="18"/>
  <c r="E66" i="18"/>
  <c r="H66" i="18"/>
  <c r="J66" i="18"/>
  <c r="K66" i="18"/>
  <c r="L69" i="18"/>
  <c r="M69" i="18"/>
  <c r="F70" i="18"/>
  <c r="H70" i="18"/>
  <c r="I70" i="18"/>
  <c r="L70" i="18"/>
  <c r="L72" i="18" s="1"/>
  <c r="F71" i="18"/>
  <c r="G71" i="18"/>
  <c r="H71" i="18"/>
  <c r="L71" i="18" s="1"/>
  <c r="D71" i="42" s="1"/>
  <c r="I71" i="18"/>
  <c r="M71" i="18"/>
  <c r="E71" i="42" s="1"/>
  <c r="D72" i="18"/>
  <c r="E72" i="18"/>
  <c r="F72" i="18"/>
  <c r="H72" i="18"/>
  <c r="J72" i="18"/>
  <c r="K72" i="18"/>
  <c r="F73" i="18"/>
  <c r="G73" i="18"/>
  <c r="H73" i="18"/>
  <c r="L73" i="18" s="1"/>
  <c r="D73" i="42" s="1"/>
  <c r="I73" i="18"/>
  <c r="M73" i="18"/>
  <c r="E73" i="42" s="1"/>
  <c r="F74" i="18"/>
  <c r="H74" i="18"/>
  <c r="L74" i="18" s="1"/>
  <c r="I74" i="18"/>
  <c r="G75" i="18"/>
  <c r="H75" i="18"/>
  <c r="I75" i="18"/>
  <c r="M75" i="18"/>
  <c r="F76" i="18"/>
  <c r="H76" i="18"/>
  <c r="I76" i="18"/>
  <c r="L76" i="18"/>
  <c r="D76" i="42" s="1"/>
  <c r="F77" i="18"/>
  <c r="G77" i="18"/>
  <c r="H77" i="18"/>
  <c r="L77" i="18" s="1"/>
  <c r="D77" i="42" s="1"/>
  <c r="I77" i="18"/>
  <c r="M77" i="18"/>
  <c r="E77" i="42" s="1"/>
  <c r="H78" i="18"/>
  <c r="I78" i="18"/>
  <c r="G79" i="18"/>
  <c r="H79" i="18"/>
  <c r="I79" i="18"/>
  <c r="M79" i="18"/>
  <c r="F80" i="18"/>
  <c r="H80" i="18"/>
  <c r="I80" i="18"/>
  <c r="L80" i="18"/>
  <c r="E81" i="18"/>
  <c r="I81" i="18" s="1"/>
  <c r="F81" i="18"/>
  <c r="H81" i="18"/>
  <c r="L81" i="18"/>
  <c r="D81" i="42" s="1"/>
  <c r="E82" i="18"/>
  <c r="A5" i="30"/>
  <c r="H8" i="30"/>
  <c r="J8" i="30"/>
  <c r="L8" i="30"/>
  <c r="N8" i="30"/>
  <c r="D11" i="30"/>
  <c r="F11" i="30"/>
  <c r="G11" i="30"/>
  <c r="E11" i="30" s="1"/>
  <c r="D12" i="30"/>
  <c r="F12" i="30"/>
  <c r="G12" i="30"/>
  <c r="E12" i="30" s="1"/>
  <c r="F13" i="30"/>
  <c r="D13" i="30" s="1"/>
  <c r="F13" i="42" s="1"/>
  <c r="G13" i="30"/>
  <c r="D14" i="30"/>
  <c r="F14" i="30"/>
  <c r="G14" i="30"/>
  <c r="E14" i="30" s="1"/>
  <c r="G14" i="42" s="1"/>
  <c r="D15" i="30"/>
  <c r="F15" i="42" s="1"/>
  <c r="F15" i="30"/>
  <c r="G15" i="30"/>
  <c r="E15" i="30" s="1"/>
  <c r="H16" i="30"/>
  <c r="H82" i="30" s="1"/>
  <c r="F650" i="44" s="1"/>
  <c r="I16" i="30"/>
  <c r="J16" i="30"/>
  <c r="K16" i="30"/>
  <c r="L16" i="30"/>
  <c r="M16" i="30"/>
  <c r="N16" i="30"/>
  <c r="O16" i="30"/>
  <c r="O82" i="30" s="1"/>
  <c r="M650" i="44" s="1"/>
  <c r="P16" i="30"/>
  <c r="P82" i="30" s="1"/>
  <c r="N650" i="44" s="1"/>
  <c r="Q16" i="30"/>
  <c r="R16" i="30"/>
  <c r="S16" i="30"/>
  <c r="T16" i="30"/>
  <c r="U16" i="30"/>
  <c r="V16" i="30"/>
  <c r="W16" i="30"/>
  <c r="W82" i="30" s="1"/>
  <c r="U650" i="44" s="1"/>
  <c r="X16" i="30"/>
  <c r="X82" i="30" s="1"/>
  <c r="V650" i="44" s="1"/>
  <c r="Y16" i="30"/>
  <c r="Z16" i="30"/>
  <c r="AA16" i="30"/>
  <c r="AB16" i="30"/>
  <c r="AC16" i="30"/>
  <c r="AD16" i="30"/>
  <c r="AE16" i="30"/>
  <c r="AE82" i="30" s="1"/>
  <c r="AC650" i="44" s="1"/>
  <c r="AF16" i="30"/>
  <c r="AF82" i="30" s="1"/>
  <c r="AD650" i="44" s="1"/>
  <c r="AG16" i="30"/>
  <c r="AH16" i="30"/>
  <c r="AI16" i="30"/>
  <c r="AJ16" i="30"/>
  <c r="AK16" i="30"/>
  <c r="AL16" i="30"/>
  <c r="AM16" i="30"/>
  <c r="AM82" i="30" s="1"/>
  <c r="AK650" i="44" s="1"/>
  <c r="AN16" i="30"/>
  <c r="AN82" i="30" s="1"/>
  <c r="AL650" i="44" s="1"/>
  <c r="AO16" i="30"/>
  <c r="D19" i="30"/>
  <c r="E19" i="30"/>
  <c r="G19" i="42" s="1"/>
  <c r="F19" i="30"/>
  <c r="G19" i="30"/>
  <c r="G24" i="30" s="1"/>
  <c r="E20" i="30"/>
  <c r="G20" i="42" s="1"/>
  <c r="F20" i="30"/>
  <c r="G20" i="30"/>
  <c r="D21" i="30"/>
  <c r="F21" i="42" s="1"/>
  <c r="E21" i="30"/>
  <c r="F21" i="30"/>
  <c r="G21" i="30"/>
  <c r="E22" i="30"/>
  <c r="F22" i="30"/>
  <c r="D22" i="30" s="1"/>
  <c r="G22" i="30"/>
  <c r="D23" i="30"/>
  <c r="F23" i="42" s="1"/>
  <c r="E23" i="30"/>
  <c r="G23" i="42" s="1"/>
  <c r="F23" i="30"/>
  <c r="G23" i="30"/>
  <c r="H24" i="30"/>
  <c r="I24" i="30"/>
  <c r="J24" i="30"/>
  <c r="K24" i="30"/>
  <c r="L24" i="30"/>
  <c r="M24" i="30"/>
  <c r="M82" i="30" s="1"/>
  <c r="K650" i="44" s="1"/>
  <c r="N24" i="30"/>
  <c r="N82" i="30" s="1"/>
  <c r="L650" i="44" s="1"/>
  <c r="O24" i="30"/>
  <c r="P24" i="30"/>
  <c r="Q24" i="30"/>
  <c r="R24" i="30"/>
  <c r="S24" i="30"/>
  <c r="T24" i="30"/>
  <c r="U24" i="30"/>
  <c r="V24" i="30"/>
  <c r="V82" i="30" s="1"/>
  <c r="T650" i="44" s="1"/>
  <c r="W24" i="30"/>
  <c r="X24" i="30"/>
  <c r="Y24" i="30"/>
  <c r="Z24" i="30"/>
  <c r="AA24" i="30"/>
  <c r="AB24" i="30"/>
  <c r="AC24" i="30"/>
  <c r="AC82" i="30" s="1"/>
  <c r="AA650" i="44" s="1"/>
  <c r="AD24" i="30"/>
  <c r="AD82" i="30" s="1"/>
  <c r="AB650" i="44" s="1"/>
  <c r="AE24" i="30"/>
  <c r="AF24" i="30"/>
  <c r="AG24" i="30"/>
  <c r="AH24" i="30"/>
  <c r="AI24" i="30"/>
  <c r="AJ24" i="30"/>
  <c r="AK24" i="30"/>
  <c r="AL24" i="30"/>
  <c r="AL82" i="30" s="1"/>
  <c r="AJ650" i="44" s="1"/>
  <c r="AM24" i="30"/>
  <c r="AN24" i="30"/>
  <c r="AO24" i="30"/>
  <c r="D27" i="30"/>
  <c r="F27" i="30"/>
  <c r="G27" i="30"/>
  <c r="E27" i="30" s="1"/>
  <c r="E29" i="30" s="1"/>
  <c r="D28" i="30"/>
  <c r="D29" i="30" s="1"/>
  <c r="F28" i="30"/>
  <c r="F29" i="30" s="1"/>
  <c r="G28" i="30"/>
  <c r="E28" i="30" s="1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D32" i="30"/>
  <c r="E32" i="30"/>
  <c r="G32" i="42" s="1"/>
  <c r="F32" i="30"/>
  <c r="G32" i="30"/>
  <c r="E33" i="30"/>
  <c r="F33" i="30"/>
  <c r="G33" i="30"/>
  <c r="D34" i="30"/>
  <c r="F34" i="42" s="1"/>
  <c r="E34" i="30"/>
  <c r="G34" i="42" s="1"/>
  <c r="F34" i="30"/>
  <c r="G34" i="30"/>
  <c r="E35" i="30"/>
  <c r="G35" i="42" s="1"/>
  <c r="F35" i="30"/>
  <c r="D35" i="30" s="1"/>
  <c r="F35" i="42" s="1"/>
  <c r="G35" i="30"/>
  <c r="E36" i="30"/>
  <c r="G36" i="30"/>
  <c r="H36" i="30"/>
  <c r="I36" i="30"/>
  <c r="J36" i="30"/>
  <c r="K36" i="30"/>
  <c r="L36" i="30"/>
  <c r="L82" i="30" s="1"/>
  <c r="J650" i="44" s="1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J82" i="30" s="1"/>
  <c r="AH650" i="44" s="1"/>
  <c r="AK36" i="30"/>
  <c r="AL36" i="30"/>
  <c r="AM36" i="30"/>
  <c r="AN36" i="30"/>
  <c r="AO36" i="30"/>
  <c r="D39" i="30"/>
  <c r="F39" i="42" s="1"/>
  <c r="F39" i="30"/>
  <c r="G39" i="30"/>
  <c r="E39" i="30" s="1"/>
  <c r="D40" i="30"/>
  <c r="F40" i="30"/>
  <c r="G40" i="30"/>
  <c r="F41" i="30"/>
  <c r="F42" i="30" s="1"/>
  <c r="F43" i="30" s="1"/>
  <c r="G41" i="30"/>
  <c r="E41" i="30" s="1"/>
  <c r="G41" i="42" s="1"/>
  <c r="H42" i="30"/>
  <c r="H43" i="30" s="1"/>
  <c r="I42" i="30"/>
  <c r="J42" i="30"/>
  <c r="J43" i="30" s="1"/>
  <c r="K42" i="30"/>
  <c r="K43" i="30" s="1"/>
  <c r="L42" i="30"/>
  <c r="M42" i="30"/>
  <c r="N42" i="30"/>
  <c r="O42" i="30"/>
  <c r="O43" i="30" s="1"/>
  <c r="P42" i="30"/>
  <c r="P43" i="30" s="1"/>
  <c r="Q42" i="30"/>
  <c r="R42" i="30"/>
  <c r="S42" i="30"/>
  <c r="S43" i="30" s="1"/>
  <c r="T42" i="30"/>
  <c r="U42" i="30"/>
  <c r="V42" i="30"/>
  <c r="W42" i="30"/>
  <c r="W43" i="30" s="1"/>
  <c r="X42" i="30"/>
  <c r="X43" i="30" s="1"/>
  <c r="Y42" i="30"/>
  <c r="Z42" i="30"/>
  <c r="Z43" i="30" s="1"/>
  <c r="AA42" i="30"/>
  <c r="AA43" i="30" s="1"/>
  <c r="AB42" i="30"/>
  <c r="AC42" i="30"/>
  <c r="AD42" i="30"/>
  <c r="AE42" i="30"/>
  <c r="AE43" i="30" s="1"/>
  <c r="AF42" i="30"/>
  <c r="AF43" i="30" s="1"/>
  <c r="AG42" i="30"/>
  <c r="AH42" i="30"/>
  <c r="AH43" i="30" s="1"/>
  <c r="AI42" i="30"/>
  <c r="AI43" i="30" s="1"/>
  <c r="AJ42" i="30"/>
  <c r="AK42" i="30"/>
  <c r="AL42" i="30"/>
  <c r="AM42" i="30"/>
  <c r="AM43" i="30" s="1"/>
  <c r="AN42" i="30"/>
  <c r="AN43" i="30" s="1"/>
  <c r="AO42" i="30"/>
  <c r="I43" i="30"/>
  <c r="L43" i="30"/>
  <c r="M43" i="30"/>
  <c r="N43" i="30"/>
  <c r="Q43" i="30"/>
  <c r="R43" i="30"/>
  <c r="T43" i="30"/>
  <c r="U43" i="30"/>
  <c r="V43" i="30"/>
  <c r="Y43" i="30"/>
  <c r="AB43" i="30"/>
  <c r="AC43" i="30"/>
  <c r="AD43" i="30"/>
  <c r="AG43" i="30"/>
  <c r="AJ43" i="30"/>
  <c r="AK43" i="30"/>
  <c r="AL43" i="30"/>
  <c r="AO43" i="30"/>
  <c r="D45" i="30"/>
  <c r="F45" i="42" s="1"/>
  <c r="F45" i="30"/>
  <c r="G45" i="30"/>
  <c r="E45" i="30" s="1"/>
  <c r="D47" i="30"/>
  <c r="F47" i="30"/>
  <c r="G47" i="30"/>
  <c r="E47" i="30" s="1"/>
  <c r="G47" i="42" s="1"/>
  <c r="F49" i="30"/>
  <c r="D49" i="30" s="1"/>
  <c r="F49" i="42" s="1"/>
  <c r="G49" i="30"/>
  <c r="E49" i="30" s="1"/>
  <c r="G49" i="42" s="1"/>
  <c r="D50" i="30"/>
  <c r="E50" i="30"/>
  <c r="E51" i="30"/>
  <c r="F51" i="30"/>
  <c r="D51" i="30" s="1"/>
  <c r="F51" i="42" s="1"/>
  <c r="G51" i="30"/>
  <c r="D54" i="30"/>
  <c r="E54" i="30"/>
  <c r="F54" i="30"/>
  <c r="G54" i="30"/>
  <c r="E55" i="30"/>
  <c r="G55" i="42" s="1"/>
  <c r="F55" i="30"/>
  <c r="G55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D59" i="30"/>
  <c r="F59" i="30"/>
  <c r="G59" i="30"/>
  <c r="E59" i="30" s="1"/>
  <c r="D60" i="30"/>
  <c r="F60" i="30"/>
  <c r="G60" i="30"/>
  <c r="E60" i="30" s="1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E64" i="30"/>
  <c r="G64" i="42" s="1"/>
  <c r="F64" i="30"/>
  <c r="D64" i="30" s="1"/>
  <c r="G64" i="30"/>
  <c r="D65" i="30"/>
  <c r="F65" i="42" s="1"/>
  <c r="E65" i="30"/>
  <c r="G65" i="42" s="1"/>
  <c r="F65" i="30"/>
  <c r="G65" i="30"/>
  <c r="G66" i="30" s="1"/>
  <c r="F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D70" i="30"/>
  <c r="F70" i="30"/>
  <c r="G70" i="30"/>
  <c r="S70" i="30"/>
  <c r="S72" i="30" s="1"/>
  <c r="E71" i="30"/>
  <c r="G71" i="42" s="1"/>
  <c r="F71" i="30"/>
  <c r="D71" i="30" s="1"/>
  <c r="D72" i="30" s="1"/>
  <c r="G71" i="30"/>
  <c r="F72" i="30"/>
  <c r="H72" i="30"/>
  <c r="I72" i="30"/>
  <c r="J72" i="30"/>
  <c r="K72" i="30"/>
  <c r="L72" i="30"/>
  <c r="M72" i="30"/>
  <c r="N72" i="30"/>
  <c r="O72" i="30"/>
  <c r="P72" i="30"/>
  <c r="Q72" i="30"/>
  <c r="R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D73" i="30"/>
  <c r="F73" i="42" s="1"/>
  <c r="E73" i="30"/>
  <c r="F73" i="30"/>
  <c r="G73" i="30"/>
  <c r="D74" i="30"/>
  <c r="F74" i="42" s="1"/>
  <c r="E74" i="30"/>
  <c r="G74" i="42" s="1"/>
  <c r="F74" i="30"/>
  <c r="G74" i="30"/>
  <c r="D75" i="30"/>
  <c r="F75" i="42" s="1"/>
  <c r="E75" i="30"/>
  <c r="F75" i="30"/>
  <c r="G75" i="30"/>
  <c r="D76" i="30"/>
  <c r="F76" i="42" s="1"/>
  <c r="E76" i="30"/>
  <c r="G76" i="42" s="1"/>
  <c r="F76" i="30"/>
  <c r="G76" i="30"/>
  <c r="D77" i="30"/>
  <c r="E77" i="30"/>
  <c r="F77" i="30"/>
  <c r="G77" i="30"/>
  <c r="D78" i="30"/>
  <c r="F78" i="42" s="1"/>
  <c r="E78" i="30"/>
  <c r="G78" i="42" s="1"/>
  <c r="F78" i="30"/>
  <c r="G78" i="30"/>
  <c r="D79" i="30"/>
  <c r="F79" i="42" s="1"/>
  <c r="E79" i="30"/>
  <c r="F79" i="30"/>
  <c r="G79" i="30"/>
  <c r="D80" i="30"/>
  <c r="F80" i="42" s="1"/>
  <c r="E80" i="30"/>
  <c r="F80" i="30"/>
  <c r="G80" i="30"/>
  <c r="D81" i="30"/>
  <c r="F81" i="42" s="1"/>
  <c r="E81" i="30"/>
  <c r="F81" i="30"/>
  <c r="G81" i="30"/>
  <c r="U82" i="30"/>
  <c r="S650" i="44" s="1"/>
  <c r="AB82" i="30"/>
  <c r="Z650" i="44" s="1"/>
  <c r="AK82" i="30"/>
  <c r="AI650" i="44" s="1"/>
  <c r="A5" i="42"/>
  <c r="G11" i="42"/>
  <c r="F12" i="42"/>
  <c r="G12" i="42"/>
  <c r="E14" i="42"/>
  <c r="F14" i="42"/>
  <c r="G15" i="42"/>
  <c r="D21" i="42"/>
  <c r="E21" i="42"/>
  <c r="G21" i="42"/>
  <c r="F22" i="42"/>
  <c r="G22" i="42"/>
  <c r="D23" i="42"/>
  <c r="F27" i="42"/>
  <c r="G27" i="42"/>
  <c r="F28" i="42"/>
  <c r="G28" i="42"/>
  <c r="D33" i="42"/>
  <c r="E33" i="42"/>
  <c r="G33" i="42"/>
  <c r="I35" i="42"/>
  <c r="D39" i="42"/>
  <c r="E39" i="42"/>
  <c r="G39" i="42"/>
  <c r="F40" i="42"/>
  <c r="I41" i="42"/>
  <c r="G45" i="42"/>
  <c r="F47" i="42"/>
  <c r="D51" i="42"/>
  <c r="E51" i="42"/>
  <c r="G51" i="42"/>
  <c r="F54" i="42"/>
  <c r="G59" i="42"/>
  <c r="F60" i="42"/>
  <c r="G60" i="42"/>
  <c r="F64" i="42"/>
  <c r="E65" i="42"/>
  <c r="D70" i="42"/>
  <c r="F70" i="42"/>
  <c r="F72" i="42" s="1"/>
  <c r="H70" i="42"/>
  <c r="H72" i="42" s="1"/>
  <c r="F71" i="42"/>
  <c r="H71" i="42" s="1"/>
  <c r="G73" i="42"/>
  <c r="I73" i="42"/>
  <c r="D74" i="42"/>
  <c r="H74" i="42" s="1"/>
  <c r="E75" i="42"/>
  <c r="G75" i="42"/>
  <c r="F77" i="42"/>
  <c r="G77" i="42"/>
  <c r="E79" i="42"/>
  <c r="G79" i="42"/>
  <c r="I79" i="42" s="1"/>
  <c r="D80" i="42"/>
  <c r="G80" i="42"/>
  <c r="G81" i="42"/>
  <c r="A5" i="7"/>
  <c r="D11" i="7"/>
  <c r="E11" i="7"/>
  <c r="D12" i="7"/>
  <c r="G12" i="7"/>
  <c r="G12" i="20" s="1"/>
  <c r="E12" i="20" s="1"/>
  <c r="G12" i="32" s="1"/>
  <c r="I12" i="32" s="1"/>
  <c r="I12" i="7"/>
  <c r="I16" i="7" s="1"/>
  <c r="I82" i="7" s="1"/>
  <c r="I91" i="7" s="1"/>
  <c r="K12" i="7"/>
  <c r="O12" i="7"/>
  <c r="Q12" i="7"/>
  <c r="S12" i="7"/>
  <c r="S16" i="7" s="1"/>
  <c r="D13" i="7"/>
  <c r="E13" i="7"/>
  <c r="D14" i="7"/>
  <c r="E14" i="7"/>
  <c r="D15" i="7"/>
  <c r="D16" i="7" s="1"/>
  <c r="E15" i="7"/>
  <c r="F16" i="7"/>
  <c r="G16" i="7"/>
  <c r="H16" i="7"/>
  <c r="J16" i="7"/>
  <c r="L16" i="7"/>
  <c r="L82" i="7" s="1"/>
  <c r="M16" i="7"/>
  <c r="N16" i="7"/>
  <c r="O16" i="7"/>
  <c r="P16" i="7"/>
  <c r="R16" i="7"/>
  <c r="T16" i="7"/>
  <c r="U16" i="7"/>
  <c r="V16" i="7"/>
  <c r="W16" i="7"/>
  <c r="X16" i="7"/>
  <c r="Y16" i="7"/>
  <c r="D19" i="7"/>
  <c r="E19" i="7"/>
  <c r="D20" i="7"/>
  <c r="G20" i="7"/>
  <c r="E20" i="7" s="1"/>
  <c r="E24" i="7" s="1"/>
  <c r="I20" i="7"/>
  <c r="Q20" i="7"/>
  <c r="S20" i="7"/>
  <c r="S24" i="7" s="1"/>
  <c r="D21" i="7"/>
  <c r="E21" i="7"/>
  <c r="D22" i="7"/>
  <c r="E22" i="7"/>
  <c r="D23" i="7"/>
  <c r="E23" i="7"/>
  <c r="F24" i="7"/>
  <c r="H24" i="7"/>
  <c r="I24" i="7"/>
  <c r="J24" i="7"/>
  <c r="K24" i="7"/>
  <c r="L24" i="7"/>
  <c r="M24" i="7"/>
  <c r="N24" i="7"/>
  <c r="O24" i="7"/>
  <c r="P24" i="7"/>
  <c r="Q24" i="7"/>
  <c r="R24" i="7"/>
  <c r="T24" i="7"/>
  <c r="U24" i="7"/>
  <c r="V24" i="7"/>
  <c r="W24" i="7"/>
  <c r="X24" i="7"/>
  <c r="Y24" i="7"/>
  <c r="D27" i="7"/>
  <c r="D29" i="7" s="1"/>
  <c r="E27" i="7"/>
  <c r="E29" i="7" s="1"/>
  <c r="D28" i="7"/>
  <c r="E28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E36" i="7" s="1"/>
  <c r="D33" i="7"/>
  <c r="D36" i="7" s="1"/>
  <c r="E33" i="7"/>
  <c r="D34" i="7"/>
  <c r="E34" i="7"/>
  <c r="D35" i="7"/>
  <c r="E35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F42" i="7"/>
  <c r="F43" i="7" s="1"/>
  <c r="G42" i="7"/>
  <c r="H42" i="7"/>
  <c r="H43" i="7" s="1"/>
  <c r="I42" i="7"/>
  <c r="I43" i="7" s="1"/>
  <c r="J42" i="7"/>
  <c r="K42" i="7"/>
  <c r="L42" i="7"/>
  <c r="M42" i="7"/>
  <c r="N42" i="7"/>
  <c r="N43" i="7" s="1"/>
  <c r="O42" i="7"/>
  <c r="P42" i="7"/>
  <c r="P43" i="7" s="1"/>
  <c r="Q42" i="7"/>
  <c r="Q43" i="7" s="1"/>
  <c r="R42" i="7"/>
  <c r="S42" i="7"/>
  <c r="T42" i="7"/>
  <c r="U42" i="7"/>
  <c r="V42" i="7"/>
  <c r="V43" i="7" s="1"/>
  <c r="W42" i="7"/>
  <c r="X42" i="7"/>
  <c r="X43" i="7" s="1"/>
  <c r="Y42" i="7"/>
  <c r="Y43" i="7" s="1"/>
  <c r="G43" i="7"/>
  <c r="J43" i="7"/>
  <c r="K43" i="7"/>
  <c r="L43" i="7"/>
  <c r="M43" i="7"/>
  <c r="O43" i="7"/>
  <c r="R43" i="7"/>
  <c r="S43" i="7"/>
  <c r="T43" i="7"/>
  <c r="U43" i="7"/>
  <c r="W43" i="7"/>
  <c r="D45" i="7"/>
  <c r="E45" i="7"/>
  <c r="D47" i="7"/>
  <c r="E47" i="7"/>
  <c r="D49" i="7"/>
  <c r="E49" i="7"/>
  <c r="D51" i="7"/>
  <c r="E51" i="7"/>
  <c r="D54" i="7"/>
  <c r="D56" i="7" s="1"/>
  <c r="E54" i="7"/>
  <c r="D55" i="7"/>
  <c r="E55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D61" i="7" s="1"/>
  <c r="E59" i="7"/>
  <c r="E61" i="7" s="1"/>
  <c r="D60" i="7"/>
  <c r="E60" i="7"/>
  <c r="F61" i="7"/>
  <c r="G61" i="7"/>
  <c r="H61" i="7"/>
  <c r="I61" i="7"/>
  <c r="J61" i="7"/>
  <c r="K61" i="7"/>
  <c r="L61" i="7"/>
  <c r="M61" i="7"/>
  <c r="N61" i="7"/>
  <c r="O61" i="7"/>
  <c r="O82" i="7" s="1"/>
  <c r="O91" i="7" s="1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S65" i="7"/>
  <c r="E65" i="7" s="1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D71" i="7"/>
  <c r="E71" i="7"/>
  <c r="D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I74" i="7"/>
  <c r="W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H82" i="7"/>
  <c r="H91" i="7" s="1"/>
  <c r="P82" i="7"/>
  <c r="P91" i="7" s="1"/>
  <c r="R82" i="7"/>
  <c r="W82" i="7"/>
  <c r="X82" i="7"/>
  <c r="X91" i="7" s="1"/>
  <c r="D86" i="7"/>
  <c r="W86" i="7"/>
  <c r="G86" i="31" s="1"/>
  <c r="G89" i="31" s="1"/>
  <c r="E87" i="7"/>
  <c r="S87" i="7"/>
  <c r="T87" i="7"/>
  <c r="E88" i="7"/>
  <c r="T88" i="7"/>
  <c r="D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X89" i="7"/>
  <c r="Y89" i="7"/>
  <c r="L91" i="7"/>
  <c r="G94" i="7"/>
  <c r="M94" i="7"/>
  <c r="O94" i="7"/>
  <c r="S94" i="7"/>
  <c r="U94" i="7"/>
  <c r="W94" i="7"/>
  <c r="Y94" i="7"/>
  <c r="A5" i="5"/>
  <c r="A4" i="15"/>
  <c r="A5" i="15"/>
  <c r="I11" i="15"/>
  <c r="J11" i="15"/>
  <c r="K11" i="15"/>
  <c r="J12" i="15"/>
  <c r="K12" i="15"/>
  <c r="J13" i="15"/>
  <c r="K13" i="15"/>
  <c r="J14" i="15"/>
  <c r="K14" i="15"/>
  <c r="I15" i="15"/>
  <c r="J15" i="15"/>
  <c r="K15" i="15"/>
  <c r="I19" i="15"/>
  <c r="J19" i="15"/>
  <c r="K19" i="15"/>
  <c r="J20" i="15"/>
  <c r="K20" i="15"/>
  <c r="J21" i="15"/>
  <c r="K21" i="15"/>
  <c r="J22" i="15"/>
  <c r="K22" i="15"/>
  <c r="J23" i="15"/>
  <c r="K23" i="15"/>
  <c r="J27" i="15"/>
  <c r="K27" i="15"/>
  <c r="J28" i="15"/>
  <c r="K28" i="15"/>
  <c r="J29" i="15"/>
  <c r="K29" i="15"/>
  <c r="J32" i="15"/>
  <c r="K32" i="15"/>
  <c r="I33" i="15"/>
  <c r="J33" i="15"/>
  <c r="J36" i="15" s="1"/>
  <c r="K33" i="15"/>
  <c r="K36" i="15" s="1"/>
  <c r="H34" i="15"/>
  <c r="J34" i="15"/>
  <c r="K34" i="15"/>
  <c r="J35" i="15"/>
  <c r="K35" i="15"/>
  <c r="L37" i="15"/>
  <c r="M37" i="15"/>
  <c r="J39" i="15"/>
  <c r="K39" i="15"/>
  <c r="G40" i="15"/>
  <c r="I40" i="15"/>
  <c r="J40" i="15"/>
  <c r="K40" i="15"/>
  <c r="J41" i="15"/>
  <c r="K41" i="15"/>
  <c r="J42" i="15"/>
  <c r="K42" i="15"/>
  <c r="J43" i="15"/>
  <c r="K43" i="15"/>
  <c r="I45" i="15"/>
  <c r="M45" i="15" s="1"/>
  <c r="E45" i="39" s="1"/>
  <c r="J45" i="15"/>
  <c r="K45" i="15"/>
  <c r="J47" i="15"/>
  <c r="K47" i="15"/>
  <c r="J49" i="15"/>
  <c r="K49" i="15"/>
  <c r="J51" i="15"/>
  <c r="K51" i="15"/>
  <c r="J54" i="15"/>
  <c r="K54" i="15"/>
  <c r="J55" i="15"/>
  <c r="K55" i="15"/>
  <c r="J56" i="15"/>
  <c r="K56" i="15"/>
  <c r="J59" i="15"/>
  <c r="K59" i="15"/>
  <c r="J60" i="15"/>
  <c r="K60" i="15"/>
  <c r="J61" i="15"/>
  <c r="K61" i="15"/>
  <c r="J64" i="15"/>
  <c r="K64" i="15"/>
  <c r="F65" i="15"/>
  <c r="J65" i="15"/>
  <c r="K65" i="15"/>
  <c r="J66" i="15"/>
  <c r="K66" i="15"/>
  <c r="J70" i="15"/>
  <c r="K70" i="15"/>
  <c r="J71" i="15"/>
  <c r="K71" i="15"/>
  <c r="J72" i="15"/>
  <c r="K72" i="15"/>
  <c r="I73" i="15"/>
  <c r="M73" i="15" s="1"/>
  <c r="E73" i="39" s="1"/>
  <c r="J73" i="15"/>
  <c r="K73" i="15"/>
  <c r="J74" i="15"/>
  <c r="K74" i="15"/>
  <c r="F75" i="15"/>
  <c r="J75" i="15"/>
  <c r="K75" i="15"/>
  <c r="J76" i="15"/>
  <c r="K76" i="15"/>
  <c r="G77" i="15"/>
  <c r="I77" i="15"/>
  <c r="M77" i="15" s="1"/>
  <c r="E77" i="39" s="1"/>
  <c r="J77" i="15"/>
  <c r="K77" i="15"/>
  <c r="J78" i="15"/>
  <c r="K78" i="15"/>
  <c r="F79" i="15"/>
  <c r="J79" i="15"/>
  <c r="K79" i="15"/>
  <c r="J80" i="15"/>
  <c r="K80" i="15"/>
  <c r="I81" i="15"/>
  <c r="M81" i="15" s="1"/>
  <c r="E81" i="39" s="1"/>
  <c r="J81" i="15"/>
  <c r="K81" i="15"/>
  <c r="D82" i="15"/>
  <c r="E82" i="15"/>
  <c r="E85" i="15"/>
  <c r="D86" i="15"/>
  <c r="E86" i="15"/>
  <c r="J86" i="15"/>
  <c r="K86" i="15"/>
  <c r="K89" i="15" s="1"/>
  <c r="L86" i="15"/>
  <c r="D87" i="15"/>
  <c r="E87" i="15"/>
  <c r="J87" i="15"/>
  <c r="K87" i="15"/>
  <c r="D88" i="15"/>
  <c r="E88" i="15"/>
  <c r="J88" i="15"/>
  <c r="K88" i="15"/>
  <c r="D89" i="15"/>
  <c r="E89" i="15"/>
  <c r="A5" i="27"/>
  <c r="H8" i="27"/>
  <c r="J8" i="27"/>
  <c r="L8" i="27"/>
  <c r="N8" i="27"/>
  <c r="F11" i="27"/>
  <c r="G11" i="27"/>
  <c r="M11" i="27"/>
  <c r="AH11" i="27"/>
  <c r="AI11" i="27"/>
  <c r="AJ11" i="27"/>
  <c r="AK11" i="27"/>
  <c r="AK16" i="27" s="1"/>
  <c r="AL11" i="27"/>
  <c r="AM11" i="27"/>
  <c r="AN11" i="27"/>
  <c r="AO11" i="27"/>
  <c r="F12" i="27"/>
  <c r="F16" i="27" s="1"/>
  <c r="O12" i="27"/>
  <c r="T12" i="27"/>
  <c r="AJ12" i="27"/>
  <c r="AK12" i="27"/>
  <c r="AL12" i="27"/>
  <c r="AM12" i="27"/>
  <c r="AN12" i="27"/>
  <c r="AO12" i="27"/>
  <c r="F13" i="27"/>
  <c r="G13" i="27"/>
  <c r="H13" i="27"/>
  <c r="W13" i="27"/>
  <c r="X13" i="27"/>
  <c r="AJ13" i="27"/>
  <c r="AK13" i="27"/>
  <c r="AL13" i="27"/>
  <c r="AL16" i="27" s="1"/>
  <c r="AM13" i="27"/>
  <c r="AN13" i="27"/>
  <c r="AO13" i="27"/>
  <c r="F14" i="27"/>
  <c r="G14" i="27"/>
  <c r="J14" i="27"/>
  <c r="K14" i="27"/>
  <c r="Y14" i="27"/>
  <c r="Z14" i="27"/>
  <c r="AJ14" i="27"/>
  <c r="AK14" i="27"/>
  <c r="AL14" i="27"/>
  <c r="AM14" i="27"/>
  <c r="AN14" i="27"/>
  <c r="AO14" i="27"/>
  <c r="F15" i="27"/>
  <c r="G15" i="27"/>
  <c r="K15" i="27"/>
  <c r="L15" i="27"/>
  <c r="AA15" i="27"/>
  <c r="AJ15" i="27"/>
  <c r="AK15" i="27"/>
  <c r="AL15" i="27"/>
  <c r="AM15" i="27"/>
  <c r="AN15" i="27"/>
  <c r="AO15" i="27"/>
  <c r="AM16" i="27"/>
  <c r="AO16" i="27"/>
  <c r="F19" i="27"/>
  <c r="G19" i="27"/>
  <c r="P19" i="27"/>
  <c r="AE19" i="27"/>
  <c r="AJ19" i="27"/>
  <c r="AK19" i="27"/>
  <c r="AL19" i="27"/>
  <c r="AM19" i="27"/>
  <c r="AM24" i="27" s="1"/>
  <c r="AN19" i="27"/>
  <c r="AO19" i="27"/>
  <c r="F20" i="27"/>
  <c r="G20" i="27"/>
  <c r="J20" i="27"/>
  <c r="K20" i="27"/>
  <c r="Y20" i="27"/>
  <c r="AG20" i="27"/>
  <c r="AJ20" i="27"/>
  <c r="AK20" i="27"/>
  <c r="AL20" i="27"/>
  <c r="AM20" i="27"/>
  <c r="AN20" i="27"/>
  <c r="AO20" i="27"/>
  <c r="AO24" i="27" s="1"/>
  <c r="F21" i="27"/>
  <c r="G21" i="27"/>
  <c r="P21" i="27"/>
  <c r="X21" i="27"/>
  <c r="Z21" i="27"/>
  <c r="AJ21" i="27"/>
  <c r="AJ24" i="27" s="1"/>
  <c r="AK21" i="27"/>
  <c r="AL21" i="27"/>
  <c r="AM21" i="27"/>
  <c r="AN21" i="27"/>
  <c r="AO21" i="27"/>
  <c r="F22" i="27"/>
  <c r="G22" i="27"/>
  <c r="O22" i="27"/>
  <c r="AJ22" i="27"/>
  <c r="AK22" i="27"/>
  <c r="AL22" i="27"/>
  <c r="AM22" i="27"/>
  <c r="AN22" i="27"/>
  <c r="AO22" i="27"/>
  <c r="F23" i="27"/>
  <c r="G23" i="27"/>
  <c r="K23" i="27"/>
  <c r="AB23" i="27"/>
  <c r="AE23" i="27"/>
  <c r="AJ23" i="27"/>
  <c r="AK23" i="27"/>
  <c r="AL23" i="27"/>
  <c r="AM23" i="27"/>
  <c r="AN23" i="27"/>
  <c r="AO23" i="27"/>
  <c r="F27" i="27"/>
  <c r="G27" i="27"/>
  <c r="AJ27" i="27"/>
  <c r="AJ29" i="27" s="1"/>
  <c r="AK27" i="27"/>
  <c r="AL27" i="27"/>
  <c r="AL29" i="27" s="1"/>
  <c r="AM27" i="27"/>
  <c r="AN27" i="27"/>
  <c r="AO27" i="27"/>
  <c r="F28" i="27"/>
  <c r="G28" i="27"/>
  <c r="M28" i="27"/>
  <c r="N28" i="27"/>
  <c r="V28" i="27"/>
  <c r="W28" i="27"/>
  <c r="AC28" i="27"/>
  <c r="AD28" i="27"/>
  <c r="AJ28" i="27"/>
  <c r="AK28" i="27"/>
  <c r="AL28" i="27"/>
  <c r="AM28" i="27"/>
  <c r="AN28" i="27"/>
  <c r="AN29" i="27" s="1"/>
  <c r="AO28" i="27"/>
  <c r="AM29" i="27"/>
  <c r="AO29" i="27"/>
  <c r="F32" i="27"/>
  <c r="G32" i="27"/>
  <c r="I32" i="27"/>
  <c r="J32" i="27"/>
  <c r="R32" i="27"/>
  <c r="S32" i="27"/>
  <c r="Y32" i="27"/>
  <c r="Z32" i="27"/>
  <c r="AH32" i="27"/>
  <c r="AI32" i="27"/>
  <c r="AJ32" i="27"/>
  <c r="AK32" i="27"/>
  <c r="AL32" i="27"/>
  <c r="AM32" i="27"/>
  <c r="AN32" i="27"/>
  <c r="AO32" i="27"/>
  <c r="F33" i="27"/>
  <c r="G33" i="27"/>
  <c r="K33" i="27"/>
  <c r="S33" i="27"/>
  <c r="AA33" i="27"/>
  <c r="AJ33" i="27"/>
  <c r="AJ36" i="27" s="1"/>
  <c r="AK33" i="27"/>
  <c r="AL33" i="27"/>
  <c r="AM33" i="27"/>
  <c r="AN33" i="27"/>
  <c r="AO33" i="27"/>
  <c r="F34" i="27"/>
  <c r="G34" i="27"/>
  <c r="M34" i="27"/>
  <c r="N34" i="27"/>
  <c r="AC34" i="27"/>
  <c r="AJ34" i="27"/>
  <c r="AK34" i="27"/>
  <c r="AL34" i="27"/>
  <c r="AM34" i="27"/>
  <c r="AN34" i="27"/>
  <c r="AO34" i="27"/>
  <c r="F35" i="27"/>
  <c r="G35" i="27"/>
  <c r="P35" i="27"/>
  <c r="Q35" i="27"/>
  <c r="Z35" i="27"/>
  <c r="AF35" i="27"/>
  <c r="AJ35" i="27"/>
  <c r="AK35" i="27"/>
  <c r="AL35" i="27"/>
  <c r="AM35" i="27"/>
  <c r="AN35" i="27"/>
  <c r="AO35" i="27"/>
  <c r="AO36" i="27" s="1"/>
  <c r="F39" i="27"/>
  <c r="G39" i="27"/>
  <c r="V39" i="27"/>
  <c r="AC39" i="27"/>
  <c r="AJ39" i="27"/>
  <c r="AK39" i="27"/>
  <c r="AK43" i="27" s="1"/>
  <c r="AL39" i="27"/>
  <c r="AL43" i="27" s="1"/>
  <c r="AM39" i="27"/>
  <c r="AN39" i="27"/>
  <c r="AO39" i="27"/>
  <c r="F40" i="27"/>
  <c r="G40" i="27"/>
  <c r="H40" i="27"/>
  <c r="M40" i="27"/>
  <c r="O40" i="27"/>
  <c r="O42" i="27" s="1"/>
  <c r="P40" i="27"/>
  <c r="X40" i="27"/>
  <c r="AJ40" i="27"/>
  <c r="AK40" i="27"/>
  <c r="AK42" i="27" s="1"/>
  <c r="AL40" i="27"/>
  <c r="AL42" i="27" s="1"/>
  <c r="AM40" i="27"/>
  <c r="AM42" i="27" s="1"/>
  <c r="AM43" i="27" s="1"/>
  <c r="AN40" i="27"/>
  <c r="AN42" i="27" s="1"/>
  <c r="AN43" i="27" s="1"/>
  <c r="AO40" i="27"/>
  <c r="F41" i="27"/>
  <c r="G41" i="27"/>
  <c r="O41" i="27"/>
  <c r="P41" i="27"/>
  <c r="R41" i="27"/>
  <c r="W41" i="27"/>
  <c r="AE41" i="27"/>
  <c r="AF41" i="27"/>
  <c r="AH41" i="27"/>
  <c r="AJ41" i="27"/>
  <c r="AK41" i="27"/>
  <c r="AL41" i="27"/>
  <c r="AM41" i="27"/>
  <c r="AN41" i="27"/>
  <c r="AO41" i="27"/>
  <c r="AJ42" i="27"/>
  <c r="AO42" i="27"/>
  <c r="AO43" i="27" s="1"/>
  <c r="AJ43" i="27"/>
  <c r="F45" i="27"/>
  <c r="G45" i="27"/>
  <c r="AC45" i="27"/>
  <c r="AD45" i="27"/>
  <c r="AJ45" i="27"/>
  <c r="AK45" i="27"/>
  <c r="AL45" i="27"/>
  <c r="AM45" i="27"/>
  <c r="AN45" i="27"/>
  <c r="AO45" i="27"/>
  <c r="F47" i="27"/>
  <c r="G47" i="27"/>
  <c r="AJ47" i="27"/>
  <c r="AK47" i="27"/>
  <c r="AL47" i="27"/>
  <c r="AM47" i="27"/>
  <c r="AN47" i="27"/>
  <c r="AO47" i="27"/>
  <c r="F49" i="27"/>
  <c r="G49" i="27"/>
  <c r="K49" i="27"/>
  <c r="Q49" i="27"/>
  <c r="AH49" i="27"/>
  <c r="AI49" i="27"/>
  <c r="AJ49" i="27"/>
  <c r="AK49" i="27"/>
  <c r="AL49" i="27"/>
  <c r="AM49" i="27"/>
  <c r="AN49" i="27"/>
  <c r="AO49" i="27"/>
  <c r="D50" i="27"/>
  <c r="E50" i="27"/>
  <c r="F51" i="27"/>
  <c r="G51" i="27"/>
  <c r="AH51" i="27"/>
  <c r="AJ51" i="27"/>
  <c r="AK51" i="27"/>
  <c r="AL51" i="27"/>
  <c r="AM51" i="27"/>
  <c r="AN51" i="27"/>
  <c r="AO51" i="27"/>
  <c r="F54" i="27"/>
  <c r="F56" i="27" s="1"/>
  <c r="G54" i="27"/>
  <c r="L54" i="27"/>
  <c r="L56" i="27" s="1"/>
  <c r="AB54" i="27"/>
  <c r="AH54" i="27"/>
  <c r="AI54" i="27"/>
  <c r="AI56" i="27" s="1"/>
  <c r="AJ54" i="27"/>
  <c r="AJ56" i="27" s="1"/>
  <c r="AK54" i="27"/>
  <c r="AL54" i="27"/>
  <c r="AM54" i="27"/>
  <c r="AN54" i="27"/>
  <c r="AO54" i="27"/>
  <c r="F55" i="27"/>
  <c r="G55" i="27"/>
  <c r="H55" i="27"/>
  <c r="N55" i="27"/>
  <c r="X55" i="27"/>
  <c r="AH55" i="27"/>
  <c r="AI55" i="27"/>
  <c r="AJ55" i="27"/>
  <c r="AK55" i="27"/>
  <c r="AL55" i="27"/>
  <c r="AM55" i="27"/>
  <c r="AM56" i="27" s="1"/>
  <c r="AN55" i="27"/>
  <c r="AN56" i="27" s="1"/>
  <c r="AO55" i="27"/>
  <c r="AH56" i="27"/>
  <c r="AO56" i="27"/>
  <c r="F59" i="27"/>
  <c r="G59" i="27"/>
  <c r="I59" i="27"/>
  <c r="Q59" i="27"/>
  <c r="Y59" i="27"/>
  <c r="AH59" i="27"/>
  <c r="AJ59" i="27"/>
  <c r="AJ61" i="27" s="1"/>
  <c r="AK59" i="27"/>
  <c r="AL59" i="27"/>
  <c r="AM59" i="27"/>
  <c r="AN59" i="27"/>
  <c r="AO59" i="27"/>
  <c r="AO61" i="27" s="1"/>
  <c r="F60" i="27"/>
  <c r="F61" i="27" s="1"/>
  <c r="G60" i="27"/>
  <c r="S60" i="27"/>
  <c r="U60" i="27"/>
  <c r="AJ60" i="27"/>
  <c r="AK60" i="27"/>
  <c r="AK61" i="27" s="1"/>
  <c r="AL60" i="27"/>
  <c r="AM60" i="27"/>
  <c r="AN60" i="27"/>
  <c r="AO60" i="27"/>
  <c r="G61" i="27"/>
  <c r="AL61" i="27"/>
  <c r="AM61" i="27"/>
  <c r="AN61" i="27"/>
  <c r="F64" i="27"/>
  <c r="G64" i="27"/>
  <c r="O64" i="27"/>
  <c r="Q64" i="27"/>
  <c r="R64" i="27"/>
  <c r="AE64" i="27"/>
  <c r="AG64" i="27"/>
  <c r="AJ64" i="27"/>
  <c r="AK64" i="27"/>
  <c r="AL64" i="27"/>
  <c r="AM64" i="27"/>
  <c r="AM66" i="27" s="1"/>
  <c r="AN64" i="27"/>
  <c r="AN66" i="27" s="1"/>
  <c r="AO64" i="27"/>
  <c r="F65" i="27"/>
  <c r="G65" i="27"/>
  <c r="L65" i="27"/>
  <c r="S65" i="27"/>
  <c r="AB65" i="27"/>
  <c r="AH65" i="27"/>
  <c r="AI65" i="27"/>
  <c r="AJ65" i="27"/>
  <c r="AK65" i="27"/>
  <c r="AL65" i="27"/>
  <c r="AM65" i="27"/>
  <c r="AN65" i="27"/>
  <c r="AO65" i="27"/>
  <c r="F66" i="27"/>
  <c r="AJ66" i="27"/>
  <c r="AK66" i="27"/>
  <c r="AL66" i="27"/>
  <c r="F70" i="27"/>
  <c r="G70" i="27"/>
  <c r="G72" i="27" s="1"/>
  <c r="N70" i="27"/>
  <c r="AD70" i="27"/>
  <c r="AJ70" i="27"/>
  <c r="AK70" i="27"/>
  <c r="AK72" i="27" s="1"/>
  <c r="AL70" i="27"/>
  <c r="AL72" i="27" s="1"/>
  <c r="AM70" i="27"/>
  <c r="AM72" i="27" s="1"/>
  <c r="AN70" i="27"/>
  <c r="AO70" i="27"/>
  <c r="F71" i="27"/>
  <c r="G71" i="27"/>
  <c r="AE71" i="27"/>
  <c r="AH71" i="27"/>
  <c r="AJ71" i="27"/>
  <c r="AK71" i="27"/>
  <c r="AL71" i="27"/>
  <c r="AM71" i="27"/>
  <c r="AN71" i="27"/>
  <c r="AO71" i="27"/>
  <c r="AJ72" i="27"/>
  <c r="AO72" i="27"/>
  <c r="F73" i="27"/>
  <c r="G73" i="27"/>
  <c r="K73" i="27"/>
  <c r="AJ73" i="27"/>
  <c r="AK73" i="27"/>
  <c r="AL73" i="27"/>
  <c r="AM73" i="27"/>
  <c r="AN73" i="27"/>
  <c r="AO73" i="27"/>
  <c r="F74" i="27"/>
  <c r="G74" i="27"/>
  <c r="N74" i="27"/>
  <c r="P74" i="27"/>
  <c r="AJ74" i="27"/>
  <c r="AK74" i="27"/>
  <c r="AL74" i="27"/>
  <c r="AM74" i="27"/>
  <c r="AN74" i="27"/>
  <c r="AO74" i="27"/>
  <c r="F75" i="27"/>
  <c r="G75" i="27"/>
  <c r="W75" i="27"/>
  <c r="X75" i="27"/>
  <c r="AG75" i="27"/>
  <c r="AJ75" i="27"/>
  <c r="AK75" i="27"/>
  <c r="AL75" i="27"/>
  <c r="AM75" i="27"/>
  <c r="AN75" i="27"/>
  <c r="AO75" i="27"/>
  <c r="F76" i="27"/>
  <c r="G76" i="27"/>
  <c r="R76" i="27"/>
  <c r="Y76" i="27"/>
  <c r="AH76" i="27"/>
  <c r="AJ76" i="27"/>
  <c r="AK76" i="27"/>
  <c r="AL76" i="27"/>
  <c r="AM76" i="27"/>
  <c r="AN76" i="27"/>
  <c r="AO76" i="27"/>
  <c r="F77" i="27"/>
  <c r="G77" i="27"/>
  <c r="S77" i="27"/>
  <c r="AJ77" i="27"/>
  <c r="AK77" i="27"/>
  <c r="AL77" i="27"/>
  <c r="AM77" i="27"/>
  <c r="AN77" i="27"/>
  <c r="AO77" i="27"/>
  <c r="F78" i="27"/>
  <c r="G78" i="27"/>
  <c r="M78" i="27"/>
  <c r="V78" i="27"/>
  <c r="X78" i="27"/>
  <c r="AC78" i="27"/>
  <c r="AJ78" i="27"/>
  <c r="AK78" i="27"/>
  <c r="AL78" i="27"/>
  <c r="AM78" i="27"/>
  <c r="AN78" i="27"/>
  <c r="AO78" i="27"/>
  <c r="F79" i="27"/>
  <c r="G79" i="27"/>
  <c r="H79" i="27"/>
  <c r="P79" i="27"/>
  <c r="X79" i="27"/>
  <c r="Y79" i="27"/>
  <c r="AE79" i="27"/>
  <c r="AF79" i="27"/>
  <c r="AJ79" i="27"/>
  <c r="AK79" i="27"/>
  <c r="AL79" i="27"/>
  <c r="AM79" i="27"/>
  <c r="AN79" i="27"/>
  <c r="AO79" i="27"/>
  <c r="F80" i="27"/>
  <c r="G80" i="27"/>
  <c r="AB80" i="27"/>
  <c r="AG80" i="27"/>
  <c r="AJ80" i="27"/>
  <c r="AK80" i="27"/>
  <c r="AL80" i="27"/>
  <c r="AM80" i="27"/>
  <c r="AN80" i="27"/>
  <c r="AO80" i="27"/>
  <c r="F81" i="27"/>
  <c r="G81" i="27"/>
  <c r="M81" i="27"/>
  <c r="AD81" i="27"/>
  <c r="AJ81" i="27"/>
  <c r="AK81" i="27"/>
  <c r="AL81" i="27"/>
  <c r="AM81" i="27"/>
  <c r="AN81" i="27"/>
  <c r="AO81" i="27"/>
  <c r="G86" i="27"/>
  <c r="H86" i="27"/>
  <c r="H89" i="27" s="1"/>
  <c r="I86" i="27"/>
  <c r="J86" i="27"/>
  <c r="J89" i="27" s="1"/>
  <c r="K86" i="27"/>
  <c r="L86" i="27"/>
  <c r="M86" i="27"/>
  <c r="N86" i="27"/>
  <c r="O86" i="27"/>
  <c r="P86" i="27"/>
  <c r="P89" i="27" s="1"/>
  <c r="Q86" i="27"/>
  <c r="R86" i="27"/>
  <c r="R89" i="27" s="1"/>
  <c r="S86" i="27"/>
  <c r="T86" i="27"/>
  <c r="U86" i="27"/>
  <c r="V86" i="27"/>
  <c r="W86" i="27"/>
  <c r="W89" i="27" s="1"/>
  <c r="X86" i="27"/>
  <c r="X89" i="27" s="1"/>
  <c r="Y86" i="27"/>
  <c r="Z86" i="27"/>
  <c r="Z89" i="27" s="1"/>
  <c r="AA86" i="27"/>
  <c r="AB86" i="27"/>
  <c r="AC86" i="27"/>
  <c r="AD86" i="27"/>
  <c r="AE86" i="27"/>
  <c r="AF86" i="27"/>
  <c r="AF89" i="27" s="1"/>
  <c r="AG86" i="27"/>
  <c r="AH86" i="27"/>
  <c r="AH89" i="27" s="1"/>
  <c r="AI86" i="27"/>
  <c r="AJ86" i="27"/>
  <c r="AK86" i="27"/>
  <c r="AL86" i="27"/>
  <c r="AM86" i="27"/>
  <c r="AM89" i="27" s="1"/>
  <c r="AN86" i="27"/>
  <c r="AN89" i="27" s="1"/>
  <c r="AO86" i="27"/>
  <c r="D87" i="27"/>
  <c r="F87" i="39" s="1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M89" i="27"/>
  <c r="N89" i="27"/>
  <c r="O89" i="27"/>
  <c r="U89" i="27"/>
  <c r="V89" i="27"/>
  <c r="AC89" i="27"/>
  <c r="AD89" i="27"/>
  <c r="AE89" i="27"/>
  <c r="AK89" i="27"/>
  <c r="AL89" i="27"/>
  <c r="A4" i="39"/>
  <c r="A5" i="39"/>
  <c r="D65" i="39"/>
  <c r="D88" i="39"/>
  <c r="A4" i="13"/>
  <c r="A5" i="13"/>
  <c r="H11" i="13"/>
  <c r="I11" i="13"/>
  <c r="M11" i="13" s="1"/>
  <c r="L11" i="13"/>
  <c r="D11" i="37" s="1"/>
  <c r="F12" i="13"/>
  <c r="H12" i="13"/>
  <c r="I12" i="13"/>
  <c r="L12" i="13"/>
  <c r="H13" i="13"/>
  <c r="I13" i="13"/>
  <c r="G13" i="13" s="1"/>
  <c r="M13" i="13"/>
  <c r="E13" i="37" s="1"/>
  <c r="G14" i="13"/>
  <c r="H14" i="13"/>
  <c r="I14" i="13"/>
  <c r="M14" i="13"/>
  <c r="G15" i="13"/>
  <c r="H15" i="13"/>
  <c r="I15" i="13"/>
  <c r="M15" i="13" s="1"/>
  <c r="L15" i="13"/>
  <c r="D15" i="37" s="1"/>
  <c r="J16" i="13"/>
  <c r="K16" i="13"/>
  <c r="H18" i="13"/>
  <c r="I18" i="13"/>
  <c r="G19" i="13"/>
  <c r="H19" i="13"/>
  <c r="I19" i="13"/>
  <c r="M19" i="13" s="1"/>
  <c r="F20" i="13"/>
  <c r="H20" i="13"/>
  <c r="I20" i="13"/>
  <c r="L20" i="13"/>
  <c r="M20" i="13"/>
  <c r="F21" i="13"/>
  <c r="H21" i="13"/>
  <c r="I21" i="13"/>
  <c r="G21" i="13" s="1"/>
  <c r="M21" i="13"/>
  <c r="F22" i="13"/>
  <c r="G22" i="13"/>
  <c r="H22" i="13"/>
  <c r="I22" i="13"/>
  <c r="I22" i="15" s="1"/>
  <c r="L22" i="13"/>
  <c r="D22" i="37" s="1"/>
  <c r="M22" i="13"/>
  <c r="H23" i="13"/>
  <c r="I23" i="13"/>
  <c r="L23" i="13"/>
  <c r="I24" i="13"/>
  <c r="J24" i="13"/>
  <c r="K24" i="13"/>
  <c r="F27" i="13"/>
  <c r="H27" i="13"/>
  <c r="H27" i="15" s="1"/>
  <c r="I27" i="13"/>
  <c r="L27" i="13"/>
  <c r="F28" i="13"/>
  <c r="H28" i="13"/>
  <c r="L28" i="13" s="1"/>
  <c r="I28" i="13"/>
  <c r="M28" i="13"/>
  <c r="F29" i="13"/>
  <c r="J29" i="13"/>
  <c r="K29" i="13"/>
  <c r="G32" i="13"/>
  <c r="H32" i="13"/>
  <c r="I32" i="13"/>
  <c r="M32" i="13"/>
  <c r="G33" i="13"/>
  <c r="H33" i="13"/>
  <c r="I33" i="13"/>
  <c r="L33" i="13"/>
  <c r="F34" i="13"/>
  <c r="H34" i="13"/>
  <c r="I34" i="13"/>
  <c r="L34" i="13"/>
  <c r="M34" i="13"/>
  <c r="F35" i="13"/>
  <c r="H35" i="13"/>
  <c r="I35" i="13"/>
  <c r="G35" i="13" s="1"/>
  <c r="M35" i="13"/>
  <c r="E35" i="37" s="1"/>
  <c r="H36" i="13"/>
  <c r="J36" i="13"/>
  <c r="K36" i="13"/>
  <c r="L37" i="13"/>
  <c r="M37" i="13"/>
  <c r="H38" i="13"/>
  <c r="I38" i="13"/>
  <c r="F39" i="13"/>
  <c r="H39" i="13"/>
  <c r="I39" i="13"/>
  <c r="L39" i="13"/>
  <c r="M39" i="13"/>
  <c r="H40" i="13"/>
  <c r="H42" i="13" s="1"/>
  <c r="H43" i="13" s="1"/>
  <c r="I40" i="13"/>
  <c r="G40" i="13" s="1"/>
  <c r="M40" i="13"/>
  <c r="M42" i="13" s="1"/>
  <c r="M43" i="13" s="1"/>
  <c r="F41" i="13"/>
  <c r="G41" i="13"/>
  <c r="G42" i="13" s="1"/>
  <c r="H41" i="13"/>
  <c r="I41" i="13"/>
  <c r="L41" i="13"/>
  <c r="M41" i="13"/>
  <c r="I42" i="13"/>
  <c r="I43" i="13" s="1"/>
  <c r="J42" i="13"/>
  <c r="K42" i="13"/>
  <c r="J43" i="13"/>
  <c r="K43" i="13"/>
  <c r="H45" i="13"/>
  <c r="F45" i="13" s="1"/>
  <c r="I45" i="13"/>
  <c r="L45" i="13"/>
  <c r="D45" i="37" s="1"/>
  <c r="F47" i="13"/>
  <c r="H47" i="13"/>
  <c r="H47" i="15" s="1"/>
  <c r="I47" i="13"/>
  <c r="L47" i="13"/>
  <c r="H49" i="13"/>
  <c r="I49" i="13"/>
  <c r="G49" i="13" s="1"/>
  <c r="M49" i="13"/>
  <c r="F51" i="13"/>
  <c r="G51" i="13"/>
  <c r="H51" i="13"/>
  <c r="H51" i="15" s="1"/>
  <c r="L51" i="15" s="1"/>
  <c r="D51" i="39" s="1"/>
  <c r="I51" i="13"/>
  <c r="L51" i="13"/>
  <c r="M51" i="13"/>
  <c r="H54" i="13"/>
  <c r="F54" i="13" s="1"/>
  <c r="I54" i="13"/>
  <c r="G54" i="13" s="1"/>
  <c r="G56" i="13" s="1"/>
  <c r="L54" i="13"/>
  <c r="L56" i="13" s="1"/>
  <c r="F55" i="13"/>
  <c r="F56" i="13" s="1"/>
  <c r="H55" i="13"/>
  <c r="I55" i="13"/>
  <c r="G55" i="13" s="1"/>
  <c r="L55" i="13"/>
  <c r="M55" i="13"/>
  <c r="E55" i="37" s="1"/>
  <c r="H56" i="13"/>
  <c r="J56" i="13"/>
  <c r="K56" i="13"/>
  <c r="H59" i="13"/>
  <c r="I59" i="13"/>
  <c r="M59" i="13"/>
  <c r="F60" i="13"/>
  <c r="G60" i="13"/>
  <c r="H60" i="13"/>
  <c r="I60" i="13"/>
  <c r="L60" i="13"/>
  <c r="D60" i="37" s="1"/>
  <c r="M60" i="13"/>
  <c r="I61" i="13"/>
  <c r="J61" i="13"/>
  <c r="K61" i="13"/>
  <c r="G64" i="13"/>
  <c r="H64" i="13"/>
  <c r="I64" i="13"/>
  <c r="L64" i="13"/>
  <c r="F65" i="13"/>
  <c r="H65" i="13"/>
  <c r="I65" i="13"/>
  <c r="L65" i="13"/>
  <c r="M65" i="13"/>
  <c r="E65" i="37" s="1"/>
  <c r="J66" i="13"/>
  <c r="K66" i="13"/>
  <c r="L69" i="13"/>
  <c r="M69" i="13"/>
  <c r="F70" i="13"/>
  <c r="H70" i="13"/>
  <c r="I70" i="13"/>
  <c r="L70" i="13"/>
  <c r="H71" i="13"/>
  <c r="I71" i="13"/>
  <c r="G71" i="13" s="1"/>
  <c r="M71" i="13"/>
  <c r="H72" i="13"/>
  <c r="J72" i="13"/>
  <c r="K72" i="13"/>
  <c r="F73" i="13"/>
  <c r="G73" i="13"/>
  <c r="H73" i="13"/>
  <c r="I73" i="13"/>
  <c r="L73" i="13"/>
  <c r="M73" i="13"/>
  <c r="H74" i="13"/>
  <c r="I74" i="13"/>
  <c r="L74" i="13"/>
  <c r="F75" i="13"/>
  <c r="H75" i="13"/>
  <c r="I75" i="13"/>
  <c r="L75" i="13"/>
  <c r="H76" i="13"/>
  <c r="I76" i="13"/>
  <c r="M76" i="13"/>
  <c r="F77" i="13"/>
  <c r="G77" i="13"/>
  <c r="H77" i="13"/>
  <c r="H77" i="15" s="1"/>
  <c r="I77" i="13"/>
  <c r="L77" i="13"/>
  <c r="M77" i="13"/>
  <c r="H78" i="13"/>
  <c r="I78" i="13"/>
  <c r="G78" i="13" s="1"/>
  <c r="L78" i="13"/>
  <c r="D78" i="37" s="1"/>
  <c r="F79" i="13"/>
  <c r="H79" i="13"/>
  <c r="I79" i="13"/>
  <c r="L79" i="13"/>
  <c r="D79" i="37" s="1"/>
  <c r="M79" i="13"/>
  <c r="H80" i="13"/>
  <c r="I80" i="13"/>
  <c r="M80" i="13"/>
  <c r="G81" i="13"/>
  <c r="H81" i="13"/>
  <c r="I81" i="13"/>
  <c r="M81" i="13"/>
  <c r="D82" i="13"/>
  <c r="E82" i="13"/>
  <c r="J82" i="13"/>
  <c r="J91" i="13" s="1"/>
  <c r="F86" i="13"/>
  <c r="G86" i="13"/>
  <c r="H86" i="13"/>
  <c r="H86" i="15" s="1"/>
  <c r="I86" i="13"/>
  <c r="L86" i="13"/>
  <c r="H87" i="13"/>
  <c r="I87" i="13"/>
  <c r="H88" i="13"/>
  <c r="I88" i="13"/>
  <c r="L88" i="13"/>
  <c r="L88" i="15" s="1"/>
  <c r="M88" i="13"/>
  <c r="M88" i="15" s="1"/>
  <c r="E88" i="39" s="1"/>
  <c r="D89" i="13"/>
  <c r="E89" i="13"/>
  <c r="H89" i="13"/>
  <c r="J89" i="13"/>
  <c r="K89" i="13"/>
  <c r="D91" i="13"/>
  <c r="A5" i="25"/>
  <c r="H8" i="25"/>
  <c r="J8" i="25"/>
  <c r="L8" i="25"/>
  <c r="N8" i="25"/>
  <c r="F11" i="25"/>
  <c r="G11" i="25"/>
  <c r="H11" i="25"/>
  <c r="I11" i="25"/>
  <c r="I11" i="27" s="1"/>
  <c r="J11" i="25"/>
  <c r="J11" i="27" s="1"/>
  <c r="K11" i="25"/>
  <c r="L11" i="25"/>
  <c r="M11" i="25"/>
  <c r="N11" i="25"/>
  <c r="O11" i="25"/>
  <c r="P11" i="25"/>
  <c r="Q11" i="25"/>
  <c r="Q11" i="27" s="1"/>
  <c r="R11" i="25"/>
  <c r="R16" i="25" s="1"/>
  <c r="S11" i="25"/>
  <c r="T11" i="25"/>
  <c r="U11" i="25"/>
  <c r="U11" i="27" s="1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G16" i="25" s="1"/>
  <c r="AH11" i="25"/>
  <c r="AF11" i="27" s="1"/>
  <c r="AI11" i="25"/>
  <c r="F12" i="25"/>
  <c r="G12" i="25"/>
  <c r="H12" i="25"/>
  <c r="I12" i="25"/>
  <c r="J12" i="25"/>
  <c r="J12" i="27" s="1"/>
  <c r="K12" i="25"/>
  <c r="L12" i="25"/>
  <c r="M12" i="25"/>
  <c r="M12" i="27" s="1"/>
  <c r="N12" i="25"/>
  <c r="N12" i="27" s="1"/>
  <c r="O12" i="25"/>
  <c r="P12" i="25"/>
  <c r="Q12" i="25"/>
  <c r="R12" i="25"/>
  <c r="R12" i="27" s="1"/>
  <c r="S12" i="25"/>
  <c r="T12" i="25"/>
  <c r="U12" i="25"/>
  <c r="V12" i="25"/>
  <c r="W12" i="25"/>
  <c r="X12" i="25"/>
  <c r="Y12" i="25"/>
  <c r="Z12" i="25"/>
  <c r="Z12" i="27" s="1"/>
  <c r="AA12" i="25"/>
  <c r="AB12" i="25"/>
  <c r="AC12" i="25"/>
  <c r="AC12" i="27" s="1"/>
  <c r="AD12" i="25"/>
  <c r="AD12" i="27" s="1"/>
  <c r="AE12" i="25"/>
  <c r="AE12" i="27" s="1"/>
  <c r="AF12" i="25"/>
  <c r="AG12" i="25"/>
  <c r="AH12" i="25"/>
  <c r="AF12" i="27" s="1"/>
  <c r="AI12" i="25"/>
  <c r="AJ12" i="25"/>
  <c r="AK12" i="25"/>
  <c r="AL12" i="25"/>
  <c r="AM12" i="25"/>
  <c r="AN12" i="25"/>
  <c r="AO12" i="25"/>
  <c r="F13" i="25"/>
  <c r="F16" i="25" s="1"/>
  <c r="G13" i="25"/>
  <c r="H13" i="25"/>
  <c r="I13" i="25"/>
  <c r="I13" i="27" s="1"/>
  <c r="J13" i="25"/>
  <c r="K13" i="25"/>
  <c r="L13" i="25"/>
  <c r="M13" i="25"/>
  <c r="N13" i="25"/>
  <c r="O13" i="25"/>
  <c r="P13" i="25"/>
  <c r="P13" i="27" s="1"/>
  <c r="Q13" i="25"/>
  <c r="Q13" i="27" s="1"/>
  <c r="R13" i="25"/>
  <c r="S13" i="25"/>
  <c r="T13" i="25"/>
  <c r="U13" i="25"/>
  <c r="V13" i="25"/>
  <c r="W13" i="25"/>
  <c r="X13" i="25"/>
  <c r="Y13" i="25"/>
  <c r="Y13" i="27" s="1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O16" i="25" s="1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R14" i="27" s="1"/>
  <c r="S14" i="25"/>
  <c r="S14" i="27" s="1"/>
  <c r="T14" i="25"/>
  <c r="U14" i="25"/>
  <c r="V14" i="25"/>
  <c r="W14" i="25"/>
  <c r="X14" i="25"/>
  <c r="X16" i="25" s="1"/>
  <c r="Y14" i="25"/>
  <c r="Z14" i="25"/>
  <c r="AA14" i="25"/>
  <c r="AA14" i="27" s="1"/>
  <c r="AB14" i="25"/>
  <c r="AC14" i="25"/>
  <c r="AD14" i="25"/>
  <c r="AE14" i="25"/>
  <c r="AF14" i="25"/>
  <c r="AG14" i="25"/>
  <c r="AH14" i="25"/>
  <c r="AI14" i="25"/>
  <c r="AG14" i="27" s="1"/>
  <c r="AJ14" i="25"/>
  <c r="AK14" i="25"/>
  <c r="AL14" i="25"/>
  <c r="AM14" i="25"/>
  <c r="AN14" i="25"/>
  <c r="AN16" i="25" s="1"/>
  <c r="AO14" i="25"/>
  <c r="E15" i="25"/>
  <c r="G15" i="37" s="1"/>
  <c r="I15" i="37" s="1"/>
  <c r="F15" i="25"/>
  <c r="G15" i="25"/>
  <c r="H15" i="25"/>
  <c r="I15" i="25"/>
  <c r="J15" i="25"/>
  <c r="J15" i="27" s="1"/>
  <c r="K15" i="25"/>
  <c r="L15" i="25"/>
  <c r="M15" i="25"/>
  <c r="M15" i="27" s="1"/>
  <c r="N15" i="25"/>
  <c r="O15" i="25"/>
  <c r="P15" i="25"/>
  <c r="Q15" i="25"/>
  <c r="R15" i="25"/>
  <c r="R15" i="27" s="1"/>
  <c r="S15" i="25"/>
  <c r="S15" i="27" s="1"/>
  <c r="T15" i="25"/>
  <c r="U15" i="25"/>
  <c r="U15" i="27" s="1"/>
  <c r="V15" i="25"/>
  <c r="W15" i="25"/>
  <c r="X15" i="25"/>
  <c r="Y15" i="25"/>
  <c r="Z15" i="25"/>
  <c r="Z15" i="27" s="1"/>
  <c r="AA15" i="25"/>
  <c r="AB15" i="25"/>
  <c r="AC15" i="25"/>
  <c r="AC15" i="27" s="1"/>
  <c r="AD15" i="25"/>
  <c r="AE15" i="25"/>
  <c r="AF15" i="25"/>
  <c r="AG15" i="25"/>
  <c r="AH15" i="25"/>
  <c r="AF15" i="27" s="1"/>
  <c r="AI15" i="25"/>
  <c r="AJ15" i="25"/>
  <c r="AK15" i="25"/>
  <c r="AL15" i="25"/>
  <c r="AM15" i="25"/>
  <c r="AN15" i="25"/>
  <c r="AO15" i="25"/>
  <c r="G16" i="25"/>
  <c r="I16" i="25"/>
  <c r="J16" i="25"/>
  <c r="O16" i="25"/>
  <c r="W16" i="25"/>
  <c r="AE16" i="25"/>
  <c r="AF16" i="25"/>
  <c r="AH16" i="25"/>
  <c r="AJ16" i="25"/>
  <c r="AM16" i="25"/>
  <c r="D19" i="25"/>
  <c r="F19" i="25"/>
  <c r="G19" i="25"/>
  <c r="H19" i="25"/>
  <c r="H19" i="27" s="1"/>
  <c r="I19" i="25"/>
  <c r="J19" i="25"/>
  <c r="K19" i="25"/>
  <c r="L19" i="25"/>
  <c r="M19" i="25"/>
  <c r="N19" i="25"/>
  <c r="O19" i="25"/>
  <c r="P19" i="25"/>
  <c r="Q19" i="25"/>
  <c r="Q24" i="25" s="1"/>
  <c r="R19" i="25"/>
  <c r="S19" i="25"/>
  <c r="T19" i="25"/>
  <c r="U19" i="25"/>
  <c r="V19" i="25"/>
  <c r="W19" i="25"/>
  <c r="X19" i="25"/>
  <c r="X19" i="27" s="1"/>
  <c r="Y19" i="25"/>
  <c r="Y19" i="27" s="1"/>
  <c r="Z19" i="25"/>
  <c r="Z24" i="25" s="1"/>
  <c r="AA19" i="25"/>
  <c r="AB19" i="25"/>
  <c r="AC19" i="25"/>
  <c r="AD19" i="25"/>
  <c r="AE19" i="25"/>
  <c r="AF19" i="25"/>
  <c r="AG19" i="25"/>
  <c r="AG24" i="25" s="1"/>
  <c r="AH19" i="25"/>
  <c r="AI19" i="25"/>
  <c r="AJ19" i="25"/>
  <c r="AK19" i="25"/>
  <c r="F20" i="25"/>
  <c r="G20" i="25"/>
  <c r="E20" i="25" s="1"/>
  <c r="G20" i="37" s="1"/>
  <c r="I20" i="37" s="1"/>
  <c r="H20" i="25"/>
  <c r="H24" i="25" s="1"/>
  <c r="I20" i="25"/>
  <c r="I20" i="27" s="1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Z20" i="25"/>
  <c r="AB20" i="25"/>
  <c r="AD20" i="25"/>
  <c r="AF20" i="25"/>
  <c r="AF24" i="25" s="1"/>
  <c r="AH20" i="25"/>
  <c r="AF20" i="27" s="1"/>
  <c r="AJ20" i="25"/>
  <c r="AL20" i="25"/>
  <c r="AN20" i="25"/>
  <c r="AN24" i="25" s="1"/>
  <c r="F21" i="25"/>
  <c r="G21" i="25"/>
  <c r="H21" i="25"/>
  <c r="H21" i="27" s="1"/>
  <c r="I21" i="25"/>
  <c r="J21" i="25"/>
  <c r="K21" i="25"/>
  <c r="K21" i="27" s="1"/>
  <c r="L21" i="25"/>
  <c r="L21" i="27" s="1"/>
  <c r="M21" i="25"/>
  <c r="M21" i="27" s="1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A21" i="27" s="1"/>
  <c r="AB21" i="25"/>
  <c r="AC21" i="25"/>
  <c r="AD21" i="25"/>
  <c r="AE21" i="25"/>
  <c r="AF21" i="25"/>
  <c r="AG21" i="25"/>
  <c r="AH21" i="25"/>
  <c r="AI21" i="25"/>
  <c r="AG21" i="27" s="1"/>
  <c r="AJ21" i="25"/>
  <c r="AK21" i="25"/>
  <c r="AL21" i="25"/>
  <c r="AM21" i="25"/>
  <c r="AN21" i="25"/>
  <c r="AO21" i="25"/>
  <c r="F22" i="25"/>
  <c r="G22" i="25"/>
  <c r="H22" i="25"/>
  <c r="I22" i="25"/>
  <c r="J22" i="25"/>
  <c r="J22" i="27" s="1"/>
  <c r="K22" i="25"/>
  <c r="L22" i="25"/>
  <c r="M22" i="25"/>
  <c r="M22" i="27" s="1"/>
  <c r="N22" i="25"/>
  <c r="N22" i="27" s="1"/>
  <c r="O22" i="25"/>
  <c r="P22" i="25"/>
  <c r="Q22" i="25"/>
  <c r="Q22" i="27" s="1"/>
  <c r="R22" i="25"/>
  <c r="S22" i="25"/>
  <c r="T22" i="25"/>
  <c r="U22" i="25"/>
  <c r="E22" i="25" s="1"/>
  <c r="G22" i="37" s="1"/>
  <c r="I22" i="37" s="1"/>
  <c r="V22" i="25"/>
  <c r="W22" i="25"/>
  <c r="X22" i="25"/>
  <c r="Y22" i="25"/>
  <c r="Z22" i="25"/>
  <c r="AA22" i="25"/>
  <c r="AB22" i="25"/>
  <c r="AC22" i="25"/>
  <c r="AC22" i="27" s="1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F23" i="25"/>
  <c r="G23" i="25"/>
  <c r="H23" i="25"/>
  <c r="H23" i="27" s="1"/>
  <c r="I23" i="25"/>
  <c r="I23" i="27" s="1"/>
  <c r="J23" i="25"/>
  <c r="K23" i="25"/>
  <c r="L23" i="25"/>
  <c r="M23" i="25"/>
  <c r="N23" i="25"/>
  <c r="O23" i="25"/>
  <c r="P23" i="25"/>
  <c r="P23" i="27" s="1"/>
  <c r="Q23" i="25"/>
  <c r="Q23" i="27" s="1"/>
  <c r="R23" i="25"/>
  <c r="S23" i="25"/>
  <c r="S23" i="27" s="1"/>
  <c r="T23" i="25"/>
  <c r="U23" i="25"/>
  <c r="V23" i="25"/>
  <c r="W23" i="25"/>
  <c r="X23" i="25"/>
  <c r="X23" i="27" s="1"/>
  <c r="Y23" i="25"/>
  <c r="Y23" i="27" s="1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J24" i="25"/>
  <c r="K24" i="25"/>
  <c r="P24" i="25"/>
  <c r="AC24" i="25"/>
  <c r="AI24" i="25"/>
  <c r="AK24" i="25"/>
  <c r="AO24" i="25"/>
  <c r="F27" i="25"/>
  <c r="G27" i="25"/>
  <c r="H27" i="25"/>
  <c r="H27" i="27" s="1"/>
  <c r="I27" i="25"/>
  <c r="J27" i="25"/>
  <c r="K27" i="25"/>
  <c r="K27" i="27" s="1"/>
  <c r="L27" i="25"/>
  <c r="L27" i="27" s="1"/>
  <c r="M27" i="25"/>
  <c r="M27" i="27" s="1"/>
  <c r="M29" i="27" s="1"/>
  <c r="N27" i="25"/>
  <c r="O27" i="25"/>
  <c r="O29" i="25" s="1"/>
  <c r="P27" i="25"/>
  <c r="P27" i="27" s="1"/>
  <c r="Q27" i="25"/>
  <c r="R27" i="25"/>
  <c r="S27" i="25"/>
  <c r="S27" i="27" s="1"/>
  <c r="T27" i="25"/>
  <c r="T29" i="25" s="1"/>
  <c r="U27" i="25"/>
  <c r="U27" i="27" s="1"/>
  <c r="V27" i="25"/>
  <c r="W27" i="25"/>
  <c r="X27" i="25"/>
  <c r="X27" i="27" s="1"/>
  <c r="Y27" i="25"/>
  <c r="Z27" i="25"/>
  <c r="AA27" i="25"/>
  <c r="AA27" i="27" s="1"/>
  <c r="AA29" i="27" s="1"/>
  <c r="AB27" i="25"/>
  <c r="AC27" i="25"/>
  <c r="AC27" i="27" s="1"/>
  <c r="AD27" i="25"/>
  <c r="AE27" i="25"/>
  <c r="AF27" i="25"/>
  <c r="AG27" i="25"/>
  <c r="AH27" i="25"/>
  <c r="AI27" i="25"/>
  <c r="AJ27" i="25"/>
  <c r="AJ29" i="25" s="1"/>
  <c r="AK27" i="25"/>
  <c r="F28" i="25"/>
  <c r="G28" i="25"/>
  <c r="H28" i="25"/>
  <c r="I28" i="25"/>
  <c r="J28" i="25"/>
  <c r="K28" i="25"/>
  <c r="L28" i="25"/>
  <c r="M28" i="25"/>
  <c r="N28" i="25"/>
  <c r="N29" i="25" s="1"/>
  <c r="O28" i="25"/>
  <c r="P28" i="25"/>
  <c r="Q28" i="25"/>
  <c r="R28" i="25"/>
  <c r="R28" i="27" s="1"/>
  <c r="S28" i="25"/>
  <c r="S28" i="27" s="1"/>
  <c r="T28" i="25"/>
  <c r="U28" i="25"/>
  <c r="U28" i="27" s="1"/>
  <c r="V28" i="25"/>
  <c r="V29" i="25" s="1"/>
  <c r="W28" i="25"/>
  <c r="X28" i="25"/>
  <c r="Y28" i="25"/>
  <c r="Z28" i="25"/>
  <c r="Z28" i="27" s="1"/>
  <c r="AA28" i="25"/>
  <c r="AA28" i="27" s="1"/>
  <c r="AB28" i="25"/>
  <c r="AC28" i="25"/>
  <c r="AD28" i="25"/>
  <c r="AD29" i="25" s="1"/>
  <c r="AE28" i="25"/>
  <c r="AF28" i="25"/>
  <c r="AF29" i="25" s="1"/>
  <c r="AG28" i="25"/>
  <c r="AG29" i="25" s="1"/>
  <c r="AH28" i="25"/>
  <c r="AI28" i="25"/>
  <c r="AG28" i="27" s="1"/>
  <c r="AJ28" i="25"/>
  <c r="AK28" i="25"/>
  <c r="AL28" i="25"/>
  <c r="AL29" i="25" s="1"/>
  <c r="AM28" i="25"/>
  <c r="AI28" i="27" s="1"/>
  <c r="AN28" i="25"/>
  <c r="AN29" i="25" s="1"/>
  <c r="AO28" i="25"/>
  <c r="AO29" i="25" s="1"/>
  <c r="G29" i="25"/>
  <c r="M29" i="25"/>
  <c r="U29" i="25"/>
  <c r="W29" i="25"/>
  <c r="Z29" i="25"/>
  <c r="AA29" i="25"/>
  <c r="AC29" i="25"/>
  <c r="AE29" i="25"/>
  <c r="AK29" i="25"/>
  <c r="AM29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C36" i="25" s="1"/>
  <c r="AD32" i="25"/>
  <c r="AE32" i="25"/>
  <c r="AE36" i="25" s="1"/>
  <c r="AF32" i="25"/>
  <c r="AG32" i="25"/>
  <c r="AH32" i="25"/>
  <c r="AF32" i="27" s="1"/>
  <c r="AI32" i="25"/>
  <c r="F33" i="25"/>
  <c r="G33" i="25"/>
  <c r="H33" i="25"/>
  <c r="I33" i="25"/>
  <c r="J33" i="25"/>
  <c r="J33" i="27" s="1"/>
  <c r="K33" i="25"/>
  <c r="L33" i="25"/>
  <c r="M33" i="25"/>
  <c r="N33" i="25"/>
  <c r="N33" i="27" s="1"/>
  <c r="O33" i="25"/>
  <c r="P33" i="25"/>
  <c r="Q33" i="25"/>
  <c r="R33" i="25"/>
  <c r="R33" i="27" s="1"/>
  <c r="S33" i="25"/>
  <c r="T33" i="25"/>
  <c r="U33" i="25"/>
  <c r="V33" i="25"/>
  <c r="V33" i="27" s="1"/>
  <c r="W33" i="25"/>
  <c r="X33" i="25"/>
  <c r="Y33" i="25"/>
  <c r="Z33" i="25"/>
  <c r="Z33" i="27" s="1"/>
  <c r="AA33" i="25"/>
  <c r="AB33" i="25"/>
  <c r="AC33" i="25"/>
  <c r="AD33" i="25"/>
  <c r="AD33" i="27" s="1"/>
  <c r="AE33" i="25"/>
  <c r="AF33" i="25"/>
  <c r="AG33" i="25"/>
  <c r="AH33" i="25"/>
  <c r="AF33" i="27" s="1"/>
  <c r="AI33" i="25"/>
  <c r="AG33" i="27" s="1"/>
  <c r="AJ33" i="25"/>
  <c r="AK33" i="25"/>
  <c r="AL33" i="25"/>
  <c r="AM33" i="25"/>
  <c r="AM36" i="25" s="1"/>
  <c r="AN33" i="25"/>
  <c r="AO33" i="25"/>
  <c r="F34" i="25"/>
  <c r="G34" i="25"/>
  <c r="H34" i="25"/>
  <c r="I34" i="25"/>
  <c r="J34" i="25"/>
  <c r="J34" i="27" s="1"/>
  <c r="K34" i="25"/>
  <c r="L34" i="25"/>
  <c r="M34" i="25"/>
  <c r="N34" i="25"/>
  <c r="O34" i="25"/>
  <c r="P34" i="25"/>
  <c r="Q34" i="25"/>
  <c r="R34" i="25"/>
  <c r="R34" i="27" s="1"/>
  <c r="S34" i="25"/>
  <c r="S36" i="25" s="1"/>
  <c r="T34" i="25"/>
  <c r="U34" i="25"/>
  <c r="V34" i="25"/>
  <c r="W34" i="25"/>
  <c r="W36" i="25" s="1"/>
  <c r="X34" i="25"/>
  <c r="Y34" i="25"/>
  <c r="Z34" i="25"/>
  <c r="Z34" i="27" s="1"/>
  <c r="AA34" i="25"/>
  <c r="AA36" i="25" s="1"/>
  <c r="AB34" i="25"/>
  <c r="AC34" i="25"/>
  <c r="AD34" i="25"/>
  <c r="AD34" i="27" s="1"/>
  <c r="AE34" i="25"/>
  <c r="AF34" i="25"/>
  <c r="AG34" i="25"/>
  <c r="AH34" i="25"/>
  <c r="AI34" i="25"/>
  <c r="AJ34" i="25"/>
  <c r="AK34" i="25"/>
  <c r="AL34" i="25"/>
  <c r="AM34" i="25"/>
  <c r="AN34" i="25"/>
  <c r="AO34" i="25"/>
  <c r="E35" i="25"/>
  <c r="G35" i="37" s="1"/>
  <c r="I35" i="37" s="1"/>
  <c r="F35" i="25"/>
  <c r="G35" i="25"/>
  <c r="H35" i="25"/>
  <c r="H35" i="27" s="1"/>
  <c r="I35" i="25"/>
  <c r="J35" i="25"/>
  <c r="J35" i="27" s="1"/>
  <c r="K35" i="25"/>
  <c r="L35" i="25"/>
  <c r="M35" i="25"/>
  <c r="M35" i="27" s="1"/>
  <c r="N35" i="25"/>
  <c r="O35" i="25"/>
  <c r="P35" i="25"/>
  <c r="Q35" i="25"/>
  <c r="R35" i="25"/>
  <c r="R35" i="27" s="1"/>
  <c r="S35" i="25"/>
  <c r="T35" i="25"/>
  <c r="U35" i="25"/>
  <c r="U35" i="27" s="1"/>
  <c r="V35" i="25"/>
  <c r="W35" i="25"/>
  <c r="X35" i="25"/>
  <c r="X35" i="27" s="1"/>
  <c r="Y35" i="25"/>
  <c r="Z35" i="25"/>
  <c r="Z36" i="25" s="1"/>
  <c r="AA35" i="25"/>
  <c r="AB35" i="25"/>
  <c r="AC35" i="25"/>
  <c r="AC35" i="27" s="1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G36" i="25"/>
  <c r="K36" i="25"/>
  <c r="L36" i="25"/>
  <c r="O36" i="25"/>
  <c r="R36" i="25"/>
  <c r="T36" i="25"/>
  <c r="AB36" i="25"/>
  <c r="AH36" i="25"/>
  <c r="AI36" i="25"/>
  <c r="AJ36" i="25"/>
  <c r="D39" i="25"/>
  <c r="F39" i="37" s="1"/>
  <c r="H39" i="37" s="1"/>
  <c r="F39" i="25"/>
  <c r="G39" i="25"/>
  <c r="H39" i="25"/>
  <c r="I39" i="25"/>
  <c r="J39" i="25"/>
  <c r="K39" i="25"/>
  <c r="L39" i="25"/>
  <c r="L39" i="27" s="1"/>
  <c r="M39" i="25"/>
  <c r="E39" i="25" s="1"/>
  <c r="G39" i="37" s="1"/>
  <c r="I39" i="37" s="1"/>
  <c r="N39" i="25"/>
  <c r="N39" i="27" s="1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B39" i="27" s="1"/>
  <c r="AC39" i="25"/>
  <c r="AD39" i="25"/>
  <c r="AD39" i="27" s="1"/>
  <c r="AE39" i="25"/>
  <c r="AF39" i="25"/>
  <c r="AG39" i="25"/>
  <c r="AH39" i="25"/>
  <c r="AI39" i="25"/>
  <c r="AJ39" i="25"/>
  <c r="AK39" i="25"/>
  <c r="F40" i="25"/>
  <c r="G40" i="25"/>
  <c r="G42" i="25" s="1"/>
  <c r="H40" i="25"/>
  <c r="I40" i="25"/>
  <c r="J40" i="25"/>
  <c r="K40" i="25"/>
  <c r="L40" i="25"/>
  <c r="M40" i="25"/>
  <c r="M42" i="25" s="1"/>
  <c r="M43" i="25" s="1"/>
  <c r="N40" i="25"/>
  <c r="O40" i="25"/>
  <c r="O42" i="25" s="1"/>
  <c r="P40" i="25"/>
  <c r="Q40" i="25"/>
  <c r="R40" i="25"/>
  <c r="S40" i="25"/>
  <c r="S40" i="27" s="1"/>
  <c r="T40" i="25"/>
  <c r="U40" i="25"/>
  <c r="V40" i="25"/>
  <c r="W40" i="25"/>
  <c r="W42" i="25" s="1"/>
  <c r="X40" i="25"/>
  <c r="Y40" i="25"/>
  <c r="Z40" i="25"/>
  <c r="AA40" i="25"/>
  <c r="AA40" i="27" s="1"/>
  <c r="AB40" i="25"/>
  <c r="AC40" i="25"/>
  <c r="AC42" i="25" s="1"/>
  <c r="AD40" i="25"/>
  <c r="AE40" i="25"/>
  <c r="AE42" i="25" s="1"/>
  <c r="AF40" i="25"/>
  <c r="AG40" i="25"/>
  <c r="AH40" i="25"/>
  <c r="AH42" i="25" s="1"/>
  <c r="AH43" i="25" s="1"/>
  <c r="AI40" i="25"/>
  <c r="AJ40" i="25"/>
  <c r="AK40" i="25"/>
  <c r="AK42" i="25" s="1"/>
  <c r="AK43" i="25" s="1"/>
  <c r="AL40" i="25"/>
  <c r="F41" i="25"/>
  <c r="G41" i="25"/>
  <c r="H41" i="25"/>
  <c r="I41" i="25"/>
  <c r="I41" i="27" s="1"/>
  <c r="J41" i="25"/>
  <c r="J41" i="27" s="1"/>
  <c r="K41" i="25"/>
  <c r="L41" i="25"/>
  <c r="M41" i="25"/>
  <c r="N41" i="25"/>
  <c r="O41" i="25"/>
  <c r="P41" i="25"/>
  <c r="Q41" i="25"/>
  <c r="Q41" i="27" s="1"/>
  <c r="R41" i="25"/>
  <c r="S41" i="25"/>
  <c r="T41" i="25"/>
  <c r="U41" i="25"/>
  <c r="V41" i="25"/>
  <c r="W41" i="25"/>
  <c r="X41" i="25"/>
  <c r="X41" i="27" s="1"/>
  <c r="Y41" i="25"/>
  <c r="Z41" i="25"/>
  <c r="Z41" i="27" s="1"/>
  <c r="AA41" i="25"/>
  <c r="AB41" i="25"/>
  <c r="AC41" i="25"/>
  <c r="AD41" i="25"/>
  <c r="AE41" i="25"/>
  <c r="AF41" i="25"/>
  <c r="AG41" i="25"/>
  <c r="AG42" i="25" s="1"/>
  <c r="AG43" i="25" s="1"/>
  <c r="AH41" i="25"/>
  <c r="AI41" i="25"/>
  <c r="AJ41" i="25"/>
  <c r="AJ42" i="25" s="1"/>
  <c r="AK41" i="25"/>
  <c r="AL41" i="25"/>
  <c r="AM41" i="25"/>
  <c r="AN41" i="25"/>
  <c r="AN42" i="25" s="1"/>
  <c r="AN43" i="25" s="1"/>
  <c r="AO41" i="25"/>
  <c r="AO42" i="25" s="1"/>
  <c r="AO43" i="25" s="1"/>
  <c r="F42" i="25"/>
  <c r="F43" i="25" s="1"/>
  <c r="N42" i="25"/>
  <c r="N43" i="25" s="1"/>
  <c r="T42" i="25"/>
  <c r="T43" i="25" s="1"/>
  <c r="V42" i="25"/>
  <c r="AB42" i="25"/>
  <c r="AB43" i="25" s="1"/>
  <c r="AD42" i="25"/>
  <c r="AL42" i="25"/>
  <c r="V43" i="25"/>
  <c r="AC43" i="25"/>
  <c r="AD43" i="25"/>
  <c r="AL43" i="25"/>
  <c r="F45" i="25"/>
  <c r="G45" i="25"/>
  <c r="E45" i="25" s="1"/>
  <c r="G45" i="37" s="1"/>
  <c r="H45" i="25"/>
  <c r="H45" i="27" s="1"/>
  <c r="I45" i="25"/>
  <c r="J45" i="25"/>
  <c r="K45" i="25"/>
  <c r="L45" i="25"/>
  <c r="L45" i="27" s="1"/>
  <c r="M45" i="25"/>
  <c r="M45" i="27" s="1"/>
  <c r="N45" i="25"/>
  <c r="O45" i="25"/>
  <c r="O45" i="27" s="1"/>
  <c r="P45" i="25"/>
  <c r="P45" i="27" s="1"/>
  <c r="Q45" i="25"/>
  <c r="R45" i="25"/>
  <c r="S45" i="25"/>
  <c r="T45" i="25"/>
  <c r="T45" i="27" s="1"/>
  <c r="U45" i="25"/>
  <c r="U45" i="27" s="1"/>
  <c r="V45" i="25"/>
  <c r="W45" i="25"/>
  <c r="W45" i="27" s="1"/>
  <c r="X45" i="25"/>
  <c r="X45" i="27" s="1"/>
  <c r="Y45" i="25"/>
  <c r="Z45" i="25"/>
  <c r="AA45" i="25"/>
  <c r="AB45" i="25"/>
  <c r="AB45" i="27" s="1"/>
  <c r="AC45" i="25"/>
  <c r="AD45" i="25"/>
  <c r="AE45" i="25"/>
  <c r="AE45" i="27" s="1"/>
  <c r="AF45" i="25"/>
  <c r="AG45" i="25"/>
  <c r="AH45" i="25"/>
  <c r="AI45" i="25"/>
  <c r="AJ45" i="25"/>
  <c r="AK45" i="25"/>
  <c r="AL45" i="25"/>
  <c r="AM45" i="25"/>
  <c r="AI45" i="27" s="1"/>
  <c r="AN45" i="25"/>
  <c r="AO45" i="25"/>
  <c r="F47" i="25"/>
  <c r="G47" i="25"/>
  <c r="H47" i="25"/>
  <c r="I47" i="25"/>
  <c r="J47" i="25"/>
  <c r="J47" i="27" s="1"/>
  <c r="K47" i="25"/>
  <c r="L47" i="25"/>
  <c r="M47" i="25"/>
  <c r="N47" i="25"/>
  <c r="O47" i="25"/>
  <c r="O47" i="27" s="1"/>
  <c r="P47" i="25"/>
  <c r="P47" i="27" s="1"/>
  <c r="Q47" i="25"/>
  <c r="R47" i="25"/>
  <c r="R47" i="27" s="1"/>
  <c r="S47" i="25"/>
  <c r="T47" i="25"/>
  <c r="U47" i="25"/>
  <c r="V47" i="25"/>
  <c r="W47" i="25"/>
  <c r="W47" i="27" s="1"/>
  <c r="X47" i="25"/>
  <c r="Y47" i="25"/>
  <c r="Z47" i="25"/>
  <c r="Z47" i="27" s="1"/>
  <c r="AA47" i="25"/>
  <c r="AB47" i="25"/>
  <c r="AC47" i="25"/>
  <c r="AD47" i="25"/>
  <c r="AE47" i="25"/>
  <c r="AE47" i="27" s="1"/>
  <c r="AF47" i="25"/>
  <c r="AG47" i="25"/>
  <c r="AH47" i="25"/>
  <c r="AF47" i="27" s="1"/>
  <c r="AI47" i="25"/>
  <c r="AJ47" i="25"/>
  <c r="AK47" i="25"/>
  <c r="AL47" i="25"/>
  <c r="AM47" i="25"/>
  <c r="AI47" i="27" s="1"/>
  <c r="AN47" i="25"/>
  <c r="AO47" i="25"/>
  <c r="F49" i="25"/>
  <c r="D49" i="25" s="1"/>
  <c r="F49" i="37" s="1"/>
  <c r="G49" i="25"/>
  <c r="H49" i="25"/>
  <c r="I49" i="25"/>
  <c r="I49" i="27" s="1"/>
  <c r="J49" i="25"/>
  <c r="K49" i="25"/>
  <c r="L49" i="25"/>
  <c r="L49" i="27" s="1"/>
  <c r="M49" i="25"/>
  <c r="N49" i="25"/>
  <c r="O49" i="25"/>
  <c r="P49" i="25"/>
  <c r="Q49" i="25"/>
  <c r="R49" i="25"/>
  <c r="R49" i="27" s="1"/>
  <c r="S49" i="25"/>
  <c r="T49" i="25"/>
  <c r="T49" i="27" s="1"/>
  <c r="U49" i="25"/>
  <c r="V49" i="25"/>
  <c r="W49" i="25"/>
  <c r="X49" i="25"/>
  <c r="Y49" i="25"/>
  <c r="Y49" i="27" s="1"/>
  <c r="Z49" i="25"/>
  <c r="AA49" i="25"/>
  <c r="AA49" i="27" s="1"/>
  <c r="AB49" i="25"/>
  <c r="AB49" i="27" s="1"/>
  <c r="AC49" i="25"/>
  <c r="AD49" i="25"/>
  <c r="AE49" i="25"/>
  <c r="AF49" i="25"/>
  <c r="AG49" i="25"/>
  <c r="AH49" i="25"/>
  <c r="AI49" i="25"/>
  <c r="AG49" i="27" s="1"/>
  <c r="D50" i="25"/>
  <c r="E50" i="25"/>
  <c r="D51" i="25"/>
  <c r="F51" i="37" s="1"/>
  <c r="F51" i="25"/>
  <c r="G51" i="25"/>
  <c r="H51" i="25"/>
  <c r="I51" i="25"/>
  <c r="I51" i="27" s="1"/>
  <c r="J51" i="25"/>
  <c r="J51" i="27" s="1"/>
  <c r="K51" i="25"/>
  <c r="L51" i="25"/>
  <c r="L51" i="27" s="1"/>
  <c r="M51" i="25"/>
  <c r="M51" i="27" s="1"/>
  <c r="N51" i="25"/>
  <c r="O51" i="25"/>
  <c r="P51" i="25"/>
  <c r="Q51" i="25"/>
  <c r="R51" i="25"/>
  <c r="R51" i="27" s="1"/>
  <c r="S51" i="25"/>
  <c r="T51" i="25"/>
  <c r="U51" i="25"/>
  <c r="U51" i="27" s="1"/>
  <c r="V51" i="25"/>
  <c r="W51" i="25"/>
  <c r="X51" i="25"/>
  <c r="Y51" i="25"/>
  <c r="Y51" i="27" s="1"/>
  <c r="Z51" i="25"/>
  <c r="Z51" i="27" s="1"/>
  <c r="AA51" i="25"/>
  <c r="AB51" i="25"/>
  <c r="AB51" i="27" s="1"/>
  <c r="AC51" i="25"/>
  <c r="AC51" i="27" s="1"/>
  <c r="AD51" i="25"/>
  <c r="AE51" i="25"/>
  <c r="AF51" i="25"/>
  <c r="AG51" i="25"/>
  <c r="AH51" i="25"/>
  <c r="AF51" i="27" s="1"/>
  <c r="AI51" i="25"/>
  <c r="AJ51" i="25"/>
  <c r="AK51" i="25"/>
  <c r="AL51" i="25"/>
  <c r="AM51" i="25"/>
  <c r="AI51" i="27" s="1"/>
  <c r="F54" i="25"/>
  <c r="G54" i="25"/>
  <c r="H54" i="25"/>
  <c r="H54" i="27" s="1"/>
  <c r="I54" i="25"/>
  <c r="I54" i="27" s="1"/>
  <c r="J54" i="25"/>
  <c r="K54" i="25"/>
  <c r="K54" i="27" s="1"/>
  <c r="L54" i="25"/>
  <c r="M54" i="25"/>
  <c r="M56" i="25" s="1"/>
  <c r="N54" i="25"/>
  <c r="O54" i="25"/>
  <c r="P54" i="25"/>
  <c r="P54" i="27" s="1"/>
  <c r="Q54" i="25"/>
  <c r="Q54" i="27" s="1"/>
  <c r="R54" i="25"/>
  <c r="S54" i="25"/>
  <c r="S54" i="27" s="1"/>
  <c r="T54" i="25"/>
  <c r="U54" i="25"/>
  <c r="U54" i="27" s="1"/>
  <c r="U56" i="27" s="1"/>
  <c r="V54" i="25"/>
  <c r="V56" i="25" s="1"/>
  <c r="W54" i="25"/>
  <c r="X54" i="25"/>
  <c r="Y54" i="25"/>
  <c r="Y54" i="27" s="1"/>
  <c r="Z54" i="25"/>
  <c r="AA54" i="25"/>
  <c r="AA54" i="27" s="1"/>
  <c r="AB54" i="25"/>
  <c r="AC54" i="25"/>
  <c r="AC54" i="27" s="1"/>
  <c r="AC56" i="27" s="1"/>
  <c r="AD54" i="25"/>
  <c r="AE54" i="25"/>
  <c r="AF54" i="25"/>
  <c r="AF56" i="25" s="1"/>
  <c r="AG54" i="25"/>
  <c r="AH54" i="25"/>
  <c r="AI54" i="25"/>
  <c r="AJ54" i="25"/>
  <c r="F55" i="25"/>
  <c r="G55" i="25"/>
  <c r="E55" i="25" s="1"/>
  <c r="G55" i="37" s="1"/>
  <c r="I55" i="37" s="1"/>
  <c r="H55" i="25"/>
  <c r="I55" i="25"/>
  <c r="J55" i="25"/>
  <c r="K55" i="25"/>
  <c r="L55" i="25"/>
  <c r="L55" i="27" s="1"/>
  <c r="M55" i="25"/>
  <c r="M55" i="27" s="1"/>
  <c r="N55" i="25"/>
  <c r="O55" i="25"/>
  <c r="O55" i="27" s="1"/>
  <c r="P55" i="25"/>
  <c r="Q55" i="25"/>
  <c r="R55" i="25"/>
  <c r="R56" i="25" s="1"/>
  <c r="S55" i="25"/>
  <c r="T55" i="25"/>
  <c r="T55" i="27" s="1"/>
  <c r="U55" i="25"/>
  <c r="U55" i="27" s="1"/>
  <c r="V55" i="25"/>
  <c r="W55" i="25"/>
  <c r="X55" i="25"/>
  <c r="Y55" i="25"/>
  <c r="Z55" i="25"/>
  <c r="Z56" i="25" s="1"/>
  <c r="AA55" i="25"/>
  <c r="AB55" i="25"/>
  <c r="AB55" i="27" s="1"/>
  <c r="AC55" i="25"/>
  <c r="AC55" i="27" s="1"/>
  <c r="AD55" i="25"/>
  <c r="AE55" i="25"/>
  <c r="AE55" i="27" s="1"/>
  <c r="AF55" i="25"/>
  <c r="AG55" i="25"/>
  <c r="AH55" i="25"/>
  <c r="AF55" i="27" s="1"/>
  <c r="AI55" i="25"/>
  <c r="AJ55" i="25"/>
  <c r="AK55" i="25"/>
  <c r="AK56" i="25" s="1"/>
  <c r="I56" i="25"/>
  <c r="J56" i="25"/>
  <c r="K56" i="25"/>
  <c r="P56" i="25"/>
  <c r="Q56" i="25"/>
  <c r="S56" i="25"/>
  <c r="Y56" i="25"/>
  <c r="AA56" i="25"/>
  <c r="AC56" i="25"/>
  <c r="AG56" i="25"/>
  <c r="AH56" i="25"/>
  <c r="AI56" i="25"/>
  <c r="AL56" i="25"/>
  <c r="AM56" i="25"/>
  <c r="AN56" i="25"/>
  <c r="AO56" i="25"/>
  <c r="E59" i="25"/>
  <c r="E61" i="25" s="1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R61" i="25" s="1"/>
  <c r="S59" i="25"/>
  <c r="T59" i="25"/>
  <c r="T61" i="25" s="1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J61" i="25" s="1"/>
  <c r="AK59" i="25"/>
  <c r="AK61" i="25" s="1"/>
  <c r="AL59" i="25"/>
  <c r="AM59" i="25"/>
  <c r="AN59" i="25"/>
  <c r="AO59" i="25"/>
  <c r="F60" i="25"/>
  <c r="F61" i="25" s="1"/>
  <c r="G60" i="25"/>
  <c r="E60" i="25" s="1"/>
  <c r="G60" i="37" s="1"/>
  <c r="H60" i="25"/>
  <c r="I60" i="25"/>
  <c r="I61" i="25" s="1"/>
  <c r="J60" i="25"/>
  <c r="K60" i="25"/>
  <c r="L60" i="25"/>
  <c r="M60" i="25"/>
  <c r="N60" i="25"/>
  <c r="N60" i="27" s="1"/>
  <c r="O60" i="25"/>
  <c r="P60" i="25"/>
  <c r="Q60" i="25"/>
  <c r="Q61" i="25" s="1"/>
  <c r="R60" i="25"/>
  <c r="S60" i="25"/>
  <c r="T60" i="25"/>
  <c r="U60" i="25"/>
  <c r="V60" i="25"/>
  <c r="V60" i="27" s="1"/>
  <c r="W60" i="25"/>
  <c r="W60" i="27" s="1"/>
  <c r="X60" i="25"/>
  <c r="Y60" i="25"/>
  <c r="Z60" i="25"/>
  <c r="AA60" i="25"/>
  <c r="AB60" i="25"/>
  <c r="AC60" i="25"/>
  <c r="AD60" i="25"/>
  <c r="AE60" i="25"/>
  <c r="AE60" i="27" s="1"/>
  <c r="AF60" i="25"/>
  <c r="AG60" i="25"/>
  <c r="AH60" i="25"/>
  <c r="AI60" i="25"/>
  <c r="AG60" i="27" s="1"/>
  <c r="AJ60" i="25"/>
  <c r="AK60" i="25"/>
  <c r="AL60" i="25"/>
  <c r="AH60" i="27" s="1"/>
  <c r="AM60" i="25"/>
  <c r="AI60" i="27" s="1"/>
  <c r="AN60" i="25"/>
  <c r="AO60" i="25"/>
  <c r="H61" i="25"/>
  <c r="K61" i="25"/>
  <c r="P61" i="25"/>
  <c r="S61" i="25"/>
  <c r="V61" i="25"/>
  <c r="X61" i="25"/>
  <c r="Y61" i="25"/>
  <c r="AA61" i="25"/>
  <c r="AF61" i="25"/>
  <c r="AG61" i="25"/>
  <c r="AI61" i="25"/>
  <c r="AL61" i="25"/>
  <c r="AM61" i="25"/>
  <c r="AN61" i="25"/>
  <c r="AO61" i="25"/>
  <c r="F64" i="25"/>
  <c r="G64" i="25"/>
  <c r="H64" i="25"/>
  <c r="I64" i="25"/>
  <c r="I66" i="25" s="1"/>
  <c r="J64" i="25"/>
  <c r="K64" i="25"/>
  <c r="L64" i="25"/>
  <c r="M64" i="25"/>
  <c r="N64" i="25"/>
  <c r="O64" i="25"/>
  <c r="P64" i="25"/>
  <c r="Q64" i="25"/>
  <c r="R64" i="25"/>
  <c r="R66" i="25" s="1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G66" i="25" s="1"/>
  <c r="AH64" i="25"/>
  <c r="AI64" i="25"/>
  <c r="AJ64" i="25"/>
  <c r="AK64" i="25"/>
  <c r="AL64" i="25"/>
  <c r="AM64" i="25"/>
  <c r="AI64" i="27" s="1"/>
  <c r="AI66" i="27" s="1"/>
  <c r="F65" i="25"/>
  <c r="D65" i="25" s="1"/>
  <c r="F65" i="37" s="1"/>
  <c r="G65" i="25"/>
  <c r="H65" i="25"/>
  <c r="I65" i="25"/>
  <c r="I65" i="27" s="1"/>
  <c r="J65" i="25"/>
  <c r="K65" i="25"/>
  <c r="L65" i="25"/>
  <c r="L66" i="25" s="1"/>
  <c r="M65" i="25"/>
  <c r="M65" i="27" s="1"/>
  <c r="N65" i="25"/>
  <c r="O65" i="25"/>
  <c r="P65" i="25"/>
  <c r="Q65" i="25"/>
  <c r="Q65" i="27" s="1"/>
  <c r="R65" i="25"/>
  <c r="S65" i="25"/>
  <c r="T65" i="25"/>
  <c r="T66" i="25" s="1"/>
  <c r="U65" i="25"/>
  <c r="U65" i="27" s="1"/>
  <c r="V65" i="25"/>
  <c r="W65" i="25"/>
  <c r="X65" i="25"/>
  <c r="Y65" i="25"/>
  <c r="Y65" i="27" s="1"/>
  <c r="Z65" i="25"/>
  <c r="AA65" i="25"/>
  <c r="AB65" i="25"/>
  <c r="AB66" i="25" s="1"/>
  <c r="AC65" i="25"/>
  <c r="AC65" i="27" s="1"/>
  <c r="AD65" i="25"/>
  <c r="AE65" i="25"/>
  <c r="AF65" i="25"/>
  <c r="AG65" i="25"/>
  <c r="AH65" i="25"/>
  <c r="AF65" i="27" s="1"/>
  <c r="AI65" i="25"/>
  <c r="AJ65" i="25"/>
  <c r="AJ66" i="25" s="1"/>
  <c r="AK65" i="25"/>
  <c r="AL65" i="25"/>
  <c r="AM65" i="25"/>
  <c r="AN65" i="25"/>
  <c r="AO65" i="25"/>
  <c r="G66" i="25"/>
  <c r="H66" i="25"/>
  <c r="K66" i="25"/>
  <c r="O66" i="25"/>
  <c r="P66" i="25"/>
  <c r="Q66" i="25"/>
  <c r="S66" i="25"/>
  <c r="W66" i="25"/>
  <c r="X66" i="25"/>
  <c r="AA66" i="25"/>
  <c r="AE66" i="25"/>
  <c r="AF66" i="25"/>
  <c r="AI66" i="25"/>
  <c r="AL66" i="25"/>
  <c r="AM66" i="25"/>
  <c r="AN66" i="25"/>
  <c r="AO66" i="25"/>
  <c r="F70" i="25"/>
  <c r="G70" i="25"/>
  <c r="H70" i="25"/>
  <c r="H72" i="25" s="1"/>
  <c r="I70" i="25"/>
  <c r="E70" i="25" s="1"/>
  <c r="J70" i="25"/>
  <c r="K70" i="25"/>
  <c r="L70" i="25"/>
  <c r="M70" i="25"/>
  <c r="N70" i="25"/>
  <c r="O70" i="25"/>
  <c r="P70" i="25"/>
  <c r="Q70" i="25"/>
  <c r="Q70" i="27" s="1"/>
  <c r="R70" i="25"/>
  <c r="S70" i="25"/>
  <c r="T70" i="25"/>
  <c r="U70" i="25"/>
  <c r="V70" i="25"/>
  <c r="W70" i="25"/>
  <c r="X70" i="25"/>
  <c r="X72" i="25" s="1"/>
  <c r="Y70" i="25"/>
  <c r="Y70" i="27" s="1"/>
  <c r="Y72" i="27" s="1"/>
  <c r="Z70" i="25"/>
  <c r="AA70" i="25"/>
  <c r="AB70" i="25"/>
  <c r="AC70" i="25"/>
  <c r="AD70" i="25"/>
  <c r="AE70" i="25"/>
  <c r="AF70" i="25"/>
  <c r="AF72" i="25" s="1"/>
  <c r="AG70" i="25"/>
  <c r="AG72" i="25" s="1"/>
  <c r="AH70" i="25"/>
  <c r="AI70" i="25"/>
  <c r="AJ70" i="25"/>
  <c r="AK70" i="25"/>
  <c r="AL70" i="25"/>
  <c r="AH70" i="27" s="1"/>
  <c r="AH72" i="27" s="1"/>
  <c r="AM70" i="25"/>
  <c r="AN70" i="25"/>
  <c r="AN72" i="25" s="1"/>
  <c r="AO70" i="25"/>
  <c r="AO72" i="25" s="1"/>
  <c r="F71" i="25"/>
  <c r="G71" i="25"/>
  <c r="H71" i="25"/>
  <c r="I71" i="25"/>
  <c r="J71" i="25"/>
  <c r="K71" i="25"/>
  <c r="K71" i="27" s="1"/>
  <c r="L71" i="25"/>
  <c r="M71" i="25"/>
  <c r="N71" i="25"/>
  <c r="O71" i="25"/>
  <c r="O71" i="27" s="1"/>
  <c r="P71" i="25"/>
  <c r="Q71" i="25"/>
  <c r="R71" i="25"/>
  <c r="R71" i="27" s="1"/>
  <c r="S71" i="25"/>
  <c r="S71" i="27" s="1"/>
  <c r="T71" i="25"/>
  <c r="U71" i="25"/>
  <c r="V71" i="25"/>
  <c r="W71" i="25"/>
  <c r="X71" i="25"/>
  <c r="Y71" i="25"/>
  <c r="Z71" i="25"/>
  <c r="AA71" i="25"/>
  <c r="AA71" i="27" s="1"/>
  <c r="AB71" i="25"/>
  <c r="AB72" i="25" s="1"/>
  <c r="AC71" i="25"/>
  <c r="AD71" i="25"/>
  <c r="AE71" i="25"/>
  <c r="AE72" i="25" s="1"/>
  <c r="AF71" i="25"/>
  <c r="AG71" i="25"/>
  <c r="AH71" i="25"/>
  <c r="AI71" i="25"/>
  <c r="AG71" i="27" s="1"/>
  <c r="AJ71" i="25"/>
  <c r="AJ72" i="25" s="1"/>
  <c r="AK71" i="25"/>
  <c r="AL71" i="25"/>
  <c r="AM71" i="25"/>
  <c r="AN71" i="25"/>
  <c r="AO71" i="25"/>
  <c r="F72" i="25"/>
  <c r="L72" i="25"/>
  <c r="M72" i="25"/>
  <c r="N72" i="25"/>
  <c r="T72" i="25"/>
  <c r="V72" i="25"/>
  <c r="W72" i="25"/>
  <c r="Y72" i="25"/>
  <c r="AC72" i="25"/>
  <c r="AD72" i="25"/>
  <c r="AK72" i="25"/>
  <c r="AL72" i="25"/>
  <c r="F73" i="25"/>
  <c r="D73" i="25" s="1"/>
  <c r="F73" i="37" s="1"/>
  <c r="H73" i="37" s="1"/>
  <c r="G73" i="25"/>
  <c r="H73" i="25"/>
  <c r="I73" i="25"/>
  <c r="J73" i="25"/>
  <c r="K73" i="25"/>
  <c r="L73" i="25"/>
  <c r="M73" i="25"/>
  <c r="N73" i="25"/>
  <c r="N73" i="27" s="1"/>
  <c r="O73" i="25"/>
  <c r="P73" i="25"/>
  <c r="Q73" i="25"/>
  <c r="R73" i="25"/>
  <c r="S73" i="25"/>
  <c r="T73" i="25"/>
  <c r="U73" i="25"/>
  <c r="V73" i="25"/>
  <c r="V73" i="27" s="1"/>
  <c r="W73" i="25"/>
  <c r="X73" i="25"/>
  <c r="Y73" i="25"/>
  <c r="Z73" i="25"/>
  <c r="AA73" i="25"/>
  <c r="AA73" i="27" s="1"/>
  <c r="AB73" i="25"/>
  <c r="AC73" i="25"/>
  <c r="AD73" i="25"/>
  <c r="AD73" i="27" s="1"/>
  <c r="AE73" i="25"/>
  <c r="AF73" i="25"/>
  <c r="AG73" i="25"/>
  <c r="AH73" i="25"/>
  <c r="AI73" i="25"/>
  <c r="AJ73" i="25"/>
  <c r="AK73" i="25"/>
  <c r="AL73" i="25"/>
  <c r="AH73" i="27" s="1"/>
  <c r="AM73" i="25"/>
  <c r="AI73" i="27" s="1"/>
  <c r="AN73" i="25"/>
  <c r="AO73" i="25"/>
  <c r="F74" i="25"/>
  <c r="G74" i="25"/>
  <c r="H74" i="25"/>
  <c r="H74" i="27" s="1"/>
  <c r="I74" i="25"/>
  <c r="I74" i="27" s="1"/>
  <c r="J74" i="25"/>
  <c r="K74" i="25"/>
  <c r="L74" i="25"/>
  <c r="M74" i="25"/>
  <c r="N74" i="25"/>
  <c r="P74" i="25"/>
  <c r="Q74" i="25"/>
  <c r="Q74" i="27" s="1"/>
  <c r="R74" i="25"/>
  <c r="R74" i="27" s="1"/>
  <c r="S74" i="25"/>
  <c r="T74" i="25"/>
  <c r="U74" i="25"/>
  <c r="V74" i="25"/>
  <c r="V74" i="27" s="1"/>
  <c r="W74" i="25"/>
  <c r="X74" i="25"/>
  <c r="Y74" i="25"/>
  <c r="Y74" i="27" s="1"/>
  <c r="Z74" i="25"/>
  <c r="Z74" i="27" s="1"/>
  <c r="AA74" i="25"/>
  <c r="AB74" i="25"/>
  <c r="AC74" i="25"/>
  <c r="AD74" i="25"/>
  <c r="AD74" i="27" s="1"/>
  <c r="AE74" i="25"/>
  <c r="AF74" i="25"/>
  <c r="AG74" i="25"/>
  <c r="AH74" i="25"/>
  <c r="AF74" i="27" s="1"/>
  <c r="AI74" i="25"/>
  <c r="AJ74" i="25"/>
  <c r="AK74" i="25"/>
  <c r="AL74" i="25"/>
  <c r="AH74" i="27" s="1"/>
  <c r="AM74" i="25"/>
  <c r="AN74" i="25"/>
  <c r="AO74" i="25"/>
  <c r="D75" i="25"/>
  <c r="F75" i="37" s="1"/>
  <c r="H75" i="37" s="1"/>
  <c r="F75" i="25"/>
  <c r="G75" i="25"/>
  <c r="H75" i="25"/>
  <c r="H75" i="27" s="1"/>
  <c r="I75" i="25"/>
  <c r="J75" i="25"/>
  <c r="K75" i="25"/>
  <c r="L75" i="25"/>
  <c r="L75" i="27" s="1"/>
  <c r="M75" i="25"/>
  <c r="N75" i="25"/>
  <c r="O75" i="25"/>
  <c r="P75" i="25"/>
  <c r="P75" i="27" s="1"/>
  <c r="Q75" i="25"/>
  <c r="R75" i="25"/>
  <c r="S75" i="25"/>
  <c r="S75" i="27" s="1"/>
  <c r="T75" i="25"/>
  <c r="T75" i="27" s="1"/>
  <c r="U75" i="25"/>
  <c r="V75" i="25"/>
  <c r="W75" i="25"/>
  <c r="X75" i="25"/>
  <c r="Y75" i="25"/>
  <c r="Z75" i="25"/>
  <c r="AA75" i="25"/>
  <c r="AA75" i="27" s="1"/>
  <c r="AB75" i="25"/>
  <c r="AB75" i="27" s="1"/>
  <c r="AC75" i="25"/>
  <c r="AD75" i="25"/>
  <c r="AE75" i="25"/>
  <c r="AF75" i="25"/>
  <c r="AG75" i="25"/>
  <c r="AH75" i="25"/>
  <c r="AI75" i="25"/>
  <c r="AJ75" i="25"/>
  <c r="AK75" i="25"/>
  <c r="AL75" i="25"/>
  <c r="AH75" i="27" s="1"/>
  <c r="AM75" i="25"/>
  <c r="AN75" i="25"/>
  <c r="AO75" i="25"/>
  <c r="F76" i="25"/>
  <c r="G76" i="25"/>
  <c r="H76" i="25"/>
  <c r="I76" i="25"/>
  <c r="J76" i="25"/>
  <c r="J76" i="27" s="1"/>
  <c r="K76" i="25"/>
  <c r="L76" i="25"/>
  <c r="M76" i="25"/>
  <c r="N76" i="25"/>
  <c r="N76" i="27" s="1"/>
  <c r="O76" i="25"/>
  <c r="O76" i="27" s="1"/>
  <c r="P76" i="25"/>
  <c r="Q76" i="25"/>
  <c r="R76" i="25"/>
  <c r="S76" i="25"/>
  <c r="T76" i="25"/>
  <c r="U76" i="25"/>
  <c r="V76" i="25"/>
  <c r="V76" i="27" s="1"/>
  <c r="W76" i="25"/>
  <c r="W76" i="27" s="1"/>
  <c r="X76" i="25"/>
  <c r="Y76" i="25"/>
  <c r="Z76" i="25"/>
  <c r="Z76" i="27" s="1"/>
  <c r="AA76" i="25"/>
  <c r="AB76" i="25"/>
  <c r="AC76" i="25"/>
  <c r="AD76" i="25"/>
  <c r="AD76" i="27" s="1"/>
  <c r="AE76" i="25"/>
  <c r="AE76" i="27" s="1"/>
  <c r="AF76" i="25"/>
  <c r="AG76" i="25"/>
  <c r="AH76" i="25"/>
  <c r="AI76" i="25"/>
  <c r="AJ76" i="25"/>
  <c r="AK76" i="25"/>
  <c r="AL76" i="25"/>
  <c r="AM76" i="25"/>
  <c r="AI76" i="27" s="1"/>
  <c r="AN76" i="25"/>
  <c r="AO76" i="25"/>
  <c r="F77" i="25"/>
  <c r="G77" i="25"/>
  <c r="E77" i="25" s="1"/>
  <c r="G77" i="37" s="1"/>
  <c r="I77" i="37" s="1"/>
  <c r="H77" i="25"/>
  <c r="I77" i="25"/>
  <c r="I77" i="27" s="1"/>
  <c r="J77" i="25"/>
  <c r="K77" i="25"/>
  <c r="L77" i="25"/>
  <c r="L77" i="27" s="1"/>
  <c r="M77" i="25"/>
  <c r="N77" i="25"/>
  <c r="O77" i="25"/>
  <c r="O77" i="27" s="1"/>
  <c r="P77" i="25"/>
  <c r="Q77" i="25"/>
  <c r="Q77" i="27" s="1"/>
  <c r="R77" i="25"/>
  <c r="S77" i="25"/>
  <c r="T77" i="25"/>
  <c r="T77" i="27" s="1"/>
  <c r="U77" i="25"/>
  <c r="V77" i="25"/>
  <c r="W77" i="25"/>
  <c r="W77" i="27" s="1"/>
  <c r="X77" i="25"/>
  <c r="Y77" i="25"/>
  <c r="Y77" i="27" s="1"/>
  <c r="Z77" i="25"/>
  <c r="AA77" i="25"/>
  <c r="AB77" i="25"/>
  <c r="AB77" i="27" s="1"/>
  <c r="AC77" i="25"/>
  <c r="AD77" i="25"/>
  <c r="AE77" i="25"/>
  <c r="AE77" i="27" s="1"/>
  <c r="AF77" i="25"/>
  <c r="AG77" i="25"/>
  <c r="AH77" i="25"/>
  <c r="AI77" i="25"/>
  <c r="AJ77" i="25"/>
  <c r="AK77" i="25"/>
  <c r="AL77" i="25"/>
  <c r="AH77" i="27" s="1"/>
  <c r="AM77" i="25"/>
  <c r="AI77" i="27" s="1"/>
  <c r="AN77" i="25"/>
  <c r="AO77" i="25"/>
  <c r="F78" i="25"/>
  <c r="G78" i="25"/>
  <c r="H78" i="25"/>
  <c r="I78" i="25"/>
  <c r="I78" i="27" s="1"/>
  <c r="J78" i="25"/>
  <c r="J78" i="27" s="1"/>
  <c r="K78" i="25"/>
  <c r="L78" i="25"/>
  <c r="M78" i="25"/>
  <c r="N78" i="25"/>
  <c r="N78" i="27" s="1"/>
  <c r="O78" i="25"/>
  <c r="P78" i="25"/>
  <c r="Q78" i="25"/>
  <c r="Q78" i="27" s="1"/>
  <c r="R78" i="25"/>
  <c r="R78" i="27" s="1"/>
  <c r="S78" i="25"/>
  <c r="T78" i="25"/>
  <c r="U78" i="25"/>
  <c r="V78" i="25"/>
  <c r="W78" i="25"/>
  <c r="X78" i="25"/>
  <c r="Y78" i="25"/>
  <c r="Y78" i="27" s="1"/>
  <c r="Z78" i="25"/>
  <c r="Z78" i="27" s="1"/>
  <c r="AA78" i="25"/>
  <c r="AB78" i="25"/>
  <c r="AC78" i="25"/>
  <c r="AD78" i="25"/>
  <c r="AD78" i="27" s="1"/>
  <c r="AE78" i="25"/>
  <c r="AF78" i="25"/>
  <c r="AG78" i="25"/>
  <c r="AH78" i="25"/>
  <c r="AF78" i="27" s="1"/>
  <c r="AI78" i="25"/>
  <c r="AJ78" i="25"/>
  <c r="AK78" i="25"/>
  <c r="AL78" i="25"/>
  <c r="AM78" i="25"/>
  <c r="AN78" i="25"/>
  <c r="AO78" i="25"/>
  <c r="D79" i="25"/>
  <c r="F79" i="37" s="1"/>
  <c r="H79" i="37" s="1"/>
  <c r="F79" i="25"/>
  <c r="G79" i="25"/>
  <c r="H79" i="25"/>
  <c r="I79" i="25"/>
  <c r="J79" i="25"/>
  <c r="K79" i="25"/>
  <c r="K79" i="27" s="1"/>
  <c r="L79" i="25"/>
  <c r="L79" i="27" s="1"/>
  <c r="M79" i="25"/>
  <c r="N79" i="25"/>
  <c r="O79" i="25"/>
  <c r="P79" i="25"/>
  <c r="Q79" i="25"/>
  <c r="R79" i="25"/>
  <c r="S79" i="25"/>
  <c r="S79" i="27" s="1"/>
  <c r="T79" i="25"/>
  <c r="T79" i="27" s="1"/>
  <c r="U79" i="25"/>
  <c r="V79" i="25"/>
  <c r="W79" i="25"/>
  <c r="X79" i="25"/>
  <c r="Y79" i="25"/>
  <c r="Z79" i="25"/>
  <c r="AA79" i="25"/>
  <c r="AA79" i="27" s="1"/>
  <c r="AB79" i="25"/>
  <c r="AB79" i="27" s="1"/>
  <c r="AC79" i="25"/>
  <c r="AD79" i="25"/>
  <c r="AE79" i="25"/>
  <c r="AF79" i="25"/>
  <c r="AG79" i="25"/>
  <c r="AH79" i="25"/>
  <c r="AI79" i="25"/>
  <c r="AG79" i="27" s="1"/>
  <c r="AJ79" i="25"/>
  <c r="AK79" i="25"/>
  <c r="AL79" i="25"/>
  <c r="AM79" i="25"/>
  <c r="AN79" i="25"/>
  <c r="AO79" i="25"/>
  <c r="F80" i="25"/>
  <c r="D80" i="25" s="1"/>
  <c r="F80" i="37" s="1"/>
  <c r="G80" i="25"/>
  <c r="H80" i="25"/>
  <c r="I80" i="25"/>
  <c r="J80" i="25"/>
  <c r="J80" i="27" s="1"/>
  <c r="K80" i="25"/>
  <c r="L80" i="25"/>
  <c r="M80" i="25"/>
  <c r="N80" i="25"/>
  <c r="N80" i="27" s="1"/>
  <c r="O80" i="25"/>
  <c r="O80" i="27" s="1"/>
  <c r="P80" i="25"/>
  <c r="Q80" i="25"/>
  <c r="R80" i="25"/>
  <c r="R80" i="27" s="1"/>
  <c r="S80" i="25"/>
  <c r="T80" i="25"/>
  <c r="U80" i="25"/>
  <c r="V80" i="25"/>
  <c r="V80" i="27" s="1"/>
  <c r="W80" i="25"/>
  <c r="W80" i="27" s="1"/>
  <c r="X80" i="25"/>
  <c r="Y80" i="25"/>
  <c r="Z80" i="25"/>
  <c r="Z80" i="27" s="1"/>
  <c r="AA80" i="25"/>
  <c r="AB80" i="25"/>
  <c r="AC80" i="25"/>
  <c r="AD80" i="25"/>
  <c r="AD80" i="27" s="1"/>
  <c r="AE80" i="25"/>
  <c r="AE80" i="27" s="1"/>
  <c r="AF80" i="25"/>
  <c r="AG80" i="25"/>
  <c r="AH80" i="25"/>
  <c r="AF80" i="27" s="1"/>
  <c r="AI80" i="25"/>
  <c r="AJ80" i="25"/>
  <c r="AK80" i="25"/>
  <c r="AL80" i="25"/>
  <c r="AH80" i="27" s="1"/>
  <c r="AM80" i="25"/>
  <c r="AI80" i="27" s="1"/>
  <c r="AN80" i="25"/>
  <c r="AO80" i="25"/>
  <c r="F81" i="25"/>
  <c r="G81" i="25"/>
  <c r="H81" i="25"/>
  <c r="H81" i="27" s="1"/>
  <c r="I81" i="25"/>
  <c r="J81" i="25"/>
  <c r="K81" i="25"/>
  <c r="L81" i="25"/>
  <c r="L81" i="27" s="1"/>
  <c r="M81" i="25"/>
  <c r="N81" i="25"/>
  <c r="O81" i="25"/>
  <c r="P81" i="25"/>
  <c r="P81" i="27" s="1"/>
  <c r="Q81" i="25"/>
  <c r="Q81" i="27" s="1"/>
  <c r="R81" i="25"/>
  <c r="S81" i="25"/>
  <c r="T81" i="25"/>
  <c r="T81" i="27" s="1"/>
  <c r="U81" i="25"/>
  <c r="V81" i="25"/>
  <c r="W81" i="25"/>
  <c r="X81" i="25"/>
  <c r="X81" i="27" s="1"/>
  <c r="Y81" i="25"/>
  <c r="Y81" i="27" s="1"/>
  <c r="Z81" i="25"/>
  <c r="AA81" i="25"/>
  <c r="AB81" i="25"/>
  <c r="AB81" i="27" s="1"/>
  <c r="AC81" i="25"/>
  <c r="AD81" i="25"/>
  <c r="AE81" i="25"/>
  <c r="AF81" i="25"/>
  <c r="AG81" i="25"/>
  <c r="AH81" i="25"/>
  <c r="AI81" i="25"/>
  <c r="AJ81" i="25"/>
  <c r="AK81" i="25"/>
  <c r="AL81" i="25"/>
  <c r="AM81" i="25"/>
  <c r="AI81" i="27" s="1"/>
  <c r="AN81" i="25"/>
  <c r="AO81" i="25"/>
  <c r="E86" i="25"/>
  <c r="F86" i="25"/>
  <c r="G86" i="25"/>
  <c r="D87" i="25"/>
  <c r="E87" i="25"/>
  <c r="E89" i="25" s="1"/>
  <c r="C18" i="4" s="1"/>
  <c r="F87" i="25"/>
  <c r="F87" i="27" s="1"/>
  <c r="G87" i="25"/>
  <c r="G87" i="27" s="1"/>
  <c r="E87" i="27" s="1"/>
  <c r="G87" i="39" s="1"/>
  <c r="E88" i="25"/>
  <c r="F88" i="25"/>
  <c r="D88" i="25" s="1"/>
  <c r="F88" i="37" s="1"/>
  <c r="G88" i="25"/>
  <c r="G88" i="27" s="1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5" i="37"/>
  <c r="E11" i="37"/>
  <c r="D12" i="37"/>
  <c r="E14" i="37"/>
  <c r="E15" i="37"/>
  <c r="E19" i="37"/>
  <c r="F19" i="37"/>
  <c r="D20" i="37"/>
  <c r="E20" i="37"/>
  <c r="E21" i="37"/>
  <c r="E22" i="37"/>
  <c r="D23" i="37"/>
  <c r="D27" i="37"/>
  <c r="D28" i="37"/>
  <c r="E28" i="37"/>
  <c r="D29" i="37"/>
  <c r="E32" i="37"/>
  <c r="D33" i="37"/>
  <c r="D34" i="37"/>
  <c r="E34" i="37"/>
  <c r="D39" i="37"/>
  <c r="E39" i="37"/>
  <c r="E40" i="37"/>
  <c r="E42" i="37" s="1"/>
  <c r="E43" i="37" s="1"/>
  <c r="D41" i="37"/>
  <c r="E41" i="37"/>
  <c r="D47" i="37"/>
  <c r="E49" i="37"/>
  <c r="D51" i="37"/>
  <c r="E51" i="37"/>
  <c r="H51" i="37"/>
  <c r="D54" i="37"/>
  <c r="D56" i="37" s="1"/>
  <c r="D55" i="37"/>
  <c r="E60" i="37"/>
  <c r="I60" i="37"/>
  <c r="D65" i="37"/>
  <c r="H65" i="37"/>
  <c r="E71" i="37"/>
  <c r="D73" i="37"/>
  <c r="E73" i="37"/>
  <c r="D74" i="37"/>
  <c r="D75" i="37"/>
  <c r="E76" i="37"/>
  <c r="D77" i="37"/>
  <c r="E77" i="37"/>
  <c r="E79" i="37"/>
  <c r="E80" i="37"/>
  <c r="E81" i="37"/>
  <c r="D86" i="37"/>
  <c r="G86" i="37"/>
  <c r="F87" i="37"/>
  <c r="D88" i="37"/>
  <c r="E88" i="37"/>
  <c r="I88" i="37" s="1"/>
  <c r="G88" i="37"/>
  <c r="A4" i="14"/>
  <c r="A5" i="14"/>
  <c r="G11" i="14"/>
  <c r="H11" i="14"/>
  <c r="I11" i="14"/>
  <c r="L11" i="14"/>
  <c r="L16" i="14" s="1"/>
  <c r="M11" i="14"/>
  <c r="E11" i="38" s="1"/>
  <c r="F12" i="14"/>
  <c r="H12" i="14"/>
  <c r="H12" i="15" s="1"/>
  <c r="I12" i="14"/>
  <c r="L12" i="14"/>
  <c r="D12" i="38" s="1"/>
  <c r="F13" i="14"/>
  <c r="G13" i="14"/>
  <c r="H13" i="14"/>
  <c r="L13" i="14" s="1"/>
  <c r="D13" i="38" s="1"/>
  <c r="I13" i="14"/>
  <c r="I13" i="15" s="1"/>
  <c r="M13" i="14"/>
  <c r="E13" i="38" s="1"/>
  <c r="F14" i="14"/>
  <c r="H14" i="14"/>
  <c r="L14" i="14" s="1"/>
  <c r="D14" i="38" s="1"/>
  <c r="I14" i="14"/>
  <c r="G15" i="14"/>
  <c r="H15" i="14"/>
  <c r="F15" i="14" s="1"/>
  <c r="I15" i="14"/>
  <c r="L15" i="14"/>
  <c r="M15" i="14"/>
  <c r="I16" i="14"/>
  <c r="J16" i="14"/>
  <c r="K16" i="14"/>
  <c r="H18" i="14"/>
  <c r="I18" i="14"/>
  <c r="G19" i="14"/>
  <c r="H19" i="14"/>
  <c r="L19" i="14" s="1"/>
  <c r="I19" i="14"/>
  <c r="M19" i="14"/>
  <c r="E19" i="38" s="1"/>
  <c r="F20" i="14"/>
  <c r="H20" i="14"/>
  <c r="H20" i="15" s="1"/>
  <c r="I20" i="14"/>
  <c r="I24" i="14" s="1"/>
  <c r="L20" i="14"/>
  <c r="D20" i="38" s="1"/>
  <c r="F21" i="14"/>
  <c r="G21" i="14"/>
  <c r="H21" i="14"/>
  <c r="L21" i="14" s="1"/>
  <c r="I21" i="14"/>
  <c r="I21" i="15" s="1"/>
  <c r="M21" i="14"/>
  <c r="E21" i="38" s="1"/>
  <c r="H22" i="14"/>
  <c r="L22" i="14" s="1"/>
  <c r="D22" i="38" s="1"/>
  <c r="I22" i="14"/>
  <c r="G23" i="14"/>
  <c r="H23" i="14"/>
  <c r="F23" i="14" s="1"/>
  <c r="I23" i="14"/>
  <c r="L23" i="14"/>
  <c r="D23" i="38" s="1"/>
  <c r="M23" i="14"/>
  <c r="E23" i="38" s="1"/>
  <c r="J24" i="14"/>
  <c r="J82" i="14" s="1"/>
  <c r="K24" i="14"/>
  <c r="F27" i="14"/>
  <c r="H27" i="14"/>
  <c r="I27" i="14"/>
  <c r="L27" i="14"/>
  <c r="L29" i="14" s="1"/>
  <c r="F28" i="14"/>
  <c r="F29" i="14" s="1"/>
  <c r="G28" i="14"/>
  <c r="H28" i="14"/>
  <c r="L28" i="14" s="1"/>
  <c r="D28" i="38" s="1"/>
  <c r="I28" i="14"/>
  <c r="M28" i="14"/>
  <c r="E28" i="38" s="1"/>
  <c r="H29" i="14"/>
  <c r="I29" i="14"/>
  <c r="J29" i="14"/>
  <c r="K29" i="14"/>
  <c r="F32" i="14"/>
  <c r="F36" i="14" s="1"/>
  <c r="H32" i="14"/>
  <c r="L32" i="14" s="1"/>
  <c r="I32" i="14"/>
  <c r="G33" i="14"/>
  <c r="H33" i="14"/>
  <c r="F33" i="14" s="1"/>
  <c r="I33" i="14"/>
  <c r="M33" i="14"/>
  <c r="F34" i="14"/>
  <c r="H34" i="14"/>
  <c r="I34" i="14"/>
  <c r="L34" i="14"/>
  <c r="D34" i="38" s="1"/>
  <c r="F35" i="14"/>
  <c r="G35" i="14"/>
  <c r="H35" i="14"/>
  <c r="L35" i="14" s="1"/>
  <c r="I35" i="14"/>
  <c r="I35" i="15" s="1"/>
  <c r="M35" i="14"/>
  <c r="E35" i="38" s="1"/>
  <c r="I36" i="14"/>
  <c r="J36" i="14"/>
  <c r="K36" i="14"/>
  <c r="L37" i="14"/>
  <c r="M37" i="14"/>
  <c r="H38" i="14"/>
  <c r="I38" i="14"/>
  <c r="F39" i="14"/>
  <c r="H39" i="14"/>
  <c r="H39" i="15" s="1"/>
  <c r="L39" i="15" s="1"/>
  <c r="D39" i="39" s="1"/>
  <c r="I39" i="14"/>
  <c r="L39" i="14"/>
  <c r="F40" i="14"/>
  <c r="G40" i="14"/>
  <c r="H40" i="14"/>
  <c r="L40" i="14" s="1"/>
  <c r="I40" i="14"/>
  <c r="I42" i="14" s="1"/>
  <c r="M40" i="14"/>
  <c r="H41" i="14"/>
  <c r="L41" i="14" s="1"/>
  <c r="D41" i="38" s="1"/>
  <c r="I41" i="14"/>
  <c r="J42" i="14"/>
  <c r="K42" i="14"/>
  <c r="K43" i="14" s="1"/>
  <c r="K82" i="14" s="1"/>
  <c r="J43" i="14"/>
  <c r="G45" i="14"/>
  <c r="H45" i="14"/>
  <c r="F45" i="14" s="1"/>
  <c r="I45" i="14"/>
  <c r="L45" i="14"/>
  <c r="D45" i="38" s="1"/>
  <c r="M45" i="14"/>
  <c r="E45" i="38" s="1"/>
  <c r="F47" i="14"/>
  <c r="H47" i="14"/>
  <c r="I47" i="14"/>
  <c r="L47" i="14"/>
  <c r="F49" i="14"/>
  <c r="G49" i="14"/>
  <c r="H49" i="14"/>
  <c r="L49" i="14" s="1"/>
  <c r="D49" i="38" s="1"/>
  <c r="I49" i="14"/>
  <c r="M49" i="14"/>
  <c r="E49" i="38" s="1"/>
  <c r="F51" i="14"/>
  <c r="H51" i="14"/>
  <c r="L51" i="14" s="1"/>
  <c r="I51" i="14"/>
  <c r="G54" i="14"/>
  <c r="H54" i="14"/>
  <c r="I54" i="14"/>
  <c r="L54" i="14"/>
  <c r="D54" i="38" s="1"/>
  <c r="M54" i="14"/>
  <c r="F55" i="14"/>
  <c r="H55" i="14"/>
  <c r="I55" i="14"/>
  <c r="L55" i="14"/>
  <c r="J56" i="14"/>
  <c r="K56" i="14"/>
  <c r="L56" i="14"/>
  <c r="F59" i="14"/>
  <c r="G59" i="14"/>
  <c r="H59" i="14"/>
  <c r="L59" i="14" s="1"/>
  <c r="I59" i="14"/>
  <c r="M59" i="14"/>
  <c r="H60" i="14"/>
  <c r="L60" i="14" s="1"/>
  <c r="D60" i="38" s="1"/>
  <c r="D61" i="38" s="1"/>
  <c r="I60" i="14"/>
  <c r="I60" i="15" s="1"/>
  <c r="J61" i="14"/>
  <c r="K61" i="14"/>
  <c r="G64" i="14"/>
  <c r="H64" i="14"/>
  <c r="I64" i="14"/>
  <c r="L64" i="14"/>
  <c r="D64" i="38" s="1"/>
  <c r="M64" i="14"/>
  <c r="F65" i="14"/>
  <c r="H65" i="14"/>
  <c r="H65" i="15" s="1"/>
  <c r="L65" i="15" s="1"/>
  <c r="I65" i="14"/>
  <c r="L65" i="14"/>
  <c r="J66" i="14"/>
  <c r="K66" i="14"/>
  <c r="F70" i="14"/>
  <c r="G70" i="14"/>
  <c r="H70" i="14"/>
  <c r="L70" i="14" s="1"/>
  <c r="L72" i="14" s="1"/>
  <c r="I70" i="14"/>
  <c r="I72" i="14" s="1"/>
  <c r="M70" i="14"/>
  <c r="F71" i="14"/>
  <c r="H71" i="14"/>
  <c r="L71" i="14" s="1"/>
  <c r="D71" i="38" s="1"/>
  <c r="I71" i="14"/>
  <c r="J72" i="14"/>
  <c r="K72" i="14"/>
  <c r="G73" i="14"/>
  <c r="H73" i="14"/>
  <c r="F73" i="14" s="1"/>
  <c r="I73" i="14"/>
  <c r="M73" i="14"/>
  <c r="E73" i="38" s="1"/>
  <c r="F74" i="14"/>
  <c r="H74" i="14"/>
  <c r="I74" i="14"/>
  <c r="L74" i="14"/>
  <c r="D74" i="38" s="1"/>
  <c r="F75" i="14"/>
  <c r="G75" i="14"/>
  <c r="H75" i="14"/>
  <c r="H75" i="15" s="1"/>
  <c r="L75" i="15" s="1"/>
  <c r="D75" i="39" s="1"/>
  <c r="I75" i="14"/>
  <c r="M75" i="14"/>
  <c r="H76" i="14"/>
  <c r="L76" i="14" s="1"/>
  <c r="I76" i="14"/>
  <c r="G77" i="14"/>
  <c r="H77" i="14"/>
  <c r="F77" i="14" s="1"/>
  <c r="I77" i="14"/>
  <c r="L77" i="14"/>
  <c r="D77" i="38" s="1"/>
  <c r="M77" i="14"/>
  <c r="E77" i="38" s="1"/>
  <c r="F78" i="14"/>
  <c r="H78" i="14"/>
  <c r="I78" i="14"/>
  <c r="L78" i="14"/>
  <c r="D78" i="38" s="1"/>
  <c r="F79" i="14"/>
  <c r="G79" i="14"/>
  <c r="H79" i="14"/>
  <c r="H79" i="15" s="1"/>
  <c r="L79" i="15" s="1"/>
  <c r="D79" i="39" s="1"/>
  <c r="I79" i="14"/>
  <c r="M79" i="14"/>
  <c r="E79" i="38" s="1"/>
  <c r="H80" i="14"/>
  <c r="L80" i="14" s="1"/>
  <c r="D80" i="38" s="1"/>
  <c r="I80" i="14"/>
  <c r="G81" i="14"/>
  <c r="H81" i="14"/>
  <c r="F81" i="14" s="1"/>
  <c r="I81" i="14"/>
  <c r="M81" i="14"/>
  <c r="E81" i="38" s="1"/>
  <c r="D82" i="14"/>
  <c r="E82" i="14"/>
  <c r="A5" i="26"/>
  <c r="H8" i="26"/>
  <c r="J8" i="26"/>
  <c r="L8" i="26"/>
  <c r="N8" i="26"/>
  <c r="F11" i="26"/>
  <c r="G11" i="26"/>
  <c r="H11" i="26"/>
  <c r="I11" i="26"/>
  <c r="J11" i="26"/>
  <c r="K11" i="26"/>
  <c r="L11" i="26"/>
  <c r="D11" i="26" s="1"/>
  <c r="M11" i="26"/>
  <c r="N11" i="26"/>
  <c r="O11" i="26"/>
  <c r="P11" i="26"/>
  <c r="Q11" i="26"/>
  <c r="Q16" i="26" s="1"/>
  <c r="R11" i="26"/>
  <c r="S11" i="26"/>
  <c r="S11" i="27" s="1"/>
  <c r="T11" i="26"/>
  <c r="T16" i="26" s="1"/>
  <c r="U11" i="26"/>
  <c r="V11" i="26"/>
  <c r="W11" i="26"/>
  <c r="X11" i="26"/>
  <c r="Y11" i="26"/>
  <c r="Z11" i="26"/>
  <c r="AA11" i="26"/>
  <c r="AB11" i="26"/>
  <c r="AC11" i="26"/>
  <c r="AC11" i="27" s="1"/>
  <c r="AD11" i="26"/>
  <c r="AE11" i="26"/>
  <c r="AF11" i="26"/>
  <c r="AG11" i="26"/>
  <c r="AG16" i="26" s="1"/>
  <c r="AH11" i="26"/>
  <c r="AI11" i="26"/>
  <c r="AI16" i="26" s="1"/>
  <c r="D12" i="26"/>
  <c r="F12" i="26"/>
  <c r="G12" i="26"/>
  <c r="H12" i="26"/>
  <c r="I12" i="26"/>
  <c r="J12" i="26"/>
  <c r="K12" i="26"/>
  <c r="L12" i="26"/>
  <c r="M12" i="26"/>
  <c r="N12" i="26"/>
  <c r="O12" i="26"/>
  <c r="P12" i="26"/>
  <c r="P16" i="26" s="1"/>
  <c r="Q12" i="26"/>
  <c r="R12" i="26"/>
  <c r="S12" i="26"/>
  <c r="T12" i="26"/>
  <c r="U12" i="26"/>
  <c r="U12" i="27" s="1"/>
  <c r="V12" i="26"/>
  <c r="V12" i="27" s="1"/>
  <c r="W12" i="26"/>
  <c r="X12" i="26"/>
  <c r="Y12" i="26"/>
  <c r="Z12" i="26"/>
  <c r="AA12" i="26"/>
  <c r="AB12" i="26"/>
  <c r="AC12" i="26"/>
  <c r="AD12" i="26"/>
  <c r="AE12" i="26"/>
  <c r="AF12" i="26"/>
  <c r="AF16" i="26" s="1"/>
  <c r="AG12" i="26"/>
  <c r="AH12" i="26"/>
  <c r="AI12" i="26"/>
  <c r="AJ12" i="26"/>
  <c r="AJ16" i="26" s="1"/>
  <c r="AK12" i="26"/>
  <c r="AL12" i="26"/>
  <c r="AM12" i="26"/>
  <c r="AN12" i="26"/>
  <c r="AO12" i="26"/>
  <c r="E13" i="26"/>
  <c r="G13" i="38" s="1"/>
  <c r="F13" i="26"/>
  <c r="G13" i="26"/>
  <c r="G16" i="26" s="1"/>
  <c r="H13" i="26"/>
  <c r="I13" i="26"/>
  <c r="J13" i="26"/>
  <c r="J16" i="26" s="1"/>
  <c r="K13" i="26"/>
  <c r="L13" i="26"/>
  <c r="M13" i="26"/>
  <c r="M16" i="26" s="1"/>
  <c r="N13" i="26"/>
  <c r="O13" i="26"/>
  <c r="O16" i="26" s="1"/>
  <c r="P13" i="26"/>
  <c r="Q13" i="26"/>
  <c r="R13" i="26"/>
  <c r="R16" i="26" s="1"/>
  <c r="S13" i="26"/>
  <c r="T13" i="26"/>
  <c r="U13" i="26"/>
  <c r="U16" i="26" s="1"/>
  <c r="V13" i="26"/>
  <c r="W13" i="26"/>
  <c r="W16" i="26" s="1"/>
  <c r="X13" i="26"/>
  <c r="Y13" i="26"/>
  <c r="Z13" i="26"/>
  <c r="Z16" i="26" s="1"/>
  <c r="AA13" i="26"/>
  <c r="AB13" i="26"/>
  <c r="AC13" i="26"/>
  <c r="AC16" i="26" s="1"/>
  <c r="AD13" i="26"/>
  <c r="AE13" i="26"/>
  <c r="AE16" i="26" s="1"/>
  <c r="AF13" i="26"/>
  <c r="AG13" i="26"/>
  <c r="AH13" i="26"/>
  <c r="AH16" i="26" s="1"/>
  <c r="AI13" i="26"/>
  <c r="AJ13" i="26"/>
  <c r="AK13" i="26"/>
  <c r="AK16" i="26" s="1"/>
  <c r="AL13" i="26"/>
  <c r="AM13" i="26"/>
  <c r="AM16" i="26" s="1"/>
  <c r="AN13" i="26"/>
  <c r="AO13" i="26"/>
  <c r="F14" i="26"/>
  <c r="G14" i="26"/>
  <c r="E14" i="26" s="1"/>
  <c r="G14" i="38" s="1"/>
  <c r="H14" i="26"/>
  <c r="H16" i="26" s="1"/>
  <c r="I14" i="26"/>
  <c r="I14" i="27" s="1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X16" i="26" s="1"/>
  <c r="Y14" i="26"/>
  <c r="Z14" i="26"/>
  <c r="AA14" i="26"/>
  <c r="AB14" i="26"/>
  <c r="AC14" i="26"/>
  <c r="AD14" i="26"/>
  <c r="AE14" i="26"/>
  <c r="AF14" i="26"/>
  <c r="AG14" i="26"/>
  <c r="AH14" i="26"/>
  <c r="AF14" i="27" s="1"/>
  <c r="AI14" i="26"/>
  <c r="AJ14" i="26"/>
  <c r="AK14" i="26"/>
  <c r="AL14" i="26"/>
  <c r="AM14" i="26"/>
  <c r="AN14" i="26"/>
  <c r="AN16" i="26" s="1"/>
  <c r="AO14" i="26"/>
  <c r="F15" i="26"/>
  <c r="D15" i="26" s="1"/>
  <c r="F15" i="38" s="1"/>
  <c r="H15" i="38" s="1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B15" i="27" s="1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I16" i="26"/>
  <c r="K16" i="26"/>
  <c r="L16" i="26"/>
  <c r="Y16" i="26"/>
  <c r="AA16" i="26"/>
  <c r="AB16" i="26"/>
  <c r="AO16" i="26"/>
  <c r="F19" i="26"/>
  <c r="G19" i="26"/>
  <c r="H19" i="26"/>
  <c r="I19" i="26"/>
  <c r="J19" i="26"/>
  <c r="K19" i="26"/>
  <c r="K24" i="26" s="1"/>
  <c r="L19" i="26"/>
  <c r="M19" i="26"/>
  <c r="E19" i="26" s="1"/>
  <c r="N19" i="26"/>
  <c r="N24" i="26" s="1"/>
  <c r="O19" i="26"/>
  <c r="O19" i="27" s="1"/>
  <c r="P19" i="26"/>
  <c r="Q19" i="26"/>
  <c r="R19" i="26"/>
  <c r="S19" i="26"/>
  <c r="S24" i="26" s="1"/>
  <c r="T19" i="26"/>
  <c r="U19" i="26"/>
  <c r="U24" i="26" s="1"/>
  <c r="V19" i="26"/>
  <c r="V24" i="26" s="1"/>
  <c r="W19" i="26"/>
  <c r="X19" i="26"/>
  <c r="Y19" i="26"/>
  <c r="Z19" i="26"/>
  <c r="AA19" i="26"/>
  <c r="AA24" i="26" s="1"/>
  <c r="AB19" i="26"/>
  <c r="AC19" i="26"/>
  <c r="AC24" i="26" s="1"/>
  <c r="AD19" i="26"/>
  <c r="AD24" i="26" s="1"/>
  <c r="AE19" i="26"/>
  <c r="AF19" i="26"/>
  <c r="AG19" i="26"/>
  <c r="AH19" i="26"/>
  <c r="AI19" i="26"/>
  <c r="AI24" i="26" s="1"/>
  <c r="AJ19" i="26"/>
  <c r="AK19" i="26"/>
  <c r="AK24" i="26" s="1"/>
  <c r="AL19" i="26"/>
  <c r="AM19" i="26"/>
  <c r="AI19" i="27" s="1"/>
  <c r="AN19" i="26"/>
  <c r="AO19" i="26"/>
  <c r="F20" i="26"/>
  <c r="G20" i="26"/>
  <c r="E20" i="26" s="1"/>
  <c r="G20" i="38" s="1"/>
  <c r="H20" i="26"/>
  <c r="H24" i="26" s="1"/>
  <c r="I20" i="26"/>
  <c r="J20" i="26"/>
  <c r="K20" i="26"/>
  <c r="L20" i="26"/>
  <c r="M20" i="26"/>
  <c r="N20" i="26"/>
  <c r="O20" i="26"/>
  <c r="O24" i="26" s="1"/>
  <c r="P20" i="26"/>
  <c r="P24" i="26" s="1"/>
  <c r="Q20" i="26"/>
  <c r="R20" i="26"/>
  <c r="S20" i="26"/>
  <c r="S20" i="27" s="1"/>
  <c r="T20" i="26"/>
  <c r="U20" i="26"/>
  <c r="U20" i="27" s="1"/>
  <c r="V20" i="26"/>
  <c r="W20" i="26"/>
  <c r="W24" i="26" s="1"/>
  <c r="X20" i="26"/>
  <c r="X24" i="26" s="1"/>
  <c r="Y20" i="26"/>
  <c r="Z20" i="26"/>
  <c r="AA20" i="26"/>
  <c r="AA20" i="27" s="1"/>
  <c r="AB20" i="26"/>
  <c r="AC20" i="26"/>
  <c r="AC20" i="27" s="1"/>
  <c r="AD20" i="26"/>
  <c r="AE20" i="26"/>
  <c r="AE20" i="27" s="1"/>
  <c r="AF20" i="26"/>
  <c r="AF24" i="26" s="1"/>
  <c r="AG20" i="26"/>
  <c r="AH20" i="26"/>
  <c r="AI20" i="26"/>
  <c r="AJ20" i="26"/>
  <c r="AK20" i="26"/>
  <c r="AL20" i="26"/>
  <c r="AM20" i="26"/>
  <c r="AM24" i="26" s="1"/>
  <c r="AN20" i="26"/>
  <c r="AN24" i="26" s="1"/>
  <c r="AO20" i="26"/>
  <c r="F21" i="26"/>
  <c r="G21" i="26"/>
  <c r="H21" i="26"/>
  <c r="I21" i="26"/>
  <c r="I24" i="26" s="1"/>
  <c r="J21" i="26"/>
  <c r="K21" i="26"/>
  <c r="L21" i="26"/>
  <c r="M21" i="26"/>
  <c r="N21" i="26"/>
  <c r="O21" i="26"/>
  <c r="P21" i="26"/>
  <c r="Q21" i="26"/>
  <c r="Q24" i="26" s="1"/>
  <c r="R21" i="26"/>
  <c r="S21" i="26"/>
  <c r="T21" i="26"/>
  <c r="U21" i="26"/>
  <c r="V21" i="26"/>
  <c r="W21" i="26"/>
  <c r="X21" i="26"/>
  <c r="Y21" i="26"/>
  <c r="Y24" i="26" s="1"/>
  <c r="Z21" i="26"/>
  <c r="AA21" i="26"/>
  <c r="AB21" i="26"/>
  <c r="AC21" i="26"/>
  <c r="AD21" i="26"/>
  <c r="AE21" i="26"/>
  <c r="AF21" i="26"/>
  <c r="AG21" i="26"/>
  <c r="AG24" i="26" s="1"/>
  <c r="AH21" i="26"/>
  <c r="AI21" i="26"/>
  <c r="AJ21" i="26"/>
  <c r="AK21" i="26"/>
  <c r="AL21" i="26"/>
  <c r="AH21" i="27" s="1"/>
  <c r="AM21" i="26"/>
  <c r="AN21" i="26"/>
  <c r="AO21" i="26"/>
  <c r="AO24" i="26" s="1"/>
  <c r="D22" i="26"/>
  <c r="F22" i="26"/>
  <c r="G22" i="26"/>
  <c r="H22" i="26"/>
  <c r="I22" i="26"/>
  <c r="J22" i="26"/>
  <c r="K22" i="26"/>
  <c r="L22" i="26"/>
  <c r="L24" i="26" s="1"/>
  <c r="M22" i="26"/>
  <c r="N22" i="26"/>
  <c r="O22" i="26"/>
  <c r="P22" i="26"/>
  <c r="Q22" i="26"/>
  <c r="R22" i="26"/>
  <c r="R22" i="27" s="1"/>
  <c r="S22" i="26"/>
  <c r="T22" i="26"/>
  <c r="U22" i="26"/>
  <c r="V22" i="26"/>
  <c r="W22" i="26"/>
  <c r="X22" i="26"/>
  <c r="Y22" i="26"/>
  <c r="Z22" i="26"/>
  <c r="Z22" i="27" s="1"/>
  <c r="AA22" i="26"/>
  <c r="AB22" i="26"/>
  <c r="AB24" i="26" s="1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F23" i="26"/>
  <c r="G23" i="26"/>
  <c r="H23" i="26"/>
  <c r="I23" i="26"/>
  <c r="J23" i="26"/>
  <c r="K23" i="26"/>
  <c r="L23" i="26"/>
  <c r="M23" i="26"/>
  <c r="E23" i="26" s="1"/>
  <c r="G23" i="38" s="1"/>
  <c r="I23" i="38" s="1"/>
  <c r="N23" i="26"/>
  <c r="O23" i="26"/>
  <c r="P23" i="26"/>
  <c r="Q23" i="26"/>
  <c r="R23" i="26"/>
  <c r="S23" i="26"/>
  <c r="T23" i="26"/>
  <c r="T23" i="27" s="1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F23" i="27" s="1"/>
  <c r="AI23" i="26"/>
  <c r="AJ23" i="26"/>
  <c r="AK23" i="26"/>
  <c r="AL23" i="26"/>
  <c r="AM23" i="26"/>
  <c r="AN23" i="26"/>
  <c r="AO23" i="26"/>
  <c r="T24" i="26"/>
  <c r="AJ24" i="26"/>
  <c r="F27" i="26"/>
  <c r="G27" i="26"/>
  <c r="H27" i="26"/>
  <c r="I27" i="26"/>
  <c r="I29" i="26" s="1"/>
  <c r="J27" i="26"/>
  <c r="J29" i="26" s="1"/>
  <c r="K27" i="26"/>
  <c r="L27" i="26"/>
  <c r="M27" i="26"/>
  <c r="N27" i="26"/>
  <c r="N27" i="27" s="1"/>
  <c r="N29" i="27" s="1"/>
  <c r="O27" i="26"/>
  <c r="O29" i="26" s="1"/>
  <c r="P27" i="26"/>
  <c r="Q27" i="26"/>
  <c r="Q29" i="26" s="1"/>
  <c r="R27" i="26"/>
  <c r="R29" i="26" s="1"/>
  <c r="S27" i="26"/>
  <c r="T27" i="26"/>
  <c r="U27" i="26"/>
  <c r="V27" i="26"/>
  <c r="V27" i="27" s="1"/>
  <c r="V29" i="27" s="1"/>
  <c r="W27" i="26"/>
  <c r="W29" i="26" s="1"/>
  <c r="X27" i="26"/>
  <c r="Y27" i="26"/>
  <c r="Y29" i="26" s="1"/>
  <c r="Z27" i="26"/>
  <c r="Z29" i="26" s="1"/>
  <c r="AA27" i="26"/>
  <c r="AB27" i="26"/>
  <c r="AC27" i="26"/>
  <c r="AD27" i="26"/>
  <c r="AD27" i="27" s="1"/>
  <c r="AE27" i="26"/>
  <c r="AE29" i="26" s="1"/>
  <c r="AF27" i="26"/>
  <c r="AG27" i="26"/>
  <c r="AG29" i="26" s="1"/>
  <c r="AH27" i="26"/>
  <c r="AH29" i="26" s="1"/>
  <c r="AI27" i="26"/>
  <c r="AJ27" i="26"/>
  <c r="AK27" i="26"/>
  <c r="AL27" i="26"/>
  <c r="AH27" i="27" s="1"/>
  <c r="AM27" i="26"/>
  <c r="AN27" i="26"/>
  <c r="AO27" i="26"/>
  <c r="AO29" i="26" s="1"/>
  <c r="D28" i="26"/>
  <c r="F28" i="38" s="1"/>
  <c r="H28" i="38" s="1"/>
  <c r="F28" i="26"/>
  <c r="G28" i="26"/>
  <c r="H28" i="26"/>
  <c r="H29" i="26" s="1"/>
  <c r="I28" i="26"/>
  <c r="J28" i="26"/>
  <c r="K28" i="26"/>
  <c r="L28" i="26"/>
  <c r="M28" i="26"/>
  <c r="N28" i="26"/>
  <c r="O28" i="26"/>
  <c r="O28" i="27" s="1"/>
  <c r="P28" i="26"/>
  <c r="P29" i="26" s="1"/>
  <c r="Q28" i="26"/>
  <c r="R28" i="26"/>
  <c r="S28" i="26"/>
  <c r="S29" i="26" s="1"/>
  <c r="T28" i="26"/>
  <c r="U28" i="26"/>
  <c r="V28" i="26"/>
  <c r="W28" i="26"/>
  <c r="X28" i="26"/>
  <c r="X29" i="26" s="1"/>
  <c r="Y28" i="26"/>
  <c r="Z28" i="26"/>
  <c r="AA28" i="26"/>
  <c r="AB28" i="26"/>
  <c r="AC28" i="26"/>
  <c r="AD28" i="26"/>
  <c r="AE28" i="26"/>
  <c r="AE28" i="27" s="1"/>
  <c r="AF28" i="26"/>
  <c r="AF29" i="26" s="1"/>
  <c r="AG28" i="26"/>
  <c r="AH28" i="26"/>
  <c r="AI28" i="26"/>
  <c r="AI29" i="26" s="1"/>
  <c r="AJ28" i="26"/>
  <c r="AK28" i="26"/>
  <c r="AL28" i="26"/>
  <c r="AM28" i="26"/>
  <c r="AN28" i="26"/>
  <c r="AN29" i="26" s="1"/>
  <c r="AO28" i="26"/>
  <c r="F29" i="26"/>
  <c r="K29" i="26"/>
  <c r="M29" i="26"/>
  <c r="N29" i="26"/>
  <c r="U29" i="26"/>
  <c r="V29" i="26"/>
  <c r="AA29" i="26"/>
  <c r="AC29" i="26"/>
  <c r="AD29" i="26"/>
  <c r="AK29" i="26"/>
  <c r="AL29" i="26"/>
  <c r="D32" i="26"/>
  <c r="F32" i="38" s="1"/>
  <c r="E32" i="26"/>
  <c r="G32" i="38" s="1"/>
  <c r="F32" i="26"/>
  <c r="G32" i="26"/>
  <c r="H32" i="26"/>
  <c r="I32" i="26"/>
  <c r="J32" i="26"/>
  <c r="K32" i="26"/>
  <c r="K32" i="27" s="1"/>
  <c r="L32" i="26"/>
  <c r="M32" i="26"/>
  <c r="M36" i="26" s="1"/>
  <c r="N32" i="26"/>
  <c r="O32" i="26"/>
  <c r="P32" i="26"/>
  <c r="Q32" i="26"/>
  <c r="R32" i="26"/>
  <c r="S32" i="26"/>
  <c r="T32" i="26"/>
  <c r="U32" i="26"/>
  <c r="U36" i="26" s="1"/>
  <c r="V32" i="26"/>
  <c r="W32" i="26"/>
  <c r="X32" i="26"/>
  <c r="Y32" i="26"/>
  <c r="Z32" i="26"/>
  <c r="AA32" i="26"/>
  <c r="AA32" i="27" s="1"/>
  <c r="AB32" i="26"/>
  <c r="AC32" i="26"/>
  <c r="AC36" i="26" s="1"/>
  <c r="AD32" i="26"/>
  <c r="AE32" i="26"/>
  <c r="AF32" i="26"/>
  <c r="AG32" i="26"/>
  <c r="AH32" i="26"/>
  <c r="AI32" i="26"/>
  <c r="AG32" i="27" s="1"/>
  <c r="D33" i="26"/>
  <c r="F33" i="38" s="1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T33" i="27" s="1"/>
  <c r="U33" i="26"/>
  <c r="E33" i="26" s="1"/>
  <c r="G33" i="38" s="1"/>
  <c r="I33" i="38" s="1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K36" i="26" s="1"/>
  <c r="AL33" i="26"/>
  <c r="AM33" i="26"/>
  <c r="AN33" i="26"/>
  <c r="AN36" i="26" s="1"/>
  <c r="AO33" i="26"/>
  <c r="F34" i="26"/>
  <c r="G34" i="26"/>
  <c r="H34" i="26"/>
  <c r="I34" i="26"/>
  <c r="J34" i="26"/>
  <c r="K34" i="26"/>
  <c r="L34" i="26"/>
  <c r="M34" i="26"/>
  <c r="N34" i="26"/>
  <c r="N36" i="26" s="1"/>
  <c r="O34" i="26"/>
  <c r="P34" i="26"/>
  <c r="Q34" i="26"/>
  <c r="R34" i="26"/>
  <c r="R36" i="26" s="1"/>
  <c r="S34" i="26"/>
  <c r="T34" i="26"/>
  <c r="U34" i="26"/>
  <c r="U34" i="27" s="1"/>
  <c r="V34" i="26"/>
  <c r="W34" i="26"/>
  <c r="X34" i="26"/>
  <c r="Y34" i="26"/>
  <c r="Z34" i="26"/>
  <c r="AA34" i="26"/>
  <c r="AB34" i="26"/>
  <c r="AC34" i="26"/>
  <c r="AD34" i="26"/>
  <c r="AD36" i="26" s="1"/>
  <c r="AE34" i="26"/>
  <c r="AF34" i="26"/>
  <c r="AG34" i="26"/>
  <c r="AH34" i="26"/>
  <c r="AF34" i="27" s="1"/>
  <c r="AI34" i="26"/>
  <c r="AJ34" i="26"/>
  <c r="AK34" i="26"/>
  <c r="AL34" i="26"/>
  <c r="AM34" i="26"/>
  <c r="AN34" i="26"/>
  <c r="AO34" i="26"/>
  <c r="F35" i="26"/>
  <c r="G35" i="26"/>
  <c r="H35" i="26"/>
  <c r="I35" i="26"/>
  <c r="J35" i="26"/>
  <c r="K35" i="26"/>
  <c r="K36" i="26" s="1"/>
  <c r="L35" i="26"/>
  <c r="D35" i="26" s="1"/>
  <c r="F35" i="38" s="1"/>
  <c r="H35" i="38" s="1"/>
  <c r="M35" i="26"/>
  <c r="N35" i="26"/>
  <c r="O35" i="26"/>
  <c r="O35" i="27" s="1"/>
  <c r="P35" i="26"/>
  <c r="Q35" i="26"/>
  <c r="R35" i="26"/>
  <c r="S35" i="26"/>
  <c r="S36" i="26" s="1"/>
  <c r="T35" i="26"/>
  <c r="U35" i="26"/>
  <c r="V35" i="26"/>
  <c r="W35" i="26"/>
  <c r="W35" i="27" s="1"/>
  <c r="X35" i="26"/>
  <c r="Y35" i="26"/>
  <c r="Z35" i="26"/>
  <c r="AA35" i="26"/>
  <c r="AA36" i="26" s="1"/>
  <c r="AB35" i="26"/>
  <c r="AC35" i="26"/>
  <c r="AD35" i="26"/>
  <c r="AE35" i="26"/>
  <c r="AE35" i="27" s="1"/>
  <c r="AF35" i="26"/>
  <c r="AG35" i="26"/>
  <c r="AH35" i="26"/>
  <c r="AI35" i="26"/>
  <c r="AG35" i="27" s="1"/>
  <c r="AJ35" i="26"/>
  <c r="AK35" i="26"/>
  <c r="AL35" i="26"/>
  <c r="AH35" i="27" s="1"/>
  <c r="AM35" i="26"/>
  <c r="AN35" i="26"/>
  <c r="AO35" i="26"/>
  <c r="F36" i="26"/>
  <c r="J36" i="26"/>
  <c r="V36" i="26"/>
  <c r="Z36" i="26"/>
  <c r="AL36" i="26"/>
  <c r="D39" i="26"/>
  <c r="F39" i="38" s="1"/>
  <c r="H39" i="38" s="1"/>
  <c r="F39" i="26"/>
  <c r="G39" i="26"/>
  <c r="E39" i="26" s="1"/>
  <c r="G39" i="38" s="1"/>
  <c r="H39" i="26"/>
  <c r="I39" i="26"/>
  <c r="J39" i="26"/>
  <c r="K39" i="26"/>
  <c r="K39" i="27" s="1"/>
  <c r="L39" i="26"/>
  <c r="M39" i="26"/>
  <c r="N39" i="26"/>
  <c r="O39" i="26"/>
  <c r="P39" i="26"/>
  <c r="Q39" i="26"/>
  <c r="R39" i="26"/>
  <c r="S39" i="26"/>
  <c r="S39" i="27" s="1"/>
  <c r="T39" i="26"/>
  <c r="U39" i="26"/>
  <c r="V39" i="26"/>
  <c r="W39" i="26"/>
  <c r="X39" i="26"/>
  <c r="Y39" i="26"/>
  <c r="Z39" i="26"/>
  <c r="AA39" i="26"/>
  <c r="AA39" i="27" s="1"/>
  <c r="AB39" i="26"/>
  <c r="AC39" i="26"/>
  <c r="AD39" i="26"/>
  <c r="AE39" i="26"/>
  <c r="AF39" i="26"/>
  <c r="AG39" i="26"/>
  <c r="AH39" i="26"/>
  <c r="AI39" i="26"/>
  <c r="AJ39" i="26"/>
  <c r="AK39" i="26"/>
  <c r="AL39" i="26"/>
  <c r="AH39" i="27" s="1"/>
  <c r="AM39" i="26"/>
  <c r="AI39" i="27" s="1"/>
  <c r="AN39" i="26"/>
  <c r="AO39" i="26"/>
  <c r="F40" i="26"/>
  <c r="D40" i="26" s="1"/>
  <c r="F40" i="38" s="1"/>
  <c r="G40" i="26"/>
  <c r="H40" i="26"/>
  <c r="I40" i="26"/>
  <c r="J40" i="26"/>
  <c r="J42" i="26" s="1"/>
  <c r="J43" i="26" s="1"/>
  <c r="K40" i="26"/>
  <c r="L40" i="26"/>
  <c r="M40" i="26"/>
  <c r="N40" i="26"/>
  <c r="N40" i="27" s="1"/>
  <c r="O40" i="26"/>
  <c r="O42" i="26" s="1"/>
  <c r="P40" i="26"/>
  <c r="Q40" i="26"/>
  <c r="R40" i="26"/>
  <c r="S40" i="26"/>
  <c r="T40" i="26"/>
  <c r="U40" i="26"/>
  <c r="V40" i="26"/>
  <c r="V40" i="27" s="1"/>
  <c r="W40" i="26"/>
  <c r="W42" i="26" s="1"/>
  <c r="W43" i="26" s="1"/>
  <c r="X40" i="26"/>
  <c r="Y40" i="26"/>
  <c r="Z40" i="26"/>
  <c r="Z42" i="26" s="1"/>
  <c r="Z43" i="26" s="1"/>
  <c r="AA40" i="26"/>
  <c r="AB40" i="26"/>
  <c r="AC40" i="26"/>
  <c r="AD40" i="26"/>
  <c r="AD40" i="27" s="1"/>
  <c r="AE40" i="26"/>
  <c r="AE42" i="26" s="1"/>
  <c r="AF40" i="26"/>
  <c r="AG40" i="26"/>
  <c r="AH40" i="26"/>
  <c r="AI40" i="26"/>
  <c r="AJ40" i="26"/>
  <c r="AK40" i="26"/>
  <c r="AL40" i="26"/>
  <c r="AM40" i="26"/>
  <c r="AN40" i="26"/>
  <c r="AO40" i="26"/>
  <c r="F41" i="26"/>
  <c r="G41" i="26"/>
  <c r="H41" i="26"/>
  <c r="H42" i="26" s="1"/>
  <c r="H43" i="26" s="1"/>
  <c r="I41" i="26"/>
  <c r="J41" i="26"/>
  <c r="K41" i="26"/>
  <c r="K42" i="26" s="1"/>
  <c r="K43" i="26" s="1"/>
  <c r="L41" i="26"/>
  <c r="M41" i="26"/>
  <c r="N41" i="26"/>
  <c r="O41" i="26"/>
  <c r="P41" i="26"/>
  <c r="P42" i="26" s="1"/>
  <c r="Q41" i="26"/>
  <c r="R41" i="26"/>
  <c r="S41" i="26"/>
  <c r="S42" i="26" s="1"/>
  <c r="S43" i="26" s="1"/>
  <c r="T41" i="26"/>
  <c r="U41" i="26"/>
  <c r="V41" i="26"/>
  <c r="W41" i="26"/>
  <c r="X41" i="26"/>
  <c r="X42" i="26" s="1"/>
  <c r="X43" i="26" s="1"/>
  <c r="Y41" i="26"/>
  <c r="Z41" i="26"/>
  <c r="AA41" i="26"/>
  <c r="AA42" i="26" s="1"/>
  <c r="AA43" i="26" s="1"/>
  <c r="AB41" i="26"/>
  <c r="AC41" i="26"/>
  <c r="AD41" i="26"/>
  <c r="AE41" i="26"/>
  <c r="AF41" i="26"/>
  <c r="AF42" i="26" s="1"/>
  <c r="AG41" i="26"/>
  <c r="AH41" i="26"/>
  <c r="AI41" i="26"/>
  <c r="AG41" i="27" s="1"/>
  <c r="AJ41" i="26"/>
  <c r="AK41" i="26"/>
  <c r="AL41" i="26"/>
  <c r="AM41" i="26"/>
  <c r="AN41" i="26"/>
  <c r="AN42" i="26" s="1"/>
  <c r="AN43" i="26" s="1"/>
  <c r="AO41" i="26"/>
  <c r="F42" i="26"/>
  <c r="F43" i="26" s="1"/>
  <c r="M42" i="26"/>
  <c r="R42" i="26"/>
  <c r="R43" i="26" s="1"/>
  <c r="U42" i="26"/>
  <c r="U43" i="26" s="1"/>
  <c r="V42" i="26"/>
  <c r="V43" i="26" s="1"/>
  <c r="AC42" i="26"/>
  <c r="AH42" i="26"/>
  <c r="AH43" i="26" s="1"/>
  <c r="AK42" i="26"/>
  <c r="AK43" i="26" s="1"/>
  <c r="AL42" i="26"/>
  <c r="AL43" i="26" s="1"/>
  <c r="M43" i="26"/>
  <c r="O43" i="26"/>
  <c r="P43" i="26"/>
  <c r="AC43" i="26"/>
  <c r="AE43" i="26"/>
  <c r="AF43" i="26"/>
  <c r="F45" i="26"/>
  <c r="D45" i="26" s="1"/>
  <c r="G45" i="26"/>
  <c r="H45" i="26"/>
  <c r="I45" i="26"/>
  <c r="J45" i="26"/>
  <c r="K45" i="26"/>
  <c r="L45" i="26"/>
  <c r="M45" i="26"/>
  <c r="N45" i="26"/>
  <c r="N45" i="27" s="1"/>
  <c r="O45" i="26"/>
  <c r="P45" i="26"/>
  <c r="Q45" i="26"/>
  <c r="R45" i="26"/>
  <c r="S45" i="26"/>
  <c r="T45" i="26"/>
  <c r="U45" i="26"/>
  <c r="V45" i="26"/>
  <c r="V45" i="27" s="1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F47" i="26"/>
  <c r="G47" i="26"/>
  <c r="H47" i="26"/>
  <c r="I47" i="26"/>
  <c r="J47" i="26"/>
  <c r="K47" i="26"/>
  <c r="L47" i="26"/>
  <c r="D47" i="26" s="1"/>
  <c r="F47" i="38" s="1"/>
  <c r="H47" i="38" s="1"/>
  <c r="M47" i="26"/>
  <c r="N47" i="26"/>
  <c r="O47" i="26"/>
  <c r="P47" i="26"/>
  <c r="Q47" i="26"/>
  <c r="Q47" i="27" s="1"/>
  <c r="R47" i="26"/>
  <c r="S47" i="26"/>
  <c r="T47" i="26"/>
  <c r="U47" i="26"/>
  <c r="V47" i="26"/>
  <c r="W47" i="26"/>
  <c r="X47" i="26"/>
  <c r="Y47" i="26"/>
  <c r="Y47" i="27" s="1"/>
  <c r="Z47" i="26"/>
  <c r="AA47" i="26"/>
  <c r="AB47" i="26"/>
  <c r="AC47" i="26"/>
  <c r="AD47" i="26"/>
  <c r="AE47" i="26"/>
  <c r="AF47" i="26"/>
  <c r="AG47" i="26"/>
  <c r="AH47" i="26"/>
  <c r="AI47" i="26"/>
  <c r="AG47" i="27" s="1"/>
  <c r="AJ47" i="26"/>
  <c r="AK47" i="26"/>
  <c r="AL47" i="26"/>
  <c r="AH47" i="27" s="1"/>
  <c r="AM47" i="26"/>
  <c r="AN47" i="26"/>
  <c r="AO47" i="26"/>
  <c r="E49" i="26"/>
  <c r="G49" i="38" s="1"/>
  <c r="F49" i="26"/>
  <c r="D49" i="26" s="1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D50" i="26"/>
  <c r="E50" i="26"/>
  <c r="D51" i="26"/>
  <c r="F51" i="38" s="1"/>
  <c r="H51" i="38" s="1"/>
  <c r="F51" i="26"/>
  <c r="G51" i="26"/>
  <c r="H51" i="26"/>
  <c r="I51" i="26"/>
  <c r="J51" i="26"/>
  <c r="K51" i="26"/>
  <c r="K51" i="27" s="1"/>
  <c r="L51" i="26"/>
  <c r="M51" i="26"/>
  <c r="N51" i="26"/>
  <c r="O51" i="26"/>
  <c r="P51" i="26"/>
  <c r="Q51" i="26"/>
  <c r="R51" i="26"/>
  <c r="S51" i="26"/>
  <c r="S51" i="27" s="1"/>
  <c r="T51" i="26"/>
  <c r="U51" i="26"/>
  <c r="V51" i="26"/>
  <c r="W51" i="26"/>
  <c r="X51" i="26"/>
  <c r="Y51" i="26"/>
  <c r="Z51" i="26"/>
  <c r="AA51" i="26"/>
  <c r="AA51" i="27" s="1"/>
  <c r="AB51" i="26"/>
  <c r="AC51" i="26"/>
  <c r="AD51" i="26"/>
  <c r="AE51" i="26"/>
  <c r="AF51" i="26"/>
  <c r="AG51" i="26"/>
  <c r="AH51" i="26"/>
  <c r="AI51" i="26"/>
  <c r="AG51" i="27" s="1"/>
  <c r="AJ51" i="26"/>
  <c r="AK51" i="26"/>
  <c r="F54" i="26"/>
  <c r="D54" i="26" s="1"/>
  <c r="D56" i="26" s="1"/>
  <c r="G54" i="26"/>
  <c r="H54" i="26"/>
  <c r="I54" i="26"/>
  <c r="J54" i="26"/>
  <c r="K54" i="26"/>
  <c r="L54" i="26"/>
  <c r="M54" i="26"/>
  <c r="N54" i="26"/>
  <c r="N56" i="26" s="1"/>
  <c r="O54" i="26"/>
  <c r="P54" i="26"/>
  <c r="Q54" i="26"/>
  <c r="R54" i="26"/>
  <c r="S54" i="26"/>
  <c r="T54" i="26"/>
  <c r="U54" i="26"/>
  <c r="V54" i="26"/>
  <c r="V56" i="26" s="1"/>
  <c r="W54" i="26"/>
  <c r="X54" i="26"/>
  <c r="Y54" i="26"/>
  <c r="Y56" i="26" s="1"/>
  <c r="Z54" i="26"/>
  <c r="AA54" i="26"/>
  <c r="AB54" i="26"/>
  <c r="AC54" i="26"/>
  <c r="AD54" i="26"/>
  <c r="AE54" i="26"/>
  <c r="AF54" i="26"/>
  <c r="AG54" i="26"/>
  <c r="AH54" i="26"/>
  <c r="AI54" i="26"/>
  <c r="F55" i="26"/>
  <c r="D55" i="26" s="1"/>
  <c r="F55" i="38" s="1"/>
  <c r="G55" i="26"/>
  <c r="E55" i="26" s="1"/>
  <c r="G55" i="38" s="1"/>
  <c r="H55" i="26"/>
  <c r="I55" i="26"/>
  <c r="J55" i="26"/>
  <c r="K55" i="26"/>
  <c r="L55" i="26"/>
  <c r="M55" i="26"/>
  <c r="N55" i="26"/>
  <c r="O55" i="26"/>
  <c r="P55" i="26"/>
  <c r="P55" i="27" s="1"/>
  <c r="P56" i="27" s="1"/>
  <c r="Q55" i="26"/>
  <c r="R55" i="26"/>
  <c r="S55" i="26"/>
  <c r="T55" i="26"/>
  <c r="U55" i="26"/>
  <c r="V55" i="26"/>
  <c r="V55" i="27" s="1"/>
  <c r="W55" i="26"/>
  <c r="X55" i="26"/>
  <c r="Y55" i="26"/>
  <c r="Z55" i="26"/>
  <c r="AA55" i="26"/>
  <c r="AB55" i="26"/>
  <c r="AC55" i="26"/>
  <c r="AD55" i="26"/>
  <c r="AD55" i="27" s="1"/>
  <c r="AE55" i="26"/>
  <c r="AF55" i="26"/>
  <c r="AG55" i="26"/>
  <c r="AH55" i="26"/>
  <c r="AI55" i="26"/>
  <c r="AJ55" i="26"/>
  <c r="H56" i="26"/>
  <c r="I56" i="26"/>
  <c r="K56" i="26"/>
  <c r="L56" i="26"/>
  <c r="M56" i="26"/>
  <c r="P56" i="26"/>
  <c r="Q56" i="26"/>
  <c r="S56" i="26"/>
  <c r="T56" i="26"/>
  <c r="U56" i="26"/>
  <c r="X56" i="26"/>
  <c r="AA56" i="26"/>
  <c r="AB56" i="26"/>
  <c r="AC56" i="26"/>
  <c r="AD56" i="26"/>
  <c r="AF56" i="26"/>
  <c r="AG56" i="26"/>
  <c r="AI56" i="26"/>
  <c r="AJ56" i="26"/>
  <c r="AK56" i="26"/>
  <c r="AL56" i="26"/>
  <c r="AM56" i="26"/>
  <c r="AN56" i="26"/>
  <c r="AO56" i="26"/>
  <c r="F59" i="26"/>
  <c r="G59" i="26"/>
  <c r="H59" i="26"/>
  <c r="I59" i="26"/>
  <c r="J59" i="26"/>
  <c r="J61" i="26" s="1"/>
  <c r="K59" i="26"/>
  <c r="L59" i="26"/>
  <c r="M59" i="26"/>
  <c r="N59" i="26"/>
  <c r="O59" i="26"/>
  <c r="P59" i="26"/>
  <c r="P61" i="26" s="1"/>
  <c r="Q59" i="26"/>
  <c r="R59" i="26"/>
  <c r="R61" i="26" s="1"/>
  <c r="S59" i="26"/>
  <c r="S61" i="26" s="1"/>
  <c r="T59" i="26"/>
  <c r="U59" i="26"/>
  <c r="V59" i="26"/>
  <c r="W59" i="26"/>
  <c r="X59" i="26"/>
  <c r="X61" i="26" s="1"/>
  <c r="Y59" i="26"/>
  <c r="Z59" i="26"/>
  <c r="Z61" i="26" s="1"/>
  <c r="AA59" i="26"/>
  <c r="AB59" i="26"/>
  <c r="AC59" i="26"/>
  <c r="AD59" i="26"/>
  <c r="AE59" i="26"/>
  <c r="AF59" i="26"/>
  <c r="AF61" i="26" s="1"/>
  <c r="AG59" i="26"/>
  <c r="AH59" i="26"/>
  <c r="AH61" i="26" s="1"/>
  <c r="AI59" i="26"/>
  <c r="AG59" i="27" s="1"/>
  <c r="AG61" i="27" s="1"/>
  <c r="AJ59" i="26"/>
  <c r="AK59" i="26"/>
  <c r="AL59" i="26"/>
  <c r="AM59" i="26"/>
  <c r="AN59" i="26"/>
  <c r="AN61" i="26" s="1"/>
  <c r="AO59" i="26"/>
  <c r="E60" i="26"/>
  <c r="G60" i="38" s="1"/>
  <c r="F60" i="26"/>
  <c r="G60" i="26"/>
  <c r="H60" i="26"/>
  <c r="I60" i="26"/>
  <c r="I61" i="26" s="1"/>
  <c r="J60" i="26"/>
  <c r="K60" i="26"/>
  <c r="K60" i="27" s="1"/>
  <c r="L60" i="26"/>
  <c r="D60" i="26" s="1"/>
  <c r="F60" i="38" s="1"/>
  <c r="H60" i="38" s="1"/>
  <c r="M60" i="26"/>
  <c r="N60" i="26"/>
  <c r="O60" i="26"/>
  <c r="P60" i="26"/>
  <c r="Q60" i="26"/>
  <c r="Q61" i="26" s="1"/>
  <c r="R60" i="26"/>
  <c r="S60" i="26"/>
  <c r="T60" i="26"/>
  <c r="T61" i="26" s="1"/>
  <c r="U60" i="26"/>
  <c r="V60" i="26"/>
  <c r="W60" i="26"/>
  <c r="X60" i="26"/>
  <c r="Y60" i="26"/>
  <c r="Y61" i="26" s="1"/>
  <c r="Z60" i="26"/>
  <c r="AA60" i="26"/>
  <c r="AA60" i="27" s="1"/>
  <c r="AB60" i="26"/>
  <c r="AC60" i="26"/>
  <c r="AD60" i="26"/>
  <c r="AE60" i="26"/>
  <c r="AF60" i="26"/>
  <c r="AG60" i="26"/>
  <c r="AG61" i="26" s="1"/>
  <c r="AH60" i="26"/>
  <c r="AI60" i="26"/>
  <c r="AJ60" i="26"/>
  <c r="AJ61" i="26" s="1"/>
  <c r="AK60" i="26"/>
  <c r="AL60" i="26"/>
  <c r="AM60" i="26"/>
  <c r="AN60" i="26"/>
  <c r="AO60" i="26"/>
  <c r="AO61" i="26" s="1"/>
  <c r="F61" i="26"/>
  <c r="G61" i="26"/>
  <c r="K61" i="26"/>
  <c r="L61" i="26"/>
  <c r="N61" i="26"/>
  <c r="O61" i="26"/>
  <c r="V61" i="26"/>
  <c r="W61" i="26"/>
  <c r="AA61" i="26"/>
  <c r="AB61" i="26"/>
  <c r="AD61" i="26"/>
  <c r="AE61" i="26"/>
  <c r="AL61" i="26"/>
  <c r="AM61" i="26"/>
  <c r="F64" i="26"/>
  <c r="D64" i="26" s="1"/>
  <c r="F64" i="38" s="1"/>
  <c r="G64" i="26"/>
  <c r="H64" i="26"/>
  <c r="I64" i="26"/>
  <c r="I66" i="26" s="1"/>
  <c r="J64" i="26"/>
  <c r="K64" i="26"/>
  <c r="L64" i="26"/>
  <c r="L66" i="26" s="1"/>
  <c r="M64" i="26"/>
  <c r="E64" i="26" s="1"/>
  <c r="G64" i="38" s="1"/>
  <c r="N64" i="26"/>
  <c r="N66" i="26" s="1"/>
  <c r="O64" i="26"/>
  <c r="P64" i="26"/>
  <c r="Q64" i="26"/>
  <c r="Q66" i="26" s="1"/>
  <c r="R64" i="26"/>
  <c r="S64" i="26"/>
  <c r="T64" i="26"/>
  <c r="T66" i="26" s="1"/>
  <c r="U64" i="26"/>
  <c r="V64" i="26"/>
  <c r="W64" i="26"/>
  <c r="W64" i="27" s="1"/>
  <c r="X64" i="26"/>
  <c r="Y64" i="26"/>
  <c r="Z64" i="26"/>
  <c r="AA64" i="26"/>
  <c r="AB64" i="26"/>
  <c r="AB66" i="26" s="1"/>
  <c r="AC64" i="26"/>
  <c r="AC66" i="26" s="1"/>
  <c r="AD64" i="26"/>
  <c r="AD66" i="26" s="1"/>
  <c r="AE64" i="26"/>
  <c r="AF64" i="26"/>
  <c r="AG64" i="26"/>
  <c r="AH64" i="26"/>
  <c r="AI64" i="26"/>
  <c r="AJ64" i="26"/>
  <c r="AJ66" i="26" s="1"/>
  <c r="AK64" i="26"/>
  <c r="AK66" i="26" s="1"/>
  <c r="AL64" i="26"/>
  <c r="AH64" i="27" s="1"/>
  <c r="AH66" i="27" s="1"/>
  <c r="AM64" i="26"/>
  <c r="AN64" i="26"/>
  <c r="AO64" i="26"/>
  <c r="F65" i="26"/>
  <c r="G65" i="26"/>
  <c r="H65" i="26"/>
  <c r="I65" i="26"/>
  <c r="J65" i="26"/>
  <c r="J65" i="27" s="1"/>
  <c r="K65" i="26"/>
  <c r="K65" i="27" s="1"/>
  <c r="L65" i="26"/>
  <c r="M65" i="26"/>
  <c r="N65" i="26"/>
  <c r="O65" i="26"/>
  <c r="O66" i="26" s="1"/>
  <c r="P65" i="26"/>
  <c r="Q65" i="26"/>
  <c r="R65" i="26"/>
  <c r="R65" i="27" s="1"/>
  <c r="S65" i="26"/>
  <c r="T65" i="26"/>
  <c r="V65" i="26"/>
  <c r="W65" i="26"/>
  <c r="X65" i="26"/>
  <c r="Y65" i="26"/>
  <c r="Z65" i="26"/>
  <c r="Z65" i="27" s="1"/>
  <c r="AA65" i="26"/>
  <c r="AA65" i="27" s="1"/>
  <c r="AB65" i="26"/>
  <c r="AC65" i="26"/>
  <c r="AD65" i="26"/>
  <c r="AE65" i="26"/>
  <c r="AF65" i="26"/>
  <c r="AG65" i="26"/>
  <c r="AH65" i="26"/>
  <c r="AI65" i="26"/>
  <c r="AG65" i="27" s="1"/>
  <c r="AJ65" i="26"/>
  <c r="AK65" i="26"/>
  <c r="AL65" i="26"/>
  <c r="AM65" i="26"/>
  <c r="AN65" i="26"/>
  <c r="AO65" i="26"/>
  <c r="F66" i="26"/>
  <c r="K66" i="26"/>
  <c r="S66" i="26"/>
  <c r="U66" i="26"/>
  <c r="V66" i="26"/>
  <c r="W66" i="26"/>
  <c r="Z66" i="26"/>
  <c r="AE66" i="26"/>
  <c r="AH66" i="26"/>
  <c r="AI66" i="26"/>
  <c r="AM66" i="26"/>
  <c r="F70" i="26"/>
  <c r="G70" i="26"/>
  <c r="G72" i="26" s="1"/>
  <c r="H70" i="26"/>
  <c r="D70" i="26" s="1"/>
  <c r="I70" i="26"/>
  <c r="J70" i="26"/>
  <c r="K70" i="26"/>
  <c r="L70" i="26"/>
  <c r="M70" i="26"/>
  <c r="M72" i="26" s="1"/>
  <c r="N70" i="26"/>
  <c r="O70" i="26"/>
  <c r="O72" i="26" s="1"/>
  <c r="P70" i="26"/>
  <c r="P72" i="26" s="1"/>
  <c r="Q70" i="26"/>
  <c r="R70" i="26"/>
  <c r="S70" i="26"/>
  <c r="T70" i="26"/>
  <c r="U70" i="26"/>
  <c r="U72" i="26" s="1"/>
  <c r="V70" i="26"/>
  <c r="V70" i="27" s="1"/>
  <c r="W70" i="26"/>
  <c r="X70" i="26"/>
  <c r="X72" i="26" s="1"/>
  <c r="Y70" i="26"/>
  <c r="Z70" i="26"/>
  <c r="AA70" i="26"/>
  <c r="AB70" i="26"/>
  <c r="AC70" i="26"/>
  <c r="AC72" i="26" s="1"/>
  <c r="AD70" i="26"/>
  <c r="AE70" i="26"/>
  <c r="AE72" i="26" s="1"/>
  <c r="AF70" i="26"/>
  <c r="AF72" i="26" s="1"/>
  <c r="AG70" i="26"/>
  <c r="AH70" i="26"/>
  <c r="AI70" i="26"/>
  <c r="AJ70" i="26"/>
  <c r="AK70" i="26"/>
  <c r="AK72" i="26" s="1"/>
  <c r="AL70" i="26"/>
  <c r="AM70" i="26"/>
  <c r="AM72" i="26" s="1"/>
  <c r="AN70" i="26"/>
  <c r="AN72" i="26" s="1"/>
  <c r="AO70" i="26"/>
  <c r="F71" i="26"/>
  <c r="G71" i="26"/>
  <c r="H71" i="26"/>
  <c r="H71" i="27" s="1"/>
  <c r="I71" i="26"/>
  <c r="I71" i="27" s="1"/>
  <c r="J71" i="26"/>
  <c r="K71" i="26"/>
  <c r="L71" i="26"/>
  <c r="M71" i="26"/>
  <c r="N71" i="26"/>
  <c r="N72" i="26" s="1"/>
  <c r="O71" i="26"/>
  <c r="P71" i="26"/>
  <c r="P71" i="27" s="1"/>
  <c r="Q71" i="26"/>
  <c r="Q71" i="27" s="1"/>
  <c r="R71" i="26"/>
  <c r="S71" i="26"/>
  <c r="T71" i="26"/>
  <c r="U71" i="26"/>
  <c r="V71" i="26"/>
  <c r="V72" i="26" s="1"/>
  <c r="W71" i="26"/>
  <c r="X71" i="26"/>
  <c r="X71" i="27" s="1"/>
  <c r="Y71" i="26"/>
  <c r="Y71" i="27" s="1"/>
  <c r="Z71" i="26"/>
  <c r="AA71" i="26"/>
  <c r="AB71" i="26"/>
  <c r="AC71" i="26"/>
  <c r="AD71" i="26"/>
  <c r="AD72" i="26" s="1"/>
  <c r="AE71" i="26"/>
  <c r="AF71" i="26"/>
  <c r="AG71" i="26"/>
  <c r="AG72" i="26" s="1"/>
  <c r="AH71" i="26"/>
  <c r="AI71" i="26"/>
  <c r="AJ71" i="26"/>
  <c r="AK71" i="26"/>
  <c r="AL71" i="26"/>
  <c r="AL72" i="26" s="1"/>
  <c r="AM71" i="26"/>
  <c r="AN71" i="26"/>
  <c r="AO71" i="26"/>
  <c r="I72" i="26"/>
  <c r="K72" i="26"/>
  <c r="L72" i="26"/>
  <c r="S72" i="26"/>
  <c r="T72" i="26"/>
  <c r="Y72" i="26"/>
  <c r="AA72" i="26"/>
  <c r="AB72" i="26"/>
  <c r="AI72" i="26"/>
  <c r="AJ72" i="26"/>
  <c r="AO72" i="26"/>
  <c r="F73" i="26"/>
  <c r="G73" i="26"/>
  <c r="H73" i="26"/>
  <c r="I73" i="26"/>
  <c r="J73" i="26"/>
  <c r="K73" i="26"/>
  <c r="E73" i="26" s="1"/>
  <c r="G73" i="38" s="1"/>
  <c r="I73" i="38" s="1"/>
  <c r="L73" i="26"/>
  <c r="L73" i="27" s="1"/>
  <c r="M73" i="26"/>
  <c r="M73" i="27" s="1"/>
  <c r="N73" i="26"/>
  <c r="O73" i="26"/>
  <c r="P73" i="26"/>
  <c r="Q73" i="26"/>
  <c r="R73" i="26"/>
  <c r="S73" i="26"/>
  <c r="T73" i="26"/>
  <c r="T73" i="27" s="1"/>
  <c r="U73" i="26"/>
  <c r="U73" i="27" s="1"/>
  <c r="V73" i="26"/>
  <c r="W73" i="26"/>
  <c r="X73" i="26"/>
  <c r="Y73" i="26"/>
  <c r="Z73" i="26"/>
  <c r="AA73" i="26"/>
  <c r="AB73" i="26"/>
  <c r="AB73" i="27" s="1"/>
  <c r="AC73" i="26"/>
  <c r="AC73" i="27" s="1"/>
  <c r="AD73" i="26"/>
  <c r="AE73" i="26"/>
  <c r="AF73" i="26"/>
  <c r="AG73" i="26"/>
  <c r="AH73" i="26"/>
  <c r="AI73" i="26"/>
  <c r="AJ73" i="26"/>
  <c r="AK73" i="26"/>
  <c r="AL73" i="26"/>
  <c r="AM73" i="26"/>
  <c r="AN73" i="26"/>
  <c r="AO73" i="26"/>
  <c r="D74" i="26"/>
  <c r="F74" i="38" s="1"/>
  <c r="E74" i="26"/>
  <c r="G74" i="38" s="1"/>
  <c r="F74" i="26"/>
  <c r="G74" i="26"/>
  <c r="H74" i="26"/>
  <c r="I74" i="26"/>
  <c r="J74" i="26"/>
  <c r="K74" i="26"/>
  <c r="L74" i="26"/>
  <c r="M74" i="26"/>
  <c r="N74" i="26"/>
  <c r="O74" i="26"/>
  <c r="O74" i="27" s="1"/>
  <c r="P74" i="26"/>
  <c r="Q74" i="26"/>
  <c r="R74" i="26"/>
  <c r="S74" i="26"/>
  <c r="T74" i="26"/>
  <c r="U74" i="26"/>
  <c r="U74" i="27" s="1"/>
  <c r="V74" i="26"/>
  <c r="W74" i="26"/>
  <c r="W74" i="27" s="1"/>
  <c r="X74" i="26"/>
  <c r="X74" i="27" s="1"/>
  <c r="Y74" i="26"/>
  <c r="Z74" i="26"/>
  <c r="AA74" i="26"/>
  <c r="AB74" i="26"/>
  <c r="AC74" i="26"/>
  <c r="AC74" i="27" s="1"/>
  <c r="AD74" i="26"/>
  <c r="AE74" i="26"/>
  <c r="AE74" i="27" s="1"/>
  <c r="AF74" i="26"/>
  <c r="AG74" i="26"/>
  <c r="AH74" i="26"/>
  <c r="AI74" i="26"/>
  <c r="AJ74" i="26"/>
  <c r="AK74" i="26"/>
  <c r="AL74" i="26"/>
  <c r="AM74" i="26"/>
  <c r="AN74" i="26"/>
  <c r="AO74" i="26"/>
  <c r="F75" i="26"/>
  <c r="G75" i="26"/>
  <c r="H75" i="26"/>
  <c r="I75" i="26"/>
  <c r="I75" i="27" s="1"/>
  <c r="J75" i="26"/>
  <c r="J75" i="27" s="1"/>
  <c r="K75" i="26"/>
  <c r="L75" i="26"/>
  <c r="M75" i="26"/>
  <c r="N75" i="26"/>
  <c r="O75" i="26"/>
  <c r="O75" i="27" s="1"/>
  <c r="P75" i="26"/>
  <c r="Q75" i="26"/>
  <c r="Q75" i="27" s="1"/>
  <c r="R75" i="26"/>
  <c r="R75" i="27" s="1"/>
  <c r="S75" i="26"/>
  <c r="T75" i="26"/>
  <c r="U75" i="26"/>
  <c r="V75" i="26"/>
  <c r="W75" i="26"/>
  <c r="X75" i="26"/>
  <c r="Y75" i="26"/>
  <c r="Y75" i="27" s="1"/>
  <c r="Z75" i="26"/>
  <c r="Z75" i="27" s="1"/>
  <c r="AA75" i="26"/>
  <c r="AB75" i="26"/>
  <c r="AC75" i="26"/>
  <c r="AD75" i="26"/>
  <c r="AE75" i="26"/>
  <c r="AE75" i="27" s="1"/>
  <c r="AF75" i="26"/>
  <c r="AG75" i="26"/>
  <c r="AH75" i="26"/>
  <c r="AF75" i="27" s="1"/>
  <c r="AI75" i="26"/>
  <c r="AJ75" i="26"/>
  <c r="AK75" i="26"/>
  <c r="AL75" i="26"/>
  <c r="AM75" i="26"/>
  <c r="AN75" i="26"/>
  <c r="AO75" i="26"/>
  <c r="D76" i="26"/>
  <c r="F76" i="38" s="1"/>
  <c r="H76" i="38" s="1"/>
  <c r="F76" i="26"/>
  <c r="G76" i="26"/>
  <c r="H76" i="26"/>
  <c r="I76" i="26"/>
  <c r="I76" i="27" s="1"/>
  <c r="J76" i="26"/>
  <c r="K76" i="26"/>
  <c r="K76" i="27" s="1"/>
  <c r="L76" i="26"/>
  <c r="L76" i="27" s="1"/>
  <c r="M76" i="26"/>
  <c r="N76" i="26"/>
  <c r="O76" i="26"/>
  <c r="P76" i="26"/>
  <c r="Q76" i="26"/>
  <c r="Q76" i="27" s="1"/>
  <c r="R76" i="26"/>
  <c r="S76" i="26"/>
  <c r="S76" i="27" s="1"/>
  <c r="T76" i="26"/>
  <c r="T76" i="27" s="1"/>
  <c r="U76" i="26"/>
  <c r="V76" i="26"/>
  <c r="W76" i="26"/>
  <c r="X76" i="26"/>
  <c r="Y76" i="26"/>
  <c r="Z76" i="26"/>
  <c r="AA76" i="26"/>
  <c r="AA76" i="27" s="1"/>
  <c r="AB76" i="26"/>
  <c r="AB76" i="27" s="1"/>
  <c r="AC76" i="26"/>
  <c r="AD76" i="26"/>
  <c r="AE76" i="26"/>
  <c r="AF76" i="26"/>
  <c r="AG76" i="26"/>
  <c r="AH76" i="26"/>
  <c r="AI76" i="26"/>
  <c r="AG76" i="27" s="1"/>
  <c r="AJ76" i="26"/>
  <c r="AK76" i="26"/>
  <c r="AL76" i="26"/>
  <c r="AM76" i="26"/>
  <c r="AN76" i="26"/>
  <c r="AO76" i="26"/>
  <c r="E77" i="26"/>
  <c r="F77" i="26"/>
  <c r="D77" i="26" s="1"/>
  <c r="F77" i="38" s="1"/>
  <c r="H77" i="38" s="1"/>
  <c r="G77" i="26"/>
  <c r="H77" i="26"/>
  <c r="I77" i="26"/>
  <c r="J77" i="26"/>
  <c r="K77" i="26"/>
  <c r="K77" i="27" s="1"/>
  <c r="L77" i="26"/>
  <c r="M77" i="26"/>
  <c r="M77" i="27" s="1"/>
  <c r="N77" i="26"/>
  <c r="N77" i="27" s="1"/>
  <c r="O77" i="26"/>
  <c r="P77" i="26"/>
  <c r="Q77" i="26"/>
  <c r="R77" i="26"/>
  <c r="S77" i="26"/>
  <c r="T77" i="26"/>
  <c r="U77" i="26"/>
  <c r="U77" i="27" s="1"/>
  <c r="V77" i="26"/>
  <c r="V77" i="27" s="1"/>
  <c r="W77" i="26"/>
  <c r="X77" i="26"/>
  <c r="Y77" i="26"/>
  <c r="Z77" i="26"/>
  <c r="AA77" i="26"/>
  <c r="AA77" i="27" s="1"/>
  <c r="AB77" i="26"/>
  <c r="AC77" i="26"/>
  <c r="AC77" i="27" s="1"/>
  <c r="AD77" i="26"/>
  <c r="AD77" i="27" s="1"/>
  <c r="AE77" i="26"/>
  <c r="AF77" i="26"/>
  <c r="AG77" i="26"/>
  <c r="AH77" i="26"/>
  <c r="AI77" i="26"/>
  <c r="AJ77" i="26"/>
  <c r="AK77" i="26"/>
  <c r="AL77" i="26"/>
  <c r="AM77" i="26"/>
  <c r="AN77" i="26"/>
  <c r="AO77" i="26"/>
  <c r="F78" i="26"/>
  <c r="G78" i="26"/>
  <c r="E78" i="26" s="1"/>
  <c r="G78" i="38" s="1"/>
  <c r="H78" i="26"/>
  <c r="D78" i="26" s="1"/>
  <c r="F78" i="38" s="1"/>
  <c r="H78" i="38" s="1"/>
  <c r="I78" i="26"/>
  <c r="J78" i="26"/>
  <c r="K78" i="26"/>
  <c r="L78" i="26"/>
  <c r="M78" i="26"/>
  <c r="N78" i="26"/>
  <c r="O78" i="26"/>
  <c r="O78" i="27" s="1"/>
  <c r="P78" i="26"/>
  <c r="P78" i="27" s="1"/>
  <c r="Q78" i="26"/>
  <c r="R78" i="26"/>
  <c r="S78" i="26"/>
  <c r="T78" i="26"/>
  <c r="U78" i="26"/>
  <c r="U78" i="27" s="1"/>
  <c r="V78" i="26"/>
  <c r="W78" i="26"/>
  <c r="W78" i="27" s="1"/>
  <c r="X78" i="26"/>
  <c r="Y78" i="26"/>
  <c r="Z78" i="26"/>
  <c r="AA78" i="26"/>
  <c r="AB78" i="26"/>
  <c r="AC78" i="26"/>
  <c r="AD78" i="26"/>
  <c r="AE78" i="26"/>
  <c r="AE78" i="27" s="1"/>
  <c r="AF78" i="26"/>
  <c r="AG78" i="26"/>
  <c r="AH78" i="26"/>
  <c r="AI78" i="26"/>
  <c r="AJ78" i="26"/>
  <c r="AK78" i="26"/>
  <c r="AL78" i="26"/>
  <c r="AM78" i="26"/>
  <c r="AN78" i="26"/>
  <c r="AO78" i="26"/>
  <c r="F79" i="26"/>
  <c r="G79" i="26"/>
  <c r="H79" i="26"/>
  <c r="I79" i="26"/>
  <c r="I79" i="27" s="1"/>
  <c r="J79" i="26"/>
  <c r="J79" i="27" s="1"/>
  <c r="K79" i="26"/>
  <c r="L79" i="26"/>
  <c r="M79" i="26"/>
  <c r="N79" i="26"/>
  <c r="O79" i="26"/>
  <c r="O79" i="27" s="1"/>
  <c r="P79" i="26"/>
  <c r="Q79" i="26"/>
  <c r="R79" i="26"/>
  <c r="R79" i="27" s="1"/>
  <c r="S79" i="26"/>
  <c r="T79" i="26"/>
  <c r="U79" i="26"/>
  <c r="V79" i="26"/>
  <c r="W79" i="26"/>
  <c r="W79" i="27" s="1"/>
  <c r="X79" i="26"/>
  <c r="Y79" i="26"/>
  <c r="Z79" i="26"/>
  <c r="Z79" i="27" s="1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F80" i="26"/>
  <c r="G80" i="26"/>
  <c r="H80" i="26"/>
  <c r="D80" i="26" s="1"/>
  <c r="F80" i="38" s="1"/>
  <c r="H80" i="38" s="1"/>
  <c r="I80" i="26"/>
  <c r="I80" i="27" s="1"/>
  <c r="J80" i="26"/>
  <c r="K80" i="26"/>
  <c r="L80" i="26"/>
  <c r="L80" i="27" s="1"/>
  <c r="M80" i="26"/>
  <c r="N80" i="26"/>
  <c r="O80" i="26"/>
  <c r="P80" i="26"/>
  <c r="Q80" i="26"/>
  <c r="Q80" i="27" s="1"/>
  <c r="R80" i="26"/>
  <c r="S80" i="26"/>
  <c r="T80" i="26"/>
  <c r="T80" i="27" s="1"/>
  <c r="U80" i="26"/>
  <c r="V80" i="26"/>
  <c r="W80" i="26"/>
  <c r="X80" i="26"/>
  <c r="Y80" i="26"/>
  <c r="Y80" i="27" s="1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AN80" i="26"/>
  <c r="AO80" i="26"/>
  <c r="F81" i="26"/>
  <c r="G81" i="26"/>
  <c r="H81" i="26"/>
  <c r="I81" i="26"/>
  <c r="J81" i="26"/>
  <c r="K81" i="26"/>
  <c r="E81" i="26" s="1"/>
  <c r="G81" i="38" s="1"/>
  <c r="I81" i="38" s="1"/>
  <c r="L81" i="26"/>
  <c r="M81" i="26"/>
  <c r="N81" i="26"/>
  <c r="N81" i="27" s="1"/>
  <c r="O81" i="26"/>
  <c r="P81" i="26"/>
  <c r="Q81" i="26"/>
  <c r="R81" i="26"/>
  <c r="S81" i="26"/>
  <c r="S81" i="27" s="1"/>
  <c r="T81" i="26"/>
  <c r="U81" i="26"/>
  <c r="V81" i="26"/>
  <c r="V81" i="27" s="1"/>
  <c r="W81" i="26"/>
  <c r="X81" i="26"/>
  <c r="Y81" i="26"/>
  <c r="Z81" i="26"/>
  <c r="AA81" i="26"/>
  <c r="AA81" i="27" s="1"/>
  <c r="AB81" i="26"/>
  <c r="AC81" i="26"/>
  <c r="AC81" i="27" s="1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4" i="38"/>
  <c r="A5" i="38"/>
  <c r="F12" i="38"/>
  <c r="H12" i="38" s="1"/>
  <c r="I13" i="38"/>
  <c r="D15" i="38"/>
  <c r="E15" i="38"/>
  <c r="D21" i="38"/>
  <c r="F22" i="38"/>
  <c r="H22" i="38" s="1"/>
  <c r="D27" i="38"/>
  <c r="D29" i="38" s="1"/>
  <c r="E33" i="38"/>
  <c r="D35" i="38"/>
  <c r="D39" i="38"/>
  <c r="F45" i="38"/>
  <c r="H45" i="38" s="1"/>
  <c r="D47" i="38"/>
  <c r="F49" i="38"/>
  <c r="H49" i="38" s="1"/>
  <c r="D51" i="38"/>
  <c r="D55" i="38"/>
  <c r="H55" i="38"/>
  <c r="D59" i="38"/>
  <c r="E59" i="38"/>
  <c r="E64" i="38"/>
  <c r="D65" i="38"/>
  <c r="D70" i="38"/>
  <c r="D72" i="38" s="1"/>
  <c r="E75" i="38"/>
  <c r="D76" i="38"/>
  <c r="G77" i="38"/>
  <c r="I77" i="38"/>
  <c r="A4" i="16"/>
  <c r="A5" i="16"/>
  <c r="F11" i="16"/>
  <c r="H11" i="16"/>
  <c r="I11" i="16"/>
  <c r="G11" i="16" s="1"/>
  <c r="L11" i="16"/>
  <c r="M11" i="16"/>
  <c r="G12" i="16"/>
  <c r="H12" i="16"/>
  <c r="I12" i="16"/>
  <c r="M12" i="16" s="1"/>
  <c r="E12" i="40" s="1"/>
  <c r="F13" i="16"/>
  <c r="H13" i="16"/>
  <c r="I13" i="16"/>
  <c r="L13" i="16"/>
  <c r="D13" i="40" s="1"/>
  <c r="H14" i="16"/>
  <c r="I14" i="16"/>
  <c r="G14" i="16" s="1"/>
  <c r="M14" i="16"/>
  <c r="E14" i="40" s="1"/>
  <c r="F15" i="16"/>
  <c r="H15" i="16"/>
  <c r="I15" i="16"/>
  <c r="G15" i="16" s="1"/>
  <c r="L15" i="16"/>
  <c r="M15" i="16"/>
  <c r="H16" i="16"/>
  <c r="J16" i="16"/>
  <c r="K16" i="16"/>
  <c r="H18" i="16"/>
  <c r="I18" i="16"/>
  <c r="F19" i="16"/>
  <c r="H19" i="16"/>
  <c r="I19" i="16"/>
  <c r="G19" i="16" s="1"/>
  <c r="L19" i="16"/>
  <c r="D19" i="40" s="1"/>
  <c r="M19" i="16"/>
  <c r="G20" i="16"/>
  <c r="H20" i="16"/>
  <c r="I20" i="16"/>
  <c r="M20" i="16" s="1"/>
  <c r="E20" i="40" s="1"/>
  <c r="F21" i="16"/>
  <c r="H21" i="16"/>
  <c r="I21" i="16"/>
  <c r="L21" i="16"/>
  <c r="H22" i="16"/>
  <c r="H24" i="16" s="1"/>
  <c r="I22" i="16"/>
  <c r="G22" i="16" s="1"/>
  <c r="F23" i="16"/>
  <c r="H23" i="16"/>
  <c r="I23" i="16"/>
  <c r="G23" i="16" s="1"/>
  <c r="L23" i="16"/>
  <c r="D23" i="40" s="1"/>
  <c r="H23" i="40" s="1"/>
  <c r="M23" i="16"/>
  <c r="J24" i="16"/>
  <c r="K24" i="16"/>
  <c r="G27" i="16"/>
  <c r="H27" i="16"/>
  <c r="I27" i="16"/>
  <c r="M27" i="16" s="1"/>
  <c r="F28" i="16"/>
  <c r="H28" i="16"/>
  <c r="I28" i="16"/>
  <c r="M28" i="16" s="1"/>
  <c r="E28" i="40" s="1"/>
  <c r="L28" i="16"/>
  <c r="D28" i="40" s="1"/>
  <c r="H29" i="16"/>
  <c r="J29" i="16"/>
  <c r="K29" i="16"/>
  <c r="H32" i="16"/>
  <c r="I32" i="16"/>
  <c r="G32" i="16" s="1"/>
  <c r="G36" i="16" s="1"/>
  <c r="M32" i="16"/>
  <c r="F33" i="16"/>
  <c r="H33" i="16"/>
  <c r="I33" i="16"/>
  <c r="G33" i="16" s="1"/>
  <c r="L33" i="16"/>
  <c r="M33" i="16"/>
  <c r="G34" i="16"/>
  <c r="H34" i="16"/>
  <c r="I34" i="16"/>
  <c r="M34" i="16"/>
  <c r="F35" i="16"/>
  <c r="G35" i="16"/>
  <c r="H35" i="16"/>
  <c r="I35" i="16"/>
  <c r="M35" i="16" s="1"/>
  <c r="L35" i="16"/>
  <c r="D35" i="40" s="1"/>
  <c r="H36" i="16"/>
  <c r="I36" i="16"/>
  <c r="J36" i="16"/>
  <c r="K36" i="16"/>
  <c r="L37" i="16"/>
  <c r="M37" i="16"/>
  <c r="H38" i="16"/>
  <c r="I38" i="16"/>
  <c r="G39" i="16"/>
  <c r="H39" i="16"/>
  <c r="I39" i="16"/>
  <c r="M39" i="16"/>
  <c r="F40" i="16"/>
  <c r="H40" i="16"/>
  <c r="I40" i="16"/>
  <c r="G40" i="16" s="1"/>
  <c r="G42" i="16" s="1"/>
  <c r="G43" i="16" s="1"/>
  <c r="L40" i="16"/>
  <c r="H41" i="16"/>
  <c r="I41" i="16"/>
  <c r="G41" i="16" s="1"/>
  <c r="M41" i="16"/>
  <c r="J42" i="16"/>
  <c r="K42" i="16"/>
  <c r="K43" i="16" s="1"/>
  <c r="K82" i="16" s="1"/>
  <c r="K91" i="16" s="1"/>
  <c r="J43" i="16"/>
  <c r="J82" i="16" s="1"/>
  <c r="J91" i="16" s="1"/>
  <c r="F45" i="16"/>
  <c r="H45" i="16"/>
  <c r="I45" i="16"/>
  <c r="G45" i="16" s="1"/>
  <c r="L45" i="16"/>
  <c r="D45" i="40" s="1"/>
  <c r="M45" i="16"/>
  <c r="E45" i="40" s="1"/>
  <c r="G47" i="16"/>
  <c r="H47" i="16"/>
  <c r="I47" i="16"/>
  <c r="M47" i="16"/>
  <c r="F49" i="16"/>
  <c r="H49" i="16"/>
  <c r="I49" i="16"/>
  <c r="M49" i="16" s="1"/>
  <c r="E49" i="40" s="1"/>
  <c r="L49" i="16"/>
  <c r="D49" i="40" s="1"/>
  <c r="H51" i="16"/>
  <c r="I51" i="16"/>
  <c r="G51" i="16" s="1"/>
  <c r="F54" i="16"/>
  <c r="H54" i="16"/>
  <c r="H56" i="16" s="1"/>
  <c r="I54" i="16"/>
  <c r="G54" i="16" s="1"/>
  <c r="G56" i="16" s="1"/>
  <c r="L54" i="16"/>
  <c r="D54" i="40" s="1"/>
  <c r="M54" i="16"/>
  <c r="G55" i="16"/>
  <c r="H55" i="16"/>
  <c r="I55" i="16"/>
  <c r="M55" i="16"/>
  <c r="I56" i="16"/>
  <c r="J56" i="16"/>
  <c r="K56" i="16"/>
  <c r="F59" i="16"/>
  <c r="H59" i="16"/>
  <c r="I59" i="16"/>
  <c r="G59" i="16" s="1"/>
  <c r="G61" i="16" s="1"/>
  <c r="L59" i="16"/>
  <c r="H60" i="16"/>
  <c r="I60" i="16"/>
  <c r="G60" i="16" s="1"/>
  <c r="J61" i="16"/>
  <c r="K61" i="16"/>
  <c r="F64" i="16"/>
  <c r="H64" i="16"/>
  <c r="H66" i="16" s="1"/>
  <c r="I64" i="16"/>
  <c r="G64" i="16" s="1"/>
  <c r="L64" i="16"/>
  <c r="M64" i="16"/>
  <c r="G65" i="16"/>
  <c r="H65" i="16"/>
  <c r="I65" i="16"/>
  <c r="M65" i="16"/>
  <c r="G66" i="16"/>
  <c r="I66" i="16"/>
  <c r="J66" i="16"/>
  <c r="K66" i="16"/>
  <c r="F70" i="16"/>
  <c r="H70" i="16"/>
  <c r="I70" i="16"/>
  <c r="L70" i="16"/>
  <c r="H71" i="16"/>
  <c r="I71" i="16"/>
  <c r="G71" i="16" s="1"/>
  <c r="J72" i="16"/>
  <c r="K72" i="16"/>
  <c r="F73" i="16"/>
  <c r="H73" i="16"/>
  <c r="I73" i="16"/>
  <c r="G73" i="16" s="1"/>
  <c r="L73" i="16"/>
  <c r="M73" i="16"/>
  <c r="E73" i="40" s="1"/>
  <c r="G74" i="16"/>
  <c r="H74" i="16"/>
  <c r="I74" i="16"/>
  <c r="M74" i="16" s="1"/>
  <c r="E74" i="40" s="1"/>
  <c r="F75" i="16"/>
  <c r="H75" i="16"/>
  <c r="I75" i="16"/>
  <c r="M75" i="16" s="1"/>
  <c r="E75" i="40" s="1"/>
  <c r="L75" i="16"/>
  <c r="D75" i="40" s="1"/>
  <c r="H76" i="16"/>
  <c r="I76" i="16"/>
  <c r="G76" i="16" s="1"/>
  <c r="M76" i="16"/>
  <c r="E76" i="40" s="1"/>
  <c r="F77" i="16"/>
  <c r="H77" i="16"/>
  <c r="I77" i="16"/>
  <c r="G77" i="16" s="1"/>
  <c r="L77" i="16"/>
  <c r="M77" i="16"/>
  <c r="E77" i="40" s="1"/>
  <c r="G78" i="16"/>
  <c r="H78" i="16"/>
  <c r="I78" i="16"/>
  <c r="M78" i="16"/>
  <c r="F79" i="16"/>
  <c r="G79" i="16"/>
  <c r="H79" i="16"/>
  <c r="I79" i="16"/>
  <c r="M79" i="16" s="1"/>
  <c r="E79" i="40" s="1"/>
  <c r="L79" i="16"/>
  <c r="D79" i="40" s="1"/>
  <c r="H80" i="16"/>
  <c r="I80" i="16"/>
  <c r="G80" i="16" s="1"/>
  <c r="M80" i="16"/>
  <c r="F81" i="16"/>
  <c r="H81" i="16"/>
  <c r="I81" i="16"/>
  <c r="G81" i="16" s="1"/>
  <c r="L81" i="16"/>
  <c r="M81" i="16"/>
  <c r="E81" i="40" s="1"/>
  <c r="D82" i="16"/>
  <c r="E82" i="16"/>
  <c r="E91" i="16" s="1"/>
  <c r="D89" i="16"/>
  <c r="D91" i="16" s="1"/>
  <c r="E89" i="16"/>
  <c r="F89" i="16"/>
  <c r="G89" i="16"/>
  <c r="H89" i="16"/>
  <c r="I89" i="16"/>
  <c r="J89" i="16"/>
  <c r="K89" i="16"/>
  <c r="L89" i="16"/>
  <c r="M89" i="16"/>
  <c r="A5" i="28"/>
  <c r="H8" i="28"/>
  <c r="J8" i="28"/>
  <c r="L8" i="28"/>
  <c r="N8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E12" i="28"/>
  <c r="G12" i="40" s="1"/>
  <c r="I12" i="40" s="1"/>
  <c r="F12" i="28"/>
  <c r="D12" i="28" s="1"/>
  <c r="F12" i="40" s="1"/>
  <c r="G12" i="28"/>
  <c r="H12" i="28"/>
  <c r="I12" i="28"/>
  <c r="J12" i="28"/>
  <c r="K12" i="28"/>
  <c r="L12" i="28"/>
  <c r="M12" i="28"/>
  <c r="N12" i="28"/>
  <c r="O12" i="28"/>
  <c r="P12" i="28"/>
  <c r="P16" i="28" s="1"/>
  <c r="Q12" i="28"/>
  <c r="R12" i="28"/>
  <c r="S12" i="28"/>
  <c r="T12" i="28"/>
  <c r="U12" i="28"/>
  <c r="U16" i="28" s="1"/>
  <c r="V12" i="28"/>
  <c r="V16" i="28" s="1"/>
  <c r="W12" i="28"/>
  <c r="X12" i="28"/>
  <c r="Y12" i="28"/>
  <c r="Z12" i="28"/>
  <c r="AA12" i="28"/>
  <c r="AB12" i="28"/>
  <c r="AC12" i="28"/>
  <c r="AD12" i="28"/>
  <c r="AE12" i="28"/>
  <c r="AF12" i="28"/>
  <c r="AF16" i="28" s="1"/>
  <c r="AG12" i="28"/>
  <c r="AH12" i="28"/>
  <c r="AI12" i="28"/>
  <c r="AJ12" i="28"/>
  <c r="AK12" i="28"/>
  <c r="AK16" i="28" s="1"/>
  <c r="AK82" i="28" s="1"/>
  <c r="AI649" i="44" s="1"/>
  <c r="AL12" i="28"/>
  <c r="AL16" i="28" s="1"/>
  <c r="AL82" i="28" s="1"/>
  <c r="AJ649" i="44" s="1"/>
  <c r="AM12" i="28"/>
  <c r="AN12" i="28"/>
  <c r="AO12" i="28"/>
  <c r="F13" i="28"/>
  <c r="G13" i="28"/>
  <c r="E13" i="28" s="1"/>
  <c r="G13" i="40" s="1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X16" i="28" s="1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N16" i="28" s="1"/>
  <c r="AO13" i="28"/>
  <c r="D14" i="28"/>
  <c r="F14" i="40" s="1"/>
  <c r="F14" i="28"/>
  <c r="G14" i="28"/>
  <c r="H14" i="28"/>
  <c r="I14" i="28"/>
  <c r="E14" i="28" s="1"/>
  <c r="G14" i="40" s="1"/>
  <c r="I14" i="40" s="1"/>
  <c r="J14" i="28"/>
  <c r="K14" i="28"/>
  <c r="L14" i="28"/>
  <c r="L16" i="28" s="1"/>
  <c r="M14" i="28"/>
  <c r="N14" i="28"/>
  <c r="O14" i="28"/>
  <c r="P14" i="28"/>
  <c r="Q14" i="28"/>
  <c r="Q16" i="28" s="1"/>
  <c r="R14" i="28"/>
  <c r="S14" i="28"/>
  <c r="T14" i="28"/>
  <c r="T16" i="28" s="1"/>
  <c r="U14" i="28"/>
  <c r="V14" i="28"/>
  <c r="W14" i="28"/>
  <c r="X14" i="28"/>
  <c r="Y14" i="28"/>
  <c r="Z14" i="28"/>
  <c r="AA14" i="28"/>
  <c r="AB14" i="28"/>
  <c r="AB16" i="28" s="1"/>
  <c r="AC14" i="28"/>
  <c r="AD14" i="28"/>
  <c r="AE14" i="28"/>
  <c r="AF14" i="28"/>
  <c r="AG14" i="28"/>
  <c r="AG16" i="28" s="1"/>
  <c r="AH14" i="28"/>
  <c r="AI14" i="28"/>
  <c r="AJ14" i="28"/>
  <c r="AJ16" i="28" s="1"/>
  <c r="AJ82" i="28" s="1"/>
  <c r="AH649" i="44" s="1"/>
  <c r="AK14" i="28"/>
  <c r="AL14" i="28"/>
  <c r="AM14" i="28"/>
  <c r="AN14" i="28"/>
  <c r="AO14" i="28"/>
  <c r="F15" i="28"/>
  <c r="D15" i="28" s="1"/>
  <c r="F15" i="40" s="1"/>
  <c r="H15" i="40" s="1"/>
  <c r="G15" i="28"/>
  <c r="E15" i="28" s="1"/>
  <c r="G15" i="40" s="1"/>
  <c r="I15" i="40" s="1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I16" i="28"/>
  <c r="M16" i="28"/>
  <c r="N16" i="28"/>
  <c r="Y16" i="28"/>
  <c r="AC16" i="28"/>
  <c r="AD16" i="28"/>
  <c r="AO16" i="28"/>
  <c r="F19" i="28"/>
  <c r="D19" i="28" s="1"/>
  <c r="G19" i="28"/>
  <c r="G24" i="28" s="1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W24" i="28" s="1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E20" i="28"/>
  <c r="G20" i="40" s="1"/>
  <c r="I20" i="40" s="1"/>
  <c r="F20" i="28"/>
  <c r="D20" i="28" s="1"/>
  <c r="F20" i="40" s="1"/>
  <c r="G20" i="28"/>
  <c r="H20" i="28"/>
  <c r="I20" i="28"/>
  <c r="J20" i="28"/>
  <c r="K20" i="28"/>
  <c r="L20" i="28"/>
  <c r="M20" i="28"/>
  <c r="N20" i="28"/>
  <c r="N24" i="28" s="1"/>
  <c r="O20" i="28"/>
  <c r="P20" i="28"/>
  <c r="Q20" i="28"/>
  <c r="Q24" i="28" s="1"/>
  <c r="R20" i="28"/>
  <c r="S20" i="28"/>
  <c r="T20" i="28"/>
  <c r="U20" i="28"/>
  <c r="V20" i="28"/>
  <c r="V24" i="28" s="1"/>
  <c r="W20" i="28"/>
  <c r="X20" i="28"/>
  <c r="Z20" i="28"/>
  <c r="AB20" i="28"/>
  <c r="AD20" i="28"/>
  <c r="AF20" i="28"/>
  <c r="AH20" i="28"/>
  <c r="AH24" i="28" s="1"/>
  <c r="AJ20" i="28"/>
  <c r="AJ24" i="28" s="1"/>
  <c r="AL20" i="28"/>
  <c r="AN20" i="28"/>
  <c r="F21" i="28"/>
  <c r="G21" i="28"/>
  <c r="H21" i="28"/>
  <c r="D21" i="28" s="1"/>
  <c r="F21" i="40" s="1"/>
  <c r="H21" i="40" s="1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Y24" i="28" s="1"/>
  <c r="Z21" i="28"/>
  <c r="AA21" i="28"/>
  <c r="AB21" i="28"/>
  <c r="AC21" i="28"/>
  <c r="AD21" i="28"/>
  <c r="AE21" i="28"/>
  <c r="AF21" i="28"/>
  <c r="AG21" i="28"/>
  <c r="AG24" i="28" s="1"/>
  <c r="AH21" i="28"/>
  <c r="AI21" i="28"/>
  <c r="AJ21" i="28"/>
  <c r="AK21" i="28"/>
  <c r="AL21" i="28"/>
  <c r="AM21" i="28"/>
  <c r="AN21" i="28"/>
  <c r="AO21" i="28"/>
  <c r="AO24" i="28" s="1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R24" i="28" s="1"/>
  <c r="S22" i="28"/>
  <c r="T22" i="28"/>
  <c r="U22" i="28"/>
  <c r="V22" i="28"/>
  <c r="W22" i="28"/>
  <c r="X22" i="28"/>
  <c r="Y22" i="28"/>
  <c r="Z22" i="28"/>
  <c r="AA22" i="28"/>
  <c r="AB22" i="28"/>
  <c r="AC22" i="28"/>
  <c r="AC24" i="28" s="1"/>
  <c r="AD22" i="28"/>
  <c r="AE22" i="28"/>
  <c r="AF22" i="28"/>
  <c r="AG22" i="28"/>
  <c r="AH22" i="28"/>
  <c r="AI22" i="28"/>
  <c r="AJ22" i="28"/>
  <c r="AK22" i="28"/>
  <c r="AK24" i="28" s="1"/>
  <c r="AL22" i="28"/>
  <c r="AM22" i="28"/>
  <c r="AN22" i="28"/>
  <c r="AO22" i="28"/>
  <c r="D23" i="28"/>
  <c r="F23" i="28"/>
  <c r="G23" i="28"/>
  <c r="E23" i="28" s="1"/>
  <c r="G23" i="40" s="1"/>
  <c r="I23" i="40" s="1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M24" i="28" s="1"/>
  <c r="AN23" i="28"/>
  <c r="AO23" i="28"/>
  <c r="J24" i="28"/>
  <c r="O24" i="28"/>
  <c r="Z24" i="28"/>
  <c r="AD24" i="28"/>
  <c r="AE24" i="28"/>
  <c r="AL24" i="28"/>
  <c r="D27" i="28"/>
  <c r="F27" i="40" s="1"/>
  <c r="F27" i="28"/>
  <c r="G27" i="28"/>
  <c r="H27" i="28"/>
  <c r="I27" i="28"/>
  <c r="J27" i="28"/>
  <c r="K27" i="28"/>
  <c r="L27" i="28"/>
  <c r="L29" i="28" s="1"/>
  <c r="M27" i="28"/>
  <c r="N27" i="28"/>
  <c r="O27" i="28"/>
  <c r="P27" i="28"/>
  <c r="Q27" i="28"/>
  <c r="Q29" i="28" s="1"/>
  <c r="R27" i="28"/>
  <c r="S27" i="28"/>
  <c r="T27" i="28"/>
  <c r="U27" i="28"/>
  <c r="V27" i="28"/>
  <c r="W27" i="28"/>
  <c r="X27" i="28"/>
  <c r="Y27" i="28"/>
  <c r="Y29" i="28" s="1"/>
  <c r="Z27" i="28"/>
  <c r="AA27" i="28"/>
  <c r="AB27" i="28"/>
  <c r="AB29" i="28" s="1"/>
  <c r="AC27" i="28"/>
  <c r="AD27" i="28"/>
  <c r="AE27" i="28"/>
  <c r="AF27" i="28"/>
  <c r="AG27" i="28"/>
  <c r="AG29" i="28" s="1"/>
  <c r="AH27" i="28"/>
  <c r="AI27" i="28"/>
  <c r="AJ27" i="28"/>
  <c r="AK27" i="28"/>
  <c r="AL27" i="28"/>
  <c r="AM27" i="28"/>
  <c r="AN27" i="28"/>
  <c r="AO27" i="28"/>
  <c r="AO29" i="28" s="1"/>
  <c r="F28" i="28"/>
  <c r="G28" i="28"/>
  <c r="H28" i="28"/>
  <c r="I28" i="28"/>
  <c r="J28" i="28"/>
  <c r="J29" i="28" s="1"/>
  <c r="K28" i="28"/>
  <c r="L28" i="28"/>
  <c r="M28" i="28"/>
  <c r="E28" i="28" s="1"/>
  <c r="G28" i="40" s="1"/>
  <c r="I28" i="40" s="1"/>
  <c r="N28" i="28"/>
  <c r="N29" i="28" s="1"/>
  <c r="O28" i="28"/>
  <c r="P28" i="28"/>
  <c r="Q28" i="28"/>
  <c r="R28" i="28"/>
  <c r="R29" i="28" s="1"/>
  <c r="S28" i="28"/>
  <c r="T28" i="28"/>
  <c r="U28" i="28"/>
  <c r="U29" i="28" s="1"/>
  <c r="V28" i="28"/>
  <c r="V29" i="28" s="1"/>
  <c r="W28" i="28"/>
  <c r="X28" i="28"/>
  <c r="Y28" i="28"/>
  <c r="Z28" i="28"/>
  <c r="Z29" i="28" s="1"/>
  <c r="AA28" i="28"/>
  <c r="AB28" i="28"/>
  <c r="AC28" i="28"/>
  <c r="AD28" i="28"/>
  <c r="AD29" i="28" s="1"/>
  <c r="AE28" i="28"/>
  <c r="AF28" i="28"/>
  <c r="AG28" i="28"/>
  <c r="AH28" i="28"/>
  <c r="AH29" i="28" s="1"/>
  <c r="AI28" i="28"/>
  <c r="AJ28" i="28"/>
  <c r="AK28" i="28"/>
  <c r="AK29" i="28" s="1"/>
  <c r="AL28" i="28"/>
  <c r="AL29" i="28" s="1"/>
  <c r="AM28" i="28"/>
  <c r="AN28" i="28"/>
  <c r="AO28" i="28"/>
  <c r="G29" i="28"/>
  <c r="H29" i="28"/>
  <c r="M29" i="28"/>
  <c r="O29" i="28"/>
  <c r="P29" i="28"/>
  <c r="T29" i="28"/>
  <c r="W29" i="28"/>
  <c r="X29" i="28"/>
  <c r="AC29" i="28"/>
  <c r="AE29" i="28"/>
  <c r="AF29" i="28"/>
  <c r="AJ29" i="28"/>
  <c r="AM29" i="28"/>
  <c r="AN29" i="28"/>
  <c r="F32" i="28"/>
  <c r="G32" i="28"/>
  <c r="H32" i="28"/>
  <c r="I32" i="28"/>
  <c r="I36" i="28" s="1"/>
  <c r="J32" i="28"/>
  <c r="J36" i="28" s="1"/>
  <c r="K32" i="28"/>
  <c r="L32" i="28"/>
  <c r="M32" i="28"/>
  <c r="N32" i="28"/>
  <c r="O32" i="28"/>
  <c r="P32" i="28"/>
  <c r="Q32" i="28"/>
  <c r="Q36" i="28" s="1"/>
  <c r="R32" i="28"/>
  <c r="R36" i="28" s="1"/>
  <c r="S32" i="28"/>
  <c r="T32" i="28"/>
  <c r="U32" i="28"/>
  <c r="V32" i="28"/>
  <c r="W32" i="28"/>
  <c r="W36" i="28" s="1"/>
  <c r="X32" i="28"/>
  <c r="Y32" i="28"/>
  <c r="Y36" i="28" s="1"/>
  <c r="Z32" i="28"/>
  <c r="Z36" i="28" s="1"/>
  <c r="AA32" i="28"/>
  <c r="AB32" i="28"/>
  <c r="AC32" i="28"/>
  <c r="AD32" i="28"/>
  <c r="AE32" i="28"/>
  <c r="AF32" i="28"/>
  <c r="AG32" i="28"/>
  <c r="AG36" i="28" s="1"/>
  <c r="AH32" i="28"/>
  <c r="AH36" i="28" s="1"/>
  <c r="AI32" i="28"/>
  <c r="AJ32" i="28"/>
  <c r="AK32" i="28"/>
  <c r="AL32" i="28"/>
  <c r="AM32" i="28"/>
  <c r="AM36" i="28" s="1"/>
  <c r="AN32" i="28"/>
  <c r="AO32" i="28"/>
  <c r="AO36" i="28" s="1"/>
  <c r="D33" i="28"/>
  <c r="F33" i="40" s="1"/>
  <c r="H33" i="40" s="1"/>
  <c r="F33" i="28"/>
  <c r="G33" i="28"/>
  <c r="H33" i="28"/>
  <c r="I33" i="28"/>
  <c r="J33" i="28"/>
  <c r="K33" i="28"/>
  <c r="K36" i="28" s="1"/>
  <c r="L33" i="28"/>
  <c r="L36" i="28" s="1"/>
  <c r="M33" i="28"/>
  <c r="N33" i="28"/>
  <c r="O33" i="28"/>
  <c r="P33" i="28"/>
  <c r="Q33" i="28"/>
  <c r="R33" i="28"/>
  <c r="S33" i="28"/>
  <c r="S36" i="28" s="1"/>
  <c r="T33" i="28"/>
  <c r="T36" i="28" s="1"/>
  <c r="U33" i="28"/>
  <c r="V33" i="28"/>
  <c r="W33" i="28"/>
  <c r="X33" i="28"/>
  <c r="Y33" i="28"/>
  <c r="Z33" i="28"/>
  <c r="AA33" i="28"/>
  <c r="AA36" i="28" s="1"/>
  <c r="AB33" i="28"/>
  <c r="AB36" i="28" s="1"/>
  <c r="AC33" i="28"/>
  <c r="AD33" i="28"/>
  <c r="AE33" i="28"/>
  <c r="AF33" i="28"/>
  <c r="AG33" i="28"/>
  <c r="AH33" i="28"/>
  <c r="AI33" i="28"/>
  <c r="AI36" i="28" s="1"/>
  <c r="AJ33" i="28"/>
  <c r="AJ36" i="28" s="1"/>
  <c r="AK33" i="28"/>
  <c r="AL33" i="28"/>
  <c r="AM33" i="28"/>
  <c r="AN33" i="28"/>
  <c r="AO33" i="28"/>
  <c r="E34" i="28"/>
  <c r="G34" i="40" s="1"/>
  <c r="I34" i="40" s="1"/>
  <c r="F34" i="28"/>
  <c r="D34" i="28" s="1"/>
  <c r="F34" i="40" s="1"/>
  <c r="G34" i="28"/>
  <c r="H34" i="28"/>
  <c r="I34" i="28"/>
  <c r="J34" i="28"/>
  <c r="K34" i="28"/>
  <c r="L34" i="28"/>
  <c r="M34" i="28"/>
  <c r="M36" i="28" s="1"/>
  <c r="N34" i="28"/>
  <c r="N36" i="28" s="1"/>
  <c r="O34" i="28"/>
  <c r="P34" i="28"/>
  <c r="Q34" i="28"/>
  <c r="R34" i="28"/>
  <c r="S34" i="28"/>
  <c r="T34" i="28"/>
  <c r="U34" i="28"/>
  <c r="U36" i="28" s="1"/>
  <c r="V34" i="28"/>
  <c r="W34" i="28"/>
  <c r="X34" i="28"/>
  <c r="Y34" i="28"/>
  <c r="Z34" i="28"/>
  <c r="AA34" i="28"/>
  <c r="AB34" i="28"/>
  <c r="AC34" i="28"/>
  <c r="AC36" i="28" s="1"/>
  <c r="AD34" i="28"/>
  <c r="AD36" i="28" s="1"/>
  <c r="AE34" i="28"/>
  <c r="AF34" i="28"/>
  <c r="AG34" i="28"/>
  <c r="AH34" i="28"/>
  <c r="AI34" i="28"/>
  <c r="AJ34" i="28"/>
  <c r="AK34" i="28"/>
  <c r="AK36" i="28" s="1"/>
  <c r="AL34" i="28"/>
  <c r="AM34" i="28"/>
  <c r="AN34" i="28"/>
  <c r="AO34" i="28"/>
  <c r="F35" i="28"/>
  <c r="G35" i="28"/>
  <c r="E35" i="28" s="1"/>
  <c r="G35" i="40" s="1"/>
  <c r="I35" i="40" s="1"/>
  <c r="H35" i="28"/>
  <c r="D35" i="28" s="1"/>
  <c r="F35" i="40" s="1"/>
  <c r="H35" i="40" s="1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F36" i="28"/>
  <c r="O36" i="28"/>
  <c r="V36" i="28"/>
  <c r="AE36" i="28"/>
  <c r="AL36" i="28"/>
  <c r="F39" i="28"/>
  <c r="G39" i="28"/>
  <c r="H39" i="28"/>
  <c r="D39" i="28" s="1"/>
  <c r="F39" i="40" s="1"/>
  <c r="I39" i="28"/>
  <c r="J39" i="28"/>
  <c r="K39" i="28"/>
  <c r="L39" i="28"/>
  <c r="M39" i="28"/>
  <c r="N39" i="28"/>
  <c r="O39" i="28"/>
  <c r="P39" i="28"/>
  <c r="P43" i="28" s="1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F43" i="28" s="1"/>
  <c r="AG39" i="28"/>
  <c r="AH39" i="28"/>
  <c r="AI39" i="28"/>
  <c r="AJ39" i="28"/>
  <c r="AK39" i="28"/>
  <c r="AL39" i="28"/>
  <c r="AM39" i="28"/>
  <c r="AN39" i="28"/>
  <c r="AO39" i="28"/>
  <c r="F40" i="28"/>
  <c r="G40" i="28"/>
  <c r="H40" i="28"/>
  <c r="I40" i="28"/>
  <c r="J40" i="28"/>
  <c r="K40" i="28"/>
  <c r="K42" i="28" s="1"/>
  <c r="K43" i="28" s="1"/>
  <c r="L40" i="28"/>
  <c r="M40" i="28"/>
  <c r="M42" i="28" s="1"/>
  <c r="M43" i="28" s="1"/>
  <c r="N40" i="28"/>
  <c r="O40" i="28"/>
  <c r="P40" i="28"/>
  <c r="Q40" i="28"/>
  <c r="R40" i="28"/>
  <c r="R42" i="28" s="1"/>
  <c r="R43" i="28" s="1"/>
  <c r="S40" i="28"/>
  <c r="S42" i="28" s="1"/>
  <c r="S43" i="28" s="1"/>
  <c r="T40" i="28"/>
  <c r="U40" i="28"/>
  <c r="U42" i="28" s="1"/>
  <c r="U43" i="28" s="1"/>
  <c r="V40" i="28"/>
  <c r="W40" i="28"/>
  <c r="X40" i="28"/>
  <c r="Y40" i="28"/>
  <c r="Z40" i="28"/>
  <c r="AA40" i="28"/>
  <c r="AA42" i="28" s="1"/>
  <c r="AA43" i="28" s="1"/>
  <c r="AB40" i="28"/>
  <c r="AC40" i="28"/>
  <c r="AC42" i="28" s="1"/>
  <c r="AC43" i="28" s="1"/>
  <c r="AD40" i="28"/>
  <c r="AE40" i="28"/>
  <c r="AF40" i="28"/>
  <c r="AG40" i="28"/>
  <c r="AH40" i="28"/>
  <c r="AH42" i="28" s="1"/>
  <c r="AH43" i="28" s="1"/>
  <c r="AI40" i="28"/>
  <c r="AI42" i="28" s="1"/>
  <c r="AI43" i="28" s="1"/>
  <c r="AJ40" i="28"/>
  <c r="AK40" i="28"/>
  <c r="AK42" i="28" s="1"/>
  <c r="AK43" i="28" s="1"/>
  <c r="AL40" i="28"/>
  <c r="AM40" i="28"/>
  <c r="AN40" i="28"/>
  <c r="AO40" i="28"/>
  <c r="F41" i="28"/>
  <c r="G41" i="28"/>
  <c r="E41" i="28" s="1"/>
  <c r="G41" i="40" s="1"/>
  <c r="I41" i="40" s="1"/>
  <c r="H41" i="28"/>
  <c r="H42" i="28" s="1"/>
  <c r="I41" i="28"/>
  <c r="J41" i="28"/>
  <c r="K41" i="28"/>
  <c r="L41" i="28"/>
  <c r="L42" i="28" s="1"/>
  <c r="L43" i="28" s="1"/>
  <c r="M41" i="28"/>
  <c r="N41" i="28"/>
  <c r="O41" i="28"/>
  <c r="P41" i="28"/>
  <c r="P42" i="28" s="1"/>
  <c r="Q41" i="28"/>
  <c r="R41" i="28"/>
  <c r="S41" i="28"/>
  <c r="T41" i="28"/>
  <c r="T42" i="28" s="1"/>
  <c r="U41" i="28"/>
  <c r="V41" i="28"/>
  <c r="W41" i="28"/>
  <c r="W42" i="28" s="1"/>
  <c r="W43" i="28" s="1"/>
  <c r="X41" i="28"/>
  <c r="X42" i="28" s="1"/>
  <c r="Y41" i="28"/>
  <c r="Z41" i="28"/>
  <c r="AA41" i="28"/>
  <c r="AB41" i="28"/>
  <c r="AB42" i="28" s="1"/>
  <c r="AB43" i="28" s="1"/>
  <c r="AC41" i="28"/>
  <c r="AD41" i="28"/>
  <c r="AE41" i="28"/>
  <c r="AF41" i="28"/>
  <c r="AF42" i="28" s="1"/>
  <c r="AG41" i="28"/>
  <c r="AH41" i="28"/>
  <c r="AI41" i="28"/>
  <c r="AJ41" i="28"/>
  <c r="AJ42" i="28" s="1"/>
  <c r="AK41" i="28"/>
  <c r="AL41" i="28"/>
  <c r="AM41" i="28"/>
  <c r="AM42" i="28" s="1"/>
  <c r="AM43" i="28" s="1"/>
  <c r="AN41" i="28"/>
  <c r="AN42" i="28" s="1"/>
  <c r="AO41" i="28"/>
  <c r="F42" i="28"/>
  <c r="F43" i="28" s="1"/>
  <c r="I42" i="28"/>
  <c r="J42" i="28"/>
  <c r="J43" i="28" s="1"/>
  <c r="N42" i="28"/>
  <c r="N43" i="28" s="1"/>
  <c r="O42" i="28"/>
  <c r="O43" i="28" s="1"/>
  <c r="Q42" i="28"/>
  <c r="Q43" i="28" s="1"/>
  <c r="V42" i="28"/>
  <c r="V43" i="28" s="1"/>
  <c r="Y42" i="28"/>
  <c r="Z42" i="28"/>
  <c r="Z43" i="28" s="1"/>
  <c r="AD42" i="28"/>
  <c r="AD43" i="28" s="1"/>
  <c r="AE42" i="28"/>
  <c r="AE43" i="28" s="1"/>
  <c r="AG42" i="28"/>
  <c r="AG43" i="28" s="1"/>
  <c r="AL42" i="28"/>
  <c r="AL43" i="28" s="1"/>
  <c r="AO42" i="28"/>
  <c r="H43" i="28"/>
  <c r="I43" i="28"/>
  <c r="T43" i="28"/>
  <c r="X43" i="28"/>
  <c r="Y43" i="28"/>
  <c r="AJ43" i="28"/>
  <c r="AN43" i="28"/>
  <c r="AO43" i="28"/>
  <c r="F45" i="28"/>
  <c r="G45" i="28"/>
  <c r="H45" i="28"/>
  <c r="I45" i="28"/>
  <c r="J45" i="28"/>
  <c r="K45" i="28"/>
  <c r="E45" i="28" s="1"/>
  <c r="G45" i="40" s="1"/>
  <c r="I45" i="40" s="1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D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E47" i="28" s="1"/>
  <c r="G47" i="40" s="1"/>
  <c r="I47" i="40" s="1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D50" i="28"/>
  <c r="E50" i="28"/>
  <c r="E51" i="28"/>
  <c r="G51" i="40" s="1"/>
  <c r="F51" i="28"/>
  <c r="D51" i="28" s="1"/>
  <c r="F51" i="40" s="1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F54" i="28"/>
  <c r="G54" i="28"/>
  <c r="G56" i="28" s="1"/>
  <c r="H54" i="28"/>
  <c r="D54" i="28" s="1"/>
  <c r="I54" i="28"/>
  <c r="J54" i="28"/>
  <c r="K54" i="28"/>
  <c r="L54" i="28"/>
  <c r="L56" i="28" s="1"/>
  <c r="M54" i="28"/>
  <c r="M56" i="28" s="1"/>
  <c r="N54" i="28"/>
  <c r="O54" i="28"/>
  <c r="O56" i="28" s="1"/>
  <c r="P54" i="28"/>
  <c r="P56" i="28" s="1"/>
  <c r="Q54" i="28"/>
  <c r="R54" i="28"/>
  <c r="S54" i="28"/>
  <c r="T54" i="28"/>
  <c r="U54" i="28"/>
  <c r="U56" i="28" s="1"/>
  <c r="V54" i="28"/>
  <c r="W54" i="28"/>
  <c r="W56" i="28" s="1"/>
  <c r="X54" i="28"/>
  <c r="X56" i="28" s="1"/>
  <c r="Y54" i="28"/>
  <c r="Z54" i="28"/>
  <c r="AA54" i="28"/>
  <c r="AB54" i="28"/>
  <c r="AB56" i="28" s="1"/>
  <c r="AC54" i="28"/>
  <c r="AC56" i="28" s="1"/>
  <c r="AD54" i="28"/>
  <c r="AE54" i="28"/>
  <c r="AE56" i="28" s="1"/>
  <c r="AF54" i="28"/>
  <c r="AF56" i="28" s="1"/>
  <c r="AG54" i="28"/>
  <c r="AH54" i="28"/>
  <c r="AI54" i="28"/>
  <c r="AJ54" i="28"/>
  <c r="AK54" i="28"/>
  <c r="AK56" i="28" s="1"/>
  <c r="AL54" i="28"/>
  <c r="AM54" i="28"/>
  <c r="AM56" i="28" s="1"/>
  <c r="AN54" i="28"/>
  <c r="AN56" i="28" s="1"/>
  <c r="AO54" i="28"/>
  <c r="F55" i="28"/>
  <c r="G55" i="28"/>
  <c r="E55" i="28" s="1"/>
  <c r="G55" i="40" s="1"/>
  <c r="I55" i="40" s="1"/>
  <c r="H55" i="28"/>
  <c r="I55" i="28"/>
  <c r="J55" i="28"/>
  <c r="J56" i="28" s="1"/>
  <c r="K55" i="28"/>
  <c r="L55" i="28"/>
  <c r="M55" i="28"/>
  <c r="N55" i="28"/>
  <c r="N56" i="28" s="1"/>
  <c r="O55" i="28"/>
  <c r="P55" i="28"/>
  <c r="Q55" i="28"/>
  <c r="R55" i="28"/>
  <c r="R56" i="28" s="1"/>
  <c r="S55" i="28"/>
  <c r="T55" i="28"/>
  <c r="U55" i="28"/>
  <c r="V55" i="28"/>
  <c r="V56" i="28" s="1"/>
  <c r="W55" i="28"/>
  <c r="X55" i="28"/>
  <c r="Y55" i="28"/>
  <c r="Z55" i="28"/>
  <c r="Z56" i="28" s="1"/>
  <c r="AA55" i="28"/>
  <c r="AB55" i="28"/>
  <c r="AC55" i="28"/>
  <c r="AD55" i="28"/>
  <c r="AD56" i="28" s="1"/>
  <c r="AE55" i="28"/>
  <c r="AF55" i="28"/>
  <c r="AG55" i="28"/>
  <c r="AH55" i="28"/>
  <c r="AH56" i="28" s="1"/>
  <c r="AI55" i="28"/>
  <c r="AJ55" i="28"/>
  <c r="AK55" i="28"/>
  <c r="AL55" i="28"/>
  <c r="AL56" i="28" s="1"/>
  <c r="AM55" i="28"/>
  <c r="AN55" i="28"/>
  <c r="AO55" i="28"/>
  <c r="I56" i="28"/>
  <c r="K56" i="28"/>
  <c r="Q56" i="28"/>
  <c r="S56" i="28"/>
  <c r="T56" i="28"/>
  <c r="Y56" i="28"/>
  <c r="AA56" i="28"/>
  <c r="AG56" i="28"/>
  <c r="AI56" i="28"/>
  <c r="AJ56" i="28"/>
  <c r="AO56" i="28"/>
  <c r="E59" i="28"/>
  <c r="F59" i="28"/>
  <c r="G59" i="28"/>
  <c r="H59" i="28"/>
  <c r="H61" i="28" s="1"/>
  <c r="I59" i="28"/>
  <c r="J59" i="28"/>
  <c r="K59" i="28"/>
  <c r="K61" i="28" s="1"/>
  <c r="L59" i="28"/>
  <c r="M59" i="28"/>
  <c r="M61" i="28" s="1"/>
  <c r="N59" i="28"/>
  <c r="O59" i="28"/>
  <c r="P59" i="28"/>
  <c r="P61" i="28" s="1"/>
  <c r="Q59" i="28"/>
  <c r="R59" i="28"/>
  <c r="R61" i="28" s="1"/>
  <c r="S59" i="28"/>
  <c r="S61" i="28" s="1"/>
  <c r="T59" i="28"/>
  <c r="U59" i="28"/>
  <c r="U61" i="28" s="1"/>
  <c r="V59" i="28"/>
  <c r="W59" i="28"/>
  <c r="X59" i="28"/>
  <c r="X61" i="28" s="1"/>
  <c r="Y59" i="28"/>
  <c r="Z59" i="28"/>
  <c r="AA59" i="28"/>
  <c r="AA61" i="28" s="1"/>
  <c r="AB59" i="28"/>
  <c r="AC59" i="28"/>
  <c r="AC61" i="28" s="1"/>
  <c r="AD59" i="28"/>
  <c r="AE59" i="28"/>
  <c r="AF59" i="28"/>
  <c r="AG59" i="28"/>
  <c r="AH59" i="28"/>
  <c r="AH61" i="28" s="1"/>
  <c r="AI59" i="28"/>
  <c r="AI61" i="28" s="1"/>
  <c r="AJ59" i="28"/>
  <c r="AK59" i="28"/>
  <c r="AK61" i="28" s="1"/>
  <c r="AL59" i="28"/>
  <c r="AM59" i="28"/>
  <c r="AN59" i="28"/>
  <c r="AO59" i="28"/>
  <c r="F60" i="28"/>
  <c r="G60" i="28"/>
  <c r="E60" i="28" s="1"/>
  <c r="G60" i="40" s="1"/>
  <c r="H60" i="28"/>
  <c r="I60" i="28"/>
  <c r="J60" i="28"/>
  <c r="K60" i="28"/>
  <c r="L60" i="28"/>
  <c r="L61" i="28" s="1"/>
  <c r="M60" i="28"/>
  <c r="N60" i="28"/>
  <c r="O60" i="28"/>
  <c r="P60" i="28"/>
  <c r="Q60" i="28"/>
  <c r="R60" i="28"/>
  <c r="S60" i="28"/>
  <c r="T60" i="28"/>
  <c r="T61" i="28" s="1"/>
  <c r="U60" i="28"/>
  <c r="V60" i="28"/>
  <c r="W60" i="28"/>
  <c r="W61" i="28" s="1"/>
  <c r="X60" i="28"/>
  <c r="Y60" i="28"/>
  <c r="Z60" i="28"/>
  <c r="AA60" i="28"/>
  <c r="AB60" i="28"/>
  <c r="AB61" i="28" s="1"/>
  <c r="AC60" i="28"/>
  <c r="AD60" i="28"/>
  <c r="AE60" i="28"/>
  <c r="AF60" i="28"/>
  <c r="AF61" i="28" s="1"/>
  <c r="AG60" i="28"/>
  <c r="AH60" i="28"/>
  <c r="AI60" i="28"/>
  <c r="AJ60" i="28"/>
  <c r="AJ61" i="28" s="1"/>
  <c r="AK60" i="28"/>
  <c r="AL60" i="28"/>
  <c r="AM60" i="28"/>
  <c r="AM61" i="28" s="1"/>
  <c r="AN60" i="28"/>
  <c r="AN61" i="28" s="1"/>
  <c r="AO60" i="28"/>
  <c r="F61" i="28"/>
  <c r="I61" i="28"/>
  <c r="J61" i="28"/>
  <c r="N61" i="28"/>
  <c r="O61" i="28"/>
  <c r="Q61" i="28"/>
  <c r="V61" i="28"/>
  <c r="Y61" i="28"/>
  <c r="Z61" i="28"/>
  <c r="AD61" i="28"/>
  <c r="AE61" i="28"/>
  <c r="AG61" i="28"/>
  <c r="AL61" i="28"/>
  <c r="AO61" i="28"/>
  <c r="D64" i="28"/>
  <c r="F64" i="40" s="1"/>
  <c r="F64" i="28"/>
  <c r="G64" i="28"/>
  <c r="E64" i="28" s="1"/>
  <c r="G64" i="40" s="1"/>
  <c r="H64" i="28"/>
  <c r="I64" i="28"/>
  <c r="I66" i="28" s="1"/>
  <c r="J64" i="28"/>
  <c r="K64" i="28"/>
  <c r="L64" i="28"/>
  <c r="L66" i="28" s="1"/>
  <c r="M64" i="28"/>
  <c r="N64" i="28"/>
  <c r="O64" i="28"/>
  <c r="P64" i="28"/>
  <c r="Q64" i="28"/>
  <c r="Q66" i="28" s="1"/>
  <c r="R64" i="28"/>
  <c r="S64" i="28"/>
  <c r="T64" i="28"/>
  <c r="U64" i="28"/>
  <c r="V64" i="28"/>
  <c r="W64" i="28"/>
  <c r="X64" i="28"/>
  <c r="Y64" i="28"/>
  <c r="Y66" i="28" s="1"/>
  <c r="Z64" i="28"/>
  <c r="AA64" i="28"/>
  <c r="AB64" i="28"/>
  <c r="AB66" i="28" s="1"/>
  <c r="AC64" i="28"/>
  <c r="AD64" i="28"/>
  <c r="AE64" i="28"/>
  <c r="AF64" i="28"/>
  <c r="AG64" i="28"/>
  <c r="AG66" i="28" s="1"/>
  <c r="AH64" i="28"/>
  <c r="AI64" i="28"/>
  <c r="AJ64" i="28"/>
  <c r="AK64" i="28"/>
  <c r="AL64" i="28"/>
  <c r="AM64" i="28"/>
  <c r="AN64" i="28"/>
  <c r="AO64" i="28"/>
  <c r="AO66" i="28" s="1"/>
  <c r="F65" i="28"/>
  <c r="G65" i="28"/>
  <c r="H65" i="28"/>
  <c r="I65" i="28"/>
  <c r="J65" i="28"/>
  <c r="J66" i="28" s="1"/>
  <c r="K65" i="28"/>
  <c r="L65" i="28"/>
  <c r="M65" i="28"/>
  <c r="E65" i="28" s="1"/>
  <c r="G65" i="40" s="1"/>
  <c r="I65" i="40" s="1"/>
  <c r="N65" i="28"/>
  <c r="N66" i="28" s="1"/>
  <c r="O65" i="28"/>
  <c r="P65" i="28"/>
  <c r="Q65" i="28"/>
  <c r="R65" i="28"/>
  <c r="R66" i="28" s="1"/>
  <c r="S65" i="28"/>
  <c r="T65" i="28"/>
  <c r="U65" i="28"/>
  <c r="U66" i="28" s="1"/>
  <c r="V65" i="28"/>
  <c r="V66" i="28" s="1"/>
  <c r="W65" i="28"/>
  <c r="X65" i="28"/>
  <c r="Y65" i="28"/>
  <c r="Z65" i="28"/>
  <c r="Z66" i="28" s="1"/>
  <c r="AA65" i="28"/>
  <c r="AB65" i="28"/>
  <c r="AC65" i="28"/>
  <c r="AD65" i="28"/>
  <c r="AD66" i="28" s="1"/>
  <c r="AE65" i="28"/>
  <c r="AF65" i="28"/>
  <c r="AG65" i="28"/>
  <c r="AH65" i="28"/>
  <c r="AH66" i="28" s="1"/>
  <c r="AI65" i="28"/>
  <c r="AJ65" i="28"/>
  <c r="AK65" i="28"/>
  <c r="AK66" i="28" s="1"/>
  <c r="AL65" i="28"/>
  <c r="AL66" i="28" s="1"/>
  <c r="AM65" i="28"/>
  <c r="AN65" i="28"/>
  <c r="AO65" i="28"/>
  <c r="G66" i="28"/>
  <c r="H66" i="28"/>
  <c r="M66" i="28"/>
  <c r="O66" i="28"/>
  <c r="P66" i="28"/>
  <c r="T66" i="28"/>
  <c r="W66" i="28"/>
  <c r="X66" i="28"/>
  <c r="AC66" i="28"/>
  <c r="AE66" i="28"/>
  <c r="AF66" i="28"/>
  <c r="AJ66" i="28"/>
  <c r="AM66" i="28"/>
  <c r="AN66" i="28"/>
  <c r="F70" i="28"/>
  <c r="G70" i="28"/>
  <c r="H70" i="28"/>
  <c r="I70" i="28"/>
  <c r="I72" i="28" s="1"/>
  <c r="J70" i="28"/>
  <c r="J72" i="28" s="1"/>
  <c r="K70" i="28"/>
  <c r="L70" i="28"/>
  <c r="M70" i="28"/>
  <c r="N70" i="28"/>
  <c r="O70" i="28"/>
  <c r="O72" i="28" s="1"/>
  <c r="P70" i="28"/>
  <c r="Q70" i="28"/>
  <c r="Q72" i="28" s="1"/>
  <c r="R70" i="28"/>
  <c r="R72" i="28" s="1"/>
  <c r="S70" i="28"/>
  <c r="T70" i="28"/>
  <c r="U70" i="28"/>
  <c r="V70" i="28"/>
  <c r="W70" i="28"/>
  <c r="W72" i="28" s="1"/>
  <c r="X70" i="28"/>
  <c r="Y70" i="28"/>
  <c r="Y72" i="28" s="1"/>
  <c r="Z70" i="28"/>
  <c r="Z72" i="28" s="1"/>
  <c r="AA70" i="28"/>
  <c r="AB70" i="28"/>
  <c r="AC70" i="28"/>
  <c r="AD70" i="28"/>
  <c r="AE70" i="28"/>
  <c r="AE72" i="28" s="1"/>
  <c r="AF70" i="28"/>
  <c r="AG70" i="28"/>
  <c r="AG72" i="28" s="1"/>
  <c r="AH70" i="28"/>
  <c r="AH72" i="28" s="1"/>
  <c r="AI70" i="28"/>
  <c r="AJ70" i="28"/>
  <c r="AK70" i="28"/>
  <c r="AL70" i="28"/>
  <c r="AM70" i="28"/>
  <c r="AM72" i="28" s="1"/>
  <c r="AN70" i="28"/>
  <c r="AO70" i="28"/>
  <c r="AO72" i="28" s="1"/>
  <c r="D71" i="28"/>
  <c r="F71" i="40" s="1"/>
  <c r="F71" i="28"/>
  <c r="G71" i="28"/>
  <c r="H71" i="28"/>
  <c r="H72" i="28" s="1"/>
  <c r="I71" i="28"/>
  <c r="J71" i="28"/>
  <c r="K71" i="28"/>
  <c r="L71" i="28"/>
  <c r="L72" i="28" s="1"/>
  <c r="M71" i="28"/>
  <c r="N71" i="28"/>
  <c r="O71" i="28"/>
  <c r="P71" i="28"/>
  <c r="P72" i="28" s="1"/>
  <c r="Q71" i="28"/>
  <c r="R71" i="28"/>
  <c r="S71" i="28"/>
  <c r="S72" i="28" s="1"/>
  <c r="T71" i="28"/>
  <c r="T72" i="28" s="1"/>
  <c r="U71" i="28"/>
  <c r="V71" i="28"/>
  <c r="W71" i="28"/>
  <c r="X71" i="28"/>
  <c r="X72" i="28" s="1"/>
  <c r="Y71" i="28"/>
  <c r="Z71" i="28"/>
  <c r="AA71" i="28"/>
  <c r="AB71" i="28"/>
  <c r="AB72" i="28" s="1"/>
  <c r="AC71" i="28"/>
  <c r="AD71" i="28"/>
  <c r="AE71" i="28"/>
  <c r="AF71" i="28"/>
  <c r="AF72" i="28" s="1"/>
  <c r="AG71" i="28"/>
  <c r="AH71" i="28"/>
  <c r="AI71" i="28"/>
  <c r="AI72" i="28" s="1"/>
  <c r="AJ71" i="28"/>
  <c r="AJ72" i="28" s="1"/>
  <c r="AK71" i="28"/>
  <c r="AL71" i="28"/>
  <c r="AM71" i="28"/>
  <c r="AN71" i="28"/>
  <c r="AN72" i="28" s="1"/>
  <c r="AO71" i="28"/>
  <c r="F72" i="28"/>
  <c r="K72" i="28"/>
  <c r="M72" i="28"/>
  <c r="N72" i="28"/>
  <c r="U72" i="28"/>
  <c r="V72" i="28"/>
  <c r="AA72" i="28"/>
  <c r="AC72" i="28"/>
  <c r="AD72" i="28"/>
  <c r="AK72" i="28"/>
  <c r="AL72" i="28"/>
  <c r="D73" i="28"/>
  <c r="F73" i="40" s="1"/>
  <c r="H73" i="40" s="1"/>
  <c r="E73" i="28"/>
  <c r="G73" i="40" s="1"/>
  <c r="I73" i="40" s="1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F74" i="28"/>
  <c r="G74" i="28"/>
  <c r="H74" i="28"/>
  <c r="I74" i="28"/>
  <c r="J74" i="28"/>
  <c r="K74" i="28"/>
  <c r="L74" i="28"/>
  <c r="M74" i="28"/>
  <c r="N74" i="28"/>
  <c r="O74" i="28"/>
  <c r="P74" i="28"/>
  <c r="R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E75" i="28"/>
  <c r="G75" i="40" s="1"/>
  <c r="I75" i="40" s="1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F76" i="28"/>
  <c r="G76" i="28"/>
  <c r="E76" i="28" s="1"/>
  <c r="G76" i="40" s="1"/>
  <c r="I76" i="40" s="1"/>
  <c r="H76" i="28"/>
  <c r="D76" i="28" s="1"/>
  <c r="F76" i="40" s="1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D78" i="28"/>
  <c r="F78" i="40" s="1"/>
  <c r="F78" i="28"/>
  <c r="G78" i="28"/>
  <c r="E78" i="28" s="1"/>
  <c r="G78" i="40" s="1"/>
  <c r="I78" i="40" s="1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F79" i="28"/>
  <c r="G79" i="28"/>
  <c r="H79" i="28"/>
  <c r="I79" i="28"/>
  <c r="J79" i="28"/>
  <c r="K79" i="28"/>
  <c r="L79" i="28"/>
  <c r="M79" i="28"/>
  <c r="E79" i="28" s="1"/>
  <c r="G79" i="40" s="1"/>
  <c r="I79" i="40" s="1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F80" i="28"/>
  <c r="G80" i="28"/>
  <c r="E80" i="28" s="1"/>
  <c r="G80" i="40" s="1"/>
  <c r="I80" i="40" s="1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D80" i="28" s="1"/>
  <c r="F80" i="40" s="1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F81" i="28"/>
  <c r="D81" i="28" s="1"/>
  <c r="F81" i="40" s="1"/>
  <c r="H81" i="40" s="1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5" i="40"/>
  <c r="D11" i="40"/>
  <c r="E11" i="40"/>
  <c r="D15" i="40"/>
  <c r="E15" i="40"/>
  <c r="E19" i="40"/>
  <c r="D21" i="40"/>
  <c r="E23" i="40"/>
  <c r="F23" i="40"/>
  <c r="E27" i="40"/>
  <c r="E29" i="40"/>
  <c r="D33" i="40"/>
  <c r="E33" i="40"/>
  <c r="E34" i="40"/>
  <c r="E35" i="40"/>
  <c r="E39" i="40"/>
  <c r="E41" i="40"/>
  <c r="E47" i="40"/>
  <c r="F47" i="40"/>
  <c r="E55" i="40"/>
  <c r="D59" i="40"/>
  <c r="E65" i="40"/>
  <c r="D73" i="40"/>
  <c r="D77" i="40"/>
  <c r="E78" i="40"/>
  <c r="E80" i="40"/>
  <c r="D81" i="40"/>
  <c r="H18" i="4" l="1"/>
  <c r="H78" i="40"/>
  <c r="H64" i="40"/>
  <c r="F54" i="40"/>
  <c r="H74" i="38"/>
  <c r="F24" i="37"/>
  <c r="S42" i="27"/>
  <c r="S43" i="27" s="1"/>
  <c r="H14" i="40"/>
  <c r="V82" i="28"/>
  <c r="T649" i="44" s="1"/>
  <c r="H12" i="40"/>
  <c r="H64" i="38"/>
  <c r="AK82" i="26"/>
  <c r="AI647" i="44" s="1"/>
  <c r="G19" i="38"/>
  <c r="E24" i="26"/>
  <c r="F11" i="38"/>
  <c r="M60" i="15"/>
  <c r="E60" i="39" s="1"/>
  <c r="G60" i="15"/>
  <c r="G70" i="37"/>
  <c r="I64" i="38"/>
  <c r="AJ82" i="26"/>
  <c r="AH647" i="44" s="1"/>
  <c r="X82" i="25"/>
  <c r="AC82" i="26"/>
  <c r="AA647" i="44" s="1"/>
  <c r="M82" i="26"/>
  <c r="K647" i="44" s="1"/>
  <c r="I651" i="44"/>
  <c r="K91" i="31"/>
  <c r="AO82" i="28"/>
  <c r="AM649" i="44" s="1"/>
  <c r="Y82" i="28"/>
  <c r="W649" i="44" s="1"/>
  <c r="AG82" i="28"/>
  <c r="AE649" i="44" s="1"/>
  <c r="Q82" i="28"/>
  <c r="O649" i="44" s="1"/>
  <c r="F70" i="38"/>
  <c r="AN82" i="26"/>
  <c r="AL647" i="44" s="1"/>
  <c r="X82" i="26"/>
  <c r="V647" i="44" s="1"/>
  <c r="H82" i="26"/>
  <c r="F647" i="44" s="1"/>
  <c r="H49" i="37"/>
  <c r="O82" i="26"/>
  <c r="M647" i="44" s="1"/>
  <c r="AN82" i="28"/>
  <c r="AL649" i="44" s="1"/>
  <c r="L24" i="14"/>
  <c r="D19" i="38"/>
  <c r="D24" i="38" s="1"/>
  <c r="G66" i="40"/>
  <c r="D56" i="40"/>
  <c r="P82" i="26"/>
  <c r="N647" i="44" s="1"/>
  <c r="G61" i="14"/>
  <c r="AI36" i="27"/>
  <c r="AK82" i="27"/>
  <c r="G59" i="40"/>
  <c r="E61" i="28"/>
  <c r="E11" i="28"/>
  <c r="G16" i="28"/>
  <c r="D70" i="40"/>
  <c r="M56" i="16"/>
  <c r="E54" i="40"/>
  <c r="E56" i="40" s="1"/>
  <c r="L39" i="16"/>
  <c r="D39" i="40" s="1"/>
  <c r="D39" i="5" s="1"/>
  <c r="F39" i="16"/>
  <c r="M21" i="16"/>
  <c r="I24" i="16"/>
  <c r="D66" i="38"/>
  <c r="K56" i="27"/>
  <c r="AG40" i="27"/>
  <c r="AG42" i="27" s="1"/>
  <c r="AG43" i="27" s="1"/>
  <c r="AI42" i="25"/>
  <c r="AI43" i="25" s="1"/>
  <c r="K40" i="27"/>
  <c r="K42" i="27" s="1"/>
  <c r="K43" i="27" s="1"/>
  <c r="K42" i="25"/>
  <c r="K43" i="25" s="1"/>
  <c r="AH13" i="27"/>
  <c r="AL16" i="25"/>
  <c r="AL82" i="25" s="1"/>
  <c r="N16" i="25"/>
  <c r="N82" i="25" s="1"/>
  <c r="N13" i="27"/>
  <c r="J16" i="27"/>
  <c r="I87" i="15"/>
  <c r="M87" i="13"/>
  <c r="I89" i="13"/>
  <c r="G87" i="13"/>
  <c r="G87" i="15" s="1"/>
  <c r="L59" i="13"/>
  <c r="H59" i="15"/>
  <c r="O43" i="27"/>
  <c r="E21" i="28"/>
  <c r="G21" i="40" s="1"/>
  <c r="M24" i="28"/>
  <c r="M82" i="28"/>
  <c r="K649" i="44" s="1"/>
  <c r="M70" i="16"/>
  <c r="I72" i="16"/>
  <c r="H72" i="26"/>
  <c r="L36" i="26"/>
  <c r="K82" i="26"/>
  <c r="I647" i="44" s="1"/>
  <c r="G78" i="14"/>
  <c r="M78" i="14"/>
  <c r="E78" i="38" s="1"/>
  <c r="I78" i="38" s="1"/>
  <c r="E70" i="38"/>
  <c r="E72" i="38" s="1"/>
  <c r="M59" i="27"/>
  <c r="M61" i="25"/>
  <c r="V49" i="27"/>
  <c r="S47" i="27"/>
  <c r="AA42" i="25"/>
  <c r="AA43" i="25" s="1"/>
  <c r="J40" i="27"/>
  <c r="J42" i="27" s="1"/>
  <c r="J43" i="27" s="1"/>
  <c r="J42" i="25"/>
  <c r="J43" i="25" s="1"/>
  <c r="D40" i="25"/>
  <c r="Y11" i="27"/>
  <c r="Y16" i="25"/>
  <c r="F59" i="13"/>
  <c r="F61" i="13" s="1"/>
  <c r="L47" i="15"/>
  <c r="D47" i="39" s="1"/>
  <c r="F47" i="15"/>
  <c r="H81" i="24"/>
  <c r="D81" i="21"/>
  <c r="F81" i="33" s="1"/>
  <c r="H81" i="33" s="1"/>
  <c r="L78" i="16"/>
  <c r="D78" i="40" s="1"/>
  <c r="F78" i="16"/>
  <c r="H82" i="16"/>
  <c r="H91" i="16" s="1"/>
  <c r="AI42" i="26"/>
  <c r="AI43" i="26" s="1"/>
  <c r="E41" i="26"/>
  <c r="G41" i="38" s="1"/>
  <c r="N16" i="26"/>
  <c r="F80" i="14"/>
  <c r="H66" i="14"/>
  <c r="F64" i="14"/>
  <c r="F66" i="14" s="1"/>
  <c r="T51" i="27"/>
  <c r="M49" i="27"/>
  <c r="E49" i="27" s="1"/>
  <c r="G49" i="39" s="1"/>
  <c r="V36" i="25"/>
  <c r="V32" i="27"/>
  <c r="AL24" i="25"/>
  <c r="AH20" i="27"/>
  <c r="P16" i="25"/>
  <c r="P14" i="27"/>
  <c r="L72" i="13"/>
  <c r="O70" i="27"/>
  <c r="O72" i="27" s="1"/>
  <c r="G36" i="27"/>
  <c r="I87" i="36"/>
  <c r="D60" i="28"/>
  <c r="F60" i="40" s="1"/>
  <c r="H60" i="40" s="1"/>
  <c r="E49" i="28"/>
  <c r="G49" i="40" s="1"/>
  <c r="I49" i="40" s="1"/>
  <c r="D41" i="28"/>
  <c r="F41" i="40" s="1"/>
  <c r="H41" i="40" s="1"/>
  <c r="I24" i="28"/>
  <c r="I82" i="28" s="1"/>
  <c r="G649" i="44" s="1"/>
  <c r="G70" i="16"/>
  <c r="G72" i="16" s="1"/>
  <c r="E75" i="26"/>
  <c r="G75" i="38" s="1"/>
  <c r="I75" i="38" s="1"/>
  <c r="R66" i="26"/>
  <c r="D34" i="26"/>
  <c r="F34" i="38" s="1"/>
  <c r="H34" i="38" s="1"/>
  <c r="G29" i="26"/>
  <c r="E27" i="26"/>
  <c r="M32" i="14"/>
  <c r="G32" i="14"/>
  <c r="M21" i="15"/>
  <c r="E21" i="39" s="1"/>
  <c r="G21" i="15"/>
  <c r="G87" i="37"/>
  <c r="Y66" i="25"/>
  <c r="Y64" i="27"/>
  <c r="Y66" i="27" s="1"/>
  <c r="AD61" i="25"/>
  <c r="AD60" i="27"/>
  <c r="AA59" i="27"/>
  <c r="AA61" i="27" s="1"/>
  <c r="D33" i="25"/>
  <c r="F33" i="37" s="1"/>
  <c r="H33" i="37" s="1"/>
  <c r="I27" i="27"/>
  <c r="S21" i="27"/>
  <c r="S24" i="25"/>
  <c r="AI14" i="27"/>
  <c r="L80" i="13"/>
  <c r="D80" i="37" s="1"/>
  <c r="H80" i="37" s="1"/>
  <c r="H80" i="15"/>
  <c r="F80" i="13"/>
  <c r="M74" i="13"/>
  <c r="E74" i="37" s="1"/>
  <c r="I74" i="15"/>
  <c r="G74" i="13"/>
  <c r="I72" i="13"/>
  <c r="G70" i="13"/>
  <c r="G72" i="13" s="1"/>
  <c r="M70" i="13"/>
  <c r="I70" i="15"/>
  <c r="H60" i="15"/>
  <c r="I32" i="15"/>
  <c r="AH61" i="27"/>
  <c r="Y36" i="27"/>
  <c r="Q19" i="27"/>
  <c r="Q24" i="27" s="1"/>
  <c r="L34" i="15"/>
  <c r="D34" i="39" s="1"/>
  <c r="F34" i="15"/>
  <c r="M19" i="15"/>
  <c r="G19" i="15"/>
  <c r="H73" i="42"/>
  <c r="D79" i="28"/>
  <c r="F79" i="40" s="1"/>
  <c r="H79" i="40" s="1"/>
  <c r="D70" i="28"/>
  <c r="D65" i="28"/>
  <c r="F65" i="40" s="1"/>
  <c r="F66" i="28"/>
  <c r="D66" i="28" s="1"/>
  <c r="AI66" i="28"/>
  <c r="AA66" i="28"/>
  <c r="S66" i="28"/>
  <c r="K66" i="28"/>
  <c r="E66" i="28" s="1"/>
  <c r="G61" i="28"/>
  <c r="E54" i="28"/>
  <c r="D49" i="28"/>
  <c r="F49" i="40" s="1"/>
  <c r="H49" i="40" s="1"/>
  <c r="G42" i="28"/>
  <c r="G43" i="28" s="1"/>
  <c r="D32" i="28"/>
  <c r="D28" i="28"/>
  <c r="F29" i="28"/>
  <c r="AI29" i="28"/>
  <c r="AA29" i="28"/>
  <c r="S29" i="28"/>
  <c r="K29" i="28"/>
  <c r="AI24" i="28"/>
  <c r="AA24" i="28"/>
  <c r="S24" i="28"/>
  <c r="K24" i="28"/>
  <c r="F16" i="28"/>
  <c r="F82" i="28" s="1"/>
  <c r="AI16" i="28"/>
  <c r="AI82" i="28" s="1"/>
  <c r="AG649" i="44" s="1"/>
  <c r="AA16" i="28"/>
  <c r="S16" i="28"/>
  <c r="K16" i="28"/>
  <c r="L65" i="16"/>
  <c r="D65" i="40" s="1"/>
  <c r="F65" i="16"/>
  <c r="F66" i="16" s="1"/>
  <c r="G28" i="16"/>
  <c r="G29" i="16" s="1"/>
  <c r="M22" i="16"/>
  <c r="E22" i="40" s="1"/>
  <c r="F54" i="38"/>
  <c r="D11" i="38"/>
  <c r="D16" i="38" s="1"/>
  <c r="D75" i="26"/>
  <c r="F75" i="38" s="1"/>
  <c r="Q72" i="26"/>
  <c r="D65" i="26"/>
  <c r="F65" i="38" s="1"/>
  <c r="H65" i="38" s="1"/>
  <c r="D59" i="26"/>
  <c r="H61" i="26"/>
  <c r="AH56" i="26"/>
  <c r="Z56" i="26"/>
  <c r="R56" i="26"/>
  <c r="J56" i="26"/>
  <c r="AD42" i="26"/>
  <c r="AD43" i="26" s="1"/>
  <c r="N42" i="26"/>
  <c r="N43" i="26" s="1"/>
  <c r="AJ42" i="26"/>
  <c r="AJ43" i="26" s="1"/>
  <c r="AB42" i="26"/>
  <c r="AB43" i="26" s="1"/>
  <c r="T42" i="26"/>
  <c r="T43" i="26" s="1"/>
  <c r="L42" i="26"/>
  <c r="L43" i="26" s="1"/>
  <c r="AH36" i="26"/>
  <c r="AO36" i="26"/>
  <c r="AG36" i="26"/>
  <c r="Y36" i="26"/>
  <c r="Y82" i="26" s="1"/>
  <c r="W647" i="44" s="1"/>
  <c r="Q36" i="26"/>
  <c r="Q82" i="26" s="1"/>
  <c r="O647" i="44" s="1"/>
  <c r="I36" i="26"/>
  <c r="I82" i="26" s="1"/>
  <c r="G647" i="44" s="1"/>
  <c r="E28" i="26"/>
  <c r="G28" i="38" s="1"/>
  <c r="I28" i="38" s="1"/>
  <c r="AD29" i="27"/>
  <c r="D27" i="26"/>
  <c r="D23" i="26"/>
  <c r="F23" i="38" s="1"/>
  <c r="H23" i="38" s="1"/>
  <c r="D20" i="26"/>
  <c r="F20" i="38" s="1"/>
  <c r="H20" i="38" s="1"/>
  <c r="AH24" i="26"/>
  <c r="Z24" i="26"/>
  <c r="R24" i="26"/>
  <c r="J24" i="26"/>
  <c r="J82" i="26" s="1"/>
  <c r="H647" i="44" s="1"/>
  <c r="E12" i="26"/>
  <c r="G12" i="38" s="1"/>
  <c r="L81" i="14"/>
  <c r="D81" i="38" s="1"/>
  <c r="H72" i="14"/>
  <c r="G65" i="14"/>
  <c r="G66" i="14" s="1"/>
  <c r="I66" i="14"/>
  <c r="M65" i="14"/>
  <c r="E65" i="38" s="1"/>
  <c r="E66" i="38" s="1"/>
  <c r="I61" i="14"/>
  <c r="H56" i="14"/>
  <c r="F54" i="14"/>
  <c r="F56" i="14" s="1"/>
  <c r="L42" i="14"/>
  <c r="L43" i="14" s="1"/>
  <c r="D40" i="38"/>
  <c r="D42" i="38" s="1"/>
  <c r="D43" i="38" s="1"/>
  <c r="D32" i="38"/>
  <c r="M14" i="14"/>
  <c r="E14" i="38" s="1"/>
  <c r="I14" i="38" s="1"/>
  <c r="G14" i="14"/>
  <c r="G16" i="14"/>
  <c r="E77" i="5"/>
  <c r="D70" i="37"/>
  <c r="H88" i="37"/>
  <c r="Q79" i="27"/>
  <c r="E79" i="25"/>
  <c r="G79" i="37" s="1"/>
  <c r="I79" i="37" s="1"/>
  <c r="E76" i="25"/>
  <c r="G76" i="37" s="1"/>
  <c r="I76" i="37" s="1"/>
  <c r="K75" i="27"/>
  <c r="E75" i="27" s="1"/>
  <c r="G75" i="39" s="1"/>
  <c r="E75" i="25"/>
  <c r="G75" i="37" s="1"/>
  <c r="Q72" i="25"/>
  <c r="AC70" i="27"/>
  <c r="U70" i="27"/>
  <c r="U72" i="25"/>
  <c r="M70" i="27"/>
  <c r="M72" i="27" s="1"/>
  <c r="E65" i="25"/>
  <c r="G65" i="37" s="1"/>
  <c r="I65" i="37" s="1"/>
  <c r="X64" i="27"/>
  <c r="X66" i="27" s="1"/>
  <c r="P64" i="27"/>
  <c r="H64" i="27"/>
  <c r="N61" i="25"/>
  <c r="AC60" i="27"/>
  <c r="M60" i="27"/>
  <c r="D60" i="25"/>
  <c r="F60" i="37" s="1"/>
  <c r="H60" i="37" s="1"/>
  <c r="AH61" i="25"/>
  <c r="AF59" i="27"/>
  <c r="AF61" i="27" s="1"/>
  <c r="Z61" i="25"/>
  <c r="Z59" i="27"/>
  <c r="J61" i="25"/>
  <c r="J59" i="27"/>
  <c r="H56" i="25"/>
  <c r="S49" i="27"/>
  <c r="X47" i="27"/>
  <c r="D47" i="25"/>
  <c r="F47" i="37" s="1"/>
  <c r="H47" i="37" s="1"/>
  <c r="H47" i="27"/>
  <c r="S42" i="25"/>
  <c r="S43" i="25" s="1"/>
  <c r="X39" i="27"/>
  <c r="P39" i="27"/>
  <c r="H39" i="27"/>
  <c r="J36" i="25"/>
  <c r="AB35" i="27"/>
  <c r="T35" i="27"/>
  <c r="L35" i="27"/>
  <c r="D35" i="27" s="1"/>
  <c r="F35" i="39" s="1"/>
  <c r="Y34" i="27"/>
  <c r="Q34" i="27"/>
  <c r="I34" i="27"/>
  <c r="AK36" i="25"/>
  <c r="AC33" i="27"/>
  <c r="U33" i="27"/>
  <c r="M33" i="27"/>
  <c r="E33" i="25"/>
  <c r="G33" i="37" s="1"/>
  <c r="AB32" i="27"/>
  <c r="T32" i="27"/>
  <c r="L32" i="27"/>
  <c r="S29" i="25"/>
  <c r="X29" i="25"/>
  <c r="X28" i="27"/>
  <c r="X29" i="27" s="1"/>
  <c r="P29" i="25"/>
  <c r="P28" i="27"/>
  <c r="H29" i="25"/>
  <c r="H28" i="27"/>
  <c r="P29" i="27"/>
  <c r="H29" i="27"/>
  <c r="AA24" i="25"/>
  <c r="AB22" i="27"/>
  <c r="T22" i="27"/>
  <c r="L22" i="27"/>
  <c r="D22" i="25"/>
  <c r="F22" i="37" s="1"/>
  <c r="H22" i="37" s="1"/>
  <c r="AF21" i="27"/>
  <c r="AH24" i="25"/>
  <c r="AH82" i="25" s="1"/>
  <c r="R21" i="27"/>
  <c r="R24" i="25"/>
  <c r="J21" i="27"/>
  <c r="D21" i="25"/>
  <c r="F21" i="37" s="1"/>
  <c r="M20" i="27"/>
  <c r="D20" i="25"/>
  <c r="F20" i="37" s="1"/>
  <c r="H20" i="37" s="1"/>
  <c r="AD24" i="25"/>
  <c r="AD19" i="27"/>
  <c r="AD24" i="27" s="1"/>
  <c r="V19" i="27"/>
  <c r="V24" i="27" s="1"/>
  <c r="V24" i="25"/>
  <c r="N24" i="25"/>
  <c r="F24" i="25"/>
  <c r="D14" i="25"/>
  <c r="F14" i="37" s="1"/>
  <c r="I76" i="15"/>
  <c r="M45" i="13"/>
  <c r="E45" i="37" s="1"/>
  <c r="I45" i="37" s="1"/>
  <c r="G45" i="13"/>
  <c r="H32" i="15"/>
  <c r="F32" i="13"/>
  <c r="L32" i="13"/>
  <c r="H22" i="15"/>
  <c r="E86" i="27"/>
  <c r="G89" i="27"/>
  <c r="H78" i="27"/>
  <c r="H70" i="27"/>
  <c r="H72" i="27" s="1"/>
  <c r="AE40" i="27"/>
  <c r="AE42" i="27" s="1"/>
  <c r="AI20" i="27"/>
  <c r="R11" i="27"/>
  <c r="R16" i="27" s="1"/>
  <c r="G81" i="15"/>
  <c r="G73" i="15"/>
  <c r="G45" i="15"/>
  <c r="H23" i="42"/>
  <c r="F70" i="35"/>
  <c r="I36" i="23"/>
  <c r="E33" i="23"/>
  <c r="G33" i="35" s="1"/>
  <c r="I33" i="35" s="1"/>
  <c r="F32" i="35"/>
  <c r="AD82" i="28"/>
  <c r="AB649" i="44" s="1"/>
  <c r="W16" i="28"/>
  <c r="W82" i="28" s="1"/>
  <c r="U649" i="44" s="1"/>
  <c r="D79" i="26"/>
  <c r="F79" i="38" s="1"/>
  <c r="M80" i="14"/>
  <c r="E80" i="38" s="1"/>
  <c r="G80" i="14"/>
  <c r="AA42" i="27"/>
  <c r="AA43" i="27" s="1"/>
  <c r="T39" i="27"/>
  <c r="L77" i="15"/>
  <c r="D77" i="39" s="1"/>
  <c r="F77" i="15"/>
  <c r="L66" i="13"/>
  <c r="D64" i="37"/>
  <c r="D66" i="37" s="1"/>
  <c r="T27" i="27"/>
  <c r="T29" i="27" s="1"/>
  <c r="D82" i="7"/>
  <c r="D91" i="7" s="1"/>
  <c r="G12" i="24"/>
  <c r="G12" i="23"/>
  <c r="K16" i="7"/>
  <c r="K82" i="7" s="1"/>
  <c r="K91" i="7" s="1"/>
  <c r="K94" i="7"/>
  <c r="F40" i="19"/>
  <c r="F42" i="19" s="1"/>
  <c r="L40" i="19"/>
  <c r="H42" i="19"/>
  <c r="H43" i="19" s="1"/>
  <c r="E16" i="40"/>
  <c r="F18" i="4"/>
  <c r="E81" i="28"/>
  <c r="G81" i="40" s="1"/>
  <c r="I81" i="40" s="1"/>
  <c r="F60" i="16"/>
  <c r="F61" i="16" s="1"/>
  <c r="H61" i="16"/>
  <c r="L60" i="16"/>
  <c r="D60" i="40" s="1"/>
  <c r="D61" i="40" s="1"/>
  <c r="AB36" i="26"/>
  <c r="N49" i="27"/>
  <c r="R40" i="27"/>
  <c r="R42" i="27" s="1"/>
  <c r="R42" i="25"/>
  <c r="R43" i="25" s="1"/>
  <c r="S29" i="27"/>
  <c r="X20" i="27"/>
  <c r="X24" i="27" s="1"/>
  <c r="I19" i="27"/>
  <c r="I24" i="27" s="1"/>
  <c r="I24" i="25"/>
  <c r="I82" i="25" s="1"/>
  <c r="D13" i="25"/>
  <c r="F13" i="37" s="1"/>
  <c r="H13" i="37" s="1"/>
  <c r="AG82" i="25"/>
  <c r="L87" i="13"/>
  <c r="L89" i="13" s="1"/>
  <c r="H87" i="15"/>
  <c r="L27" i="15"/>
  <c r="F27" i="15"/>
  <c r="H29" i="15"/>
  <c r="H19" i="15"/>
  <c r="F19" i="13"/>
  <c r="H24" i="13"/>
  <c r="L19" i="13"/>
  <c r="H20" i="27"/>
  <c r="D20" i="27" s="1"/>
  <c r="F20" i="39" s="1"/>
  <c r="H20" i="39" s="1"/>
  <c r="G16" i="42"/>
  <c r="I12" i="42"/>
  <c r="D40" i="40"/>
  <c r="D42" i="40" s="1"/>
  <c r="H56" i="28"/>
  <c r="D13" i="28"/>
  <c r="F13" i="40" s="1"/>
  <c r="H13" i="40" s="1"/>
  <c r="L34" i="16"/>
  <c r="D34" i="40" s="1"/>
  <c r="H34" i="40" s="1"/>
  <c r="F34" i="16"/>
  <c r="E45" i="26"/>
  <c r="G45" i="38" s="1"/>
  <c r="I45" i="38" s="1"/>
  <c r="E34" i="26"/>
  <c r="G34" i="38" s="1"/>
  <c r="AL16" i="26"/>
  <c r="AL82" i="26" s="1"/>
  <c r="AJ647" i="44" s="1"/>
  <c r="F16" i="26"/>
  <c r="F82" i="26" s="1"/>
  <c r="D13" i="26"/>
  <c r="F13" i="38" s="1"/>
  <c r="H13" i="38" s="1"/>
  <c r="F60" i="14"/>
  <c r="F61" i="14" s="1"/>
  <c r="G27" i="14"/>
  <c r="G29" i="14" s="1"/>
  <c r="M27" i="14"/>
  <c r="E80" i="25"/>
  <c r="G80" i="37" s="1"/>
  <c r="I80" i="37" s="1"/>
  <c r="AB61" i="25"/>
  <c r="AB59" i="27"/>
  <c r="AB61" i="27" s="1"/>
  <c r="E54" i="27"/>
  <c r="N36" i="25"/>
  <c r="N32" i="27"/>
  <c r="H14" i="27"/>
  <c r="H16" i="25"/>
  <c r="F87" i="13"/>
  <c r="F87" i="15" s="1"/>
  <c r="M78" i="13"/>
  <c r="E78" i="37" s="1"/>
  <c r="I78" i="15"/>
  <c r="H64" i="15"/>
  <c r="F64" i="13"/>
  <c r="F66" i="13" s="1"/>
  <c r="H66" i="13"/>
  <c r="Q66" i="27"/>
  <c r="D16" i="30"/>
  <c r="F11" i="42"/>
  <c r="H15" i="42"/>
  <c r="M39" i="11"/>
  <c r="E39" i="35" s="1"/>
  <c r="G39" i="11"/>
  <c r="H16" i="28"/>
  <c r="F76" i="16"/>
  <c r="L76" i="16"/>
  <c r="D76" i="40" s="1"/>
  <c r="H76" i="40" s="1"/>
  <c r="F24" i="16"/>
  <c r="E61" i="38"/>
  <c r="AM29" i="26"/>
  <c r="AM82" i="26" s="1"/>
  <c r="AK647" i="44" s="1"/>
  <c r="AI27" i="27"/>
  <c r="AI29" i="27" s="1"/>
  <c r="M24" i="26"/>
  <c r="E11" i="26"/>
  <c r="I43" i="14"/>
  <c r="G34" i="14"/>
  <c r="M34" i="14"/>
  <c r="E34" i="38" s="1"/>
  <c r="F11" i="14"/>
  <c r="F16" i="14" s="1"/>
  <c r="H16" i="14"/>
  <c r="F86" i="27"/>
  <c r="F89" i="25"/>
  <c r="D86" i="25"/>
  <c r="I81" i="27"/>
  <c r="E81" i="25"/>
  <c r="G81" i="37" s="1"/>
  <c r="I81" i="37" s="1"/>
  <c r="Z71" i="27"/>
  <c r="D71" i="25"/>
  <c r="F71" i="37" s="1"/>
  <c r="H71" i="37" s="1"/>
  <c r="J71" i="27"/>
  <c r="D71" i="27" s="1"/>
  <c r="F71" i="39" s="1"/>
  <c r="AD65" i="27"/>
  <c r="AD66" i="25"/>
  <c r="N65" i="27"/>
  <c r="N66" i="25"/>
  <c r="I64" i="27"/>
  <c r="I66" i="27" s="1"/>
  <c r="E64" i="25"/>
  <c r="G64" i="37" s="1"/>
  <c r="K59" i="27"/>
  <c r="K61" i="27" s="1"/>
  <c r="X54" i="27"/>
  <c r="X56" i="27" s="1"/>
  <c r="X56" i="25"/>
  <c r="U32" i="27"/>
  <c r="Y27" i="27"/>
  <c r="M22" i="15"/>
  <c r="E22" i="39" s="1"/>
  <c r="G22" i="15"/>
  <c r="H15" i="15"/>
  <c r="F15" i="13"/>
  <c r="AF40" i="27"/>
  <c r="AF42" i="27" s="1"/>
  <c r="F51" i="15"/>
  <c r="F39" i="15"/>
  <c r="H60" i="42"/>
  <c r="E13" i="30"/>
  <c r="G13" i="42" s="1"/>
  <c r="G16" i="30"/>
  <c r="I81" i="43"/>
  <c r="F86" i="19"/>
  <c r="F89" i="19" s="1"/>
  <c r="L86" i="19"/>
  <c r="H89" i="19"/>
  <c r="E77" i="28"/>
  <c r="G77" i="40" s="1"/>
  <c r="I77" i="40" s="1"/>
  <c r="AN36" i="28"/>
  <c r="AF36" i="28"/>
  <c r="X36" i="28"/>
  <c r="P36" i="28"/>
  <c r="H36" i="28"/>
  <c r="F24" i="28"/>
  <c r="AH16" i="28"/>
  <c r="AH82" i="28" s="1"/>
  <c r="AF649" i="44" s="1"/>
  <c r="Z16" i="28"/>
  <c r="Z82" i="28" s="1"/>
  <c r="X649" i="44" s="1"/>
  <c r="R16" i="28"/>
  <c r="R82" i="28" s="1"/>
  <c r="P649" i="44" s="1"/>
  <c r="J16" i="28"/>
  <c r="J82" i="28" s="1"/>
  <c r="H649" i="44" s="1"/>
  <c r="M71" i="16"/>
  <c r="E71" i="40" s="1"/>
  <c r="M51" i="16"/>
  <c r="E51" i="40" s="1"/>
  <c r="I51" i="40" s="1"/>
  <c r="L20" i="16"/>
  <c r="D20" i="40" s="1"/>
  <c r="H20" i="40" s="1"/>
  <c r="F20" i="16"/>
  <c r="M13" i="16"/>
  <c r="E13" i="40" s="1"/>
  <c r="I13" i="40" s="1"/>
  <c r="I16" i="16"/>
  <c r="E71" i="26"/>
  <c r="G71" i="38" s="1"/>
  <c r="I71" i="38" s="1"/>
  <c r="AA66" i="26"/>
  <c r="AA82" i="26" s="1"/>
  <c r="Y647" i="44" s="1"/>
  <c r="M66" i="26"/>
  <c r="AO66" i="26"/>
  <c r="AG66" i="26"/>
  <c r="Y66" i="26"/>
  <c r="AI61" i="26"/>
  <c r="E59" i="26"/>
  <c r="E51" i="26"/>
  <c r="G51" i="38" s="1"/>
  <c r="I51" i="38" s="1"/>
  <c r="AF36" i="26"/>
  <c r="AF82" i="26" s="1"/>
  <c r="AD647" i="44" s="1"/>
  <c r="X36" i="26"/>
  <c r="P36" i="26"/>
  <c r="H36" i="26"/>
  <c r="E21" i="26"/>
  <c r="G21" i="38" s="1"/>
  <c r="I21" i="38" s="1"/>
  <c r="S16" i="26"/>
  <c r="S82" i="26" s="1"/>
  <c r="Q647" i="44" s="1"/>
  <c r="F72" i="14"/>
  <c r="L61" i="14"/>
  <c r="H42" i="14"/>
  <c r="H43" i="14" s="1"/>
  <c r="G12" i="14"/>
  <c r="M12" i="14"/>
  <c r="E12" i="38" s="1"/>
  <c r="E16" i="38" s="1"/>
  <c r="D78" i="25"/>
  <c r="F78" i="37" s="1"/>
  <c r="H78" i="37" s="1"/>
  <c r="AF77" i="27"/>
  <c r="Z77" i="27"/>
  <c r="R77" i="27"/>
  <c r="J77" i="27"/>
  <c r="D77" i="25"/>
  <c r="F77" i="37" s="1"/>
  <c r="H77" i="37" s="1"/>
  <c r="D76" i="25"/>
  <c r="F76" i="37" s="1"/>
  <c r="AI74" i="27"/>
  <c r="D74" i="25"/>
  <c r="F74" i="37" s="1"/>
  <c r="H74" i="37" s="1"/>
  <c r="AG73" i="27"/>
  <c r="S73" i="27"/>
  <c r="O72" i="25"/>
  <c r="AB60" i="27"/>
  <c r="T60" i="27"/>
  <c r="L60" i="27"/>
  <c r="U56" i="25"/>
  <c r="AD56" i="25"/>
  <c r="AD54" i="27"/>
  <c r="AD56" i="27" s="1"/>
  <c r="N56" i="25"/>
  <c r="N54" i="27"/>
  <c r="N56" i="27" s="1"/>
  <c r="F56" i="25"/>
  <c r="D54" i="25"/>
  <c r="Q51" i="27"/>
  <c r="AF49" i="27"/>
  <c r="Z49" i="27"/>
  <c r="J49" i="27"/>
  <c r="E47" i="25"/>
  <c r="G47" i="37" s="1"/>
  <c r="Q42" i="25"/>
  <c r="Q43" i="25" s="1"/>
  <c r="AH40" i="27"/>
  <c r="AH42" i="27" s="1"/>
  <c r="AH43" i="27" s="1"/>
  <c r="AE39" i="27"/>
  <c r="W39" i="27"/>
  <c r="O39" i="27"/>
  <c r="AB33" i="27"/>
  <c r="L33" i="27"/>
  <c r="R29" i="25"/>
  <c r="R82" i="25" s="1"/>
  <c r="Y24" i="25"/>
  <c r="T20" i="27"/>
  <c r="L20" i="27"/>
  <c r="D11" i="25"/>
  <c r="L76" i="13"/>
  <c r="D76" i="37" s="1"/>
  <c r="H76" i="15"/>
  <c r="F76" i="13"/>
  <c r="I20" i="15"/>
  <c r="G20" i="13"/>
  <c r="I12" i="15"/>
  <c r="G12" i="13"/>
  <c r="M12" i="13"/>
  <c r="E12" i="37" s="1"/>
  <c r="E16" i="37" s="1"/>
  <c r="I16" i="13"/>
  <c r="T59" i="27"/>
  <c r="AB56" i="27"/>
  <c r="AC40" i="27"/>
  <c r="AC42" i="27" s="1"/>
  <c r="AC43" i="27" s="1"/>
  <c r="R36" i="27"/>
  <c r="N19" i="27"/>
  <c r="I77" i="42"/>
  <c r="E40" i="28"/>
  <c r="E19" i="28"/>
  <c r="N82" i="28"/>
  <c r="L649" i="44" s="1"/>
  <c r="O16" i="28"/>
  <c r="O82" i="28" s="1"/>
  <c r="M649" i="44" s="1"/>
  <c r="F41" i="16"/>
  <c r="F42" i="16" s="1"/>
  <c r="F43" i="16" s="1"/>
  <c r="H42" i="16"/>
  <c r="H43" i="16" s="1"/>
  <c r="L41" i="16"/>
  <c r="D41" i="40" s="1"/>
  <c r="M60" i="14"/>
  <c r="E60" i="38" s="1"/>
  <c r="I60" i="38" s="1"/>
  <c r="G60" i="14"/>
  <c r="M13" i="15"/>
  <c r="E13" i="39" s="1"/>
  <c r="G13" i="15"/>
  <c r="Q72" i="27"/>
  <c r="AB27" i="27"/>
  <c r="AB29" i="27" s="1"/>
  <c r="AB29" i="25"/>
  <c r="J82" i="25"/>
  <c r="AD16" i="25"/>
  <c r="AD13" i="27"/>
  <c r="Z11" i="27"/>
  <c r="Z16" i="25"/>
  <c r="H73" i="15"/>
  <c r="I29" i="13"/>
  <c r="G27" i="13"/>
  <c r="G29" i="13" s="1"/>
  <c r="D24" i="28"/>
  <c r="M36" i="16"/>
  <c r="E32" i="40"/>
  <c r="E36" i="40" s="1"/>
  <c r="W70" i="27"/>
  <c r="W72" i="26"/>
  <c r="D36" i="26"/>
  <c r="M76" i="14"/>
  <c r="E76" i="38" s="1"/>
  <c r="G76" i="14"/>
  <c r="E54" i="38"/>
  <c r="L20" i="15"/>
  <c r="D20" i="39" s="1"/>
  <c r="F20" i="15"/>
  <c r="U59" i="27"/>
  <c r="U61" i="27" s="1"/>
  <c r="U61" i="25"/>
  <c r="K47" i="27"/>
  <c r="Y41" i="27"/>
  <c r="Y42" i="25"/>
  <c r="Y43" i="25" s="1"/>
  <c r="K28" i="27"/>
  <c r="K29" i="27" s="1"/>
  <c r="E28" i="25"/>
  <c r="G28" i="37" s="1"/>
  <c r="I28" i="37" s="1"/>
  <c r="P20" i="27"/>
  <c r="P24" i="27" s="1"/>
  <c r="K81" i="27"/>
  <c r="M42" i="27"/>
  <c r="M43" i="27" s="1"/>
  <c r="E74" i="28"/>
  <c r="G74" i="40" s="1"/>
  <c r="I74" i="40" s="1"/>
  <c r="E80" i="26"/>
  <c r="G80" i="38" s="1"/>
  <c r="F56" i="26"/>
  <c r="V42" i="27"/>
  <c r="V43" i="27" s="1"/>
  <c r="E36" i="26"/>
  <c r="AE24" i="26"/>
  <c r="AE82" i="26" s="1"/>
  <c r="AC647" i="44" s="1"/>
  <c r="V16" i="26"/>
  <c r="V82" i="26" s="1"/>
  <c r="T647" i="44" s="1"/>
  <c r="G74" i="14"/>
  <c r="M74" i="14"/>
  <c r="E74" i="38" s="1"/>
  <c r="I74" i="38" s="1"/>
  <c r="D56" i="38"/>
  <c r="M42" i="14"/>
  <c r="M43" i="14" s="1"/>
  <c r="E40" i="38"/>
  <c r="E42" i="38" s="1"/>
  <c r="E43" i="38" s="1"/>
  <c r="AH66" i="25"/>
  <c r="AF64" i="27"/>
  <c r="AF66" i="27" s="1"/>
  <c r="J66" i="25"/>
  <c r="J64" i="27"/>
  <c r="J66" i="27" s="1"/>
  <c r="O60" i="27"/>
  <c r="O61" i="25"/>
  <c r="D59" i="25"/>
  <c r="U49" i="27"/>
  <c r="AD36" i="25"/>
  <c r="AD32" i="27"/>
  <c r="J28" i="27"/>
  <c r="J29" i="25"/>
  <c r="W20" i="27"/>
  <c r="I80" i="15"/>
  <c r="G24" i="13"/>
  <c r="Z36" i="27"/>
  <c r="G72" i="28"/>
  <c r="E70" i="28"/>
  <c r="AM16" i="28"/>
  <c r="AM82" i="28" s="1"/>
  <c r="AK649" i="44" s="1"/>
  <c r="M59" i="16"/>
  <c r="I61" i="16"/>
  <c r="G49" i="16"/>
  <c r="F32" i="16"/>
  <c r="L32" i="16"/>
  <c r="F14" i="16"/>
  <c r="L14" i="16"/>
  <c r="D14" i="40" s="1"/>
  <c r="E70" i="26"/>
  <c r="G66" i="26"/>
  <c r="E65" i="26"/>
  <c r="G65" i="38" s="1"/>
  <c r="I65" i="38" s="1"/>
  <c r="E47" i="26"/>
  <c r="G47" i="38" s="1"/>
  <c r="I47" i="38" s="1"/>
  <c r="I47" i="27"/>
  <c r="AI36" i="26"/>
  <c r="AI82" i="26" s="1"/>
  <c r="AG647" i="44" s="1"/>
  <c r="F76" i="14"/>
  <c r="H36" i="14"/>
  <c r="E88" i="27"/>
  <c r="G88" i="39" s="1"/>
  <c r="I88" i="39" s="1"/>
  <c r="AF71" i="27"/>
  <c r="V65" i="27"/>
  <c r="V66" i="25"/>
  <c r="AC32" i="27"/>
  <c r="M32" i="27"/>
  <c r="M36" i="25"/>
  <c r="M54" i="13"/>
  <c r="I56" i="13"/>
  <c r="D77" i="28"/>
  <c r="F77" i="40" s="1"/>
  <c r="H77" i="40" s="1"/>
  <c r="D45" i="28"/>
  <c r="F45" i="40" s="1"/>
  <c r="H45" i="40" s="1"/>
  <c r="E33" i="28"/>
  <c r="G33" i="40" s="1"/>
  <c r="I33" i="40" s="1"/>
  <c r="E27" i="28"/>
  <c r="I29" i="28"/>
  <c r="AB24" i="28"/>
  <c r="AB82" i="28" s="1"/>
  <c r="Z649" i="44" s="1"/>
  <c r="T24" i="28"/>
  <c r="T82" i="28" s="1"/>
  <c r="R649" i="44" s="1"/>
  <c r="L24" i="28"/>
  <c r="L82" i="28" s="1"/>
  <c r="J649" i="44" s="1"/>
  <c r="AN24" i="28"/>
  <c r="E64" i="40"/>
  <c r="E66" i="40" s="1"/>
  <c r="M66" i="16"/>
  <c r="L55" i="16"/>
  <c r="D55" i="40" s="1"/>
  <c r="F55" i="16"/>
  <c r="F56" i="16" s="1"/>
  <c r="M29" i="16"/>
  <c r="F22" i="16"/>
  <c r="L22" i="16"/>
  <c r="D22" i="40" s="1"/>
  <c r="D24" i="40" s="1"/>
  <c r="M16" i="16"/>
  <c r="D81" i="26"/>
  <c r="F81" i="38" s="1"/>
  <c r="H81" i="38" s="1"/>
  <c r="E76" i="26"/>
  <c r="G76" i="38" s="1"/>
  <c r="D73" i="26"/>
  <c r="F73" i="38" s="1"/>
  <c r="D71" i="26"/>
  <c r="F71" i="38" s="1"/>
  <c r="H71" i="38" s="1"/>
  <c r="F72" i="26"/>
  <c r="AH72" i="26"/>
  <c r="Z72" i="26"/>
  <c r="R72" i="26"/>
  <c r="J72" i="26"/>
  <c r="AL66" i="26"/>
  <c r="AN66" i="26"/>
  <c r="AF66" i="26"/>
  <c r="X66" i="26"/>
  <c r="P66" i="26"/>
  <c r="H66" i="26"/>
  <c r="D66" i="26" s="1"/>
  <c r="D41" i="26"/>
  <c r="F41" i="38" s="1"/>
  <c r="H41" i="38" s="1"/>
  <c r="AM36" i="26"/>
  <c r="AI33" i="27"/>
  <c r="AE36" i="26"/>
  <c r="W36" i="26"/>
  <c r="W82" i="26" s="1"/>
  <c r="U647" i="44" s="1"/>
  <c r="O36" i="26"/>
  <c r="G36" i="26"/>
  <c r="AJ29" i="26"/>
  <c r="AB29" i="26"/>
  <c r="AB82" i="26" s="1"/>
  <c r="Z647" i="44" s="1"/>
  <c r="T29" i="26"/>
  <c r="T82" i="26" s="1"/>
  <c r="R647" i="44" s="1"/>
  <c r="L29" i="26"/>
  <c r="L82" i="26" s="1"/>
  <c r="J647" i="44" s="1"/>
  <c r="G24" i="26"/>
  <c r="E22" i="26"/>
  <c r="G22" i="38" s="1"/>
  <c r="D21" i="26"/>
  <c r="F21" i="38" s="1"/>
  <c r="H21" i="38" s="1"/>
  <c r="D14" i="26"/>
  <c r="F14" i="38" s="1"/>
  <c r="H14" i="38" s="1"/>
  <c r="AH82" i="26"/>
  <c r="AF647" i="44" s="1"/>
  <c r="Z82" i="26"/>
  <c r="X647" i="44" s="1"/>
  <c r="R82" i="26"/>
  <c r="P647" i="44" s="1"/>
  <c r="L73" i="14"/>
  <c r="D73" i="38" s="1"/>
  <c r="M71" i="14"/>
  <c r="E71" i="38" s="1"/>
  <c r="G71" i="14"/>
  <c r="G72" i="14" s="1"/>
  <c r="L66" i="14"/>
  <c r="H61" i="14"/>
  <c r="G55" i="14"/>
  <c r="G56" i="14" s="1"/>
  <c r="I56" i="14"/>
  <c r="I82" i="14" s="1"/>
  <c r="M55" i="14"/>
  <c r="E55" i="38" s="1"/>
  <c r="I55" i="38" s="1"/>
  <c r="M51" i="14"/>
  <c r="E51" i="38" s="1"/>
  <c r="G51" i="14"/>
  <c r="M35" i="15"/>
  <c r="E35" i="39" s="1"/>
  <c r="G35" i="15"/>
  <c r="F19" i="14"/>
  <c r="F24" i="14" s="1"/>
  <c r="H24" i="14"/>
  <c r="L12" i="15"/>
  <c r="D12" i="39" s="1"/>
  <c r="F12" i="15"/>
  <c r="G59" i="37"/>
  <c r="AA80" i="27"/>
  <c r="S80" i="27"/>
  <c r="K80" i="27"/>
  <c r="E80" i="27" s="1"/>
  <c r="G80" i="39" s="1"/>
  <c r="AI79" i="27"/>
  <c r="AB78" i="27"/>
  <c r="T78" i="27"/>
  <c r="L78" i="27"/>
  <c r="E77" i="27"/>
  <c r="G77" i="39" s="1"/>
  <c r="I77" i="39" s="1"/>
  <c r="M74" i="27"/>
  <c r="E74" i="27" s="1"/>
  <c r="G74" i="39" s="1"/>
  <c r="E74" i="25"/>
  <c r="G74" i="37" s="1"/>
  <c r="I74" i="37" s="1"/>
  <c r="AF73" i="27"/>
  <c r="Z73" i="27"/>
  <c r="R73" i="27"/>
  <c r="J73" i="27"/>
  <c r="AI71" i="27"/>
  <c r="AM72" i="25"/>
  <c r="W71" i="27"/>
  <c r="E71" i="25"/>
  <c r="G71" i="37" s="1"/>
  <c r="I71" i="37" s="1"/>
  <c r="G72" i="25"/>
  <c r="AD64" i="27"/>
  <c r="AD66" i="27" s="1"/>
  <c r="V64" i="27"/>
  <c r="N64" i="27"/>
  <c r="D64" i="25"/>
  <c r="F64" i="37" s="1"/>
  <c r="D55" i="25"/>
  <c r="F55" i="37" s="1"/>
  <c r="H55" i="37" s="1"/>
  <c r="E54" i="25"/>
  <c r="AF45" i="27"/>
  <c r="AJ43" i="25"/>
  <c r="AB41" i="27"/>
  <c r="T41" i="27"/>
  <c r="L41" i="27"/>
  <c r="L42" i="25"/>
  <c r="L43" i="25" s="1"/>
  <c r="U42" i="25"/>
  <c r="U43" i="25" s="1"/>
  <c r="U40" i="27"/>
  <c r="U42" i="27" s="1"/>
  <c r="E40" i="25"/>
  <c r="U36" i="25"/>
  <c r="AI34" i="27"/>
  <c r="AE34" i="27"/>
  <c r="O34" i="27"/>
  <c r="E34" i="25"/>
  <c r="G34" i="37" s="1"/>
  <c r="I34" i="37" s="1"/>
  <c r="AF36" i="27"/>
  <c r="X24" i="25"/>
  <c r="AH23" i="27"/>
  <c r="AD23" i="27"/>
  <c r="V23" i="27"/>
  <c r="N23" i="27"/>
  <c r="D23" i="25"/>
  <c r="F23" i="37" s="1"/>
  <c r="H23" i="37" s="1"/>
  <c r="Q16" i="25"/>
  <c r="D12" i="25"/>
  <c r="F12" i="37" s="1"/>
  <c r="H12" i="37" s="1"/>
  <c r="AB11" i="27"/>
  <c r="AB16" i="27" s="1"/>
  <c r="AB16" i="25"/>
  <c r="T11" i="27"/>
  <c r="T16" i="25"/>
  <c r="L11" i="27"/>
  <c r="L16" i="25"/>
  <c r="M61" i="13"/>
  <c r="E59" i="37"/>
  <c r="E61" i="37" s="1"/>
  <c r="H49" i="15"/>
  <c r="L49" i="13"/>
  <c r="D49" i="37" s="1"/>
  <c r="F49" i="13"/>
  <c r="L40" i="13"/>
  <c r="H40" i="15"/>
  <c r="M27" i="13"/>
  <c r="F88" i="27"/>
  <c r="D88" i="27" s="1"/>
  <c r="F88" i="39" s="1"/>
  <c r="H88" i="39" s="1"/>
  <c r="R59" i="27"/>
  <c r="R61" i="27" s="1"/>
  <c r="V54" i="27"/>
  <c r="V56" i="27" s="1"/>
  <c r="M39" i="27"/>
  <c r="J36" i="27"/>
  <c r="G29" i="27"/>
  <c r="AK24" i="27"/>
  <c r="AM82" i="27"/>
  <c r="E27" i="31"/>
  <c r="T651" i="44"/>
  <c r="V91" i="31"/>
  <c r="I14" i="43"/>
  <c r="F71" i="19"/>
  <c r="L71" i="19"/>
  <c r="D71" i="43" s="1"/>
  <c r="D71" i="5" s="1"/>
  <c r="D75" i="28"/>
  <c r="F75" i="40" s="1"/>
  <c r="H75" i="40" s="1"/>
  <c r="E22" i="28"/>
  <c r="G22" i="40" s="1"/>
  <c r="AE16" i="28"/>
  <c r="AE82" i="28" s="1"/>
  <c r="AC649" i="44" s="1"/>
  <c r="G36" i="38"/>
  <c r="AH19" i="27"/>
  <c r="AH24" i="27" s="1"/>
  <c r="AL24" i="26"/>
  <c r="D19" i="26"/>
  <c r="F24" i="26"/>
  <c r="G39" i="14"/>
  <c r="M39" i="14"/>
  <c r="E39" i="38" s="1"/>
  <c r="I39" i="38" s="1"/>
  <c r="G20" i="14"/>
  <c r="M20" i="14"/>
  <c r="E20" i="38" s="1"/>
  <c r="E24" i="38" s="1"/>
  <c r="I70" i="27"/>
  <c r="I72" i="27" s="1"/>
  <c r="I72" i="25"/>
  <c r="V13" i="27"/>
  <c r="V16" i="25"/>
  <c r="V82" i="25" s="1"/>
  <c r="G47" i="13"/>
  <c r="I47" i="15"/>
  <c r="M47" i="13"/>
  <c r="E47" i="37" s="1"/>
  <c r="AK56" i="27"/>
  <c r="G70" i="18"/>
  <c r="G72" i="18" s="1"/>
  <c r="I72" i="18"/>
  <c r="M70" i="18"/>
  <c r="E41" i="5"/>
  <c r="U24" i="28"/>
  <c r="U82" i="28" s="1"/>
  <c r="S649" i="44" s="1"/>
  <c r="AC82" i="28"/>
  <c r="AA649" i="44" s="1"/>
  <c r="AI40" i="27"/>
  <c r="AI42" i="27" s="1"/>
  <c r="AI43" i="27" s="1"/>
  <c r="AM42" i="26"/>
  <c r="AM43" i="26" s="1"/>
  <c r="G42" i="26"/>
  <c r="G43" i="26" s="1"/>
  <c r="E40" i="26"/>
  <c r="AJ36" i="26"/>
  <c r="T36" i="26"/>
  <c r="F41" i="14"/>
  <c r="F42" i="14" s="1"/>
  <c r="F43" i="14" s="1"/>
  <c r="F22" i="14"/>
  <c r="AG81" i="27"/>
  <c r="P72" i="25"/>
  <c r="P70" i="27"/>
  <c r="P72" i="27" s="1"/>
  <c r="AC59" i="27"/>
  <c r="AC61" i="27" s="1"/>
  <c r="AC61" i="25"/>
  <c r="AD49" i="27"/>
  <c r="AA47" i="27"/>
  <c r="Z40" i="27"/>
  <c r="Z42" i="27" s="1"/>
  <c r="Z43" i="27" s="1"/>
  <c r="Z42" i="25"/>
  <c r="Z43" i="25" s="1"/>
  <c r="AG27" i="27"/>
  <c r="AG29" i="27" s="1"/>
  <c r="AI29" i="25"/>
  <c r="E27" i="25"/>
  <c r="K29" i="25"/>
  <c r="X70" i="27"/>
  <c r="X72" i="27" s="1"/>
  <c r="R66" i="27"/>
  <c r="F80" i="16"/>
  <c r="L80" i="16"/>
  <c r="D80" i="40" s="1"/>
  <c r="H80" i="40" s="1"/>
  <c r="L74" i="16"/>
  <c r="D74" i="40" s="1"/>
  <c r="D74" i="5" s="1"/>
  <c r="F74" i="16"/>
  <c r="M40" i="16"/>
  <c r="I42" i="16"/>
  <c r="I43" i="16" s="1"/>
  <c r="G21" i="16"/>
  <c r="G24" i="16" s="1"/>
  <c r="L12" i="16"/>
  <c r="D12" i="40" s="1"/>
  <c r="D16" i="40" s="1"/>
  <c r="F12" i="16"/>
  <c r="F16" i="16" s="1"/>
  <c r="I49" i="38"/>
  <c r="AO82" i="26"/>
  <c r="AM647" i="44" s="1"/>
  <c r="AD16" i="26"/>
  <c r="AD82" i="26" s="1"/>
  <c r="AB647" i="44" s="1"/>
  <c r="Z66" i="25"/>
  <c r="Z64" i="27"/>
  <c r="Z66" i="27" s="1"/>
  <c r="L61" i="25"/>
  <c r="L59" i="27"/>
  <c r="L61" i="27" s="1"/>
  <c r="AC49" i="27"/>
  <c r="H41" i="27"/>
  <c r="D41" i="27" s="1"/>
  <c r="F41" i="39" s="1"/>
  <c r="D41" i="25"/>
  <c r="F41" i="37" s="1"/>
  <c r="H41" i="37" s="1"/>
  <c r="F36" i="25"/>
  <c r="F82" i="25" s="1"/>
  <c r="F91" i="25" s="1"/>
  <c r="D32" i="25"/>
  <c r="AH29" i="25"/>
  <c r="AF28" i="27"/>
  <c r="O20" i="27"/>
  <c r="E20" i="27" s="1"/>
  <c r="G20" i="39" s="1"/>
  <c r="X14" i="27"/>
  <c r="I45" i="42"/>
  <c r="D74" i="28"/>
  <c r="F74" i="40" s="1"/>
  <c r="E39" i="28"/>
  <c r="G39" i="40" s="1"/>
  <c r="I39" i="40" s="1"/>
  <c r="E32" i="28"/>
  <c r="E35" i="26"/>
  <c r="G35" i="38" s="1"/>
  <c r="I35" i="38" s="1"/>
  <c r="M61" i="14"/>
  <c r="D70" i="25"/>
  <c r="S59" i="27"/>
  <c r="S61" i="27" s="1"/>
  <c r="W55" i="27"/>
  <c r="H56" i="27"/>
  <c r="AL36" i="25"/>
  <c r="AH33" i="27"/>
  <c r="E36" i="25"/>
  <c r="G32" i="37"/>
  <c r="Q27" i="27"/>
  <c r="U22" i="27"/>
  <c r="U24" i="25"/>
  <c r="E71" i="28"/>
  <c r="G71" i="40" s="1"/>
  <c r="I71" i="40" s="1"/>
  <c r="F19" i="40"/>
  <c r="D59" i="28"/>
  <c r="D55" i="28"/>
  <c r="F55" i="40" s="1"/>
  <c r="H55" i="40" s="1"/>
  <c r="F56" i="28"/>
  <c r="D40" i="28"/>
  <c r="G36" i="28"/>
  <c r="D22" i="28"/>
  <c r="F22" i="40" s="1"/>
  <c r="AF24" i="28"/>
  <c r="AF82" i="28" s="1"/>
  <c r="AD649" i="44" s="1"/>
  <c r="X24" i="28"/>
  <c r="X82" i="28" s="1"/>
  <c r="V649" i="44" s="1"/>
  <c r="P24" i="28"/>
  <c r="P82" i="28" s="1"/>
  <c r="N649" i="44" s="1"/>
  <c r="H24" i="28"/>
  <c r="D11" i="28"/>
  <c r="G75" i="16"/>
  <c r="F71" i="16"/>
  <c r="F72" i="16" s="1"/>
  <c r="H72" i="16"/>
  <c r="L71" i="16"/>
  <c r="D71" i="40" s="1"/>
  <c r="H71" i="40" s="1"/>
  <c r="D64" i="40"/>
  <c r="D66" i="40" s="1"/>
  <c r="L66" i="16"/>
  <c r="M60" i="16"/>
  <c r="E60" i="40" s="1"/>
  <c r="I60" i="40" s="1"/>
  <c r="F51" i="16"/>
  <c r="L51" i="16"/>
  <c r="D51" i="40" s="1"/>
  <c r="H51" i="40" s="1"/>
  <c r="L47" i="16"/>
  <c r="D47" i="40" s="1"/>
  <c r="H47" i="40" s="1"/>
  <c r="F47" i="16"/>
  <c r="I29" i="16"/>
  <c r="L27" i="16"/>
  <c r="F27" i="16"/>
  <c r="F29" i="16" s="1"/>
  <c r="G13" i="16"/>
  <c r="G16" i="16" s="1"/>
  <c r="E79" i="26"/>
  <c r="G79" i="38" s="1"/>
  <c r="I79" i="38" s="1"/>
  <c r="J66" i="26"/>
  <c r="AK61" i="26"/>
  <c r="AC61" i="26"/>
  <c r="U61" i="26"/>
  <c r="U82" i="26" s="1"/>
  <c r="S647" i="44" s="1"/>
  <c r="M61" i="26"/>
  <c r="AE56" i="26"/>
  <c r="W56" i="26"/>
  <c r="O56" i="26"/>
  <c r="E54" i="26"/>
  <c r="G56" i="26"/>
  <c r="AO42" i="26"/>
  <c r="AO43" i="26" s="1"/>
  <c r="AG42" i="26"/>
  <c r="AG43" i="26" s="1"/>
  <c r="AG82" i="26" s="1"/>
  <c r="AE647" i="44" s="1"/>
  <c r="Y42" i="26"/>
  <c r="Y43" i="26" s="1"/>
  <c r="Q42" i="26"/>
  <c r="Q43" i="26" s="1"/>
  <c r="I42" i="26"/>
  <c r="I43" i="26" s="1"/>
  <c r="E15" i="26"/>
  <c r="G15" i="38" s="1"/>
  <c r="I15" i="38" s="1"/>
  <c r="M66" i="14"/>
  <c r="G47" i="14"/>
  <c r="M47" i="14"/>
  <c r="E47" i="38" s="1"/>
  <c r="I41" i="15"/>
  <c r="M41" i="14"/>
  <c r="E41" i="38" s="1"/>
  <c r="G41" i="14"/>
  <c r="G42" i="14" s="1"/>
  <c r="G43" i="14" s="1"/>
  <c r="L33" i="14"/>
  <c r="D33" i="38" s="1"/>
  <c r="H33" i="38" s="1"/>
  <c r="M22" i="14"/>
  <c r="E22" i="38" s="1"/>
  <c r="G22" i="14"/>
  <c r="G24" i="14"/>
  <c r="U81" i="27"/>
  <c r="D81" i="25"/>
  <c r="F81" i="37" s="1"/>
  <c r="AH79" i="27"/>
  <c r="AD79" i="27"/>
  <c r="V79" i="27"/>
  <c r="N79" i="27"/>
  <c r="D79" i="27" s="1"/>
  <c r="F79" i="39" s="1"/>
  <c r="H79" i="39" s="1"/>
  <c r="F66" i="25"/>
  <c r="G61" i="25"/>
  <c r="AI59" i="27"/>
  <c r="AI61" i="27" s="1"/>
  <c r="AE61" i="25"/>
  <c r="W61" i="25"/>
  <c r="I42" i="25"/>
  <c r="I43" i="25" s="1"/>
  <c r="AA41" i="27"/>
  <c r="S41" i="27"/>
  <c r="K41" i="27"/>
  <c r="E41" i="27" s="1"/>
  <c r="G41" i="39" s="1"/>
  <c r="U39" i="27"/>
  <c r="Y35" i="27"/>
  <c r="I35" i="27"/>
  <c r="AH34" i="27"/>
  <c r="AH36" i="27" s="1"/>
  <c r="V34" i="27"/>
  <c r="D34" i="25"/>
  <c r="F34" i="37" s="1"/>
  <c r="H34" i="37" s="1"/>
  <c r="L29" i="25"/>
  <c r="AC29" i="27"/>
  <c r="U29" i="27"/>
  <c r="D27" i="25"/>
  <c r="Y22" i="27"/>
  <c r="I22" i="27"/>
  <c r="AM24" i="25"/>
  <c r="AI21" i="27"/>
  <c r="AI24" i="27" s="1"/>
  <c r="AE21" i="27"/>
  <c r="W21" i="27"/>
  <c r="O21" i="27"/>
  <c r="O24" i="27" s="1"/>
  <c r="E21" i="25"/>
  <c r="G21" i="37" s="1"/>
  <c r="I21" i="37" s="1"/>
  <c r="AA19" i="27"/>
  <c r="AH15" i="27"/>
  <c r="AD15" i="27"/>
  <c r="V15" i="27"/>
  <c r="N15" i="27"/>
  <c r="D15" i="25"/>
  <c r="F15" i="37" s="1"/>
  <c r="H15" i="37" s="1"/>
  <c r="E14" i="25"/>
  <c r="G14" i="37" s="1"/>
  <c r="I14" i="37" s="1"/>
  <c r="F86" i="15"/>
  <c r="F81" i="13"/>
  <c r="H81" i="15"/>
  <c r="L81" i="13"/>
  <c r="D81" i="37" s="1"/>
  <c r="I75" i="15"/>
  <c r="G75" i="13"/>
  <c r="M75" i="13"/>
  <c r="E75" i="37" s="1"/>
  <c r="H61" i="13"/>
  <c r="F40" i="13"/>
  <c r="F42" i="13" s="1"/>
  <c r="F43" i="13" s="1"/>
  <c r="M23" i="13"/>
  <c r="E23" i="37" s="1"/>
  <c r="E24" i="37" s="1"/>
  <c r="G23" i="13"/>
  <c r="I23" i="15"/>
  <c r="H14" i="15"/>
  <c r="L14" i="13"/>
  <c r="D14" i="37" s="1"/>
  <c r="F14" i="13"/>
  <c r="AE70" i="27"/>
  <c r="AE72" i="27" s="1"/>
  <c r="AG66" i="27"/>
  <c r="M54" i="27"/>
  <c r="M56" i="27" s="1"/>
  <c r="P42" i="27"/>
  <c r="P43" i="27" s="1"/>
  <c r="W34" i="27"/>
  <c r="AL36" i="27"/>
  <c r="AL24" i="27"/>
  <c r="AL82" i="27" s="1"/>
  <c r="I54" i="15"/>
  <c r="M40" i="15"/>
  <c r="I42" i="15"/>
  <c r="I43" i="15" s="1"/>
  <c r="I27" i="15"/>
  <c r="M11" i="15"/>
  <c r="G11" i="15"/>
  <c r="Y82" i="7"/>
  <c r="Y91" i="7" s="1"/>
  <c r="H45" i="42"/>
  <c r="F35" i="18"/>
  <c r="F36" i="18" s="1"/>
  <c r="L35" i="18"/>
  <c r="D35" i="42" s="1"/>
  <c r="H36" i="18"/>
  <c r="F14" i="18"/>
  <c r="L14" i="18"/>
  <c r="D14" i="42" s="1"/>
  <c r="D51" i="31"/>
  <c r="F51" i="43" s="1"/>
  <c r="G21" i="19"/>
  <c r="M21" i="19"/>
  <c r="E21" i="43" s="1"/>
  <c r="F24" i="19"/>
  <c r="AG19" i="24"/>
  <c r="AI24" i="21"/>
  <c r="AA19" i="24"/>
  <c r="AA24" i="21"/>
  <c r="S19" i="24"/>
  <c r="S24" i="24" s="1"/>
  <c r="S24" i="21"/>
  <c r="K19" i="24"/>
  <c r="K24" i="21"/>
  <c r="AD642" i="44"/>
  <c r="AF91" i="21"/>
  <c r="E15" i="21"/>
  <c r="G15" i="33" s="1"/>
  <c r="I15" i="33" s="1"/>
  <c r="D51" i="5"/>
  <c r="H51" i="42"/>
  <c r="I39" i="42"/>
  <c r="F32" i="42"/>
  <c r="D20" i="30"/>
  <c r="F20" i="42" s="1"/>
  <c r="F24" i="30"/>
  <c r="V82" i="6"/>
  <c r="N82" i="6"/>
  <c r="G11" i="20"/>
  <c r="E11" i="6"/>
  <c r="E16" i="6" s="1"/>
  <c r="E82" i="6" s="1"/>
  <c r="G16" i="6"/>
  <c r="G82" i="6" s="1"/>
  <c r="E41" i="31"/>
  <c r="G41" i="43" s="1"/>
  <c r="M29" i="19"/>
  <c r="E27" i="43"/>
  <c r="E29" i="43" s="1"/>
  <c r="F21" i="19"/>
  <c r="L21" i="19"/>
  <c r="D21" i="43" s="1"/>
  <c r="D34" i="5"/>
  <c r="AF82" i="23"/>
  <c r="AD643" i="44" s="1"/>
  <c r="D27" i="35"/>
  <c r="F87" i="24"/>
  <c r="D87" i="24" s="1"/>
  <c r="F87" i="36" s="1"/>
  <c r="F89" i="21"/>
  <c r="D87" i="21"/>
  <c r="AF81" i="27"/>
  <c r="Z81" i="27"/>
  <c r="R81" i="27"/>
  <c r="J81" i="27"/>
  <c r="D81" i="27" s="1"/>
  <c r="F81" i="39" s="1"/>
  <c r="X80" i="27"/>
  <c r="P80" i="27"/>
  <c r="H80" i="27"/>
  <c r="D80" i="27" s="1"/>
  <c r="F80" i="39" s="1"/>
  <c r="AC79" i="27"/>
  <c r="U79" i="27"/>
  <c r="M79" i="27"/>
  <c r="AG78" i="27"/>
  <c r="AA78" i="27"/>
  <c r="S78" i="27"/>
  <c r="K78" i="27"/>
  <c r="E78" i="27" s="1"/>
  <c r="G78" i="39" s="1"/>
  <c r="X77" i="27"/>
  <c r="P77" i="27"/>
  <c r="H77" i="27"/>
  <c r="D77" i="27" s="1"/>
  <c r="F77" i="39" s="1"/>
  <c r="H77" i="39" s="1"/>
  <c r="AC76" i="27"/>
  <c r="U76" i="27"/>
  <c r="M76" i="27"/>
  <c r="E76" i="27" s="1"/>
  <c r="G76" i="39" s="1"/>
  <c r="AI70" i="27"/>
  <c r="AI72" i="27" s="1"/>
  <c r="AE54" i="27"/>
  <c r="AE56" i="27" s="1"/>
  <c r="W54" i="27"/>
  <c r="W56" i="27" s="1"/>
  <c r="O54" i="27"/>
  <c r="O56" i="27" s="1"/>
  <c r="G56" i="25"/>
  <c r="AH45" i="27"/>
  <c r="D45" i="25"/>
  <c r="F45" i="37" s="1"/>
  <c r="H45" i="37" s="1"/>
  <c r="AB40" i="27"/>
  <c r="AB42" i="27" s="1"/>
  <c r="AB43" i="27" s="1"/>
  <c r="T40" i="27"/>
  <c r="L40" i="27"/>
  <c r="L42" i="27" s="1"/>
  <c r="L43" i="27" s="1"/>
  <c r="AA35" i="27"/>
  <c r="AA36" i="27" s="1"/>
  <c r="S35" i="27"/>
  <c r="K35" i="27"/>
  <c r="E35" i="27" s="1"/>
  <c r="G35" i="39" s="1"/>
  <c r="I35" i="39" s="1"/>
  <c r="AN36" i="25"/>
  <c r="AN82" i="25" s="1"/>
  <c r="AF36" i="25"/>
  <c r="AF82" i="25" s="1"/>
  <c r="X36" i="25"/>
  <c r="P36" i="25"/>
  <c r="H36" i="25"/>
  <c r="Y28" i="27"/>
  <c r="Y29" i="25"/>
  <c r="Q28" i="27"/>
  <c r="E28" i="27" s="1"/>
  <c r="G28" i="39" s="1"/>
  <c r="Q29" i="25"/>
  <c r="I28" i="27"/>
  <c r="I29" i="25"/>
  <c r="AF27" i="27"/>
  <c r="Z27" i="27"/>
  <c r="Z29" i="27" s="1"/>
  <c r="R27" i="27"/>
  <c r="R29" i="27" s="1"/>
  <c r="J27" i="27"/>
  <c r="J29" i="27" s="1"/>
  <c r="M24" i="25"/>
  <c r="AI23" i="27"/>
  <c r="W23" i="27"/>
  <c r="O23" i="27"/>
  <c r="E23" i="25"/>
  <c r="G23" i="37" s="1"/>
  <c r="I23" i="37" s="1"/>
  <c r="AG22" i="27"/>
  <c r="AE24" i="25"/>
  <c r="AE82" i="25" s="1"/>
  <c r="W19" i="27"/>
  <c r="W24" i="27" s="1"/>
  <c r="O24" i="25"/>
  <c r="O82" i="25" s="1"/>
  <c r="E19" i="25"/>
  <c r="T15" i="27"/>
  <c r="Q14" i="27"/>
  <c r="AE13" i="27"/>
  <c r="O13" i="27"/>
  <c r="E13" i="25"/>
  <c r="G13" i="37" s="1"/>
  <c r="I13" i="37" s="1"/>
  <c r="AB12" i="27"/>
  <c r="L12" i="27"/>
  <c r="AA11" i="27"/>
  <c r="K11" i="27"/>
  <c r="H78" i="15"/>
  <c r="F78" i="13"/>
  <c r="H70" i="15"/>
  <c r="M64" i="13"/>
  <c r="I64" i="15"/>
  <c r="I66" i="13"/>
  <c r="I59" i="15"/>
  <c r="I34" i="15"/>
  <c r="G34" i="13"/>
  <c r="G36" i="13" s="1"/>
  <c r="H29" i="13"/>
  <c r="L29" i="13"/>
  <c r="AO89" i="27"/>
  <c r="AG89" i="27"/>
  <c r="Y89" i="27"/>
  <c r="Q89" i="27"/>
  <c r="I89" i="27"/>
  <c r="AN72" i="27"/>
  <c r="AO66" i="27"/>
  <c r="AL56" i="27"/>
  <c r="AM36" i="27"/>
  <c r="X34" i="27"/>
  <c r="H34" i="27"/>
  <c r="AK36" i="27"/>
  <c r="F36" i="27"/>
  <c r="AK29" i="27"/>
  <c r="F29" i="27"/>
  <c r="AJ16" i="27"/>
  <c r="AJ82" i="27" s="1"/>
  <c r="H54" i="15"/>
  <c r="H45" i="15"/>
  <c r="I74" i="42"/>
  <c r="I55" i="42"/>
  <c r="E40" i="30"/>
  <c r="G42" i="30"/>
  <c r="G43" i="30" s="1"/>
  <c r="H34" i="42"/>
  <c r="F41" i="18"/>
  <c r="H42" i="18"/>
  <c r="H43" i="18" s="1"/>
  <c r="M34" i="18"/>
  <c r="E34" i="42" s="1"/>
  <c r="I34" i="42" s="1"/>
  <c r="G34" i="18"/>
  <c r="D16" i="6"/>
  <c r="D82" i="6" s="1"/>
  <c r="D79" i="31"/>
  <c r="F79" i="43" s="1"/>
  <c r="D41" i="31"/>
  <c r="F41" i="43" s="1"/>
  <c r="H41" i="43" s="1"/>
  <c r="F42" i="31"/>
  <c r="F43" i="31" s="1"/>
  <c r="D39" i="31"/>
  <c r="F39" i="43" s="1"/>
  <c r="D27" i="31"/>
  <c r="F29" i="31"/>
  <c r="G71" i="19"/>
  <c r="M71" i="19"/>
  <c r="E71" i="43" s="1"/>
  <c r="I71" i="43" s="1"/>
  <c r="G35" i="19"/>
  <c r="M35" i="19"/>
  <c r="E35" i="43" s="1"/>
  <c r="E35" i="5" s="1"/>
  <c r="M33" i="19"/>
  <c r="I36" i="19"/>
  <c r="G33" i="19"/>
  <c r="G36" i="19" s="1"/>
  <c r="I29" i="19"/>
  <c r="G27" i="19"/>
  <c r="G29" i="19" s="1"/>
  <c r="M27" i="11"/>
  <c r="I29" i="11"/>
  <c r="G27" i="11"/>
  <c r="G29" i="11" s="1"/>
  <c r="V43" i="21"/>
  <c r="AI11" i="24"/>
  <c r="AI16" i="24" s="1"/>
  <c r="AM16" i="21"/>
  <c r="AE11" i="24"/>
  <c r="AE16" i="21"/>
  <c r="W11" i="24"/>
  <c r="W16" i="21"/>
  <c r="O11" i="24"/>
  <c r="O16" i="21"/>
  <c r="E11" i="21"/>
  <c r="G16" i="21"/>
  <c r="F61" i="20"/>
  <c r="D59" i="20"/>
  <c r="D15" i="20"/>
  <c r="F15" i="32" s="1"/>
  <c r="H15" i="32" s="1"/>
  <c r="K82" i="20"/>
  <c r="I641" i="44" s="1"/>
  <c r="D34" i="27"/>
  <c r="F34" i="39" s="1"/>
  <c r="H34" i="39" s="1"/>
  <c r="M33" i="15"/>
  <c r="E33" i="39" s="1"/>
  <c r="G33" i="15"/>
  <c r="I27" i="42"/>
  <c r="G29" i="42"/>
  <c r="I49" i="42"/>
  <c r="G88" i="5"/>
  <c r="H22" i="4"/>
  <c r="I75" i="43"/>
  <c r="AA56" i="31"/>
  <c r="E54" i="31"/>
  <c r="L51" i="19"/>
  <c r="D51" i="43" s="1"/>
  <c r="F51" i="19"/>
  <c r="G59" i="35"/>
  <c r="U59" i="24"/>
  <c r="U61" i="21"/>
  <c r="H41" i="33"/>
  <c r="Z40" i="24"/>
  <c r="Z42" i="21"/>
  <c r="Z43" i="21" s="1"/>
  <c r="J40" i="24"/>
  <c r="J42" i="21"/>
  <c r="J43" i="21" s="1"/>
  <c r="N39" i="24"/>
  <c r="N43" i="21"/>
  <c r="AI27" i="24"/>
  <c r="AI29" i="24" s="1"/>
  <c r="AM29" i="21"/>
  <c r="Z19" i="24"/>
  <c r="Z24" i="21"/>
  <c r="J19" i="24"/>
  <c r="J24" i="21"/>
  <c r="L79" i="14"/>
  <c r="D79" i="38" s="1"/>
  <c r="L75" i="14"/>
  <c r="D75" i="38" s="1"/>
  <c r="AE81" i="27"/>
  <c r="W81" i="27"/>
  <c r="O81" i="27"/>
  <c r="AC80" i="27"/>
  <c r="U80" i="27"/>
  <c r="M80" i="27"/>
  <c r="AF76" i="27"/>
  <c r="AI75" i="27"/>
  <c r="L74" i="27"/>
  <c r="Y73" i="27"/>
  <c r="Q73" i="27"/>
  <c r="I73" i="27"/>
  <c r="AD71" i="27"/>
  <c r="AD72" i="27" s="1"/>
  <c r="V71" i="27"/>
  <c r="V72" i="27" s="1"/>
  <c r="N71" i="27"/>
  <c r="N72" i="27" s="1"/>
  <c r="AB70" i="27"/>
  <c r="T70" i="27"/>
  <c r="L70" i="27"/>
  <c r="AK66" i="25"/>
  <c r="AC64" i="27"/>
  <c r="AC66" i="27" s="1"/>
  <c r="AC66" i="25"/>
  <c r="U64" i="27"/>
  <c r="U66" i="27" s="1"/>
  <c r="U66" i="25"/>
  <c r="M64" i="27"/>
  <c r="M66" i="27" s="1"/>
  <c r="M66" i="25"/>
  <c r="E66" i="25" s="1"/>
  <c r="AF60" i="27"/>
  <c r="Z60" i="27"/>
  <c r="R60" i="27"/>
  <c r="J60" i="27"/>
  <c r="X59" i="27"/>
  <c r="P59" i="27"/>
  <c r="P61" i="27" s="1"/>
  <c r="H59" i="27"/>
  <c r="AG55" i="27"/>
  <c r="AA55" i="27"/>
  <c r="AA56" i="27" s="1"/>
  <c r="S55" i="27"/>
  <c r="S56" i="27" s="1"/>
  <c r="K55" i="27"/>
  <c r="AJ56" i="25"/>
  <c r="AB56" i="25"/>
  <c r="T56" i="25"/>
  <c r="L56" i="25"/>
  <c r="X51" i="27"/>
  <c r="P51" i="27"/>
  <c r="H51" i="27"/>
  <c r="AD47" i="27"/>
  <c r="V47" i="27"/>
  <c r="N47" i="27"/>
  <c r="AG45" i="27"/>
  <c r="AA45" i="27"/>
  <c r="S45" i="27"/>
  <c r="K45" i="27"/>
  <c r="AI41" i="27"/>
  <c r="AM42" i="25"/>
  <c r="AM43" i="25" s="1"/>
  <c r="E41" i="25"/>
  <c r="G41" i="37" s="1"/>
  <c r="I41" i="37" s="1"/>
  <c r="Y40" i="27"/>
  <c r="Q40" i="27"/>
  <c r="Q42" i="27" s="1"/>
  <c r="Q43" i="27" s="1"/>
  <c r="I40" i="27"/>
  <c r="AG39" i="27"/>
  <c r="AO36" i="25"/>
  <c r="AO82" i="25" s="1"/>
  <c r="Y33" i="27"/>
  <c r="Q33" i="27"/>
  <c r="I33" i="27"/>
  <c r="AG36" i="25"/>
  <c r="Y36" i="25"/>
  <c r="Q36" i="25"/>
  <c r="I36" i="25"/>
  <c r="D28" i="25"/>
  <c r="F28" i="37" s="1"/>
  <c r="H28" i="37" s="1"/>
  <c r="AE27" i="27"/>
  <c r="AE29" i="27" s="1"/>
  <c r="W27" i="27"/>
  <c r="W29" i="27" s="1"/>
  <c r="O27" i="27"/>
  <c r="O29" i="27" s="1"/>
  <c r="L23" i="27"/>
  <c r="AJ24" i="25"/>
  <c r="AJ82" i="25" s="1"/>
  <c r="AB19" i="27"/>
  <c r="AB24" i="25"/>
  <c r="T19" i="27"/>
  <c r="T24" i="25"/>
  <c r="L19" i="27"/>
  <c r="L24" i="25"/>
  <c r="AH14" i="27"/>
  <c r="AD14" i="27"/>
  <c r="V14" i="27"/>
  <c r="N14" i="27"/>
  <c r="AB13" i="27"/>
  <c r="T13" i="27"/>
  <c r="L13" i="27"/>
  <c r="Y12" i="27"/>
  <c r="Q12" i="27"/>
  <c r="Q16" i="27" s="1"/>
  <c r="I12" i="27"/>
  <c r="I16" i="27" s="1"/>
  <c r="X11" i="27"/>
  <c r="X16" i="27" s="1"/>
  <c r="P11" i="27"/>
  <c r="H11" i="27"/>
  <c r="I88" i="15"/>
  <c r="G88" i="13"/>
  <c r="G88" i="15" s="1"/>
  <c r="I86" i="15"/>
  <c r="I89" i="15" s="1"/>
  <c r="M86" i="13"/>
  <c r="I79" i="15"/>
  <c r="G79" i="13"/>
  <c r="H74" i="15"/>
  <c r="F74" i="13"/>
  <c r="H71" i="15"/>
  <c r="L71" i="13"/>
  <c r="D71" i="37" s="1"/>
  <c r="H23" i="15"/>
  <c r="F23" i="13"/>
  <c r="K82" i="13"/>
  <c r="K91" i="13" s="1"/>
  <c r="H13" i="15"/>
  <c r="L13" i="13"/>
  <c r="D13" i="37" s="1"/>
  <c r="D16" i="37" s="1"/>
  <c r="M16" i="13"/>
  <c r="AI89" i="27"/>
  <c r="AA89" i="27"/>
  <c r="S89" i="27"/>
  <c r="K89" i="27"/>
  <c r="E79" i="27"/>
  <c r="G79" i="39" s="1"/>
  <c r="F72" i="27"/>
  <c r="T54" i="27"/>
  <c r="T56" i="27" s="1"/>
  <c r="W40" i="27"/>
  <c r="W42" i="27" s="1"/>
  <c r="W43" i="27" s="1"/>
  <c r="G42" i="27"/>
  <c r="G43" i="27" s="1"/>
  <c r="Q32" i="27"/>
  <c r="Q36" i="27" s="1"/>
  <c r="D19" i="27"/>
  <c r="F24" i="27"/>
  <c r="H28" i="15"/>
  <c r="R91" i="7"/>
  <c r="U82" i="7"/>
  <c r="U91" i="7" s="1"/>
  <c r="J82" i="7"/>
  <c r="J91" i="7" s="1"/>
  <c r="I80" i="42"/>
  <c r="G61" i="42"/>
  <c r="E56" i="30"/>
  <c r="G54" i="42"/>
  <c r="H49" i="42"/>
  <c r="F49" i="5"/>
  <c r="H49" i="5" s="1"/>
  <c r="L22" i="18"/>
  <c r="D22" i="42" s="1"/>
  <c r="H24" i="18"/>
  <c r="G20" i="18"/>
  <c r="G24" i="18" s="1"/>
  <c r="M20" i="18"/>
  <c r="E20" i="42" s="1"/>
  <c r="I24" i="18"/>
  <c r="I82" i="18" s="1"/>
  <c r="W56" i="6"/>
  <c r="W82" i="6" s="1"/>
  <c r="G55" i="31"/>
  <c r="E55" i="6"/>
  <c r="E56" i="6" s="1"/>
  <c r="F89" i="31"/>
  <c r="D86" i="31"/>
  <c r="I73" i="43"/>
  <c r="H65" i="43"/>
  <c r="D55" i="31"/>
  <c r="F55" i="43" s="1"/>
  <c r="H55" i="43" s="1"/>
  <c r="D36" i="31"/>
  <c r="F32" i="43"/>
  <c r="G29" i="31"/>
  <c r="E28" i="31"/>
  <c r="G28" i="43" s="1"/>
  <c r="F651" i="44"/>
  <c r="H91" i="31"/>
  <c r="AO82" i="31"/>
  <c r="M15" i="19"/>
  <c r="E15" i="43" s="1"/>
  <c r="I15" i="43" s="1"/>
  <c r="G15" i="19"/>
  <c r="M11" i="19"/>
  <c r="I16" i="19"/>
  <c r="G11" i="19"/>
  <c r="L59" i="24"/>
  <c r="L61" i="23"/>
  <c r="D59" i="23"/>
  <c r="L81" i="11"/>
  <c r="D81" i="35" s="1"/>
  <c r="F81" i="11"/>
  <c r="F79" i="11"/>
  <c r="L79" i="11"/>
  <c r="D79" i="35" s="1"/>
  <c r="L77" i="11"/>
  <c r="D77" i="35" s="1"/>
  <c r="F77" i="11"/>
  <c r="AB71" i="24"/>
  <c r="AB72" i="21"/>
  <c r="T71" i="24"/>
  <c r="T72" i="21"/>
  <c r="L71" i="24"/>
  <c r="L72" i="21"/>
  <c r="X70" i="24"/>
  <c r="X72" i="21"/>
  <c r="P70" i="24"/>
  <c r="P72" i="21"/>
  <c r="G72" i="21"/>
  <c r="E70" i="21"/>
  <c r="AI33" i="24"/>
  <c r="AM36" i="21"/>
  <c r="AE33" i="24"/>
  <c r="AE36" i="21"/>
  <c r="W33" i="24"/>
  <c r="W36" i="21"/>
  <c r="O33" i="24"/>
  <c r="O36" i="21"/>
  <c r="E33" i="21"/>
  <c r="G33" i="33" s="1"/>
  <c r="G36" i="21"/>
  <c r="F11" i="33"/>
  <c r="Q61" i="27"/>
  <c r="E51" i="27"/>
  <c r="G51" i="39" s="1"/>
  <c r="X42" i="27"/>
  <c r="X43" i="27" s="1"/>
  <c r="D86" i="39"/>
  <c r="V82" i="7"/>
  <c r="V91" i="7" s="1"/>
  <c r="F59" i="42"/>
  <c r="D61" i="30"/>
  <c r="L61" i="18"/>
  <c r="D59" i="42"/>
  <c r="H87" i="43"/>
  <c r="D40" i="23"/>
  <c r="H42" i="23"/>
  <c r="H43" i="23" s="1"/>
  <c r="G75" i="11"/>
  <c r="M75" i="11"/>
  <c r="E75" i="35" s="1"/>
  <c r="E75" i="5" s="1"/>
  <c r="E59" i="21"/>
  <c r="R40" i="24"/>
  <c r="R42" i="21"/>
  <c r="R43" i="21" s="1"/>
  <c r="D39" i="21"/>
  <c r="F39" i="33" s="1"/>
  <c r="H39" i="33" s="1"/>
  <c r="F43" i="21"/>
  <c r="S28" i="24"/>
  <c r="S29" i="21"/>
  <c r="G29" i="21"/>
  <c r="E27" i="21"/>
  <c r="AF19" i="24"/>
  <c r="AH24" i="21"/>
  <c r="AH81" i="27"/>
  <c r="AI78" i="27"/>
  <c r="E78" i="25"/>
  <c r="G78" i="37" s="1"/>
  <c r="I78" i="37" s="1"/>
  <c r="AD75" i="27"/>
  <c r="V75" i="27"/>
  <c r="N75" i="27"/>
  <c r="D75" i="27" s="1"/>
  <c r="F75" i="39" s="1"/>
  <c r="H75" i="39" s="1"/>
  <c r="AB74" i="27"/>
  <c r="T74" i="27"/>
  <c r="K74" i="27"/>
  <c r="X73" i="27"/>
  <c r="P73" i="27"/>
  <c r="H73" i="27"/>
  <c r="D73" i="27" s="1"/>
  <c r="F73" i="39" s="1"/>
  <c r="AC71" i="27"/>
  <c r="U71" i="27"/>
  <c r="M71" i="27"/>
  <c r="AG70" i="27"/>
  <c r="AG72" i="27" s="1"/>
  <c r="AI72" i="25"/>
  <c r="AA70" i="27"/>
  <c r="AA72" i="27" s="1"/>
  <c r="AA72" i="25"/>
  <c r="S70" i="27"/>
  <c r="S72" i="27" s="1"/>
  <c r="S72" i="25"/>
  <c r="K70" i="27"/>
  <c r="K72" i="27" s="1"/>
  <c r="K72" i="25"/>
  <c r="X65" i="27"/>
  <c r="P65" i="27"/>
  <c r="H65" i="27"/>
  <c r="AB64" i="27"/>
  <c r="AB66" i="27" s="1"/>
  <c r="T64" i="27"/>
  <c r="T66" i="27" s="1"/>
  <c r="L64" i="27"/>
  <c r="L66" i="27" s="1"/>
  <c r="Y60" i="27"/>
  <c r="Y61" i="27" s="1"/>
  <c r="Q60" i="27"/>
  <c r="I60" i="27"/>
  <c r="AE59" i="27"/>
  <c r="AE61" i="27" s="1"/>
  <c r="W59" i="27"/>
  <c r="W61" i="27" s="1"/>
  <c r="O59" i="27"/>
  <c r="O61" i="27" s="1"/>
  <c r="Z55" i="27"/>
  <c r="R55" i="27"/>
  <c r="J55" i="27"/>
  <c r="D55" i="27" s="1"/>
  <c r="F55" i="39" s="1"/>
  <c r="AG54" i="27"/>
  <c r="AG56" i="27" s="1"/>
  <c r="AE51" i="27"/>
  <c r="W51" i="27"/>
  <c r="O51" i="27"/>
  <c r="E51" i="25"/>
  <c r="G51" i="37" s="1"/>
  <c r="I51" i="37" s="1"/>
  <c r="X49" i="27"/>
  <c r="P49" i="27"/>
  <c r="H49" i="27"/>
  <c r="AC47" i="27"/>
  <c r="U47" i="27"/>
  <c r="M47" i="27"/>
  <c r="Z45" i="27"/>
  <c r="R45" i="27"/>
  <c r="J45" i="27"/>
  <c r="D45" i="27" s="1"/>
  <c r="F45" i="39" s="1"/>
  <c r="AD41" i="27"/>
  <c r="AD42" i="27" s="1"/>
  <c r="AD43" i="27" s="1"/>
  <c r="V41" i="27"/>
  <c r="N41" i="27"/>
  <c r="N42" i="27" s="1"/>
  <c r="N43" i="27" s="1"/>
  <c r="AF42" i="25"/>
  <c r="AF43" i="25" s="1"/>
  <c r="X42" i="25"/>
  <c r="X43" i="25" s="1"/>
  <c r="P42" i="25"/>
  <c r="P43" i="25" s="1"/>
  <c r="H42" i="25"/>
  <c r="H43" i="25" s="1"/>
  <c r="AF39" i="27"/>
  <c r="D39" i="27" s="1"/>
  <c r="F39" i="39" s="1"/>
  <c r="H39" i="39" s="1"/>
  <c r="Z39" i="27"/>
  <c r="R39" i="27"/>
  <c r="J39" i="27"/>
  <c r="AI35" i="27"/>
  <c r="AB34" i="27"/>
  <c r="T34" i="27"/>
  <c r="L34" i="27"/>
  <c r="X33" i="27"/>
  <c r="P33" i="27"/>
  <c r="H33" i="27"/>
  <c r="X32" i="27"/>
  <c r="P32" i="27"/>
  <c r="H32" i="27"/>
  <c r="AG23" i="27"/>
  <c r="AA23" i="27"/>
  <c r="AI22" i="27"/>
  <c r="AE22" i="27"/>
  <c r="W22" i="27"/>
  <c r="AC21" i="27"/>
  <c r="U21" i="27"/>
  <c r="AB20" i="27"/>
  <c r="R20" i="27"/>
  <c r="AG19" i="27"/>
  <c r="AG24" i="27" s="1"/>
  <c r="S19" i="27"/>
  <c r="S24" i="27" s="1"/>
  <c r="K19" i="27"/>
  <c r="X15" i="27"/>
  <c r="P15" i="27"/>
  <c r="H15" i="27"/>
  <c r="AK16" i="25"/>
  <c r="AK82" i="25" s="1"/>
  <c r="AC14" i="27"/>
  <c r="AC16" i="25"/>
  <c r="AC82" i="25" s="1"/>
  <c r="U14" i="27"/>
  <c r="U16" i="27" s="1"/>
  <c r="U16" i="25"/>
  <c r="M14" i="27"/>
  <c r="E14" i="27" s="1"/>
  <c r="G14" i="39" s="1"/>
  <c r="M16" i="25"/>
  <c r="AI16" i="25"/>
  <c r="AG13" i="27"/>
  <c r="AA13" i="27"/>
  <c r="AA16" i="25"/>
  <c r="S13" i="27"/>
  <c r="S16" i="27" s="1"/>
  <c r="S16" i="25"/>
  <c r="K13" i="27"/>
  <c r="E13" i="27" s="1"/>
  <c r="G13" i="39" s="1"/>
  <c r="I13" i="39" s="1"/>
  <c r="K16" i="25"/>
  <c r="K82" i="25" s="1"/>
  <c r="K91" i="25" s="1"/>
  <c r="I646" i="44" s="1"/>
  <c r="X12" i="27"/>
  <c r="P12" i="27"/>
  <c r="H12" i="27"/>
  <c r="AE11" i="27"/>
  <c r="AE16" i="27" s="1"/>
  <c r="W11" i="27"/>
  <c r="W16" i="27" s="1"/>
  <c r="O11" i="27"/>
  <c r="E11" i="25"/>
  <c r="H88" i="15"/>
  <c r="F88" i="13"/>
  <c r="F88" i="15" s="1"/>
  <c r="F71" i="13"/>
  <c r="F72" i="13" s="1"/>
  <c r="I65" i="15"/>
  <c r="G65" i="13"/>
  <c r="G66" i="13" s="1"/>
  <c r="H55" i="15"/>
  <c r="I51" i="15"/>
  <c r="H41" i="15"/>
  <c r="H35" i="15"/>
  <c r="L35" i="13"/>
  <c r="D35" i="37" s="1"/>
  <c r="M33" i="13"/>
  <c r="I36" i="13"/>
  <c r="I28" i="15"/>
  <c r="F13" i="13"/>
  <c r="H11" i="15"/>
  <c r="F11" i="13"/>
  <c r="H16" i="13"/>
  <c r="H82" i="13" s="1"/>
  <c r="H91" i="13" s="1"/>
  <c r="G56" i="27"/>
  <c r="E47" i="27"/>
  <c r="G47" i="39" s="1"/>
  <c r="F42" i="27"/>
  <c r="F43" i="27" s="1"/>
  <c r="P34" i="27"/>
  <c r="AO82" i="27"/>
  <c r="D91" i="15"/>
  <c r="I55" i="15"/>
  <c r="K24" i="15"/>
  <c r="K16" i="15"/>
  <c r="T82" i="7"/>
  <c r="T91" i="7" s="1"/>
  <c r="D72" i="42"/>
  <c r="G15" i="5"/>
  <c r="E70" i="30"/>
  <c r="G72" i="30"/>
  <c r="I65" i="42"/>
  <c r="G80" i="18"/>
  <c r="M80" i="18"/>
  <c r="E80" i="42" s="1"/>
  <c r="L78" i="18"/>
  <c r="D78" i="42" s="1"/>
  <c r="F78" i="18"/>
  <c r="F59" i="18"/>
  <c r="F61" i="18" s="1"/>
  <c r="H61" i="18"/>
  <c r="I86" i="43"/>
  <c r="G89" i="43"/>
  <c r="G66" i="31"/>
  <c r="E66" i="31" s="1"/>
  <c r="E64" i="31"/>
  <c r="G64" i="43" s="1"/>
  <c r="E35" i="31"/>
  <c r="G35" i="43" s="1"/>
  <c r="N651" i="44"/>
  <c r="P91" i="31"/>
  <c r="Z24" i="31"/>
  <c r="D19" i="31"/>
  <c r="M651" i="44"/>
  <c r="O91" i="31"/>
  <c r="D81" i="5"/>
  <c r="I76" i="35"/>
  <c r="AE82" i="23"/>
  <c r="AC643" i="44" s="1"/>
  <c r="E14" i="23"/>
  <c r="G14" i="35" s="1"/>
  <c r="I14" i="35" s="1"/>
  <c r="AJ82" i="23"/>
  <c r="AH643" i="44" s="1"/>
  <c r="T82" i="23"/>
  <c r="R643" i="44" s="1"/>
  <c r="L16" i="23"/>
  <c r="L82" i="23" s="1"/>
  <c r="J643" i="44" s="1"/>
  <c r="D13" i="23"/>
  <c r="F13" i="35" s="1"/>
  <c r="D70" i="21"/>
  <c r="AI60" i="24"/>
  <c r="AM61" i="21"/>
  <c r="AE60" i="24"/>
  <c r="AE61" i="21"/>
  <c r="W61" i="21"/>
  <c r="W60" i="24"/>
  <c r="E60" i="21"/>
  <c r="G60" i="33" s="1"/>
  <c r="I60" i="33" s="1"/>
  <c r="G61" i="21"/>
  <c r="I34" i="12"/>
  <c r="G34" i="9"/>
  <c r="M34" i="9"/>
  <c r="E34" i="33" s="1"/>
  <c r="H42" i="27"/>
  <c r="H43" i="27" s="1"/>
  <c r="AE24" i="27"/>
  <c r="M15" i="15"/>
  <c r="E15" i="39" s="1"/>
  <c r="G15" i="15"/>
  <c r="G20" i="20"/>
  <c r="G24" i="7"/>
  <c r="G82" i="7" s="1"/>
  <c r="G91" i="7" s="1"/>
  <c r="E12" i="7"/>
  <c r="G12" i="21"/>
  <c r="E12" i="21" s="1"/>
  <c r="G12" i="33" s="1"/>
  <c r="I12" i="33" s="1"/>
  <c r="H77" i="42"/>
  <c r="H12" i="42"/>
  <c r="AC59" i="24"/>
  <c r="AC61" i="24" s="1"/>
  <c r="AC61" i="21"/>
  <c r="M59" i="24"/>
  <c r="M61" i="24" s="1"/>
  <c r="M61" i="21"/>
  <c r="AF40" i="24"/>
  <c r="AH42" i="21"/>
  <c r="AH43" i="21" s="1"/>
  <c r="AG28" i="24"/>
  <c r="AI29" i="21"/>
  <c r="AA28" i="24"/>
  <c r="AA29" i="21"/>
  <c r="K28" i="24"/>
  <c r="K29" i="21"/>
  <c r="AE27" i="24"/>
  <c r="AE29" i="21"/>
  <c r="W27" i="24"/>
  <c r="W29" i="21"/>
  <c r="O27" i="24"/>
  <c r="O29" i="24" s="1"/>
  <c r="O29" i="21"/>
  <c r="AC20" i="24"/>
  <c r="AC24" i="21"/>
  <c r="U20" i="24"/>
  <c r="U24" i="21"/>
  <c r="M20" i="24"/>
  <c r="M24" i="21"/>
  <c r="R19" i="24"/>
  <c r="R24" i="21"/>
  <c r="AH78" i="27"/>
  <c r="D78" i="27" s="1"/>
  <c r="F78" i="39" s="1"/>
  <c r="AG77" i="27"/>
  <c r="X76" i="27"/>
  <c r="P76" i="27"/>
  <c r="H76" i="27"/>
  <c r="AC75" i="27"/>
  <c r="U75" i="27"/>
  <c r="M75" i="27"/>
  <c r="AG74" i="27"/>
  <c r="AA74" i="27"/>
  <c r="S74" i="27"/>
  <c r="J74" i="27"/>
  <c r="AE73" i="27"/>
  <c r="W73" i="27"/>
  <c r="O73" i="27"/>
  <c r="E73" i="25"/>
  <c r="G73" i="37" s="1"/>
  <c r="I73" i="37" s="1"/>
  <c r="AB71" i="27"/>
  <c r="T71" i="27"/>
  <c r="L71" i="27"/>
  <c r="AH72" i="25"/>
  <c r="Z70" i="27"/>
  <c r="Z72" i="25"/>
  <c r="R70" i="27"/>
  <c r="R72" i="27" s="1"/>
  <c r="R72" i="25"/>
  <c r="J70" i="27"/>
  <c r="J72" i="27" s="1"/>
  <c r="J72" i="25"/>
  <c r="AE65" i="27"/>
  <c r="AE66" i="27" s="1"/>
  <c r="W65" i="27"/>
  <c r="W66" i="27" s="1"/>
  <c r="O65" i="27"/>
  <c r="O66" i="27" s="1"/>
  <c r="AA64" i="27"/>
  <c r="AA66" i="27" s="1"/>
  <c r="S64" i="27"/>
  <c r="S66" i="27" s="1"/>
  <c r="K64" i="27"/>
  <c r="K66" i="27" s="1"/>
  <c r="X60" i="27"/>
  <c r="D60" i="27" s="1"/>
  <c r="F60" i="39" s="1"/>
  <c r="P60" i="27"/>
  <c r="H60" i="27"/>
  <c r="AD59" i="27"/>
  <c r="V59" i="27"/>
  <c r="V61" i="27" s="1"/>
  <c r="N59" i="27"/>
  <c r="N61" i="27" s="1"/>
  <c r="Y55" i="27"/>
  <c r="Y56" i="27" s="1"/>
  <c r="Q55" i="27"/>
  <c r="Q56" i="27" s="1"/>
  <c r="I55" i="27"/>
  <c r="E55" i="27" s="1"/>
  <c r="G55" i="39" s="1"/>
  <c r="AF54" i="27"/>
  <c r="AF56" i="27" s="1"/>
  <c r="Z54" i="27"/>
  <c r="R54" i="27"/>
  <c r="R56" i="27" s="1"/>
  <c r="J54" i="27"/>
  <c r="AD51" i="27"/>
  <c r="V51" i="27"/>
  <c r="N51" i="27"/>
  <c r="AE49" i="27"/>
  <c r="W49" i="27"/>
  <c r="O49" i="27"/>
  <c r="E49" i="25"/>
  <c r="G49" i="37" s="1"/>
  <c r="I49" i="37" s="1"/>
  <c r="AB47" i="27"/>
  <c r="T47" i="27"/>
  <c r="L47" i="27"/>
  <c r="Y45" i="27"/>
  <c r="Q45" i="27"/>
  <c r="E45" i="27" s="1"/>
  <c r="G45" i="39" s="1"/>
  <c r="I45" i="39" s="1"/>
  <c r="I45" i="27"/>
  <c r="AC41" i="27"/>
  <c r="U41" i="27"/>
  <c r="M41" i="27"/>
  <c r="AE43" i="25"/>
  <c r="W43" i="25"/>
  <c r="O43" i="25"/>
  <c r="G43" i="25"/>
  <c r="Y39" i="27"/>
  <c r="Q39" i="27"/>
  <c r="I39" i="27"/>
  <c r="AD35" i="27"/>
  <c r="V35" i="27"/>
  <c r="N35" i="27"/>
  <c r="D35" i="25"/>
  <c r="F35" i="37" s="1"/>
  <c r="H35" i="37" s="1"/>
  <c r="AG34" i="27"/>
  <c r="AG36" i="27" s="1"/>
  <c r="AA34" i="27"/>
  <c r="S34" i="27"/>
  <c r="K34" i="27"/>
  <c r="E34" i="27" s="1"/>
  <c r="G34" i="39" s="1"/>
  <c r="AE33" i="27"/>
  <c r="W33" i="27"/>
  <c r="O33" i="27"/>
  <c r="AE32" i="27"/>
  <c r="AE36" i="27" s="1"/>
  <c r="W32" i="27"/>
  <c r="W36" i="27" s="1"/>
  <c r="O32" i="27"/>
  <c r="E32" i="27" s="1"/>
  <c r="AB28" i="27"/>
  <c r="T28" i="27"/>
  <c r="L28" i="27"/>
  <c r="D28" i="27" s="1"/>
  <c r="F28" i="39" s="1"/>
  <c r="AH22" i="27"/>
  <c r="AD22" i="27"/>
  <c r="V22" i="27"/>
  <c r="AB21" i="27"/>
  <c r="T21" i="27"/>
  <c r="Z20" i="27"/>
  <c r="Q20" i="27"/>
  <c r="AF19" i="27"/>
  <c r="Z19" i="27"/>
  <c r="R19" i="27"/>
  <c r="J19" i="27"/>
  <c r="AI15" i="27"/>
  <c r="AE15" i="27"/>
  <c r="W15" i="27"/>
  <c r="O15" i="27"/>
  <c r="AB14" i="27"/>
  <c r="T14" i="27"/>
  <c r="L14" i="27"/>
  <c r="D14" i="27" s="1"/>
  <c r="F14" i="39" s="1"/>
  <c r="AF13" i="27"/>
  <c r="AF16" i="27" s="1"/>
  <c r="Z13" i="27"/>
  <c r="R13" i="27"/>
  <c r="J13" i="27"/>
  <c r="D13" i="27" s="1"/>
  <c r="F13" i="39" s="1"/>
  <c r="AI12" i="27"/>
  <c r="AI16" i="27" s="1"/>
  <c r="AI82" i="27" s="1"/>
  <c r="W12" i="27"/>
  <c r="E12" i="25"/>
  <c r="G12" i="37" s="1"/>
  <c r="I12" i="37" s="1"/>
  <c r="G86" i="15"/>
  <c r="G89" i="15" s="1"/>
  <c r="G89" i="13"/>
  <c r="E91" i="13"/>
  <c r="I39" i="15"/>
  <c r="G39" i="13"/>
  <c r="G43" i="13" s="1"/>
  <c r="H33" i="15"/>
  <c r="F33" i="13"/>
  <c r="H21" i="15"/>
  <c r="L21" i="13"/>
  <c r="D21" i="37" s="1"/>
  <c r="M24" i="13"/>
  <c r="I14" i="15"/>
  <c r="G11" i="13"/>
  <c r="AJ89" i="27"/>
  <c r="AB89" i="27"/>
  <c r="T89" i="27"/>
  <c r="L89" i="27"/>
  <c r="D74" i="27"/>
  <c r="F74" i="39" s="1"/>
  <c r="E71" i="27"/>
  <c r="G71" i="39" s="1"/>
  <c r="AF70" i="27"/>
  <c r="AF72" i="27" s="1"/>
  <c r="T65" i="27"/>
  <c r="E65" i="27"/>
  <c r="G65" i="39" s="1"/>
  <c r="G66" i="27"/>
  <c r="AN36" i="27"/>
  <c r="AN24" i="27"/>
  <c r="J24" i="15"/>
  <c r="J16" i="15"/>
  <c r="J82" i="15" s="1"/>
  <c r="J91" i="15" s="1"/>
  <c r="I94" i="7"/>
  <c r="H81" i="42"/>
  <c r="H79" i="42"/>
  <c r="H75" i="42"/>
  <c r="I23" i="42"/>
  <c r="H21" i="42"/>
  <c r="F16" i="30"/>
  <c r="L29" i="18"/>
  <c r="D27" i="42"/>
  <c r="H88" i="43"/>
  <c r="F88" i="5"/>
  <c r="D71" i="31"/>
  <c r="F71" i="43" s="1"/>
  <c r="F72" i="31"/>
  <c r="D70" i="31"/>
  <c r="T82" i="31"/>
  <c r="D35" i="31"/>
  <c r="F35" i="43" s="1"/>
  <c r="AH82" i="31"/>
  <c r="L23" i="19"/>
  <c r="D23" i="43" s="1"/>
  <c r="F23" i="19"/>
  <c r="K66" i="23"/>
  <c r="E64" i="23"/>
  <c r="G64" i="35" s="1"/>
  <c r="K64" i="24"/>
  <c r="O61" i="21"/>
  <c r="AE56" i="25"/>
  <c r="W56" i="25"/>
  <c r="O56" i="25"/>
  <c r="W24" i="25"/>
  <c r="W82" i="25" s="1"/>
  <c r="G24" i="25"/>
  <c r="AC23" i="27"/>
  <c r="U23" i="27"/>
  <c r="M23" i="27"/>
  <c r="E23" i="27" s="1"/>
  <c r="G23" i="39" s="1"/>
  <c r="AA22" i="27"/>
  <c r="S22" i="27"/>
  <c r="K22" i="27"/>
  <c r="E22" i="27" s="1"/>
  <c r="G22" i="39" s="1"/>
  <c r="I22" i="39" s="1"/>
  <c r="Y21" i="27"/>
  <c r="Y24" i="27" s="1"/>
  <c r="Q21" i="27"/>
  <c r="I21" i="27"/>
  <c r="V20" i="27"/>
  <c r="N20" i="27"/>
  <c r="AH12" i="27"/>
  <c r="AH16" i="27" s="1"/>
  <c r="AD11" i="27"/>
  <c r="V11" i="27"/>
  <c r="N11" i="27"/>
  <c r="N16" i="27" s="1"/>
  <c r="AN16" i="27"/>
  <c r="J89" i="15"/>
  <c r="E42" i="7"/>
  <c r="E43" i="7" s="1"/>
  <c r="E16" i="7"/>
  <c r="I75" i="42"/>
  <c r="E65" i="5"/>
  <c r="H65" i="42"/>
  <c r="I47" i="42"/>
  <c r="AO82" i="30"/>
  <c r="AM650" i="44" s="1"/>
  <c r="AG82" i="30"/>
  <c r="AE650" i="44" s="1"/>
  <c r="Y82" i="30"/>
  <c r="W650" i="44" s="1"/>
  <c r="Q82" i="30"/>
  <c r="O650" i="44" s="1"/>
  <c r="I82" i="30"/>
  <c r="G650" i="44" s="1"/>
  <c r="F75" i="18"/>
  <c r="L75" i="18"/>
  <c r="D75" i="42" s="1"/>
  <c r="D64" i="42"/>
  <c r="L66" i="18"/>
  <c r="M45" i="18"/>
  <c r="E45" i="42" s="1"/>
  <c r="G45" i="18"/>
  <c r="F16" i="18"/>
  <c r="S82" i="6"/>
  <c r="K82" i="6"/>
  <c r="D24" i="6"/>
  <c r="D47" i="31"/>
  <c r="F47" i="43" s="1"/>
  <c r="D40" i="31"/>
  <c r="X42" i="31"/>
  <c r="X43" i="31" s="1"/>
  <c r="D23" i="31"/>
  <c r="F23" i="43" s="1"/>
  <c r="H23" i="43" s="1"/>
  <c r="F24" i="31"/>
  <c r="D21" i="31"/>
  <c r="F21" i="43" s="1"/>
  <c r="H21" i="43" s="1"/>
  <c r="L77" i="19"/>
  <c r="D77" i="43" s="1"/>
  <c r="D77" i="5" s="1"/>
  <c r="F77" i="19"/>
  <c r="L66" i="19"/>
  <c r="D64" i="43"/>
  <c r="D66" i="43" s="1"/>
  <c r="D56" i="43"/>
  <c r="F33" i="19"/>
  <c r="F36" i="19" s="1"/>
  <c r="L33" i="19"/>
  <c r="H36" i="19"/>
  <c r="F27" i="19"/>
  <c r="F29" i="19" s="1"/>
  <c r="L27" i="19"/>
  <c r="D75" i="23"/>
  <c r="F75" i="35" s="1"/>
  <c r="H75" i="35" s="1"/>
  <c r="D73" i="23"/>
  <c r="F73" i="35" s="1"/>
  <c r="H73" i="35" s="1"/>
  <c r="O40" i="24"/>
  <c r="O42" i="23"/>
  <c r="O43" i="23" s="1"/>
  <c r="O82" i="23" s="1"/>
  <c r="M643" i="44" s="1"/>
  <c r="E40" i="23"/>
  <c r="G42" i="23"/>
  <c r="G43" i="23" s="1"/>
  <c r="D23" i="23"/>
  <c r="F23" i="35" s="1"/>
  <c r="AH20" i="24"/>
  <c r="AL24" i="23"/>
  <c r="I72" i="11"/>
  <c r="G70" i="11"/>
  <c r="G72" i="11" s="1"/>
  <c r="M70" i="11"/>
  <c r="I70" i="12"/>
  <c r="F59" i="11"/>
  <c r="F61" i="11" s="1"/>
  <c r="L59" i="11"/>
  <c r="H61" i="11"/>
  <c r="M47" i="11"/>
  <c r="E47" i="35" s="1"/>
  <c r="G47" i="11"/>
  <c r="E79" i="21"/>
  <c r="G79" i="33" s="1"/>
  <c r="I79" i="33" s="1"/>
  <c r="AD33" i="24"/>
  <c r="AD36" i="21"/>
  <c r="V33" i="24"/>
  <c r="V36" i="21"/>
  <c r="D33" i="21"/>
  <c r="F33" i="33" s="1"/>
  <c r="H33" i="33" s="1"/>
  <c r="F36" i="21"/>
  <c r="AF22" i="27"/>
  <c r="AG15" i="27"/>
  <c r="AI13" i="27"/>
  <c r="E91" i="15"/>
  <c r="I71" i="15"/>
  <c r="I49" i="15"/>
  <c r="E72" i="7"/>
  <c r="D42" i="7"/>
  <c r="D43" i="7" s="1"/>
  <c r="S82" i="7"/>
  <c r="S91" i="7" s="1"/>
  <c r="F82" i="7"/>
  <c r="F91" i="7" s="1"/>
  <c r="H80" i="42"/>
  <c r="T82" i="30"/>
  <c r="R650" i="44" s="1"/>
  <c r="F36" i="30"/>
  <c r="D33" i="30"/>
  <c r="F33" i="42" s="1"/>
  <c r="F79" i="18"/>
  <c r="L79" i="18"/>
  <c r="D79" i="42" s="1"/>
  <c r="M54" i="18"/>
  <c r="G54" i="18"/>
  <c r="G56" i="18" s="1"/>
  <c r="I56" i="18"/>
  <c r="D49" i="5"/>
  <c r="F19" i="18"/>
  <c r="F24" i="18" s="1"/>
  <c r="L19" i="18"/>
  <c r="M13" i="18"/>
  <c r="E13" i="42" s="1"/>
  <c r="G13" i="18"/>
  <c r="D11" i="42"/>
  <c r="E89" i="43"/>
  <c r="E76" i="31"/>
  <c r="G76" i="43" s="1"/>
  <c r="I76" i="43" s="1"/>
  <c r="S82" i="31"/>
  <c r="E21" i="31"/>
  <c r="G21" i="43" s="1"/>
  <c r="E19" i="31"/>
  <c r="M64" i="19"/>
  <c r="G64" i="19"/>
  <c r="G66" i="19" s="1"/>
  <c r="I66" i="19"/>
  <c r="M54" i="19"/>
  <c r="I56" i="19"/>
  <c r="G54" i="19"/>
  <c r="E42" i="35"/>
  <c r="E43" i="35" s="1"/>
  <c r="E74" i="23"/>
  <c r="G74" i="35" s="1"/>
  <c r="I74" i="35" s="1"/>
  <c r="K70" i="24"/>
  <c r="K72" i="24" s="1"/>
  <c r="K72" i="23"/>
  <c r="E47" i="23"/>
  <c r="G47" i="35" s="1"/>
  <c r="I47" i="35" s="1"/>
  <c r="D41" i="23"/>
  <c r="F41" i="35" s="1"/>
  <c r="H41" i="35" s="1"/>
  <c r="E23" i="23"/>
  <c r="G23" i="35" s="1"/>
  <c r="I23" i="35" s="1"/>
  <c r="E21" i="23"/>
  <c r="G21" i="35" s="1"/>
  <c r="I21" i="35" s="1"/>
  <c r="J24" i="23"/>
  <c r="D19" i="23"/>
  <c r="F70" i="11"/>
  <c r="F72" i="11" s="1"/>
  <c r="L70" i="11"/>
  <c r="M61" i="11"/>
  <c r="E60" i="35"/>
  <c r="E45" i="21"/>
  <c r="G45" i="33" s="1"/>
  <c r="I45" i="33" s="1"/>
  <c r="K45" i="24"/>
  <c r="M61" i="9"/>
  <c r="E75" i="24"/>
  <c r="G75" i="36" s="1"/>
  <c r="O59" i="24"/>
  <c r="O61" i="24" s="1"/>
  <c r="AH28" i="27"/>
  <c r="AH29" i="27" s="1"/>
  <c r="Q94" i="7"/>
  <c r="Q16" i="7"/>
  <c r="Q82" i="7" s="1"/>
  <c r="Q91" i="7" s="1"/>
  <c r="H64" i="42"/>
  <c r="H66" i="42" s="1"/>
  <c r="F66" i="42"/>
  <c r="E14" i="5"/>
  <c r="I76" i="42"/>
  <c r="E66" i="30"/>
  <c r="G81" i="18"/>
  <c r="M81" i="18"/>
  <c r="E81" i="42" s="1"/>
  <c r="E81" i="5" s="1"/>
  <c r="D76" i="5"/>
  <c r="H76" i="42"/>
  <c r="M74" i="18"/>
  <c r="E74" i="42" s="1"/>
  <c r="G74" i="18"/>
  <c r="L54" i="18"/>
  <c r="H56" i="18"/>
  <c r="G49" i="18"/>
  <c r="M49" i="18"/>
  <c r="E49" i="42" s="1"/>
  <c r="E49" i="5" s="1"/>
  <c r="E79" i="31"/>
  <c r="G79" i="43" s="1"/>
  <c r="D77" i="31"/>
  <c r="F77" i="43" s="1"/>
  <c r="H77" i="43" s="1"/>
  <c r="H76" i="43"/>
  <c r="E74" i="31"/>
  <c r="G74" i="43" s="1"/>
  <c r="AK56" i="31"/>
  <c r="AC56" i="31"/>
  <c r="D49" i="31"/>
  <c r="F49" i="43" s="1"/>
  <c r="H49" i="43" s="1"/>
  <c r="D45" i="31"/>
  <c r="F45" i="43" s="1"/>
  <c r="H45" i="43" s="1"/>
  <c r="D22" i="31"/>
  <c r="F22" i="43" s="1"/>
  <c r="H22" i="43" s="1"/>
  <c r="Z82" i="31"/>
  <c r="E40" i="43"/>
  <c r="E42" i="43" s="1"/>
  <c r="M42" i="19"/>
  <c r="D78" i="23"/>
  <c r="F78" i="35" s="1"/>
  <c r="H78" i="35" s="1"/>
  <c r="D76" i="23"/>
  <c r="F76" i="35" s="1"/>
  <c r="H76" i="35" s="1"/>
  <c r="D74" i="23"/>
  <c r="F74" i="35" s="1"/>
  <c r="H74" i="35" s="1"/>
  <c r="D71" i="23"/>
  <c r="F71" i="35" s="1"/>
  <c r="H71" i="35" s="1"/>
  <c r="I42" i="23"/>
  <c r="I43" i="23" s="1"/>
  <c r="E41" i="23"/>
  <c r="G41" i="35" s="1"/>
  <c r="I41" i="35" s="1"/>
  <c r="I39" i="35"/>
  <c r="X82" i="23"/>
  <c r="V643" i="44" s="1"/>
  <c r="I15" i="35"/>
  <c r="E47" i="21"/>
  <c r="G47" i="33" s="1"/>
  <c r="I47" i="33" s="1"/>
  <c r="M87" i="12"/>
  <c r="E87" i="36" s="1"/>
  <c r="E87" i="33"/>
  <c r="E89" i="33" s="1"/>
  <c r="F29" i="25"/>
  <c r="Z23" i="27"/>
  <c r="R23" i="27"/>
  <c r="J23" i="27"/>
  <c r="D23" i="27" s="1"/>
  <c r="F23" i="39" s="1"/>
  <c r="X22" i="27"/>
  <c r="P22" i="27"/>
  <c r="H22" i="27"/>
  <c r="D22" i="27" s="1"/>
  <c r="F22" i="39" s="1"/>
  <c r="AD21" i="27"/>
  <c r="V21" i="27"/>
  <c r="N21" i="27"/>
  <c r="D21" i="27" s="1"/>
  <c r="F21" i="39" s="1"/>
  <c r="AD20" i="27"/>
  <c r="AC19" i="27"/>
  <c r="AC24" i="27" s="1"/>
  <c r="U19" i="27"/>
  <c r="U24" i="27" s="1"/>
  <c r="M19" i="27"/>
  <c r="M24" i="27" s="1"/>
  <c r="Y15" i="27"/>
  <c r="Q15" i="27"/>
  <c r="I15" i="27"/>
  <c r="AE14" i="27"/>
  <c r="W14" i="27"/>
  <c r="O14" i="27"/>
  <c r="AC13" i="27"/>
  <c r="AC16" i="27" s="1"/>
  <c r="U13" i="27"/>
  <c r="M13" i="27"/>
  <c r="M16" i="27" s="1"/>
  <c r="AG12" i="27"/>
  <c r="AA12" i="27"/>
  <c r="S12" i="27"/>
  <c r="K12" i="27"/>
  <c r="AG11" i="27"/>
  <c r="AG16" i="27" s="1"/>
  <c r="H89" i="15"/>
  <c r="G80" i="13"/>
  <c r="G76" i="13"/>
  <c r="G59" i="13"/>
  <c r="G61" i="13" s="1"/>
  <c r="G28" i="13"/>
  <c r="G24" i="27"/>
  <c r="G12" i="27"/>
  <c r="G74" i="5"/>
  <c r="E56" i="7"/>
  <c r="N82" i="7"/>
  <c r="N91" i="7" s="1"/>
  <c r="M82" i="7"/>
  <c r="M91" i="7" s="1"/>
  <c r="G66" i="42"/>
  <c r="H39" i="42"/>
  <c r="M78" i="18"/>
  <c r="E78" i="42" s="1"/>
  <c r="G78" i="18"/>
  <c r="G76" i="18"/>
  <c r="M76" i="18"/>
  <c r="E76" i="42" s="1"/>
  <c r="M61" i="18"/>
  <c r="E59" i="42"/>
  <c r="F54" i="18"/>
  <c r="F56" i="18" s="1"/>
  <c r="M22" i="18"/>
  <c r="E22" i="42" s="1"/>
  <c r="G22" i="18"/>
  <c r="D20" i="5"/>
  <c r="Q82" i="6"/>
  <c r="E77" i="31"/>
  <c r="G77" i="43" s="1"/>
  <c r="I77" i="43" s="1"/>
  <c r="AD72" i="31"/>
  <c r="E72" i="31"/>
  <c r="G70" i="43"/>
  <c r="D66" i="31"/>
  <c r="E51" i="31"/>
  <c r="G51" i="43" s="1"/>
  <c r="E49" i="31"/>
  <c r="G49" i="43" s="1"/>
  <c r="I49" i="43" s="1"/>
  <c r="E45" i="31"/>
  <c r="G45" i="43" s="1"/>
  <c r="I45" i="43" s="1"/>
  <c r="U82" i="31"/>
  <c r="E33" i="31"/>
  <c r="G33" i="43" s="1"/>
  <c r="I24" i="31"/>
  <c r="E22" i="31"/>
  <c r="G22" i="43" s="1"/>
  <c r="I22" i="43" s="1"/>
  <c r="AF24" i="31"/>
  <c r="AF82" i="31" s="1"/>
  <c r="AG82" i="31"/>
  <c r="AK82" i="31"/>
  <c r="E11" i="31"/>
  <c r="G40" i="19"/>
  <c r="G42" i="19" s="1"/>
  <c r="I42" i="19"/>
  <c r="I43" i="19" s="1"/>
  <c r="E79" i="23"/>
  <c r="G79" i="35" s="1"/>
  <c r="I79" i="35" s="1"/>
  <c r="E27" i="23"/>
  <c r="I29" i="23"/>
  <c r="G79" i="11"/>
  <c r="M79" i="11"/>
  <c r="E79" i="35" s="1"/>
  <c r="M12" i="11"/>
  <c r="G12" i="11"/>
  <c r="G16" i="11" s="1"/>
  <c r="J60" i="24"/>
  <c r="D60" i="21"/>
  <c r="F60" i="33" s="1"/>
  <c r="H60" i="33" s="1"/>
  <c r="X54" i="24"/>
  <c r="X56" i="21"/>
  <c r="P54" i="24"/>
  <c r="P56" i="21"/>
  <c r="H54" i="24"/>
  <c r="H56" i="24" s="1"/>
  <c r="H56" i="21"/>
  <c r="I80" i="12"/>
  <c r="M80" i="9"/>
  <c r="E80" i="33" s="1"/>
  <c r="G80" i="9"/>
  <c r="I76" i="12"/>
  <c r="M76" i="9"/>
  <c r="E76" i="33" s="1"/>
  <c r="G76" i="9"/>
  <c r="G61" i="24"/>
  <c r="AH33" i="24"/>
  <c r="D24" i="7"/>
  <c r="I33" i="42"/>
  <c r="H14" i="42"/>
  <c r="G64" i="18"/>
  <c r="G66" i="18" s="1"/>
  <c r="I66" i="18"/>
  <c r="M64" i="18"/>
  <c r="L55" i="18"/>
  <c r="D55" i="42" s="1"/>
  <c r="D55" i="5" s="1"/>
  <c r="L47" i="18"/>
  <c r="D47" i="42" s="1"/>
  <c r="M40" i="18"/>
  <c r="G40" i="18"/>
  <c r="G42" i="18" s="1"/>
  <c r="G43" i="18" s="1"/>
  <c r="I42" i="18"/>
  <c r="I43" i="18" s="1"/>
  <c r="L36" i="18"/>
  <c r="D32" i="42"/>
  <c r="F27" i="18"/>
  <c r="F29" i="18" s="1"/>
  <c r="H29" i="18"/>
  <c r="G15" i="18"/>
  <c r="M15" i="18"/>
  <c r="E15" i="42" s="1"/>
  <c r="I15" i="42" s="1"/>
  <c r="L13" i="18"/>
  <c r="D13" i="42" s="1"/>
  <c r="D13" i="5" s="1"/>
  <c r="H16" i="18"/>
  <c r="H82" i="18" s="1"/>
  <c r="G11" i="18"/>
  <c r="G16" i="18" s="1"/>
  <c r="M11" i="18"/>
  <c r="Y72" i="31"/>
  <c r="D64" i="31"/>
  <c r="F64" i="43" s="1"/>
  <c r="D60" i="31"/>
  <c r="AI61" i="31"/>
  <c r="AA61" i="31"/>
  <c r="AM42" i="31"/>
  <c r="AM43" i="31" s="1"/>
  <c r="AE42" i="31"/>
  <c r="AE43" i="31" s="1"/>
  <c r="G42" i="31"/>
  <c r="G43" i="31" s="1"/>
  <c r="G36" i="31"/>
  <c r="E20" i="31"/>
  <c r="G20" i="43" s="1"/>
  <c r="AL24" i="31"/>
  <c r="AD24" i="31"/>
  <c r="D14" i="31"/>
  <c r="F14" i="43" s="1"/>
  <c r="AI16" i="31"/>
  <c r="AI82" i="31" s="1"/>
  <c r="AA16" i="31"/>
  <c r="AA82" i="31" s="1"/>
  <c r="AJ16" i="31"/>
  <c r="AJ82" i="31" s="1"/>
  <c r="AB16" i="31"/>
  <c r="AB82" i="31" s="1"/>
  <c r="D11" i="31"/>
  <c r="F75" i="19"/>
  <c r="L75" i="19"/>
  <c r="D75" i="43" s="1"/>
  <c r="I72" i="19"/>
  <c r="M70" i="19"/>
  <c r="G70" i="19"/>
  <c r="G72" i="19" s="1"/>
  <c r="M39" i="19"/>
  <c r="E39" i="43" s="1"/>
  <c r="E39" i="5" s="1"/>
  <c r="G39" i="19"/>
  <c r="M20" i="19"/>
  <c r="E20" i="43" s="1"/>
  <c r="G20" i="19"/>
  <c r="F15" i="19"/>
  <c r="F16" i="19" s="1"/>
  <c r="L15" i="19"/>
  <c r="D15" i="43" s="1"/>
  <c r="H15" i="43" s="1"/>
  <c r="H16" i="19"/>
  <c r="H82" i="19" s="1"/>
  <c r="H91" i="19" s="1"/>
  <c r="L13" i="19"/>
  <c r="D13" i="43" s="1"/>
  <c r="H13" i="43" s="1"/>
  <c r="E75" i="23"/>
  <c r="G75" i="35" s="1"/>
  <c r="E71" i="23"/>
  <c r="G71" i="35" s="1"/>
  <c r="I71" i="35" s="1"/>
  <c r="D66" i="23"/>
  <c r="D15" i="23"/>
  <c r="F15" i="35" s="1"/>
  <c r="H15" i="35" s="1"/>
  <c r="AO82" i="23"/>
  <c r="AM643" i="44" s="1"/>
  <c r="AG82" i="23"/>
  <c r="AE643" i="44" s="1"/>
  <c r="Y82" i="23"/>
  <c r="W643" i="44" s="1"/>
  <c r="Q82" i="23"/>
  <c r="O643" i="44" s="1"/>
  <c r="I16" i="23"/>
  <c r="E11" i="23"/>
  <c r="L64" i="11"/>
  <c r="F64" i="11"/>
  <c r="F66" i="11" s="1"/>
  <c r="H23" i="12"/>
  <c r="L23" i="11"/>
  <c r="D23" i="35" s="1"/>
  <c r="F23" i="11"/>
  <c r="G21" i="11"/>
  <c r="G24" i="11" s="1"/>
  <c r="I24" i="11"/>
  <c r="I82" i="11" s="1"/>
  <c r="E77" i="21"/>
  <c r="G77" i="33" s="1"/>
  <c r="I77" i="33" s="1"/>
  <c r="E75" i="21"/>
  <c r="G75" i="33" s="1"/>
  <c r="I75" i="33" s="1"/>
  <c r="AB55" i="24"/>
  <c r="T55" i="24"/>
  <c r="T56" i="21"/>
  <c r="L55" i="24"/>
  <c r="L56" i="21"/>
  <c r="AB47" i="24"/>
  <c r="T47" i="24"/>
  <c r="L47" i="24"/>
  <c r="D47" i="21"/>
  <c r="F47" i="33" s="1"/>
  <c r="H47" i="33" s="1"/>
  <c r="AF45" i="24"/>
  <c r="Z45" i="24"/>
  <c r="R45" i="24"/>
  <c r="AB41" i="24"/>
  <c r="T41" i="24"/>
  <c r="T42" i="21"/>
  <c r="T43" i="21" s="1"/>
  <c r="L41" i="24"/>
  <c r="L42" i="21"/>
  <c r="L43" i="21" s="1"/>
  <c r="Y42" i="24"/>
  <c r="Y43" i="24" s="1"/>
  <c r="Q40" i="24"/>
  <c r="Q42" i="24" s="1"/>
  <c r="Q43" i="24" s="1"/>
  <c r="Q42" i="21"/>
  <c r="Q43" i="21" s="1"/>
  <c r="I40" i="24"/>
  <c r="I42" i="21"/>
  <c r="I43" i="21" s="1"/>
  <c r="E40" i="21"/>
  <c r="AH32" i="24"/>
  <c r="I27" i="12"/>
  <c r="I29" i="9"/>
  <c r="G27" i="9"/>
  <c r="M27" i="9"/>
  <c r="D19" i="33"/>
  <c r="W89" i="7"/>
  <c r="W91" i="7" s="1"/>
  <c r="I21" i="42"/>
  <c r="D66" i="30"/>
  <c r="E24" i="30"/>
  <c r="L42" i="18"/>
  <c r="L43" i="18" s="1"/>
  <c r="D40" i="42"/>
  <c r="G32" i="18"/>
  <c r="M32" i="18"/>
  <c r="I36" i="18"/>
  <c r="G29" i="18"/>
  <c r="E19" i="42"/>
  <c r="D42" i="6"/>
  <c r="D43" i="6" s="1"/>
  <c r="H82" i="6"/>
  <c r="AL36" i="31"/>
  <c r="AL82" i="31" s="1"/>
  <c r="AD36" i="31"/>
  <c r="F36" i="31"/>
  <c r="F82" i="31" s="1"/>
  <c r="F91" i="31" s="1"/>
  <c r="D33" i="31"/>
  <c r="F33" i="43" s="1"/>
  <c r="E12" i="31"/>
  <c r="G12" i="43" s="1"/>
  <c r="G80" i="19"/>
  <c r="M80" i="19"/>
  <c r="E80" i="43" s="1"/>
  <c r="M74" i="19"/>
  <c r="E74" i="43" s="1"/>
  <c r="G74" i="19"/>
  <c r="L70" i="19"/>
  <c r="H72" i="19"/>
  <c r="L45" i="19"/>
  <c r="D45" i="43" s="1"/>
  <c r="F45" i="19"/>
  <c r="D81" i="23"/>
  <c r="F81" i="35" s="1"/>
  <c r="D33" i="23"/>
  <c r="F33" i="35" s="1"/>
  <c r="F29" i="23"/>
  <c r="D27" i="23"/>
  <c r="M42" i="11"/>
  <c r="M43" i="11" s="1"/>
  <c r="S81" i="24"/>
  <c r="X78" i="24"/>
  <c r="P78" i="24"/>
  <c r="H78" i="24"/>
  <c r="D77" i="21"/>
  <c r="F77" i="33" s="1"/>
  <c r="H77" i="33" s="1"/>
  <c r="J76" i="24"/>
  <c r="D76" i="21"/>
  <c r="F76" i="33" s="1"/>
  <c r="H76" i="33" s="1"/>
  <c r="E71" i="21"/>
  <c r="G71" i="33" s="1"/>
  <c r="AC32" i="24"/>
  <c r="AC36" i="21"/>
  <c r="U32" i="24"/>
  <c r="U36" i="21"/>
  <c r="M32" i="24"/>
  <c r="M36" i="21"/>
  <c r="E32" i="21"/>
  <c r="AI21" i="24"/>
  <c r="AM24" i="21"/>
  <c r="O21" i="24"/>
  <c r="O24" i="21"/>
  <c r="E21" i="21"/>
  <c r="G21" i="33" s="1"/>
  <c r="I21" i="33" s="1"/>
  <c r="AJ82" i="21"/>
  <c r="AB11" i="24"/>
  <c r="AB16" i="21"/>
  <c r="T11" i="24"/>
  <c r="T16" i="21"/>
  <c r="L16" i="21"/>
  <c r="L11" i="24"/>
  <c r="L66" i="9"/>
  <c r="D64" i="33"/>
  <c r="D66" i="33" s="1"/>
  <c r="D54" i="33"/>
  <c r="D56" i="33" s="1"/>
  <c r="L56" i="9"/>
  <c r="H27" i="12"/>
  <c r="L27" i="9"/>
  <c r="F27" i="9"/>
  <c r="F29" i="9" s="1"/>
  <c r="H29" i="9"/>
  <c r="G74" i="21"/>
  <c r="E74" i="21" s="1"/>
  <c r="G74" i="33" s="1"/>
  <c r="I74" i="33" s="1"/>
  <c r="G74" i="24"/>
  <c r="H40" i="42"/>
  <c r="F29" i="42"/>
  <c r="H28" i="42"/>
  <c r="I71" i="42"/>
  <c r="E61" i="30"/>
  <c r="G24" i="42"/>
  <c r="AI82" i="30"/>
  <c r="AG650" i="44" s="1"/>
  <c r="AA82" i="30"/>
  <c r="Y650" i="44" s="1"/>
  <c r="S82" i="30"/>
  <c r="Q650" i="44" s="1"/>
  <c r="K82" i="30"/>
  <c r="I650" i="44" s="1"/>
  <c r="I14" i="42"/>
  <c r="G60" i="18"/>
  <c r="G61" i="18" s="1"/>
  <c r="M60" i="18"/>
  <c r="E60" i="42" s="1"/>
  <c r="F42" i="18"/>
  <c r="F43" i="18" s="1"/>
  <c r="D24" i="43"/>
  <c r="E80" i="31"/>
  <c r="G80" i="43" s="1"/>
  <c r="I80" i="43" s="1"/>
  <c r="E65" i="31"/>
  <c r="G65" i="43" s="1"/>
  <c r="I65" i="43" s="1"/>
  <c r="AJ66" i="31"/>
  <c r="AB66" i="31"/>
  <c r="E59" i="31"/>
  <c r="Y61" i="31"/>
  <c r="Y82" i="31" s="1"/>
  <c r="M82" i="31"/>
  <c r="E40" i="31"/>
  <c r="AM36" i="31"/>
  <c r="AM82" i="31" s="1"/>
  <c r="AE36" i="31"/>
  <c r="AE82" i="31" s="1"/>
  <c r="AK36" i="31"/>
  <c r="AC36" i="31"/>
  <c r="AC82" i="31" s="1"/>
  <c r="AN29" i="31"/>
  <c r="AN82" i="31" s="1"/>
  <c r="AF29" i="31"/>
  <c r="X29" i="31"/>
  <c r="X82" i="31" s="1"/>
  <c r="R82" i="31"/>
  <c r="J82" i="31"/>
  <c r="E13" i="31"/>
  <c r="G13" i="43" s="1"/>
  <c r="I13" i="43" s="1"/>
  <c r="D12" i="31"/>
  <c r="F12" i="43" s="1"/>
  <c r="H12" i="43" s="1"/>
  <c r="M88" i="19"/>
  <c r="E88" i="43" s="1"/>
  <c r="E88" i="5" s="1"/>
  <c r="G88" i="19"/>
  <c r="G89" i="19" s="1"/>
  <c r="M89" i="19"/>
  <c r="B22" i="4" s="1"/>
  <c r="D22" i="4" s="1"/>
  <c r="L80" i="19"/>
  <c r="D80" i="43" s="1"/>
  <c r="D80" i="5" s="1"/>
  <c r="F80" i="19"/>
  <c r="F70" i="19"/>
  <c r="F72" i="19" s="1"/>
  <c r="L65" i="19"/>
  <c r="D65" i="43" s="1"/>
  <c r="D65" i="5" s="1"/>
  <c r="F65" i="19"/>
  <c r="F66" i="19" s="1"/>
  <c r="G59" i="19"/>
  <c r="G61" i="19" s="1"/>
  <c r="M59" i="19"/>
  <c r="F39" i="19"/>
  <c r="H24" i="19"/>
  <c r="F20" i="19"/>
  <c r="E49" i="23"/>
  <c r="G49" i="35" s="1"/>
  <c r="I49" i="35" s="1"/>
  <c r="AH42" i="23"/>
  <c r="AH43" i="23" s="1"/>
  <c r="AH82" i="23" s="1"/>
  <c r="AF643" i="44" s="1"/>
  <c r="Z42" i="23"/>
  <c r="Z43" i="23" s="1"/>
  <c r="Z82" i="23" s="1"/>
  <c r="X643" i="44" s="1"/>
  <c r="R42" i="23"/>
  <c r="R43" i="23" s="1"/>
  <c r="R82" i="23" s="1"/>
  <c r="P643" i="44" s="1"/>
  <c r="J42" i="23"/>
  <c r="J43" i="23" s="1"/>
  <c r="J82" i="23" s="1"/>
  <c r="H643" i="44" s="1"/>
  <c r="D39" i="23"/>
  <c r="F39" i="35" s="1"/>
  <c r="H39" i="35" s="1"/>
  <c r="F43" i="23"/>
  <c r="D22" i="23"/>
  <c r="F22" i="35" s="1"/>
  <c r="H22" i="35" s="1"/>
  <c r="E19" i="23"/>
  <c r="I42" i="11"/>
  <c r="I43" i="11" s="1"/>
  <c r="G40" i="11"/>
  <c r="G42" i="11" s="1"/>
  <c r="G43" i="11" s="1"/>
  <c r="G13" i="11"/>
  <c r="M13" i="11"/>
  <c r="E13" i="35" s="1"/>
  <c r="I13" i="35" s="1"/>
  <c r="L11" i="11"/>
  <c r="F11" i="11"/>
  <c r="F16" i="11" s="1"/>
  <c r="H16" i="11"/>
  <c r="G89" i="21"/>
  <c r="E86" i="21"/>
  <c r="G86" i="24"/>
  <c r="AG79" i="24"/>
  <c r="S79" i="24"/>
  <c r="E78" i="21"/>
  <c r="G78" i="33" s="1"/>
  <c r="I78" i="33" s="1"/>
  <c r="V71" i="24"/>
  <c r="AH54" i="24"/>
  <c r="AL56" i="21"/>
  <c r="U54" i="24"/>
  <c r="U56" i="24" s="1"/>
  <c r="U56" i="21"/>
  <c r="M54" i="24"/>
  <c r="M56" i="24" s="1"/>
  <c r="M56" i="21"/>
  <c r="E54" i="21"/>
  <c r="AH49" i="24"/>
  <c r="AD49" i="24"/>
  <c r="V49" i="24"/>
  <c r="N49" i="24"/>
  <c r="D49" i="21"/>
  <c r="F49" i="33" s="1"/>
  <c r="H49" i="33" s="1"/>
  <c r="D28" i="21"/>
  <c r="F28" i="33" s="1"/>
  <c r="H28" i="33" s="1"/>
  <c r="W24" i="21"/>
  <c r="AL642" i="44"/>
  <c r="AN91" i="21"/>
  <c r="X12" i="24"/>
  <c r="X16" i="21"/>
  <c r="H12" i="24"/>
  <c r="H16" i="21"/>
  <c r="L75" i="9"/>
  <c r="D75" i="33" s="1"/>
  <c r="H75" i="12"/>
  <c r="F75" i="9"/>
  <c r="I54" i="12"/>
  <c r="I56" i="9"/>
  <c r="G54" i="9"/>
  <c r="G56" i="9" s="1"/>
  <c r="M54" i="9"/>
  <c r="P55" i="24"/>
  <c r="E86" i="7"/>
  <c r="E89" i="7" s="1"/>
  <c r="E74" i="7"/>
  <c r="I51" i="42"/>
  <c r="F56" i="30"/>
  <c r="D55" i="30"/>
  <c r="D41" i="30"/>
  <c r="G36" i="42"/>
  <c r="F19" i="42"/>
  <c r="AH82" i="30"/>
  <c r="AF650" i="44" s="1"/>
  <c r="Z82" i="30"/>
  <c r="X650" i="44" s="1"/>
  <c r="R82" i="30"/>
  <c r="P650" i="44" s="1"/>
  <c r="J82" i="30"/>
  <c r="H650" i="44" s="1"/>
  <c r="G28" i="18"/>
  <c r="M28" i="18"/>
  <c r="E28" i="42" s="1"/>
  <c r="I28" i="42" s="1"/>
  <c r="D80" i="31"/>
  <c r="F80" i="43" s="1"/>
  <c r="E78" i="31"/>
  <c r="G78" i="43" s="1"/>
  <c r="D75" i="31"/>
  <c r="F75" i="43" s="1"/>
  <c r="H75" i="43" s="1"/>
  <c r="D54" i="31"/>
  <c r="E47" i="31"/>
  <c r="G47" i="43" s="1"/>
  <c r="E32" i="31"/>
  <c r="E23" i="31"/>
  <c r="G23" i="43" s="1"/>
  <c r="I23" i="43" s="1"/>
  <c r="Q82" i="31"/>
  <c r="I82" i="31"/>
  <c r="F74" i="19"/>
  <c r="L59" i="19"/>
  <c r="H61" i="19"/>
  <c r="F59" i="19"/>
  <c r="F61" i="19" s="1"/>
  <c r="G55" i="19"/>
  <c r="M55" i="19"/>
  <c r="E55" i="43" s="1"/>
  <c r="E55" i="5" s="1"/>
  <c r="L24" i="19"/>
  <c r="G12" i="19"/>
  <c r="M12" i="19"/>
  <c r="E12" i="43" s="1"/>
  <c r="AJ56" i="23"/>
  <c r="AB56" i="23"/>
  <c r="T56" i="23"/>
  <c r="L56" i="23"/>
  <c r="E51" i="23"/>
  <c r="G51" i="35" s="1"/>
  <c r="I51" i="35" s="1"/>
  <c r="D49" i="23"/>
  <c r="F49" i="35" s="1"/>
  <c r="H49" i="35" s="1"/>
  <c r="E45" i="23"/>
  <c r="G45" i="35" s="1"/>
  <c r="I45" i="35" s="1"/>
  <c r="E22" i="23"/>
  <c r="G22" i="35" s="1"/>
  <c r="I22" i="35" s="1"/>
  <c r="G24" i="23"/>
  <c r="AI16" i="23"/>
  <c r="S16" i="23"/>
  <c r="AL16" i="23"/>
  <c r="AL82" i="23" s="1"/>
  <c r="AJ643" i="44" s="1"/>
  <c r="AD16" i="23"/>
  <c r="AD82" i="23" s="1"/>
  <c r="AB643" i="44" s="1"/>
  <c r="V16" i="23"/>
  <c r="V82" i="23" s="1"/>
  <c r="T643" i="44" s="1"/>
  <c r="N16" i="23"/>
  <c r="N82" i="23" s="1"/>
  <c r="L643" i="44" s="1"/>
  <c r="D11" i="23"/>
  <c r="F16" i="23"/>
  <c r="M65" i="11"/>
  <c r="E65" i="35" s="1"/>
  <c r="E66" i="35" s="1"/>
  <c r="G65" i="11"/>
  <c r="M34" i="11"/>
  <c r="I36" i="11"/>
  <c r="G34" i="11"/>
  <c r="L15" i="11"/>
  <c r="D15" i="35" s="1"/>
  <c r="F15" i="11"/>
  <c r="F13" i="11"/>
  <c r="L13" i="11"/>
  <c r="D13" i="35" s="1"/>
  <c r="D80" i="21"/>
  <c r="F80" i="33" s="1"/>
  <c r="H80" i="33" s="1"/>
  <c r="AD56" i="21"/>
  <c r="Q55" i="24"/>
  <c r="Q56" i="21"/>
  <c r="I55" i="24"/>
  <c r="E55" i="21"/>
  <c r="G55" i="33" s="1"/>
  <c r="I55" i="33" s="1"/>
  <c r="D40" i="21"/>
  <c r="H41" i="12"/>
  <c r="F41" i="9"/>
  <c r="L41" i="9"/>
  <c r="D41" i="33" s="1"/>
  <c r="D41" i="5" s="1"/>
  <c r="E88" i="24"/>
  <c r="G88" i="36" s="1"/>
  <c r="I88" i="36" s="1"/>
  <c r="I24" i="19"/>
  <c r="E81" i="23"/>
  <c r="G81" i="35" s="1"/>
  <c r="I81" i="35" s="1"/>
  <c r="E73" i="23"/>
  <c r="G73" i="35" s="1"/>
  <c r="I73" i="35" s="1"/>
  <c r="D45" i="23"/>
  <c r="F45" i="35" s="1"/>
  <c r="AN29" i="23"/>
  <c r="AN82" i="23" s="1"/>
  <c r="AL643" i="44" s="1"/>
  <c r="AF29" i="23"/>
  <c r="X29" i="23"/>
  <c r="P29" i="23"/>
  <c r="P82" i="23" s="1"/>
  <c r="N643" i="44" s="1"/>
  <c r="H29" i="23"/>
  <c r="H82" i="23" s="1"/>
  <c r="F643" i="44" s="1"/>
  <c r="E20" i="23"/>
  <c r="G20" i="35" s="1"/>
  <c r="I20" i="35" s="1"/>
  <c r="G66" i="11"/>
  <c r="F40" i="11"/>
  <c r="F42" i="11" s="1"/>
  <c r="F43" i="11" s="1"/>
  <c r="L40" i="11"/>
  <c r="F35" i="11"/>
  <c r="L35" i="11"/>
  <c r="D35" i="35" s="1"/>
  <c r="H35" i="35" s="1"/>
  <c r="L33" i="11"/>
  <c r="D33" i="35" s="1"/>
  <c r="D36" i="35" s="1"/>
  <c r="H36" i="11"/>
  <c r="F33" i="11"/>
  <c r="F36" i="11" s="1"/>
  <c r="K82" i="11"/>
  <c r="J82" i="11"/>
  <c r="I64" i="24"/>
  <c r="I66" i="21"/>
  <c r="E66" i="21" s="1"/>
  <c r="AB59" i="24"/>
  <c r="D54" i="21"/>
  <c r="S51" i="24"/>
  <c r="K51" i="24"/>
  <c r="AI49" i="24"/>
  <c r="E49" i="24" s="1"/>
  <c r="G49" i="36" s="1"/>
  <c r="AE49" i="24"/>
  <c r="W49" i="24"/>
  <c r="O49" i="24"/>
  <c r="E49" i="21"/>
  <c r="G49" i="33" s="1"/>
  <c r="I49" i="33" s="1"/>
  <c r="AB35" i="24"/>
  <c r="T35" i="24"/>
  <c r="L35" i="24"/>
  <c r="L36" i="21"/>
  <c r="I34" i="24"/>
  <c r="I36" i="21"/>
  <c r="E34" i="21"/>
  <c r="G34" i="33" s="1"/>
  <c r="I34" i="33" s="1"/>
  <c r="Y27" i="24"/>
  <c r="Q27" i="24"/>
  <c r="Q29" i="21"/>
  <c r="Q82" i="21" s="1"/>
  <c r="I27" i="24"/>
  <c r="I29" i="21"/>
  <c r="E23" i="21"/>
  <c r="G23" i="33" s="1"/>
  <c r="I23" i="33" s="1"/>
  <c r="H13" i="33"/>
  <c r="AH11" i="24"/>
  <c r="AD11" i="24"/>
  <c r="AD16" i="21"/>
  <c r="V11" i="24"/>
  <c r="N11" i="24"/>
  <c r="N16" i="21"/>
  <c r="N82" i="21" s="1"/>
  <c r="I45" i="12"/>
  <c r="G45" i="9"/>
  <c r="E19" i="33"/>
  <c r="E24" i="33" s="1"/>
  <c r="K82" i="9"/>
  <c r="K91" i="9" s="1"/>
  <c r="H14" i="12"/>
  <c r="F14" i="9"/>
  <c r="F16" i="9" s="1"/>
  <c r="L14" i="9"/>
  <c r="D14" i="33" s="1"/>
  <c r="I12" i="12"/>
  <c r="G12" i="9"/>
  <c r="AM89" i="24"/>
  <c r="AE89" i="24"/>
  <c r="W89" i="24"/>
  <c r="O89" i="24"/>
  <c r="N61" i="24"/>
  <c r="E79" i="20"/>
  <c r="G79" i="32" s="1"/>
  <c r="E77" i="20"/>
  <c r="G77" i="32" s="1"/>
  <c r="I77" i="32" s="1"/>
  <c r="M13" i="19"/>
  <c r="E13" i="43" s="1"/>
  <c r="D79" i="23"/>
  <c r="F79" i="35" s="1"/>
  <c r="H79" i="35" s="1"/>
  <c r="E70" i="23"/>
  <c r="I72" i="23"/>
  <c r="E60" i="23"/>
  <c r="G60" i="35" s="1"/>
  <c r="I60" i="35" s="1"/>
  <c r="AO24" i="23"/>
  <c r="AG24" i="23"/>
  <c r="Y24" i="23"/>
  <c r="Q24" i="23"/>
  <c r="I24" i="23"/>
  <c r="AK16" i="23"/>
  <c r="AK82" i="23" s="1"/>
  <c r="AI643" i="44" s="1"/>
  <c r="AC16" i="23"/>
  <c r="AC82" i="23" s="1"/>
  <c r="AA643" i="44" s="1"/>
  <c r="U16" i="23"/>
  <c r="U82" i="23" s="1"/>
  <c r="S643" i="44" s="1"/>
  <c r="M16" i="23"/>
  <c r="F75" i="11"/>
  <c r="L75" i="11"/>
  <c r="D75" i="35" s="1"/>
  <c r="L73" i="11"/>
  <c r="D73" i="35" s="1"/>
  <c r="F73" i="11"/>
  <c r="L54" i="11"/>
  <c r="F54" i="11"/>
  <c r="F56" i="11" s="1"/>
  <c r="L45" i="11"/>
  <c r="D45" i="35" s="1"/>
  <c r="D45" i="5" s="1"/>
  <c r="F45" i="11"/>
  <c r="M28" i="11"/>
  <c r="E28" i="35" s="1"/>
  <c r="F21" i="11"/>
  <c r="L21" i="11"/>
  <c r="D21" i="35" s="1"/>
  <c r="L19" i="11"/>
  <c r="F19" i="11"/>
  <c r="H24" i="11"/>
  <c r="U80" i="24"/>
  <c r="AF79" i="24"/>
  <c r="Z79" i="24"/>
  <c r="R79" i="24"/>
  <c r="J79" i="24"/>
  <c r="D75" i="21"/>
  <c r="F75" i="33" s="1"/>
  <c r="AH73" i="24"/>
  <c r="AD73" i="24"/>
  <c r="V73" i="24"/>
  <c r="N73" i="24"/>
  <c r="D73" i="21"/>
  <c r="F73" i="33" s="1"/>
  <c r="H73" i="33" s="1"/>
  <c r="D45" i="21"/>
  <c r="F45" i="33" s="1"/>
  <c r="H45" i="33" s="1"/>
  <c r="D34" i="21"/>
  <c r="F34" i="33" s="1"/>
  <c r="H34" i="33" s="1"/>
  <c r="AH27" i="24"/>
  <c r="AH29" i="24" s="1"/>
  <c r="AL29" i="21"/>
  <c r="AL82" i="21" s="1"/>
  <c r="AD27" i="24"/>
  <c r="AD29" i="24" s="1"/>
  <c r="AD29" i="21"/>
  <c r="V27" i="24"/>
  <c r="V29" i="24" s="1"/>
  <c r="V29" i="21"/>
  <c r="N27" i="24"/>
  <c r="N29" i="24" s="1"/>
  <c r="N29" i="21"/>
  <c r="F29" i="21"/>
  <c r="D27" i="21"/>
  <c r="F82" i="21"/>
  <c r="F91" i="21" s="1"/>
  <c r="AG13" i="24"/>
  <c r="AI16" i="21"/>
  <c r="AA13" i="24"/>
  <c r="AA16" i="24" s="1"/>
  <c r="AA16" i="21"/>
  <c r="S13" i="24"/>
  <c r="S16" i="21"/>
  <c r="K13" i="24"/>
  <c r="K16" i="21"/>
  <c r="AI12" i="24"/>
  <c r="AE12" i="24"/>
  <c r="W12" i="24"/>
  <c r="O12" i="24"/>
  <c r="M86" i="12"/>
  <c r="M89" i="9"/>
  <c r="B15" i="4" s="1"/>
  <c r="H76" i="12"/>
  <c r="F76" i="9"/>
  <c r="L76" i="9"/>
  <c r="D76" i="33" s="1"/>
  <c r="H21" i="12"/>
  <c r="F21" i="9"/>
  <c r="H24" i="9"/>
  <c r="G20" i="24"/>
  <c r="G20" i="21"/>
  <c r="E77" i="23"/>
  <c r="G77" i="35" s="1"/>
  <c r="I77" i="35" s="1"/>
  <c r="D64" i="23"/>
  <c r="F64" i="35" s="1"/>
  <c r="V61" i="23"/>
  <c r="V60" i="24"/>
  <c r="D60" i="23"/>
  <c r="F60" i="35" s="1"/>
  <c r="H60" i="35" s="1"/>
  <c r="F61" i="23"/>
  <c r="G56" i="23"/>
  <c r="E54" i="23"/>
  <c r="AK42" i="23"/>
  <c r="AK43" i="23" s="1"/>
  <c r="AC42" i="23"/>
  <c r="AC43" i="23" s="1"/>
  <c r="U42" i="23"/>
  <c r="U43" i="23" s="1"/>
  <c r="M42" i="23"/>
  <c r="M43" i="23" s="1"/>
  <c r="E34" i="23"/>
  <c r="G34" i="35" s="1"/>
  <c r="D28" i="23"/>
  <c r="F28" i="35" s="1"/>
  <c r="H28" i="35" s="1"/>
  <c r="D21" i="23"/>
  <c r="F21" i="35" s="1"/>
  <c r="H21" i="35" s="1"/>
  <c r="G56" i="11"/>
  <c r="F49" i="11"/>
  <c r="L49" i="11"/>
  <c r="D49" i="35" s="1"/>
  <c r="G36" i="11"/>
  <c r="R77" i="24"/>
  <c r="H76" i="24"/>
  <c r="D76" i="24" s="1"/>
  <c r="F76" i="36" s="1"/>
  <c r="I74" i="24"/>
  <c r="H65" i="24"/>
  <c r="D65" i="24" s="1"/>
  <c r="F65" i="36" s="1"/>
  <c r="X59" i="24"/>
  <c r="X61" i="24" s="1"/>
  <c r="X61" i="21"/>
  <c r="P59" i="24"/>
  <c r="P61" i="24" s="1"/>
  <c r="P61" i="21"/>
  <c r="H59" i="24"/>
  <c r="H61" i="21"/>
  <c r="AC21" i="24"/>
  <c r="U21" i="24"/>
  <c r="M21" i="24"/>
  <c r="AG20" i="24"/>
  <c r="AA20" i="24"/>
  <c r="S20" i="24"/>
  <c r="K20" i="24"/>
  <c r="X19" i="24"/>
  <c r="X24" i="21"/>
  <c r="H19" i="24"/>
  <c r="H24" i="24" s="1"/>
  <c r="H24" i="21"/>
  <c r="E14" i="21"/>
  <c r="G14" i="33" s="1"/>
  <c r="H88" i="12"/>
  <c r="L88" i="9"/>
  <c r="H89" i="9"/>
  <c r="L86" i="12"/>
  <c r="D86" i="33"/>
  <c r="I71" i="12"/>
  <c r="M71" i="9"/>
  <c r="E71" i="33" s="1"/>
  <c r="E72" i="33" s="1"/>
  <c r="I72" i="9"/>
  <c r="F24" i="9"/>
  <c r="AC72" i="24"/>
  <c r="E61" i="35"/>
  <c r="E78" i="23"/>
  <c r="G78" i="35" s="1"/>
  <c r="I78" i="35" s="1"/>
  <c r="D77" i="23"/>
  <c r="F77" i="35" s="1"/>
  <c r="H77" i="35" s="1"/>
  <c r="AK66" i="23"/>
  <c r="AC66" i="23"/>
  <c r="U66" i="23"/>
  <c r="M66" i="23"/>
  <c r="E66" i="23" s="1"/>
  <c r="E55" i="23"/>
  <c r="G55" i="35" s="1"/>
  <c r="I55" i="35" s="1"/>
  <c r="D54" i="23"/>
  <c r="D34" i="23"/>
  <c r="F34" i="35" s="1"/>
  <c r="H34" i="35" s="1"/>
  <c r="E32" i="23"/>
  <c r="E28" i="23"/>
  <c r="G28" i="35" s="1"/>
  <c r="G29" i="23"/>
  <c r="AI29" i="23"/>
  <c r="AA29" i="23"/>
  <c r="AA82" i="23" s="1"/>
  <c r="Y643" i="44" s="1"/>
  <c r="S29" i="23"/>
  <c r="K29" i="23"/>
  <c r="K82" i="23" s="1"/>
  <c r="I61" i="11"/>
  <c r="G59" i="11"/>
  <c r="G61" i="11" s="1"/>
  <c r="M56" i="11"/>
  <c r="E55" i="35"/>
  <c r="E56" i="35" s="1"/>
  <c r="F28" i="11"/>
  <c r="F29" i="11" s="1"/>
  <c r="H29" i="11"/>
  <c r="L28" i="11"/>
  <c r="D28" i="35" s="1"/>
  <c r="D28" i="5" s="1"/>
  <c r="E20" i="35"/>
  <c r="E24" i="35" s="1"/>
  <c r="M24" i="11"/>
  <c r="E81" i="21"/>
  <c r="G81" i="33" s="1"/>
  <c r="I81" i="33" s="1"/>
  <c r="D79" i="21"/>
  <c r="F79" i="33" s="1"/>
  <c r="AB78" i="24"/>
  <c r="E76" i="21"/>
  <c r="G76" i="33" s="1"/>
  <c r="I76" i="33" s="1"/>
  <c r="T70" i="24"/>
  <c r="AE59" i="24"/>
  <c r="AE61" i="24" s="1"/>
  <c r="W59" i="24"/>
  <c r="AH56" i="21"/>
  <c r="AF54" i="24"/>
  <c r="AF56" i="24" s="1"/>
  <c r="Y56" i="21"/>
  <c r="Y82" i="21" s="1"/>
  <c r="Y54" i="24"/>
  <c r="Y56" i="24" s="1"/>
  <c r="Q54" i="24"/>
  <c r="Q56" i="24" s="1"/>
  <c r="I54" i="24"/>
  <c r="N51" i="24"/>
  <c r="D51" i="21"/>
  <c r="F51" i="33" s="1"/>
  <c r="H51" i="33" s="1"/>
  <c r="AD43" i="21"/>
  <c r="AA40" i="24"/>
  <c r="AA42" i="24" s="1"/>
  <c r="AA43" i="24" s="1"/>
  <c r="W39" i="24"/>
  <c r="W43" i="21"/>
  <c r="E39" i="21"/>
  <c r="G39" i="33" s="1"/>
  <c r="I39" i="33" s="1"/>
  <c r="E35" i="21"/>
  <c r="G35" i="33" s="1"/>
  <c r="I35" i="33" s="1"/>
  <c r="X22" i="24"/>
  <c r="P22" i="24"/>
  <c r="H22" i="24"/>
  <c r="AB21" i="24"/>
  <c r="AB24" i="21"/>
  <c r="D21" i="21"/>
  <c r="F21" i="33" s="1"/>
  <c r="H21" i="33" s="1"/>
  <c r="I73" i="12"/>
  <c r="G73" i="9"/>
  <c r="M73" i="9"/>
  <c r="E73" i="33" s="1"/>
  <c r="E73" i="5" s="1"/>
  <c r="F61" i="9"/>
  <c r="H40" i="12"/>
  <c r="L40" i="9"/>
  <c r="H42" i="9"/>
  <c r="H43" i="9" s="1"/>
  <c r="F40" i="9"/>
  <c r="F42" i="9" s="1"/>
  <c r="F43" i="9" s="1"/>
  <c r="P19" i="24"/>
  <c r="AD81" i="24"/>
  <c r="V81" i="24"/>
  <c r="N81" i="24"/>
  <c r="AB80" i="24"/>
  <c r="T80" i="24"/>
  <c r="L80" i="24"/>
  <c r="D80" i="24" s="1"/>
  <c r="F80" i="36" s="1"/>
  <c r="Y79" i="24"/>
  <c r="Q79" i="24"/>
  <c r="AH78" i="24"/>
  <c r="AD78" i="24"/>
  <c r="V78" i="24"/>
  <c r="N78" i="24"/>
  <c r="D78" i="21"/>
  <c r="F78" i="33" s="1"/>
  <c r="H78" i="33" s="1"/>
  <c r="AG77" i="24"/>
  <c r="AA77" i="24"/>
  <c r="S77" i="24"/>
  <c r="K77" i="24"/>
  <c r="Y76" i="24"/>
  <c r="I76" i="24"/>
  <c r="N75" i="24"/>
  <c r="X73" i="24"/>
  <c r="P73" i="24"/>
  <c r="H73" i="24"/>
  <c r="D71" i="21"/>
  <c r="F71" i="33" s="1"/>
  <c r="H71" i="33" s="1"/>
  <c r="AF70" i="24"/>
  <c r="Z70" i="24"/>
  <c r="R70" i="24"/>
  <c r="R72" i="24" s="1"/>
  <c r="I70" i="24"/>
  <c r="D65" i="21"/>
  <c r="F65" i="33" s="1"/>
  <c r="H65" i="33" s="1"/>
  <c r="AD59" i="24"/>
  <c r="AD61" i="24" s="1"/>
  <c r="D59" i="21"/>
  <c r="K55" i="24"/>
  <c r="AB51" i="24"/>
  <c r="AF41" i="24"/>
  <c r="Z41" i="24"/>
  <c r="R41" i="24"/>
  <c r="J41" i="24"/>
  <c r="X40" i="24"/>
  <c r="X42" i="24" s="1"/>
  <c r="X43" i="24" s="1"/>
  <c r="X42" i="21"/>
  <c r="X43" i="21" s="1"/>
  <c r="P42" i="21"/>
  <c r="P43" i="21" s="1"/>
  <c r="P40" i="24"/>
  <c r="P42" i="24" s="1"/>
  <c r="H40" i="24"/>
  <c r="H42" i="21"/>
  <c r="H43" i="21" s="1"/>
  <c r="AF35" i="24"/>
  <c r="Z35" i="24"/>
  <c r="R35" i="24"/>
  <c r="J35" i="24"/>
  <c r="X34" i="24"/>
  <c r="P34" i="24"/>
  <c r="H34" i="24"/>
  <c r="AI32" i="24"/>
  <c r="W32" i="24"/>
  <c r="W36" i="24" s="1"/>
  <c r="O32" i="24"/>
  <c r="AC23" i="24"/>
  <c r="U23" i="24"/>
  <c r="M23" i="24"/>
  <c r="AH21" i="24"/>
  <c r="AL24" i="21"/>
  <c r="AD21" i="24"/>
  <c r="AD24" i="21"/>
  <c r="V21" i="24"/>
  <c r="V24" i="21"/>
  <c r="V82" i="21" s="1"/>
  <c r="N21" i="24"/>
  <c r="N24" i="21"/>
  <c r="F24" i="21"/>
  <c r="AB20" i="24"/>
  <c r="T20" i="24"/>
  <c r="L20" i="24"/>
  <c r="AO24" i="21"/>
  <c r="AG24" i="21"/>
  <c r="AG82" i="21" s="1"/>
  <c r="Y19" i="24"/>
  <c r="Y24" i="21"/>
  <c r="Q19" i="24"/>
  <c r="Q24" i="21"/>
  <c r="I19" i="24"/>
  <c r="E19" i="21"/>
  <c r="I24" i="21"/>
  <c r="I82" i="21" s="1"/>
  <c r="I15" i="24"/>
  <c r="E15" i="24" s="1"/>
  <c r="G15" i="36" s="1"/>
  <c r="Y12" i="24"/>
  <c r="Y16" i="24" s="1"/>
  <c r="Q12" i="24"/>
  <c r="I12" i="24"/>
  <c r="AK16" i="21"/>
  <c r="AC11" i="24"/>
  <c r="AC16" i="21"/>
  <c r="U11" i="24"/>
  <c r="U16" i="24" s="1"/>
  <c r="U16" i="21"/>
  <c r="M11" i="24"/>
  <c r="M16" i="21"/>
  <c r="I86" i="12"/>
  <c r="I89" i="12" s="1"/>
  <c r="I89" i="9"/>
  <c r="G86" i="9"/>
  <c r="H80" i="12"/>
  <c r="F80" i="9"/>
  <c r="H71" i="12"/>
  <c r="F71" i="9"/>
  <c r="F72" i="9" s="1"/>
  <c r="H59" i="12"/>
  <c r="L59" i="9"/>
  <c r="H61" i="9"/>
  <c r="H49" i="12"/>
  <c r="L49" i="9"/>
  <c r="D49" i="33" s="1"/>
  <c r="M42" i="9"/>
  <c r="M43" i="9" s="1"/>
  <c r="H32" i="12"/>
  <c r="L32" i="9"/>
  <c r="I19" i="12"/>
  <c r="G19" i="9"/>
  <c r="L12" i="9"/>
  <c r="H16" i="9"/>
  <c r="H12" i="12"/>
  <c r="H71" i="24"/>
  <c r="D71" i="24" s="1"/>
  <c r="F71" i="36" s="1"/>
  <c r="AN36" i="24"/>
  <c r="F21" i="8"/>
  <c r="L21" i="8"/>
  <c r="D21" i="32" s="1"/>
  <c r="L19" i="8"/>
  <c r="F19" i="8"/>
  <c r="H24" i="8"/>
  <c r="F16" i="8"/>
  <c r="D79" i="20"/>
  <c r="F79" i="32" s="1"/>
  <c r="AG81" i="24"/>
  <c r="AA81" i="24"/>
  <c r="Y80" i="24"/>
  <c r="Q80" i="24"/>
  <c r="I80" i="24"/>
  <c r="P77" i="24"/>
  <c r="AH76" i="24"/>
  <c r="AD76" i="24"/>
  <c r="V76" i="24"/>
  <c r="AG75" i="24"/>
  <c r="S75" i="24"/>
  <c r="K75" i="24"/>
  <c r="X74" i="24"/>
  <c r="P74" i="24"/>
  <c r="H74" i="24"/>
  <c r="D74" i="24" s="1"/>
  <c r="F74" i="36" s="1"/>
  <c r="U73" i="24"/>
  <c r="M73" i="24"/>
  <c r="E73" i="21"/>
  <c r="G73" i="33" s="1"/>
  <c r="I73" i="33" s="1"/>
  <c r="AF71" i="24"/>
  <c r="Z71" i="24"/>
  <c r="R71" i="24"/>
  <c r="J71" i="24"/>
  <c r="AI70" i="24"/>
  <c r="AI72" i="24" s="1"/>
  <c r="AM72" i="21"/>
  <c r="AE70" i="24"/>
  <c r="AE72" i="24" s="1"/>
  <c r="AE72" i="21"/>
  <c r="W70" i="24"/>
  <c r="W72" i="24" s="1"/>
  <c r="W72" i="21"/>
  <c r="O70" i="24"/>
  <c r="O72" i="24" s="1"/>
  <c r="O72" i="21"/>
  <c r="K65" i="24"/>
  <c r="AN66" i="21"/>
  <c r="AF66" i="21"/>
  <c r="X66" i="21"/>
  <c r="P66" i="21"/>
  <c r="H64" i="24"/>
  <c r="H66" i="21"/>
  <c r="AC60" i="24"/>
  <c r="U60" i="24"/>
  <c r="M60" i="24"/>
  <c r="AG59" i="24"/>
  <c r="AG61" i="24" s="1"/>
  <c r="AI61" i="21"/>
  <c r="AA59" i="24"/>
  <c r="AA61" i="21"/>
  <c r="S59" i="24"/>
  <c r="S61" i="21"/>
  <c r="K59" i="24"/>
  <c r="K61" i="24" s="1"/>
  <c r="K61" i="21"/>
  <c r="AK56" i="21"/>
  <c r="AC56" i="21"/>
  <c r="Y51" i="24"/>
  <c r="Q51" i="24"/>
  <c r="I51" i="24"/>
  <c r="AC49" i="24"/>
  <c r="AG47" i="24"/>
  <c r="AA47" i="24"/>
  <c r="Y45" i="24"/>
  <c r="Q45" i="24"/>
  <c r="I45" i="24"/>
  <c r="AI41" i="24"/>
  <c r="AI42" i="24" s="1"/>
  <c r="AI43" i="24" s="1"/>
  <c r="AE41" i="24"/>
  <c r="W41" i="24"/>
  <c r="O41" i="24"/>
  <c r="AC40" i="24"/>
  <c r="U40" i="24"/>
  <c r="U42" i="24" s="1"/>
  <c r="U43" i="24" s="1"/>
  <c r="M40" i="24"/>
  <c r="AI35" i="24"/>
  <c r="W35" i="24"/>
  <c r="O35" i="24"/>
  <c r="AC34" i="24"/>
  <c r="U34" i="24"/>
  <c r="R33" i="24"/>
  <c r="R36" i="24" s="1"/>
  <c r="AB32" i="24"/>
  <c r="AB36" i="24" s="1"/>
  <c r="T32" i="24"/>
  <c r="L32" i="24"/>
  <c r="D32" i="21"/>
  <c r="Y28" i="24"/>
  <c r="Q28" i="24"/>
  <c r="I28" i="24"/>
  <c r="AC27" i="24"/>
  <c r="AC29" i="24" s="1"/>
  <c r="U27" i="24"/>
  <c r="U29" i="24" s="1"/>
  <c r="M27" i="24"/>
  <c r="AF23" i="24"/>
  <c r="Z23" i="24"/>
  <c r="R23" i="24"/>
  <c r="J23" i="24"/>
  <c r="AE22" i="24"/>
  <c r="W22" i="24"/>
  <c r="O22" i="24"/>
  <c r="E22" i="24" s="1"/>
  <c r="G22" i="36" s="1"/>
  <c r="E22" i="21"/>
  <c r="G22" i="33" s="1"/>
  <c r="AD19" i="24"/>
  <c r="D19" i="21"/>
  <c r="AD15" i="24"/>
  <c r="V15" i="24"/>
  <c r="N15" i="24"/>
  <c r="AB14" i="24"/>
  <c r="T14" i="24"/>
  <c r="L14" i="24"/>
  <c r="D14" i="21"/>
  <c r="F14" i="33" s="1"/>
  <c r="H14" i="33" s="1"/>
  <c r="Z13" i="24"/>
  <c r="Z16" i="21"/>
  <c r="R13" i="24"/>
  <c r="R16" i="21"/>
  <c r="J13" i="24"/>
  <c r="D13" i="24" s="1"/>
  <c r="F13" i="36" s="1"/>
  <c r="J16" i="21"/>
  <c r="J82" i="21" s="1"/>
  <c r="AH12" i="24"/>
  <c r="AD12" i="24"/>
  <c r="V12" i="24"/>
  <c r="N12" i="24"/>
  <c r="D12" i="21"/>
  <c r="F12" i="33" s="1"/>
  <c r="I81" i="12"/>
  <c r="G81" i="9"/>
  <c r="I64" i="12"/>
  <c r="I66" i="9"/>
  <c r="G64" i="9"/>
  <c r="I60" i="12"/>
  <c r="M60" i="9"/>
  <c r="E60" i="33" s="1"/>
  <c r="E61" i="33" s="1"/>
  <c r="I51" i="12"/>
  <c r="M51" i="9"/>
  <c r="E51" i="33" s="1"/>
  <c r="E51" i="5" s="1"/>
  <c r="G42" i="9"/>
  <c r="G43" i="9" s="1"/>
  <c r="I33" i="12"/>
  <c r="M33" i="9"/>
  <c r="I36" i="9"/>
  <c r="I15" i="12"/>
  <c r="G15" i="9"/>
  <c r="I16" i="9"/>
  <c r="J82" i="12"/>
  <c r="J91" i="12" s="1"/>
  <c r="AE24" i="24"/>
  <c r="Z81" i="24"/>
  <c r="H80" i="24"/>
  <c r="AF78" i="24"/>
  <c r="Z78" i="24"/>
  <c r="R78" i="24"/>
  <c r="J78" i="24"/>
  <c r="AI77" i="24"/>
  <c r="O77" i="24"/>
  <c r="AC76" i="24"/>
  <c r="M76" i="24"/>
  <c r="Z75" i="24"/>
  <c r="R75" i="24"/>
  <c r="J75" i="24"/>
  <c r="D75" i="24" s="1"/>
  <c r="F75" i="36" s="1"/>
  <c r="AI74" i="24"/>
  <c r="AE74" i="24"/>
  <c r="W74" i="24"/>
  <c r="O74" i="24"/>
  <c r="AB73" i="24"/>
  <c r="T73" i="24"/>
  <c r="L73" i="24"/>
  <c r="Y71" i="24"/>
  <c r="Q71" i="24"/>
  <c r="E71" i="24" s="1"/>
  <c r="G71" i="36" s="1"/>
  <c r="AH70" i="24"/>
  <c r="V70" i="24"/>
  <c r="V72" i="24" s="1"/>
  <c r="N70" i="24"/>
  <c r="J65" i="24"/>
  <c r="E64" i="21"/>
  <c r="G64" i="33" s="1"/>
  <c r="AB60" i="24"/>
  <c r="T60" i="24"/>
  <c r="L60" i="24"/>
  <c r="D60" i="24" s="1"/>
  <c r="F60" i="36" s="1"/>
  <c r="AF59" i="24"/>
  <c r="AF61" i="24" s="1"/>
  <c r="AH61" i="21"/>
  <c r="Z59" i="24"/>
  <c r="Z61" i="24" s="1"/>
  <c r="Z61" i="21"/>
  <c r="R59" i="24"/>
  <c r="R61" i="24" s="1"/>
  <c r="R61" i="21"/>
  <c r="J59" i="24"/>
  <c r="J61" i="24" s="1"/>
  <c r="J61" i="21"/>
  <c r="AI55" i="24"/>
  <c r="AE55" i="24"/>
  <c r="W55" i="24"/>
  <c r="O55" i="24"/>
  <c r="AJ56" i="21"/>
  <c r="AB54" i="24"/>
  <c r="AB56" i="21"/>
  <c r="S54" i="24"/>
  <c r="S56" i="24" s="1"/>
  <c r="K54" i="24"/>
  <c r="K56" i="24" s="1"/>
  <c r="X51" i="24"/>
  <c r="P51" i="24"/>
  <c r="H51" i="24"/>
  <c r="AB49" i="24"/>
  <c r="T49" i="24"/>
  <c r="AF47" i="24"/>
  <c r="Z47" i="24"/>
  <c r="R47" i="24"/>
  <c r="P45" i="24"/>
  <c r="H45" i="24"/>
  <c r="D45" i="24" s="1"/>
  <c r="F45" i="36" s="1"/>
  <c r="Y39" i="24"/>
  <c r="Q39" i="24"/>
  <c r="I39" i="24"/>
  <c r="Y33" i="24"/>
  <c r="Q33" i="24"/>
  <c r="I33" i="24"/>
  <c r="AI36" i="21"/>
  <c r="AA32" i="24"/>
  <c r="AA36" i="21"/>
  <c r="S32" i="24"/>
  <c r="S36" i="21"/>
  <c r="K32" i="24"/>
  <c r="K36" i="24" s="1"/>
  <c r="K36" i="21"/>
  <c r="X28" i="24"/>
  <c r="P28" i="24"/>
  <c r="H28" i="24"/>
  <c r="AB27" i="24"/>
  <c r="AB29" i="21"/>
  <c r="T27" i="24"/>
  <c r="T29" i="21"/>
  <c r="L27" i="24"/>
  <c r="L29" i="24" s="1"/>
  <c r="L29" i="21"/>
  <c r="Y23" i="24"/>
  <c r="Q23" i="24"/>
  <c r="I23" i="24"/>
  <c r="E23" i="24" s="1"/>
  <c r="G23" i="36" s="1"/>
  <c r="AH22" i="24"/>
  <c r="AD22" i="24"/>
  <c r="V22" i="24"/>
  <c r="N22" i="24"/>
  <c r="D22" i="21"/>
  <c r="F22" i="33" s="1"/>
  <c r="H22" i="33" s="1"/>
  <c r="AO82" i="21"/>
  <c r="AC15" i="24"/>
  <c r="U15" i="24"/>
  <c r="M15" i="24"/>
  <c r="AG14" i="24"/>
  <c r="AA14" i="24"/>
  <c r="S14" i="24"/>
  <c r="K14" i="24"/>
  <c r="Y13" i="24"/>
  <c r="Q13" i="24"/>
  <c r="I13" i="24"/>
  <c r="E13" i="21"/>
  <c r="G13" i="33" s="1"/>
  <c r="I13" i="33" s="1"/>
  <c r="H79" i="12"/>
  <c r="L79" i="9"/>
  <c r="D79" i="33" s="1"/>
  <c r="H70" i="12"/>
  <c r="L70" i="9"/>
  <c r="H72" i="9"/>
  <c r="H60" i="12"/>
  <c r="F60" i="9"/>
  <c r="H51" i="12"/>
  <c r="F51" i="9"/>
  <c r="H33" i="12"/>
  <c r="F33" i="9"/>
  <c r="F36" i="9" s="1"/>
  <c r="G42" i="24"/>
  <c r="G43" i="24" s="1"/>
  <c r="AF13" i="24"/>
  <c r="AA56" i="24"/>
  <c r="AI80" i="24"/>
  <c r="E80" i="21"/>
  <c r="G80" i="33" s="1"/>
  <c r="I80" i="33" s="1"/>
  <c r="AB79" i="24"/>
  <c r="T79" i="24"/>
  <c r="I78" i="24"/>
  <c r="AH77" i="24"/>
  <c r="AD77" i="24"/>
  <c r="V77" i="24"/>
  <c r="N77" i="24"/>
  <c r="AB76" i="24"/>
  <c r="T76" i="24"/>
  <c r="L76" i="24"/>
  <c r="Q75" i="24"/>
  <c r="I75" i="24"/>
  <c r="AH74" i="24"/>
  <c r="AD74" i="24"/>
  <c r="N74" i="24"/>
  <c r="D74" i="21"/>
  <c r="F74" i="33" s="1"/>
  <c r="H74" i="33" s="1"/>
  <c r="AG73" i="24"/>
  <c r="S73" i="24"/>
  <c r="K73" i="24"/>
  <c r="N72" i="21"/>
  <c r="X71" i="24"/>
  <c r="P71" i="24"/>
  <c r="U72" i="21"/>
  <c r="U70" i="24"/>
  <c r="M70" i="24"/>
  <c r="M72" i="24" s="1"/>
  <c r="M72" i="21"/>
  <c r="I65" i="24"/>
  <c r="F66" i="21"/>
  <c r="D64" i="21"/>
  <c r="F64" i="33" s="1"/>
  <c r="AG60" i="24"/>
  <c r="AA60" i="24"/>
  <c r="S60" i="24"/>
  <c r="K60" i="24"/>
  <c r="Y59" i="24"/>
  <c r="Y61" i="24" s="1"/>
  <c r="Q59" i="24"/>
  <c r="I59" i="24"/>
  <c r="K56" i="21"/>
  <c r="AH55" i="24"/>
  <c r="AD55" i="24"/>
  <c r="AD56" i="24" s="1"/>
  <c r="V55" i="24"/>
  <c r="N55" i="24"/>
  <c r="N56" i="24" s="1"/>
  <c r="AG54" i="24"/>
  <c r="Z54" i="24"/>
  <c r="Z56" i="21"/>
  <c r="R54" i="24"/>
  <c r="R56" i="24" s="1"/>
  <c r="R56" i="21"/>
  <c r="J54" i="24"/>
  <c r="J56" i="24" s="1"/>
  <c r="J56" i="21"/>
  <c r="AI51" i="24"/>
  <c r="AE51" i="24"/>
  <c r="W51" i="24"/>
  <c r="O51" i="24"/>
  <c r="E51" i="21"/>
  <c r="G51" i="33" s="1"/>
  <c r="I51" i="33" s="1"/>
  <c r="AI45" i="24"/>
  <c r="AC41" i="24"/>
  <c r="U41" i="24"/>
  <c r="M41" i="24"/>
  <c r="AI42" i="21"/>
  <c r="AI43" i="21" s="1"/>
  <c r="AA42" i="21"/>
  <c r="AA43" i="21" s="1"/>
  <c r="S40" i="24"/>
  <c r="S42" i="24" s="1"/>
  <c r="S43" i="24" s="1"/>
  <c r="S42" i="21"/>
  <c r="S43" i="21" s="1"/>
  <c r="K40" i="24"/>
  <c r="K42" i="24" s="1"/>
  <c r="K43" i="24" s="1"/>
  <c r="K42" i="21"/>
  <c r="K43" i="21" s="1"/>
  <c r="X39" i="24"/>
  <c r="P39" i="24"/>
  <c r="H39" i="24"/>
  <c r="AC35" i="24"/>
  <c r="U35" i="24"/>
  <c r="M35" i="24"/>
  <c r="AG34" i="24"/>
  <c r="AA34" i="24"/>
  <c r="S34" i="24"/>
  <c r="K34" i="24"/>
  <c r="X33" i="24"/>
  <c r="X36" i="21"/>
  <c r="P33" i="24"/>
  <c r="P36" i="21"/>
  <c r="P82" i="21" s="1"/>
  <c r="H33" i="24"/>
  <c r="D33" i="24" s="1"/>
  <c r="F33" i="36" s="1"/>
  <c r="H36" i="21"/>
  <c r="AF32" i="24"/>
  <c r="AH36" i="21"/>
  <c r="Z32" i="24"/>
  <c r="Z36" i="21"/>
  <c r="R36" i="21"/>
  <c r="J32" i="24"/>
  <c r="J36" i="21"/>
  <c r="AE28" i="24"/>
  <c r="W28" i="24"/>
  <c r="O28" i="24"/>
  <c r="E28" i="21"/>
  <c r="G28" i="33" s="1"/>
  <c r="I28" i="33" s="1"/>
  <c r="X23" i="24"/>
  <c r="P23" i="24"/>
  <c r="Y21" i="24"/>
  <c r="Q21" i="24"/>
  <c r="I21" i="24"/>
  <c r="AI20" i="24"/>
  <c r="AE20" i="24"/>
  <c r="W20" i="24"/>
  <c r="AB15" i="24"/>
  <c r="T15" i="24"/>
  <c r="L15" i="24"/>
  <c r="AF14" i="24"/>
  <c r="Z14" i="24"/>
  <c r="R14" i="24"/>
  <c r="J14" i="24"/>
  <c r="D14" i="24" s="1"/>
  <c r="F14" i="36" s="1"/>
  <c r="X13" i="24"/>
  <c r="P13" i="24"/>
  <c r="H13" i="24"/>
  <c r="AB12" i="24"/>
  <c r="I77" i="12"/>
  <c r="G77" i="9"/>
  <c r="G72" i="9"/>
  <c r="G60" i="9"/>
  <c r="G61" i="9" s="1"/>
  <c r="G51" i="9"/>
  <c r="I41" i="12"/>
  <c r="M41" i="9"/>
  <c r="E41" i="33" s="1"/>
  <c r="E42" i="33" s="1"/>
  <c r="E43" i="33" s="1"/>
  <c r="G33" i="9"/>
  <c r="G36" i="9" s="1"/>
  <c r="G16" i="9"/>
  <c r="AG32" i="24"/>
  <c r="AG36" i="24" s="1"/>
  <c r="D82" i="12"/>
  <c r="D91" i="12" s="1"/>
  <c r="M80" i="8"/>
  <c r="E80" i="32" s="1"/>
  <c r="G80" i="8"/>
  <c r="AO82" i="20"/>
  <c r="AM641" i="44" s="1"/>
  <c r="Q82" i="20"/>
  <c r="O641" i="44" s="1"/>
  <c r="D86" i="24"/>
  <c r="R81" i="24"/>
  <c r="J81" i="24"/>
  <c r="X80" i="24"/>
  <c r="AH79" i="24"/>
  <c r="V79" i="24"/>
  <c r="L78" i="24"/>
  <c r="AF77" i="24"/>
  <c r="J77" i="24"/>
  <c r="D77" i="24" s="1"/>
  <c r="F77" i="36" s="1"/>
  <c r="P76" i="24"/>
  <c r="AH75" i="24"/>
  <c r="AD75" i="24"/>
  <c r="T74" i="24"/>
  <c r="L74" i="24"/>
  <c r="AF73" i="24"/>
  <c r="J73" i="24"/>
  <c r="AH71" i="24"/>
  <c r="AD71" i="24"/>
  <c r="AD72" i="24" s="1"/>
  <c r="N71" i="24"/>
  <c r="AB70" i="24"/>
  <c r="L70" i="24"/>
  <c r="L72" i="24" s="1"/>
  <c r="Y60" i="24"/>
  <c r="Q60" i="24"/>
  <c r="I60" i="24"/>
  <c r="E60" i="24" s="1"/>
  <c r="G60" i="36" s="1"/>
  <c r="AI59" i="24"/>
  <c r="AI61" i="24" s="1"/>
  <c r="AG55" i="24"/>
  <c r="W54" i="24"/>
  <c r="W56" i="24" s="1"/>
  <c r="O54" i="24"/>
  <c r="O56" i="24" s="1"/>
  <c r="AG49" i="24"/>
  <c r="AA49" i="24"/>
  <c r="S49" i="24"/>
  <c r="K49" i="24"/>
  <c r="Y47" i="24"/>
  <c r="Q47" i="24"/>
  <c r="I47" i="24"/>
  <c r="AE45" i="24"/>
  <c r="W45" i="24"/>
  <c r="O45" i="24"/>
  <c r="Y41" i="24"/>
  <c r="Q41" i="24"/>
  <c r="I41" i="24"/>
  <c r="AE40" i="24"/>
  <c r="AE42" i="24" s="1"/>
  <c r="AE43" i="24" s="1"/>
  <c r="W40" i="24"/>
  <c r="AC39" i="24"/>
  <c r="M39" i="24"/>
  <c r="Y35" i="24"/>
  <c r="Q35" i="24"/>
  <c r="I35" i="24"/>
  <c r="E35" i="24" s="1"/>
  <c r="G35" i="36" s="1"/>
  <c r="AI34" i="24"/>
  <c r="AE34" i="24"/>
  <c r="AE36" i="24" s="1"/>
  <c r="W34" i="24"/>
  <c r="O34" i="24"/>
  <c r="AC33" i="24"/>
  <c r="U33" i="24"/>
  <c r="M33" i="24"/>
  <c r="Y32" i="24"/>
  <c r="Y36" i="24" s="1"/>
  <c r="Q32" i="24"/>
  <c r="Q36" i="24" s="1"/>
  <c r="I32" i="24"/>
  <c r="I36" i="24" s="1"/>
  <c r="AC28" i="24"/>
  <c r="U28" i="24"/>
  <c r="M28" i="24"/>
  <c r="AG27" i="24"/>
  <c r="AG29" i="24" s="1"/>
  <c r="AA27" i="24"/>
  <c r="S27" i="24"/>
  <c r="S29" i="24" s="1"/>
  <c r="K27" i="24"/>
  <c r="AI23" i="24"/>
  <c r="AE23" i="24"/>
  <c r="W23" i="24"/>
  <c r="O23" i="24"/>
  <c r="AC22" i="24"/>
  <c r="M22" i="24"/>
  <c r="AG21" i="24"/>
  <c r="AA21" i="24"/>
  <c r="K21" i="24"/>
  <c r="Y20" i="24"/>
  <c r="Q20" i="24"/>
  <c r="I20" i="24"/>
  <c r="AI19" i="24"/>
  <c r="W19" i="24"/>
  <c r="AG15" i="24"/>
  <c r="AA15" i="24"/>
  <c r="S15" i="24"/>
  <c r="K15" i="24"/>
  <c r="Y14" i="24"/>
  <c r="Q14" i="24"/>
  <c r="I14" i="24"/>
  <c r="AI13" i="24"/>
  <c r="AE13" i="24"/>
  <c r="W13" i="24"/>
  <c r="O13" i="24"/>
  <c r="AC12" i="24"/>
  <c r="U12" i="24"/>
  <c r="M12" i="24"/>
  <c r="AG11" i="24"/>
  <c r="S11" i="24"/>
  <c r="K11" i="24"/>
  <c r="L87" i="9"/>
  <c r="H89" i="12"/>
  <c r="H81" i="12"/>
  <c r="H77" i="12"/>
  <c r="H73" i="12"/>
  <c r="H64" i="12"/>
  <c r="H54" i="12"/>
  <c r="H45" i="12"/>
  <c r="H34" i="12"/>
  <c r="I22" i="12"/>
  <c r="M22" i="9"/>
  <c r="E22" i="33" s="1"/>
  <c r="M11" i="9"/>
  <c r="U89" i="24"/>
  <c r="AO36" i="24"/>
  <c r="AO82" i="24" s="1"/>
  <c r="Y81" i="24"/>
  <c r="Q81" i="24"/>
  <c r="E81" i="24" s="1"/>
  <c r="G81" i="36" s="1"/>
  <c r="AE80" i="24"/>
  <c r="W80" i="24"/>
  <c r="O80" i="24"/>
  <c r="AC79" i="24"/>
  <c r="U79" i="24"/>
  <c r="M79" i="24"/>
  <c r="AG78" i="24"/>
  <c r="AA78" i="24"/>
  <c r="S78" i="24"/>
  <c r="K78" i="24"/>
  <c r="Y77" i="24"/>
  <c r="Q77" i="24"/>
  <c r="I77" i="24"/>
  <c r="AE76" i="24"/>
  <c r="W76" i="24"/>
  <c r="O76" i="24"/>
  <c r="AC75" i="24"/>
  <c r="U75" i="24"/>
  <c r="M75" i="24"/>
  <c r="AA74" i="24"/>
  <c r="S74" i="24"/>
  <c r="K74" i="24"/>
  <c r="Y73" i="24"/>
  <c r="Q73" i="24"/>
  <c r="I73" i="24"/>
  <c r="AC71" i="24"/>
  <c r="U71" i="24"/>
  <c r="M71" i="24"/>
  <c r="AG70" i="24"/>
  <c r="AG72" i="24" s="1"/>
  <c r="AA70" i="24"/>
  <c r="AA72" i="24" s="1"/>
  <c r="S70" i="24"/>
  <c r="S72" i="24" s="1"/>
  <c r="J70" i="24"/>
  <c r="J72" i="24" s="1"/>
  <c r="X60" i="24"/>
  <c r="H60" i="24"/>
  <c r="AH59" i="24"/>
  <c r="V59" i="24"/>
  <c r="V61" i="24" s="1"/>
  <c r="Z55" i="24"/>
  <c r="J55" i="24"/>
  <c r="AI54" i="24"/>
  <c r="AI56" i="24" s="1"/>
  <c r="AE54" i="24"/>
  <c r="AE56" i="24" s="1"/>
  <c r="V54" i="24"/>
  <c r="V56" i="24" s="1"/>
  <c r="T51" i="24"/>
  <c r="AF49" i="24"/>
  <c r="Z49" i="24"/>
  <c r="R49" i="24"/>
  <c r="J49" i="24"/>
  <c r="X47" i="24"/>
  <c r="P47" i="24"/>
  <c r="H47" i="24"/>
  <c r="AH45" i="24"/>
  <c r="AD45" i="24"/>
  <c r="V45" i="24"/>
  <c r="N45" i="24"/>
  <c r="H41" i="24"/>
  <c r="D41" i="24" s="1"/>
  <c r="F41" i="36" s="1"/>
  <c r="AH40" i="24"/>
  <c r="AH42" i="24" s="1"/>
  <c r="AH43" i="24" s="1"/>
  <c r="AD40" i="24"/>
  <c r="V40" i="24"/>
  <c r="N40" i="24"/>
  <c r="AB39" i="24"/>
  <c r="X35" i="24"/>
  <c r="H35" i="24"/>
  <c r="D35" i="24" s="1"/>
  <c r="F35" i="36" s="1"/>
  <c r="AH34" i="24"/>
  <c r="AD34" i="24"/>
  <c r="V34" i="24"/>
  <c r="AB33" i="24"/>
  <c r="T33" i="24"/>
  <c r="L33" i="24"/>
  <c r="X32" i="24"/>
  <c r="P32" i="24"/>
  <c r="P36" i="24" s="1"/>
  <c r="H32" i="24"/>
  <c r="AB28" i="24"/>
  <c r="T28" i="24"/>
  <c r="L28" i="24"/>
  <c r="AF27" i="24"/>
  <c r="Z27" i="24"/>
  <c r="R27" i="24"/>
  <c r="J27" i="24"/>
  <c r="AH23" i="24"/>
  <c r="AD23" i="24"/>
  <c r="V23" i="24"/>
  <c r="D23" i="24" s="1"/>
  <c r="F23" i="36" s="1"/>
  <c r="N23" i="24"/>
  <c r="AB22" i="24"/>
  <c r="L22" i="24"/>
  <c r="AF21" i="24"/>
  <c r="Z21" i="24"/>
  <c r="R21" i="24"/>
  <c r="J21" i="24"/>
  <c r="X20" i="24"/>
  <c r="P20" i="24"/>
  <c r="H20" i="24"/>
  <c r="AH19" i="24"/>
  <c r="V19" i="24"/>
  <c r="N19" i="24"/>
  <c r="AF15" i="24"/>
  <c r="Z15" i="24"/>
  <c r="R15" i="24"/>
  <c r="J15" i="24"/>
  <c r="P14" i="24"/>
  <c r="AH13" i="24"/>
  <c r="V13" i="24"/>
  <c r="N13" i="24"/>
  <c r="T12" i="24"/>
  <c r="L12" i="24"/>
  <c r="AF11" i="24"/>
  <c r="AF16" i="24" s="1"/>
  <c r="Z11" i="24"/>
  <c r="R11" i="24"/>
  <c r="J11" i="24"/>
  <c r="I78" i="12"/>
  <c r="I74" i="12"/>
  <c r="I65" i="12"/>
  <c r="I55" i="12"/>
  <c r="I47" i="12"/>
  <c r="I39" i="12"/>
  <c r="I35" i="12"/>
  <c r="I28" i="12"/>
  <c r="F22" i="9"/>
  <c r="H22" i="12"/>
  <c r="H13" i="12"/>
  <c r="F89" i="24"/>
  <c r="D79" i="24"/>
  <c r="F79" i="36" s="1"/>
  <c r="G66" i="29"/>
  <c r="E64" i="29"/>
  <c r="G64" i="41" s="1"/>
  <c r="O20" i="24"/>
  <c r="O24" i="24" s="1"/>
  <c r="AC19" i="24"/>
  <c r="U19" i="24"/>
  <c r="U24" i="24" s="1"/>
  <c r="M19" i="24"/>
  <c r="Q15" i="24"/>
  <c r="AI14" i="24"/>
  <c r="AE14" i="24"/>
  <c r="W14" i="24"/>
  <c r="O14" i="24"/>
  <c r="E14" i="24" s="1"/>
  <c r="G14" i="36" s="1"/>
  <c r="AC13" i="24"/>
  <c r="M13" i="24"/>
  <c r="AG12" i="24"/>
  <c r="S12" i="24"/>
  <c r="Q11" i="24"/>
  <c r="Q16" i="24" s="1"/>
  <c r="I11" i="24"/>
  <c r="F89" i="12"/>
  <c r="H78" i="12"/>
  <c r="H74" i="12"/>
  <c r="H65" i="12"/>
  <c r="H55" i="12"/>
  <c r="H47" i="12"/>
  <c r="H39" i="12"/>
  <c r="H35" i="12"/>
  <c r="H28" i="12"/>
  <c r="I20" i="12"/>
  <c r="G20" i="9"/>
  <c r="I11" i="12"/>
  <c r="E35" i="20"/>
  <c r="G35" i="32" s="1"/>
  <c r="I35" i="32" s="1"/>
  <c r="AI81" i="24"/>
  <c r="AE81" i="24"/>
  <c r="M80" i="24"/>
  <c r="K79" i="24"/>
  <c r="E79" i="24" s="1"/>
  <c r="G79" i="36" s="1"/>
  <c r="Y78" i="24"/>
  <c r="AE77" i="24"/>
  <c r="W77" i="24"/>
  <c r="U76" i="24"/>
  <c r="AA75" i="24"/>
  <c r="Q74" i="24"/>
  <c r="AI73" i="24"/>
  <c r="W73" i="24"/>
  <c r="O73" i="24"/>
  <c r="AA71" i="24"/>
  <c r="S71" i="24"/>
  <c r="K71" i="24"/>
  <c r="Y70" i="24"/>
  <c r="Y72" i="24" s="1"/>
  <c r="Q70" i="24"/>
  <c r="Q72" i="24" s="1"/>
  <c r="H70" i="24"/>
  <c r="J64" i="24"/>
  <c r="J66" i="24" s="1"/>
  <c r="AH60" i="24"/>
  <c r="AD60" i="24"/>
  <c r="N60" i="24"/>
  <c r="T59" i="24"/>
  <c r="X55" i="24"/>
  <c r="H55" i="24"/>
  <c r="D55" i="24" s="1"/>
  <c r="F55" i="36" s="1"/>
  <c r="AC54" i="24"/>
  <c r="AC56" i="24" s="1"/>
  <c r="T54" i="24"/>
  <c r="T56" i="24" s="1"/>
  <c r="L54" i="24"/>
  <c r="AF51" i="24"/>
  <c r="Z51" i="24"/>
  <c r="R51" i="24"/>
  <c r="J51" i="24"/>
  <c r="D51" i="24" s="1"/>
  <c r="F51" i="36" s="1"/>
  <c r="X49" i="24"/>
  <c r="P49" i="24"/>
  <c r="H49" i="24"/>
  <c r="D49" i="24" s="1"/>
  <c r="F49" i="36" s="1"/>
  <c r="AH47" i="24"/>
  <c r="AD47" i="24"/>
  <c r="V47" i="24"/>
  <c r="N47" i="24"/>
  <c r="AB45" i="24"/>
  <c r="T45" i="24"/>
  <c r="L45" i="24"/>
  <c r="AD41" i="24"/>
  <c r="V41" i="24"/>
  <c r="N41" i="24"/>
  <c r="AB40" i="24"/>
  <c r="AB42" i="24" s="1"/>
  <c r="AB43" i="24" s="1"/>
  <c r="T40" i="24"/>
  <c r="T42" i="24" s="1"/>
  <c r="T43" i="24" s="1"/>
  <c r="L40" i="24"/>
  <c r="L42" i="24" s="1"/>
  <c r="L43" i="24" s="1"/>
  <c r="AF39" i="24"/>
  <c r="Z39" i="24"/>
  <c r="J39" i="24"/>
  <c r="D39" i="24" s="1"/>
  <c r="F39" i="36" s="1"/>
  <c r="AD35" i="24"/>
  <c r="AB34" i="24"/>
  <c r="L34" i="24"/>
  <c r="AF33" i="24"/>
  <c r="Z33" i="24"/>
  <c r="J33" i="24"/>
  <c r="AD32" i="24"/>
  <c r="AD36" i="24" s="1"/>
  <c r="V32" i="24"/>
  <c r="V36" i="24" s="1"/>
  <c r="N32" i="24"/>
  <c r="N36" i="24" s="1"/>
  <c r="AF28" i="24"/>
  <c r="Z28" i="24"/>
  <c r="R28" i="24"/>
  <c r="J28" i="24"/>
  <c r="X27" i="24"/>
  <c r="P27" i="24"/>
  <c r="H27" i="24"/>
  <c r="AB23" i="24"/>
  <c r="T23" i="24"/>
  <c r="L23" i="24"/>
  <c r="AF22" i="24"/>
  <c r="Z22" i="24"/>
  <c r="R22" i="24"/>
  <c r="J22" i="24"/>
  <c r="X21" i="24"/>
  <c r="P21" i="24"/>
  <c r="H21" i="24"/>
  <c r="AD20" i="24"/>
  <c r="V20" i="24"/>
  <c r="N20" i="24"/>
  <c r="AB19" i="24"/>
  <c r="AB24" i="24" s="1"/>
  <c r="T19" i="24"/>
  <c r="T24" i="24" s="1"/>
  <c r="L19" i="24"/>
  <c r="L24" i="24" s="1"/>
  <c r="X15" i="24"/>
  <c r="P15" i="24"/>
  <c r="H15" i="24"/>
  <c r="AH14" i="24"/>
  <c r="AD14" i="24"/>
  <c r="V14" i="24"/>
  <c r="N14" i="24"/>
  <c r="AB13" i="24"/>
  <c r="T13" i="24"/>
  <c r="L13" i="24"/>
  <c r="AF12" i="24"/>
  <c r="Z12" i="24"/>
  <c r="R12" i="24"/>
  <c r="J12" i="24"/>
  <c r="X11" i="24"/>
  <c r="X16" i="24" s="1"/>
  <c r="P11" i="24"/>
  <c r="P16" i="24" s="1"/>
  <c r="H11" i="24"/>
  <c r="G87" i="9"/>
  <c r="G87" i="12" s="1"/>
  <c r="I79" i="12"/>
  <c r="G78" i="9"/>
  <c r="I75" i="12"/>
  <c r="G74" i="9"/>
  <c r="G65" i="9"/>
  <c r="I59" i="12"/>
  <c r="G55" i="9"/>
  <c r="I49" i="12"/>
  <c r="G47" i="9"/>
  <c r="I40" i="12"/>
  <c r="G39" i="9"/>
  <c r="G35" i="9"/>
  <c r="I32" i="12"/>
  <c r="G28" i="9"/>
  <c r="I23" i="12"/>
  <c r="H20" i="12"/>
  <c r="L20" i="9"/>
  <c r="D20" i="33" s="1"/>
  <c r="H20" i="33" s="1"/>
  <c r="I14" i="12"/>
  <c r="M14" i="9"/>
  <c r="E14" i="33" s="1"/>
  <c r="F13" i="9"/>
  <c r="R89" i="24"/>
  <c r="D78" i="24"/>
  <c r="F78" i="36" s="1"/>
  <c r="I21" i="12"/>
  <c r="I13" i="12"/>
  <c r="AO56" i="24"/>
  <c r="E29" i="12"/>
  <c r="E82" i="12" s="1"/>
  <c r="E91" i="12" s="1"/>
  <c r="F80" i="8"/>
  <c r="L80" i="8"/>
  <c r="D80" i="32" s="1"/>
  <c r="M75" i="8"/>
  <c r="E75" i="32" s="1"/>
  <c r="G75" i="8"/>
  <c r="E59" i="32"/>
  <c r="E61" i="32" s="1"/>
  <c r="M61" i="8"/>
  <c r="G29" i="8"/>
  <c r="L42" i="20"/>
  <c r="L43" i="20" s="1"/>
  <c r="D41" i="20"/>
  <c r="F41" i="32" s="1"/>
  <c r="H41" i="32" s="1"/>
  <c r="F61" i="24"/>
  <c r="AJ43" i="24"/>
  <c r="F42" i="24"/>
  <c r="F43" i="24" s="1"/>
  <c r="K82" i="8"/>
  <c r="AM72" i="24"/>
  <c r="G56" i="24"/>
  <c r="E42" i="32"/>
  <c r="E43" i="32" s="1"/>
  <c r="I56" i="8"/>
  <c r="M54" i="8"/>
  <c r="F47" i="8"/>
  <c r="L47" i="8"/>
  <c r="D47" i="32" s="1"/>
  <c r="E71" i="20"/>
  <c r="G71" i="32" s="1"/>
  <c r="I71" i="32" s="1"/>
  <c r="I49" i="32"/>
  <c r="H19" i="12"/>
  <c r="H15" i="12"/>
  <c r="H11" i="12"/>
  <c r="AL72" i="24"/>
  <c r="F72" i="24"/>
  <c r="F56" i="24"/>
  <c r="AJ24" i="24"/>
  <c r="AJ82" i="24" s="1"/>
  <c r="K82" i="12"/>
  <c r="K91" i="12" s="1"/>
  <c r="G66" i="8"/>
  <c r="AN16" i="24"/>
  <c r="K43" i="12"/>
  <c r="D16" i="32"/>
  <c r="I42" i="8"/>
  <c r="I43" i="8" s="1"/>
  <c r="G40" i="8"/>
  <c r="G42" i="8" s="1"/>
  <c r="G43" i="8" s="1"/>
  <c r="D32" i="32"/>
  <c r="D36" i="32" s="1"/>
  <c r="L36" i="8"/>
  <c r="D55" i="20"/>
  <c r="F55" i="32" s="1"/>
  <c r="H55" i="32" s="1"/>
  <c r="E74" i="22"/>
  <c r="G74" i="34" s="1"/>
  <c r="F66" i="22"/>
  <c r="D64" i="22"/>
  <c r="F64" i="34" s="1"/>
  <c r="I49" i="34"/>
  <c r="AL36" i="24"/>
  <c r="AM16" i="24"/>
  <c r="AM82" i="24" s="1"/>
  <c r="J42" i="12"/>
  <c r="J43" i="12" s="1"/>
  <c r="J24" i="12"/>
  <c r="M78" i="8"/>
  <c r="E78" i="32" s="1"/>
  <c r="I78" i="32" s="1"/>
  <c r="F40" i="8"/>
  <c r="F42" i="8" s="1"/>
  <c r="F43" i="8" s="1"/>
  <c r="L40" i="8"/>
  <c r="M32" i="8"/>
  <c r="G32" i="8"/>
  <c r="G36" i="8" s="1"/>
  <c r="I36" i="8"/>
  <c r="G28" i="8"/>
  <c r="M28" i="8"/>
  <c r="E28" i="32" s="1"/>
  <c r="E29" i="32" s="1"/>
  <c r="H49" i="32"/>
  <c r="D45" i="20"/>
  <c r="F45" i="32" s="1"/>
  <c r="H45" i="32" s="1"/>
  <c r="F32" i="32"/>
  <c r="AJ82" i="20"/>
  <c r="AH641" i="44" s="1"/>
  <c r="AB82" i="20"/>
  <c r="Z641" i="44" s="1"/>
  <c r="D11" i="20"/>
  <c r="L16" i="20"/>
  <c r="E78" i="29"/>
  <c r="G78" i="41" s="1"/>
  <c r="I78" i="41" s="1"/>
  <c r="E77" i="29"/>
  <c r="G77" i="41" s="1"/>
  <c r="I77" i="41" s="1"/>
  <c r="E78" i="22"/>
  <c r="G78" i="34" s="1"/>
  <c r="I78" i="34" s="1"/>
  <c r="H77" i="34"/>
  <c r="AL24" i="24"/>
  <c r="H21" i="32"/>
  <c r="M72" i="8"/>
  <c r="E70" i="32"/>
  <c r="E72" i="32" s="1"/>
  <c r="G61" i="8"/>
  <c r="D73" i="20"/>
  <c r="F73" i="32" s="1"/>
  <c r="H73" i="32" s="1"/>
  <c r="G72" i="20"/>
  <c r="E70" i="20"/>
  <c r="D79" i="29"/>
  <c r="F79" i="41" s="1"/>
  <c r="H79" i="41" s="1"/>
  <c r="F61" i="29"/>
  <c r="D60" i="29"/>
  <c r="F60" i="41" s="1"/>
  <c r="H60" i="41" s="1"/>
  <c r="D22" i="22"/>
  <c r="F22" i="34" s="1"/>
  <c r="H22" i="34" s="1"/>
  <c r="AB24" i="22"/>
  <c r="AB82" i="22" s="1"/>
  <c r="Z644" i="44" s="1"/>
  <c r="D20" i="22"/>
  <c r="F20" i="34" s="1"/>
  <c r="H20" i="34" s="1"/>
  <c r="E33" i="24"/>
  <c r="G33" i="36" s="1"/>
  <c r="AK24" i="24"/>
  <c r="AK82" i="24" s="1"/>
  <c r="F24" i="24"/>
  <c r="G66" i="32"/>
  <c r="I64" i="32"/>
  <c r="I66" i="32" s="1"/>
  <c r="M76" i="8"/>
  <c r="E76" i="32" s="1"/>
  <c r="I76" i="32" s="1"/>
  <c r="G76" i="8"/>
  <c r="H72" i="8"/>
  <c r="L70" i="8"/>
  <c r="F70" i="8"/>
  <c r="F72" i="8" s="1"/>
  <c r="G34" i="8"/>
  <c r="M11" i="8"/>
  <c r="G11" i="8"/>
  <c r="I16" i="8"/>
  <c r="I82" i="8" s="1"/>
  <c r="D74" i="20"/>
  <c r="F74" i="32" s="1"/>
  <c r="D70" i="20"/>
  <c r="F72" i="20"/>
  <c r="D35" i="20"/>
  <c r="F35" i="32" s="1"/>
  <c r="H35" i="32" s="1"/>
  <c r="E27" i="20"/>
  <c r="I29" i="20"/>
  <c r="D39" i="29"/>
  <c r="F39" i="41" s="1"/>
  <c r="H39" i="41" s="1"/>
  <c r="L79" i="8"/>
  <c r="D79" i="32" s="1"/>
  <c r="M41" i="8"/>
  <c r="E41" i="32" s="1"/>
  <c r="M29" i="8"/>
  <c r="E59" i="20"/>
  <c r="E51" i="20"/>
  <c r="G51" i="32" s="1"/>
  <c r="I51" i="32" s="1"/>
  <c r="F36" i="20"/>
  <c r="D33" i="20"/>
  <c r="F33" i="32" s="1"/>
  <c r="H33" i="32" s="1"/>
  <c r="D28" i="20"/>
  <c r="F28" i="32" s="1"/>
  <c r="H28" i="32" s="1"/>
  <c r="L29" i="20"/>
  <c r="D27" i="20"/>
  <c r="H29" i="20"/>
  <c r="AF16" i="20"/>
  <c r="H16" i="20"/>
  <c r="I47" i="41"/>
  <c r="AL82" i="29"/>
  <c r="AJ640" i="44" s="1"/>
  <c r="D79" i="22"/>
  <c r="F79" i="34" s="1"/>
  <c r="H79" i="34" s="1"/>
  <c r="D55" i="22"/>
  <c r="F55" i="34" s="1"/>
  <c r="H55" i="34" s="1"/>
  <c r="F56" i="22"/>
  <c r="E14" i="22"/>
  <c r="G14" i="34" s="1"/>
  <c r="I14" i="34" s="1"/>
  <c r="E36" i="12"/>
  <c r="G79" i="8"/>
  <c r="M79" i="8"/>
  <c r="E79" i="32" s="1"/>
  <c r="L64" i="8"/>
  <c r="F64" i="8"/>
  <c r="F66" i="8" s="1"/>
  <c r="F59" i="8"/>
  <c r="F61" i="8" s="1"/>
  <c r="L59" i="8"/>
  <c r="G39" i="8"/>
  <c r="M39" i="8"/>
  <c r="E39" i="32" s="1"/>
  <c r="I39" i="32" s="1"/>
  <c r="L33" i="8"/>
  <c r="D33" i="32" s="1"/>
  <c r="H36" i="8"/>
  <c r="M14" i="8"/>
  <c r="E14" i="32" s="1"/>
  <c r="G14" i="8"/>
  <c r="E75" i="20"/>
  <c r="G75" i="32" s="1"/>
  <c r="I75" i="32" s="1"/>
  <c r="D51" i="20"/>
  <c r="F51" i="32" s="1"/>
  <c r="H51" i="32" s="1"/>
  <c r="G21" i="17"/>
  <c r="G24" i="17" s="1"/>
  <c r="M21" i="17"/>
  <c r="M24" i="17" s="1"/>
  <c r="I24" i="17"/>
  <c r="AN82" i="22"/>
  <c r="AL644" i="44" s="1"/>
  <c r="J82" i="8"/>
  <c r="D75" i="20"/>
  <c r="F75" i="32" s="1"/>
  <c r="H75" i="32" s="1"/>
  <c r="AG72" i="20"/>
  <c r="Y72" i="20"/>
  <c r="I72" i="20"/>
  <c r="AK66" i="20"/>
  <c r="E60" i="20"/>
  <c r="G60" i="32" s="1"/>
  <c r="I60" i="32" s="1"/>
  <c r="D22" i="20"/>
  <c r="F22" i="32" s="1"/>
  <c r="H22" i="32" s="1"/>
  <c r="F29" i="29"/>
  <c r="D27" i="29"/>
  <c r="E32" i="22"/>
  <c r="H13" i="32"/>
  <c r="F74" i="8"/>
  <c r="G55" i="8"/>
  <c r="G56" i="8" s="1"/>
  <c r="L45" i="8"/>
  <c r="D45" i="32" s="1"/>
  <c r="F45" i="8"/>
  <c r="F39" i="8"/>
  <c r="F33" i="8"/>
  <c r="F36" i="8" s="1"/>
  <c r="H29" i="8"/>
  <c r="L27" i="8"/>
  <c r="F27" i="8"/>
  <c r="F29" i="8" s="1"/>
  <c r="M24" i="8"/>
  <c r="E19" i="32"/>
  <c r="E24" i="32" s="1"/>
  <c r="D80" i="20"/>
  <c r="F80" i="32" s="1"/>
  <c r="H80" i="32" s="1"/>
  <c r="D78" i="20"/>
  <c r="F78" i="32" s="1"/>
  <c r="H78" i="32" s="1"/>
  <c r="D54" i="20"/>
  <c r="E41" i="20"/>
  <c r="G41" i="32" s="1"/>
  <c r="I41" i="32" s="1"/>
  <c r="V82" i="20"/>
  <c r="T641" i="44" s="1"/>
  <c r="D73" i="29"/>
  <c r="F73" i="41" s="1"/>
  <c r="H73" i="41" s="1"/>
  <c r="E71" i="29"/>
  <c r="G71" i="41" s="1"/>
  <c r="I71" i="41" s="1"/>
  <c r="V43" i="29"/>
  <c r="E27" i="29"/>
  <c r="I29" i="17"/>
  <c r="G27" i="17"/>
  <c r="M27" i="17"/>
  <c r="J24" i="22"/>
  <c r="D19" i="22"/>
  <c r="AF82" i="22"/>
  <c r="AD644" i="44" s="1"/>
  <c r="I24" i="8"/>
  <c r="G19" i="8"/>
  <c r="G24" i="8" s="1"/>
  <c r="E73" i="20"/>
  <c r="G73" i="32" s="1"/>
  <c r="I73" i="32" s="1"/>
  <c r="D60" i="20"/>
  <c r="F60" i="32" s="1"/>
  <c r="H60" i="32" s="1"/>
  <c r="AM56" i="20"/>
  <c r="AE56" i="20"/>
  <c r="W56" i="20"/>
  <c r="O56" i="20"/>
  <c r="G56" i="20"/>
  <c r="E54" i="20"/>
  <c r="D47" i="20"/>
  <c r="F47" i="32" s="1"/>
  <c r="H47" i="32" s="1"/>
  <c r="E40" i="20"/>
  <c r="I42" i="20"/>
  <c r="I43" i="20" s="1"/>
  <c r="Z24" i="20"/>
  <c r="R24" i="20"/>
  <c r="R82" i="20" s="1"/>
  <c r="P641" i="44" s="1"/>
  <c r="J24" i="20"/>
  <c r="Z16" i="20"/>
  <c r="M24" i="29"/>
  <c r="E19" i="29"/>
  <c r="M54" i="17"/>
  <c r="M56" i="17" s="1"/>
  <c r="I56" i="17"/>
  <c r="G54" i="17"/>
  <c r="G56" i="17" s="1"/>
  <c r="E29" i="34"/>
  <c r="L36" i="22"/>
  <c r="D34" i="22"/>
  <c r="F34" i="34" s="1"/>
  <c r="H34" i="34" s="1"/>
  <c r="U82" i="22"/>
  <c r="S644" i="44" s="1"/>
  <c r="M82" i="22"/>
  <c r="K644" i="44" s="1"/>
  <c r="E20" i="22"/>
  <c r="G20" i="34" s="1"/>
  <c r="I20" i="34" s="1"/>
  <c r="AI82" i="22"/>
  <c r="AG644" i="44" s="1"/>
  <c r="U66" i="20"/>
  <c r="AJ56" i="20"/>
  <c r="AB56" i="20"/>
  <c r="D40" i="20"/>
  <c r="AM36" i="20"/>
  <c r="AM82" i="20" s="1"/>
  <c r="AK641" i="44" s="1"/>
  <c r="AE36" i="20"/>
  <c r="AE82" i="20" s="1"/>
  <c r="AC641" i="44" s="1"/>
  <c r="W36" i="20"/>
  <c r="O36" i="20"/>
  <c r="G36" i="20"/>
  <c r="AH36" i="20"/>
  <c r="Z36" i="20"/>
  <c r="L24" i="20"/>
  <c r="E81" i="29"/>
  <c r="G81" i="41" s="1"/>
  <c r="I81" i="41" s="1"/>
  <c r="D74" i="29"/>
  <c r="F74" i="41" s="1"/>
  <c r="H74" i="41" s="1"/>
  <c r="E45" i="29"/>
  <c r="G45" i="41" s="1"/>
  <c r="I45" i="41" s="1"/>
  <c r="D33" i="29"/>
  <c r="F33" i="41" s="1"/>
  <c r="H33" i="41" s="1"/>
  <c r="F32" i="41"/>
  <c r="Q82" i="29"/>
  <c r="O640" i="44" s="1"/>
  <c r="J82" i="29"/>
  <c r="H640" i="44" s="1"/>
  <c r="E80" i="22"/>
  <c r="G80" i="34" s="1"/>
  <c r="I80" i="34" s="1"/>
  <c r="E66" i="20"/>
  <c r="D64" i="20"/>
  <c r="F64" i="32" s="1"/>
  <c r="E45" i="20"/>
  <c r="G45" i="32" s="1"/>
  <c r="I45" i="32" s="1"/>
  <c r="D34" i="20"/>
  <c r="F34" i="32" s="1"/>
  <c r="H34" i="32" s="1"/>
  <c r="AD24" i="20"/>
  <c r="AD82" i="20"/>
  <c r="AB641" i="44" s="1"/>
  <c r="D14" i="20"/>
  <c r="F14" i="32" s="1"/>
  <c r="H14" i="32" s="1"/>
  <c r="D81" i="29"/>
  <c r="F81" i="41" s="1"/>
  <c r="H81" i="41" s="1"/>
  <c r="L43" i="29"/>
  <c r="L36" i="29"/>
  <c r="D15" i="29"/>
  <c r="F15" i="41" s="1"/>
  <c r="H15" i="41" s="1"/>
  <c r="AB16" i="29"/>
  <c r="AB82" i="29" s="1"/>
  <c r="Z640" i="44" s="1"/>
  <c r="L32" i="17"/>
  <c r="L36" i="17" s="1"/>
  <c r="F32" i="17"/>
  <c r="F36" i="17" s="1"/>
  <c r="H36" i="17"/>
  <c r="D81" i="22"/>
  <c r="F81" i="34" s="1"/>
  <c r="E65" i="22"/>
  <c r="G65" i="34" s="1"/>
  <c r="I65" i="34" s="1"/>
  <c r="M36" i="10"/>
  <c r="E32" i="34"/>
  <c r="E36" i="34" s="1"/>
  <c r="F20" i="10"/>
  <c r="L20" i="10"/>
  <c r="D20" i="34" s="1"/>
  <c r="E80" i="20"/>
  <c r="G80" i="32" s="1"/>
  <c r="I80" i="32" s="1"/>
  <c r="D71" i="20"/>
  <c r="F71" i="32" s="1"/>
  <c r="H71" i="32" s="1"/>
  <c r="D65" i="20"/>
  <c r="F65" i="32" s="1"/>
  <c r="H65" i="32" s="1"/>
  <c r="W61" i="20"/>
  <c r="G61" i="20"/>
  <c r="E34" i="20"/>
  <c r="G34" i="32" s="1"/>
  <c r="I34" i="32" s="1"/>
  <c r="X36" i="20"/>
  <c r="H36" i="20"/>
  <c r="E13" i="20"/>
  <c r="G13" i="32" s="1"/>
  <c r="I13" i="32" s="1"/>
  <c r="AG16" i="20"/>
  <c r="AG82" i="20" s="1"/>
  <c r="AE641" i="44" s="1"/>
  <c r="Y16" i="20"/>
  <c r="I16" i="20"/>
  <c r="E60" i="29"/>
  <c r="G60" i="41" s="1"/>
  <c r="I60" i="41" s="1"/>
  <c r="E14" i="29"/>
  <c r="G14" i="41" s="1"/>
  <c r="I14" i="41" s="1"/>
  <c r="R82" i="29"/>
  <c r="P640" i="44" s="1"/>
  <c r="F47" i="10"/>
  <c r="L47" i="10"/>
  <c r="D47" i="34" s="1"/>
  <c r="H24" i="10"/>
  <c r="H16" i="8"/>
  <c r="AN42" i="20"/>
  <c r="AN43" i="20" s="1"/>
  <c r="AN82" i="20" s="1"/>
  <c r="AL641" i="44" s="1"/>
  <c r="AF42" i="20"/>
  <c r="AF43" i="20" s="1"/>
  <c r="X42" i="20"/>
  <c r="X43" i="20" s="1"/>
  <c r="P42" i="20"/>
  <c r="P43" i="20" s="1"/>
  <c r="H42" i="20"/>
  <c r="H43" i="20" s="1"/>
  <c r="D23" i="20"/>
  <c r="F23" i="32" s="1"/>
  <c r="H23" i="32" s="1"/>
  <c r="AJ24" i="20"/>
  <c r="AG24" i="20"/>
  <c r="Q24" i="20"/>
  <c r="E19" i="20"/>
  <c r="I24" i="20"/>
  <c r="AL16" i="20"/>
  <c r="AL82" i="20" s="1"/>
  <c r="AJ641" i="44" s="1"/>
  <c r="X16" i="20"/>
  <c r="P16" i="20"/>
  <c r="D16" i="41"/>
  <c r="H76" i="41"/>
  <c r="E65" i="29"/>
  <c r="G65" i="41" s="1"/>
  <c r="I65" i="41" s="1"/>
  <c r="Z61" i="29"/>
  <c r="R61" i="29"/>
  <c r="D59" i="29"/>
  <c r="P56" i="29"/>
  <c r="E49" i="29"/>
  <c r="G49" i="41" s="1"/>
  <c r="I49" i="41" s="1"/>
  <c r="AH82" i="29"/>
  <c r="AF640" i="44" s="1"/>
  <c r="G61" i="22"/>
  <c r="E59" i="22"/>
  <c r="D76" i="20"/>
  <c r="F76" i="32" s="1"/>
  <c r="H76" i="32" s="1"/>
  <c r="L72" i="20"/>
  <c r="AF24" i="20"/>
  <c r="X24" i="20"/>
  <c r="H24" i="20"/>
  <c r="AA16" i="20"/>
  <c r="S16" i="20"/>
  <c r="O16" i="20"/>
  <c r="D24" i="41"/>
  <c r="D71" i="29"/>
  <c r="F71" i="41" s="1"/>
  <c r="H71" i="41" s="1"/>
  <c r="I72" i="29"/>
  <c r="D49" i="29"/>
  <c r="F49" i="41" s="1"/>
  <c r="H49" i="41" s="1"/>
  <c r="H42" i="29"/>
  <c r="H43" i="29" s="1"/>
  <c r="D40" i="29"/>
  <c r="AK24" i="29"/>
  <c r="AC24" i="29"/>
  <c r="AC82" i="29" s="1"/>
  <c r="AA640" i="44" s="1"/>
  <c r="U24" i="29"/>
  <c r="U82" i="29" s="1"/>
  <c r="S640" i="44" s="1"/>
  <c r="AI82" i="29"/>
  <c r="AG640" i="44" s="1"/>
  <c r="F74" i="17"/>
  <c r="L74" i="17"/>
  <c r="M64" i="17"/>
  <c r="M66" i="17" s="1"/>
  <c r="G64" i="17"/>
  <c r="G66" i="17" s="1"/>
  <c r="G36" i="17"/>
  <c r="D72" i="22"/>
  <c r="F70" i="34"/>
  <c r="F78" i="10"/>
  <c r="L78" i="10"/>
  <c r="D78" i="34" s="1"/>
  <c r="AH16" i="20"/>
  <c r="AH82" i="20" s="1"/>
  <c r="AF641" i="44" s="1"/>
  <c r="J16" i="20"/>
  <c r="F16" i="20"/>
  <c r="E75" i="29"/>
  <c r="G75" i="41" s="1"/>
  <c r="I75" i="41" s="1"/>
  <c r="E73" i="29"/>
  <c r="G73" i="41" s="1"/>
  <c r="I73" i="41" s="1"/>
  <c r="AO72" i="29"/>
  <c r="AG72" i="29"/>
  <c r="Y72" i="29"/>
  <c r="Q72" i="29"/>
  <c r="D35" i="29"/>
  <c r="F35" i="41" s="1"/>
  <c r="H35" i="41" s="1"/>
  <c r="AJ36" i="29"/>
  <c r="T36" i="29"/>
  <c r="T82" i="29" s="1"/>
  <c r="R640" i="44" s="1"/>
  <c r="D23" i="29"/>
  <c r="F23" i="41" s="1"/>
  <c r="H23" i="41" s="1"/>
  <c r="AA82" i="29"/>
  <c r="Y640" i="44" s="1"/>
  <c r="K82" i="29"/>
  <c r="I640" i="44" s="1"/>
  <c r="F11" i="41"/>
  <c r="H66" i="17"/>
  <c r="F64" i="17"/>
  <c r="F66" i="17" s="1"/>
  <c r="G39" i="17"/>
  <c r="M39" i="17"/>
  <c r="G28" i="17"/>
  <c r="M28" i="17"/>
  <c r="D43" i="34"/>
  <c r="E81" i="22"/>
  <c r="G81" i="34" s="1"/>
  <c r="I81" i="34" s="1"/>
  <c r="E28" i="22"/>
  <c r="G28" i="34" s="1"/>
  <c r="E22" i="22"/>
  <c r="G22" i="34" s="1"/>
  <c r="I22" i="34" s="1"/>
  <c r="T82" i="22"/>
  <c r="R644" i="44" s="1"/>
  <c r="L14" i="10"/>
  <c r="D14" i="34" s="1"/>
  <c r="F14" i="10"/>
  <c r="F12" i="10"/>
  <c r="L12" i="10"/>
  <c r="D12" i="34" s="1"/>
  <c r="H16" i="10"/>
  <c r="F23" i="8"/>
  <c r="L16" i="8"/>
  <c r="AL66" i="20"/>
  <c r="AD66" i="20"/>
  <c r="V66" i="20"/>
  <c r="N66" i="20"/>
  <c r="F66" i="20"/>
  <c r="AN61" i="20"/>
  <c r="AF61" i="20"/>
  <c r="X61" i="20"/>
  <c r="P61" i="20"/>
  <c r="H61" i="20"/>
  <c r="AH56" i="20"/>
  <c r="Z56" i="20"/>
  <c r="R56" i="20"/>
  <c r="J56" i="20"/>
  <c r="E28" i="20"/>
  <c r="G28" i="32" s="1"/>
  <c r="G29" i="20"/>
  <c r="T29" i="20"/>
  <c r="T82" i="20" s="1"/>
  <c r="R641" i="44" s="1"/>
  <c r="E22" i="20"/>
  <c r="G22" i="32" s="1"/>
  <c r="I22" i="32" s="1"/>
  <c r="N24" i="20"/>
  <c r="N82" i="20" s="1"/>
  <c r="L641" i="44" s="1"/>
  <c r="D19" i="20"/>
  <c r="F24" i="20"/>
  <c r="E14" i="20"/>
  <c r="G14" i="32" s="1"/>
  <c r="G14" i="5" s="1"/>
  <c r="I14" i="5" s="1"/>
  <c r="D78" i="29"/>
  <c r="F78" i="41" s="1"/>
  <c r="H78" i="41" s="1"/>
  <c r="G72" i="29"/>
  <c r="E70" i="29"/>
  <c r="AM61" i="29"/>
  <c r="AM82" i="29" s="1"/>
  <c r="AK640" i="44" s="1"/>
  <c r="AE61" i="29"/>
  <c r="W61" i="29"/>
  <c r="O61" i="29"/>
  <c r="O82" i="29" s="1"/>
  <c r="M640" i="44" s="1"/>
  <c r="G61" i="29"/>
  <c r="E59" i="29"/>
  <c r="D55" i="29"/>
  <c r="F55" i="41" s="1"/>
  <c r="H55" i="41" s="1"/>
  <c r="M56" i="29"/>
  <c r="M82" i="29" s="1"/>
  <c r="K640" i="44" s="1"/>
  <c r="E54" i="29"/>
  <c r="E33" i="29"/>
  <c r="G33" i="41" s="1"/>
  <c r="I33" i="41" s="1"/>
  <c r="D13" i="29"/>
  <c r="F13" i="41" s="1"/>
  <c r="H13" i="41" s="1"/>
  <c r="G59" i="17"/>
  <c r="G61" i="17" s="1"/>
  <c r="M59" i="17"/>
  <c r="M61" i="17" s="1"/>
  <c r="I61" i="17"/>
  <c r="K82" i="17"/>
  <c r="D61" i="34"/>
  <c r="H39" i="34"/>
  <c r="G72" i="22"/>
  <c r="E71" i="22"/>
  <c r="G71" i="34" s="1"/>
  <c r="I71" i="34" s="1"/>
  <c r="G70" i="34"/>
  <c r="E72" i="22"/>
  <c r="E47" i="22"/>
  <c r="G47" i="34" s="1"/>
  <c r="I47" i="34" s="1"/>
  <c r="D32" i="22"/>
  <c r="F36" i="22"/>
  <c r="J82" i="10"/>
  <c r="F72" i="29"/>
  <c r="D70" i="29"/>
  <c r="F66" i="29"/>
  <c r="D64" i="29"/>
  <c r="F64" i="41" s="1"/>
  <c r="AK16" i="29"/>
  <c r="G16" i="29"/>
  <c r="G82" i="29" s="1"/>
  <c r="F23" i="4" s="1"/>
  <c r="E11" i="29"/>
  <c r="H56" i="17"/>
  <c r="F54" i="17"/>
  <c r="F56" i="17" s="1"/>
  <c r="L54" i="17"/>
  <c r="L56" i="17" s="1"/>
  <c r="F19" i="17"/>
  <c r="F24" i="17" s="1"/>
  <c r="H24" i="17"/>
  <c r="L19" i="17"/>
  <c r="L24" i="17" s="1"/>
  <c r="M15" i="17"/>
  <c r="G15" i="17"/>
  <c r="M11" i="17"/>
  <c r="G11" i="17"/>
  <c r="I16" i="17"/>
  <c r="D80" i="22"/>
  <c r="F80" i="34" s="1"/>
  <c r="H80" i="34" s="1"/>
  <c r="E45" i="22"/>
  <c r="G45" i="34" s="1"/>
  <c r="I45" i="34" s="1"/>
  <c r="D23" i="22"/>
  <c r="F23" i="34" s="1"/>
  <c r="H23" i="34" s="1"/>
  <c r="AA82" i="22"/>
  <c r="Y644" i="44" s="1"/>
  <c r="E23" i="20"/>
  <c r="G23" i="32" s="1"/>
  <c r="I23" i="32" s="1"/>
  <c r="AK16" i="20"/>
  <c r="AC16" i="20"/>
  <c r="U16" i="20"/>
  <c r="M16" i="20"/>
  <c r="E66" i="41"/>
  <c r="E79" i="29"/>
  <c r="G79" i="41" s="1"/>
  <c r="I79" i="41" s="1"/>
  <c r="AL72" i="29"/>
  <c r="AD72" i="29"/>
  <c r="V72" i="29"/>
  <c r="N72" i="29"/>
  <c r="D65" i="29"/>
  <c r="F65" i="41" s="1"/>
  <c r="H65" i="41" s="1"/>
  <c r="M66" i="29"/>
  <c r="D54" i="29"/>
  <c r="F56" i="29"/>
  <c r="D28" i="29"/>
  <c r="F28" i="41" s="1"/>
  <c r="H28" i="41" s="1"/>
  <c r="W16" i="29"/>
  <c r="W82" i="29" s="1"/>
  <c r="U640" i="44" s="1"/>
  <c r="AJ16" i="29"/>
  <c r="AJ82" i="29" s="1"/>
  <c r="AH640" i="44" s="1"/>
  <c r="AO16" i="29"/>
  <c r="Y16" i="29"/>
  <c r="Y82" i="29" s="1"/>
  <c r="W640" i="44" s="1"/>
  <c r="N16" i="29"/>
  <c r="G40" i="17"/>
  <c r="G42" i="17" s="1"/>
  <c r="G43" i="17" s="1"/>
  <c r="M40" i="17"/>
  <c r="M42" i="17" s="1"/>
  <c r="M43" i="17" s="1"/>
  <c r="I42" i="17"/>
  <c r="I43" i="17" s="1"/>
  <c r="L16" i="17"/>
  <c r="W66" i="22"/>
  <c r="M71" i="10"/>
  <c r="E71" i="34" s="1"/>
  <c r="E72" i="34" s="1"/>
  <c r="I72" i="10"/>
  <c r="G71" i="10"/>
  <c r="G72" i="10" s="1"/>
  <c r="G54" i="10"/>
  <c r="G56" i="10" s="1"/>
  <c r="M54" i="10"/>
  <c r="I56" i="10"/>
  <c r="M49" i="10"/>
  <c r="E49" i="34" s="1"/>
  <c r="G49" i="10"/>
  <c r="E32" i="20"/>
  <c r="AC24" i="20"/>
  <c r="U24" i="20"/>
  <c r="M24" i="20"/>
  <c r="E16" i="41"/>
  <c r="E82" i="41" s="1"/>
  <c r="AL61" i="29"/>
  <c r="N61" i="29"/>
  <c r="D45" i="29"/>
  <c r="F45" i="41" s="1"/>
  <c r="H45" i="41" s="1"/>
  <c r="E42" i="29"/>
  <c r="AI36" i="29"/>
  <c r="AA36" i="29"/>
  <c r="S36" i="29"/>
  <c r="S82" i="29" s="1"/>
  <c r="Q640" i="44" s="1"/>
  <c r="AE36" i="29"/>
  <c r="AE82" i="29" s="1"/>
  <c r="AC640" i="44" s="1"/>
  <c r="AJ24" i="29"/>
  <c r="AB24" i="29"/>
  <c r="L24" i="29"/>
  <c r="D14" i="29"/>
  <c r="F14" i="41" s="1"/>
  <c r="H14" i="41" s="1"/>
  <c r="V16" i="29"/>
  <c r="V82" i="29" s="1"/>
  <c r="T640" i="44" s="1"/>
  <c r="L16" i="29"/>
  <c r="L82" i="29" s="1"/>
  <c r="J640" i="44" s="1"/>
  <c r="G80" i="17"/>
  <c r="M80" i="17"/>
  <c r="G76" i="17"/>
  <c r="M76" i="17"/>
  <c r="D54" i="34"/>
  <c r="D56" i="34" s="1"/>
  <c r="E64" i="22"/>
  <c r="G64" i="34" s="1"/>
  <c r="E55" i="22"/>
  <c r="G55" i="34" s="1"/>
  <c r="I55" i="34" s="1"/>
  <c r="E51" i="22"/>
  <c r="G51" i="34" s="1"/>
  <c r="I51" i="34" s="1"/>
  <c r="AH16" i="22"/>
  <c r="AH82" i="22" s="1"/>
  <c r="AF644" i="44" s="1"/>
  <c r="Z16" i="22"/>
  <c r="Z82" i="22" s="1"/>
  <c r="X644" i="44" s="1"/>
  <c r="R16" i="22"/>
  <c r="J16" i="22"/>
  <c r="H66" i="10"/>
  <c r="F64" i="10"/>
  <c r="F66" i="10" s="1"/>
  <c r="L64" i="10"/>
  <c r="E33" i="20"/>
  <c r="G33" i="32" s="1"/>
  <c r="I33" i="32" s="1"/>
  <c r="AI29" i="20"/>
  <c r="AI82" i="20" s="1"/>
  <c r="AG641" i="44" s="1"/>
  <c r="AA29" i="20"/>
  <c r="S29" i="20"/>
  <c r="K29" i="20"/>
  <c r="AK24" i="20"/>
  <c r="D77" i="29"/>
  <c r="F77" i="41" s="1"/>
  <c r="H77" i="41" s="1"/>
  <c r="AH66" i="29"/>
  <c r="Z66" i="29"/>
  <c r="R66" i="29"/>
  <c r="AI56" i="29"/>
  <c r="S56" i="29"/>
  <c r="E51" i="29"/>
  <c r="G51" i="41" s="1"/>
  <c r="I51" i="41" s="1"/>
  <c r="D41" i="29"/>
  <c r="F41" i="41" s="1"/>
  <c r="H41" i="41" s="1"/>
  <c r="Z42" i="29"/>
  <c r="Z43" i="29" s="1"/>
  <c r="Z82" i="29" s="1"/>
  <c r="X640" i="44" s="1"/>
  <c r="J42" i="29"/>
  <c r="J43" i="29" s="1"/>
  <c r="D34" i="29"/>
  <c r="F34" i="41" s="1"/>
  <c r="H34" i="41" s="1"/>
  <c r="F36" i="29"/>
  <c r="AD36" i="29"/>
  <c r="AD82" i="29" s="1"/>
  <c r="AB640" i="44" s="1"/>
  <c r="V36" i="29"/>
  <c r="K36" i="29"/>
  <c r="E28" i="29"/>
  <c r="G28" i="41" s="1"/>
  <c r="I28" i="41" s="1"/>
  <c r="AN24" i="29"/>
  <c r="AF24" i="29"/>
  <c r="X24" i="29"/>
  <c r="N24" i="29"/>
  <c r="F24" i="29"/>
  <c r="F82" i="29" s="1"/>
  <c r="D19" i="29"/>
  <c r="E12" i="29"/>
  <c r="G12" i="41" s="1"/>
  <c r="I12" i="41" s="1"/>
  <c r="F78" i="17"/>
  <c r="L78" i="17"/>
  <c r="M74" i="17"/>
  <c r="G74" i="17"/>
  <c r="L51" i="17"/>
  <c r="F51" i="17"/>
  <c r="E79" i="22"/>
  <c r="G79" i="34" s="1"/>
  <c r="I79" i="34" s="1"/>
  <c r="D75" i="22"/>
  <c r="F75" i="34" s="1"/>
  <c r="H75" i="34" s="1"/>
  <c r="J56" i="22"/>
  <c r="D54" i="22"/>
  <c r="D51" i="22"/>
  <c r="F51" i="34" s="1"/>
  <c r="H51" i="34" s="1"/>
  <c r="E40" i="22"/>
  <c r="I42" i="22"/>
  <c r="I43" i="22" s="1"/>
  <c r="E27" i="22"/>
  <c r="G29" i="22"/>
  <c r="G82" i="22" s="1"/>
  <c r="F13" i="4" s="1"/>
  <c r="F24" i="22"/>
  <c r="H11" i="34"/>
  <c r="AK42" i="29"/>
  <c r="AK43" i="29" s="1"/>
  <c r="AC42" i="29"/>
  <c r="AC43" i="29" s="1"/>
  <c r="U42" i="29"/>
  <c r="U43" i="29" s="1"/>
  <c r="M42" i="29"/>
  <c r="M43" i="29" s="1"/>
  <c r="AN36" i="29"/>
  <c r="AF36" i="29"/>
  <c r="X36" i="29"/>
  <c r="H36" i="29"/>
  <c r="D22" i="29"/>
  <c r="F22" i="41" s="1"/>
  <c r="H22" i="41" s="1"/>
  <c r="AK72" i="22"/>
  <c r="AK82" i="22" s="1"/>
  <c r="AI644" i="44" s="1"/>
  <c r="AC72" i="22"/>
  <c r="AC82" i="22" s="1"/>
  <c r="AA644" i="44" s="1"/>
  <c r="D60" i="22"/>
  <c r="F60" i="34" s="1"/>
  <c r="D59" i="22"/>
  <c r="AO56" i="22"/>
  <c r="AG56" i="22"/>
  <c r="Y56" i="22"/>
  <c r="Q56" i="22"/>
  <c r="Q82" i="22" s="1"/>
  <c r="O644" i="44" s="1"/>
  <c r="I56" i="22"/>
  <c r="AN42" i="22"/>
  <c r="AN43" i="22" s="1"/>
  <c r="X42" i="22"/>
  <c r="X43" i="22" s="1"/>
  <c r="P42" i="22"/>
  <c r="P43" i="22" s="1"/>
  <c r="D35" i="22"/>
  <c r="F35" i="34" s="1"/>
  <c r="H35" i="34" s="1"/>
  <c r="D33" i="22"/>
  <c r="F33" i="34" s="1"/>
  <c r="Y24" i="22"/>
  <c r="Y82" i="22" s="1"/>
  <c r="W644" i="44" s="1"/>
  <c r="H56" i="10"/>
  <c r="F54" i="10"/>
  <c r="F56" i="10" s="1"/>
  <c r="M40" i="10"/>
  <c r="I42" i="10"/>
  <c r="I43" i="10" s="1"/>
  <c r="G40" i="10"/>
  <c r="G42" i="10" s="1"/>
  <c r="G43" i="10" s="1"/>
  <c r="L29" i="10"/>
  <c r="M23" i="10"/>
  <c r="E23" i="34" s="1"/>
  <c r="E23" i="5" s="1"/>
  <c r="E39" i="29"/>
  <c r="G39" i="41" s="1"/>
  <c r="E20" i="29"/>
  <c r="G20" i="41" s="1"/>
  <c r="I20" i="41" s="1"/>
  <c r="E15" i="29"/>
  <c r="G15" i="41" s="1"/>
  <c r="I15" i="41" s="1"/>
  <c r="I72" i="17"/>
  <c r="M33" i="17"/>
  <c r="M36" i="17" s="1"/>
  <c r="I36" i="17"/>
  <c r="J82" i="17"/>
  <c r="F11" i="17"/>
  <c r="F16" i="17" s="1"/>
  <c r="H16" i="17"/>
  <c r="D16" i="34"/>
  <c r="D71" i="22"/>
  <c r="F71" i="34" s="1"/>
  <c r="H71" i="34" s="1"/>
  <c r="AI72" i="22"/>
  <c r="AA72" i="22"/>
  <c r="S72" i="22"/>
  <c r="K72" i="22"/>
  <c r="E54" i="22"/>
  <c r="AL43" i="22"/>
  <c r="V43" i="22"/>
  <c r="F42" i="22"/>
  <c r="F43" i="22" s="1"/>
  <c r="D40" i="22"/>
  <c r="E34" i="22"/>
  <c r="G34" i="34" s="1"/>
  <c r="I34" i="34" s="1"/>
  <c r="D28" i="22"/>
  <c r="F28" i="34" s="1"/>
  <c r="H28" i="34" s="1"/>
  <c r="X16" i="22"/>
  <c r="X82" i="22" s="1"/>
  <c r="V644" i="44" s="1"/>
  <c r="P16" i="22"/>
  <c r="P82" i="22" s="1"/>
  <c r="N644" i="44" s="1"/>
  <c r="H16" i="22"/>
  <c r="H82" i="22" s="1"/>
  <c r="F644" i="44" s="1"/>
  <c r="L19" i="10"/>
  <c r="F19" i="10"/>
  <c r="G15" i="10"/>
  <c r="M15" i="10"/>
  <c r="E15" i="34" s="1"/>
  <c r="I15" i="34" s="1"/>
  <c r="G11" i="10"/>
  <c r="I16" i="10"/>
  <c r="M11" i="10"/>
  <c r="AO56" i="29"/>
  <c r="AG56" i="29"/>
  <c r="AG82" i="29" s="1"/>
  <c r="AE640" i="44" s="1"/>
  <c r="Y56" i="29"/>
  <c r="I56" i="29"/>
  <c r="I82" i="29" s="1"/>
  <c r="G640" i="44" s="1"/>
  <c r="E34" i="29"/>
  <c r="G34" i="41" s="1"/>
  <c r="I34" i="41" s="1"/>
  <c r="P36" i="29"/>
  <c r="E32" i="29"/>
  <c r="AN16" i="29"/>
  <c r="AN82" i="29" s="1"/>
  <c r="AL640" i="44" s="1"/>
  <c r="AF16" i="29"/>
  <c r="AF82" i="29" s="1"/>
  <c r="AD640" i="44" s="1"/>
  <c r="X16" i="29"/>
  <c r="X82" i="29" s="1"/>
  <c r="V640" i="44" s="1"/>
  <c r="P16" i="29"/>
  <c r="P82" i="29" s="1"/>
  <c r="N640" i="44" s="1"/>
  <c r="H16" i="29"/>
  <c r="D78" i="22"/>
  <c r="F78" i="34" s="1"/>
  <c r="E77" i="22"/>
  <c r="G77" i="34" s="1"/>
  <c r="I77" i="34" s="1"/>
  <c r="D74" i="22"/>
  <c r="F74" i="34" s="1"/>
  <c r="H74" i="34" s="1"/>
  <c r="G66" i="22"/>
  <c r="E66" i="22" s="1"/>
  <c r="E60" i="22"/>
  <c r="G60" i="34" s="1"/>
  <c r="I60" i="34" s="1"/>
  <c r="AO29" i="22"/>
  <c r="AG29" i="22"/>
  <c r="AG82" i="22" s="1"/>
  <c r="AE644" i="44" s="1"/>
  <c r="Y29" i="22"/>
  <c r="Q29" i="22"/>
  <c r="I29" i="22"/>
  <c r="AL24" i="22"/>
  <c r="V24" i="22"/>
  <c r="N24" i="22"/>
  <c r="AJ24" i="22"/>
  <c r="T24" i="22"/>
  <c r="L24" i="22"/>
  <c r="E13" i="22"/>
  <c r="G13" i="34" s="1"/>
  <c r="I13" i="34" s="1"/>
  <c r="AM16" i="22"/>
  <c r="AM82" i="22" s="1"/>
  <c r="AK644" i="44" s="1"/>
  <c r="AE16" i="22"/>
  <c r="AE82" i="22" s="1"/>
  <c r="AC644" i="44" s="1"/>
  <c r="W16" i="22"/>
  <c r="W82" i="22" s="1"/>
  <c r="U644" i="44" s="1"/>
  <c r="O16" i="22"/>
  <c r="O82" i="22" s="1"/>
  <c r="M644" i="44" s="1"/>
  <c r="E11" i="22"/>
  <c r="M80" i="10"/>
  <c r="E80" i="34" s="1"/>
  <c r="G80" i="10"/>
  <c r="G61" i="10"/>
  <c r="L33" i="10"/>
  <c r="H36" i="10"/>
  <c r="F33" i="10"/>
  <c r="F36" i="10" s="1"/>
  <c r="D65" i="22"/>
  <c r="F65" i="34" s="1"/>
  <c r="H65" i="34" s="1"/>
  <c r="E33" i="22"/>
  <c r="G33" i="34" s="1"/>
  <c r="I33" i="34" s="1"/>
  <c r="AB36" i="22"/>
  <c r="T36" i="22"/>
  <c r="E21" i="22"/>
  <c r="G21" i="34" s="1"/>
  <c r="D15" i="22"/>
  <c r="F15" i="34" s="1"/>
  <c r="H15" i="34" s="1"/>
  <c r="AJ16" i="22"/>
  <c r="AJ82" i="22" s="1"/>
  <c r="AH644" i="44" s="1"/>
  <c r="L16" i="22"/>
  <c r="L82" i="22" s="1"/>
  <c r="J644" i="44" s="1"/>
  <c r="L77" i="10"/>
  <c r="D77" i="34" s="1"/>
  <c r="F77" i="10"/>
  <c r="L73" i="10"/>
  <c r="D73" i="34" s="1"/>
  <c r="H73" i="34" s="1"/>
  <c r="F73" i="10"/>
  <c r="F27" i="10"/>
  <c r="F29" i="10" s="1"/>
  <c r="H29" i="10"/>
  <c r="L16" i="10"/>
  <c r="E41" i="22"/>
  <c r="G41" i="34" s="1"/>
  <c r="I41" i="34" s="1"/>
  <c r="R36" i="22"/>
  <c r="J36" i="22"/>
  <c r="S29" i="22"/>
  <c r="K29" i="22"/>
  <c r="K82" i="22" s="1"/>
  <c r="I644" i="44" s="1"/>
  <c r="AO24" i="22"/>
  <c r="AO82" i="22" s="1"/>
  <c r="AM644" i="44" s="1"/>
  <c r="I24" i="22"/>
  <c r="I82" i="22" s="1"/>
  <c r="G644" i="44" s="1"/>
  <c r="E19" i="22"/>
  <c r="F79" i="10"/>
  <c r="L79" i="10"/>
  <c r="D79" i="34" s="1"/>
  <c r="D76" i="22"/>
  <c r="F76" i="34" s="1"/>
  <c r="H76" i="34" s="1"/>
  <c r="E73" i="22"/>
  <c r="G73" i="34" s="1"/>
  <c r="I73" i="34" s="1"/>
  <c r="AN66" i="22"/>
  <c r="AF66" i="22"/>
  <c r="X66" i="22"/>
  <c r="P66" i="22"/>
  <c r="H66" i="22"/>
  <c r="AH61" i="22"/>
  <c r="Z61" i="22"/>
  <c r="R61" i="22"/>
  <c r="J61" i="22"/>
  <c r="D47" i="22"/>
  <c r="F47" i="34" s="1"/>
  <c r="H47" i="34" s="1"/>
  <c r="D41" i="22"/>
  <c r="F41" i="34" s="1"/>
  <c r="H41" i="34" s="1"/>
  <c r="AH42" i="22"/>
  <c r="AH43" i="22" s="1"/>
  <c r="E39" i="22"/>
  <c r="G39" i="34" s="1"/>
  <c r="I39" i="34" s="1"/>
  <c r="L81" i="10"/>
  <c r="D81" i="34" s="1"/>
  <c r="F81" i="10"/>
  <c r="D70" i="34"/>
  <c r="D72" i="34" s="1"/>
  <c r="L72" i="10"/>
  <c r="G64" i="10"/>
  <c r="G66" i="10" s="1"/>
  <c r="M64" i="10"/>
  <c r="I66" i="10"/>
  <c r="F16" i="10"/>
  <c r="D21" i="22"/>
  <c r="F21" i="34" s="1"/>
  <c r="H21" i="34" s="1"/>
  <c r="D14" i="22"/>
  <c r="F14" i="34" s="1"/>
  <c r="L60" i="10"/>
  <c r="D60" i="34" s="1"/>
  <c r="F60" i="10"/>
  <c r="F61" i="10" s="1"/>
  <c r="M28" i="10"/>
  <c r="E28" i="34" s="1"/>
  <c r="I29" i="10"/>
  <c r="M21" i="10"/>
  <c r="E21" i="34" s="1"/>
  <c r="G21" i="10"/>
  <c r="G19" i="10"/>
  <c r="I24" i="10"/>
  <c r="M19" i="10"/>
  <c r="G42" i="22"/>
  <c r="G43" i="22" s="1"/>
  <c r="AI42" i="22"/>
  <c r="AI43" i="22" s="1"/>
  <c r="AA42" i="22"/>
  <c r="AA43" i="22" s="1"/>
  <c r="S42" i="22"/>
  <c r="S43" i="22" s="1"/>
  <c r="S82" i="22" s="1"/>
  <c r="Q644" i="44" s="1"/>
  <c r="K42" i="22"/>
  <c r="K43" i="22" s="1"/>
  <c r="D27" i="22"/>
  <c r="E12" i="22"/>
  <c r="G12" i="34" s="1"/>
  <c r="I12" i="34" s="1"/>
  <c r="M76" i="10"/>
  <c r="E76" i="34" s="1"/>
  <c r="I76" i="34" s="1"/>
  <c r="G76" i="10"/>
  <c r="G74" i="10"/>
  <c r="M74" i="10"/>
  <c r="E74" i="34" s="1"/>
  <c r="G35" i="10"/>
  <c r="G36" i="10" s="1"/>
  <c r="G28" i="10"/>
  <c r="G29" i="10" s="1"/>
  <c r="AI36" i="22"/>
  <c r="AA36" i="22"/>
  <c r="S36" i="22"/>
  <c r="K36" i="22"/>
  <c r="AL16" i="22"/>
  <c r="AD16" i="22"/>
  <c r="AD82" i="22" s="1"/>
  <c r="AB644" i="44" s="1"/>
  <c r="V16" i="22"/>
  <c r="N16" i="22"/>
  <c r="N82" i="22" s="1"/>
  <c r="L644" i="44" s="1"/>
  <c r="D12" i="22"/>
  <c r="F16" i="22"/>
  <c r="M72" i="10"/>
  <c r="M59" i="10"/>
  <c r="I61" i="10"/>
  <c r="L43" i="10"/>
  <c r="L61" i="10"/>
  <c r="M29" i="10"/>
  <c r="T642" i="44" l="1"/>
  <c r="V91" i="21"/>
  <c r="AG648" i="44"/>
  <c r="AI91" i="27"/>
  <c r="I41" i="39"/>
  <c r="AC651" i="44"/>
  <c r="AE91" i="31"/>
  <c r="E36" i="27"/>
  <c r="G32" i="39"/>
  <c r="I643" i="44"/>
  <c r="K84" i="24"/>
  <c r="F82" i="9"/>
  <c r="F91" i="9" s="1"/>
  <c r="O642" i="44"/>
  <c r="Q91" i="21"/>
  <c r="AM646" i="44"/>
  <c r="AO91" i="25"/>
  <c r="G646" i="44"/>
  <c r="I91" i="25"/>
  <c r="H35" i="39"/>
  <c r="AE642" i="44"/>
  <c r="AG91" i="21"/>
  <c r="AA651" i="44"/>
  <c r="AC91" i="31"/>
  <c r="I20" i="39"/>
  <c r="H22" i="39"/>
  <c r="I78" i="39"/>
  <c r="AH82" i="27"/>
  <c r="AD646" i="44"/>
  <c r="AF91" i="25"/>
  <c r="H28" i="39"/>
  <c r="Q82" i="27"/>
  <c r="H49" i="36"/>
  <c r="N642" i="44"/>
  <c r="P91" i="21"/>
  <c r="G642" i="44"/>
  <c r="I91" i="21"/>
  <c r="AJ648" i="44"/>
  <c r="AL91" i="27"/>
  <c r="H35" i="36"/>
  <c r="H14" i="36"/>
  <c r="V651" i="44"/>
  <c r="X91" i="31"/>
  <c r="AL646" i="44"/>
  <c r="AN91" i="25"/>
  <c r="P646" i="44"/>
  <c r="R91" i="25"/>
  <c r="AL651" i="44"/>
  <c r="AN91" i="31"/>
  <c r="AD651" i="44"/>
  <c r="AF91" i="31"/>
  <c r="H45" i="39"/>
  <c r="F82" i="16"/>
  <c r="F91" i="16" s="1"/>
  <c r="H45" i="36"/>
  <c r="W642" i="44"/>
  <c r="Y91" i="21"/>
  <c r="AC646" i="44"/>
  <c r="AE91" i="25"/>
  <c r="H13" i="36"/>
  <c r="AJ651" i="44"/>
  <c r="AL91" i="31"/>
  <c r="H76" i="36"/>
  <c r="AJ642" i="44"/>
  <c r="AL91" i="21"/>
  <c r="W651" i="44"/>
  <c r="Y91" i="31"/>
  <c r="H21" i="39"/>
  <c r="AH646" i="44"/>
  <c r="AJ91" i="25"/>
  <c r="I28" i="39"/>
  <c r="H71" i="39"/>
  <c r="F82" i="10"/>
  <c r="H79" i="36"/>
  <c r="H642" i="44"/>
  <c r="J91" i="21"/>
  <c r="L32" i="12"/>
  <c r="H36" i="12"/>
  <c r="F32" i="12"/>
  <c r="E56" i="23"/>
  <c r="G54" i="35"/>
  <c r="K82" i="21"/>
  <c r="E24" i="23"/>
  <c r="G19" i="35"/>
  <c r="H651" i="44"/>
  <c r="J91" i="31"/>
  <c r="AB16" i="24"/>
  <c r="AI651" i="44"/>
  <c r="AK91" i="31"/>
  <c r="G66" i="35"/>
  <c r="I64" i="35"/>
  <c r="H27" i="42"/>
  <c r="H29" i="42" s="1"/>
  <c r="D27" i="5"/>
  <c r="D29" i="5" s="1"/>
  <c r="D29" i="42"/>
  <c r="M14" i="15"/>
  <c r="E14" i="39" s="1"/>
  <c r="I14" i="39" s="1"/>
  <c r="G14" i="15"/>
  <c r="F77" i="5"/>
  <c r="H77" i="5" s="1"/>
  <c r="L13" i="15"/>
  <c r="D13" i="39" s="1"/>
  <c r="H13" i="39" s="1"/>
  <c r="F13" i="15"/>
  <c r="AB24" i="27"/>
  <c r="AB82" i="27" s="1"/>
  <c r="AB72" i="27"/>
  <c r="AM82" i="21"/>
  <c r="E29" i="31"/>
  <c r="G27" i="43"/>
  <c r="AD82" i="25"/>
  <c r="L76" i="15"/>
  <c r="D76" i="39" s="1"/>
  <c r="F76" i="15"/>
  <c r="AF43" i="27"/>
  <c r="M78" i="15"/>
  <c r="E78" i="39" s="1"/>
  <c r="G78" i="15"/>
  <c r="L19" i="15"/>
  <c r="F19" i="15"/>
  <c r="H24" i="15"/>
  <c r="L80" i="15"/>
  <c r="D80" i="39" s="1"/>
  <c r="F80" i="15"/>
  <c r="V646" i="44"/>
  <c r="X91" i="25"/>
  <c r="G72" i="37"/>
  <c r="E24" i="22"/>
  <c r="G19" i="34"/>
  <c r="F32" i="34"/>
  <c r="F32" i="5" s="1"/>
  <c r="D36" i="22"/>
  <c r="M56" i="8"/>
  <c r="E54" i="32"/>
  <c r="E56" i="32" s="1"/>
  <c r="M55" i="12"/>
  <c r="E55" i="36" s="1"/>
  <c r="G55" i="12"/>
  <c r="L87" i="12"/>
  <c r="D87" i="36" s="1"/>
  <c r="D87" i="33"/>
  <c r="D87" i="5" s="1"/>
  <c r="K29" i="24"/>
  <c r="F86" i="36"/>
  <c r="D89" i="24"/>
  <c r="AH72" i="24"/>
  <c r="E27" i="24"/>
  <c r="I29" i="24"/>
  <c r="P651" i="44"/>
  <c r="R91" i="31"/>
  <c r="AH642" i="44"/>
  <c r="AJ91" i="21"/>
  <c r="I29" i="12"/>
  <c r="G27" i="12"/>
  <c r="M27" i="12"/>
  <c r="E70" i="43"/>
  <c r="E72" i="43" s="1"/>
  <c r="M72" i="19"/>
  <c r="I51" i="43"/>
  <c r="G51" i="5"/>
  <c r="I51" i="5" s="1"/>
  <c r="G16" i="27"/>
  <c r="G82" i="27" s="1"/>
  <c r="G91" i="27" s="1"/>
  <c r="E12" i="27"/>
  <c r="G12" i="39" s="1"/>
  <c r="I79" i="43"/>
  <c r="G79" i="5"/>
  <c r="F82" i="18"/>
  <c r="V16" i="27"/>
  <c r="J24" i="27"/>
  <c r="J82" i="27" s="1"/>
  <c r="E72" i="30"/>
  <c r="E84" i="30" s="1"/>
  <c r="G70" i="42"/>
  <c r="M28" i="15"/>
  <c r="E28" i="39" s="1"/>
  <c r="G28" i="15"/>
  <c r="AA646" i="44"/>
  <c r="AC91" i="25"/>
  <c r="M79" i="15"/>
  <c r="E79" i="39" s="1"/>
  <c r="I79" i="39" s="1"/>
  <c r="G79" i="15"/>
  <c r="G75" i="5"/>
  <c r="I75" i="5" s="1"/>
  <c r="AI82" i="24"/>
  <c r="L54" i="15"/>
  <c r="H56" i="15"/>
  <c r="F54" i="15"/>
  <c r="M64" i="15"/>
  <c r="G64" i="15"/>
  <c r="G66" i="15" s="1"/>
  <c r="I66" i="15"/>
  <c r="H20" i="42"/>
  <c r="F20" i="5"/>
  <c r="H20" i="5" s="1"/>
  <c r="D66" i="25"/>
  <c r="D72" i="25"/>
  <c r="F70" i="37"/>
  <c r="H646" i="44"/>
  <c r="J91" i="25"/>
  <c r="M12" i="15"/>
  <c r="E12" i="39" s="1"/>
  <c r="G12" i="15"/>
  <c r="G16" i="15" s="1"/>
  <c r="D15" i="5"/>
  <c r="AF646" i="44"/>
  <c r="AH91" i="25"/>
  <c r="E29" i="26"/>
  <c r="G27" i="38"/>
  <c r="AI648" i="44"/>
  <c r="AK91" i="27"/>
  <c r="H39" i="40"/>
  <c r="G24" i="38"/>
  <c r="I19" i="38"/>
  <c r="D33" i="34"/>
  <c r="D36" i="34" s="1"/>
  <c r="L36" i="10"/>
  <c r="M16" i="10"/>
  <c r="E11" i="34"/>
  <c r="E16" i="34" s="1"/>
  <c r="F82" i="17"/>
  <c r="L66" i="10"/>
  <c r="D64" i="34"/>
  <c r="D66" i="34" s="1"/>
  <c r="N82" i="29"/>
  <c r="L640" i="44" s="1"/>
  <c r="L66" i="8"/>
  <c r="D64" i="32"/>
  <c r="D66" i="32" s="1"/>
  <c r="F66" i="34"/>
  <c r="M20" i="12"/>
  <c r="E20" i="36" s="1"/>
  <c r="G20" i="12"/>
  <c r="M65" i="12"/>
  <c r="E65" i="36" s="1"/>
  <c r="G65" i="12"/>
  <c r="AM645" i="44"/>
  <c r="AO91" i="24"/>
  <c r="L79" i="12"/>
  <c r="D79" i="36" s="1"/>
  <c r="F79" i="12"/>
  <c r="R82" i="21"/>
  <c r="AC82" i="21"/>
  <c r="H79" i="33"/>
  <c r="X24" i="24"/>
  <c r="S82" i="23"/>
  <c r="Q643" i="44" s="1"/>
  <c r="D12" i="24"/>
  <c r="F12" i="36" s="1"/>
  <c r="G89" i="24"/>
  <c r="E86" i="24"/>
  <c r="L23" i="12"/>
  <c r="D23" i="36" s="1"/>
  <c r="H23" i="36" s="1"/>
  <c r="F23" i="12"/>
  <c r="F82" i="19"/>
  <c r="F91" i="19" s="1"/>
  <c r="P56" i="24"/>
  <c r="E22" i="5"/>
  <c r="L29" i="19"/>
  <c r="D27" i="43"/>
  <c r="D29" i="43" s="1"/>
  <c r="R24" i="27"/>
  <c r="R24" i="24"/>
  <c r="D54" i="27"/>
  <c r="D65" i="27"/>
  <c r="F65" i="39" s="1"/>
  <c r="H65" i="39" s="1"/>
  <c r="AH648" i="44"/>
  <c r="AJ91" i="27"/>
  <c r="D21" i="5"/>
  <c r="F45" i="5"/>
  <c r="H45" i="5" s="1"/>
  <c r="D27" i="40"/>
  <c r="L29" i="16"/>
  <c r="M80" i="15"/>
  <c r="E80" i="39" s="1"/>
  <c r="I80" i="39" s="1"/>
  <c r="G80" i="15"/>
  <c r="F11" i="37"/>
  <c r="D16" i="25"/>
  <c r="E61" i="26"/>
  <c r="G59" i="38"/>
  <c r="G66" i="37"/>
  <c r="I64" i="37"/>
  <c r="I66" i="37" s="1"/>
  <c r="F16" i="42"/>
  <c r="H11" i="42"/>
  <c r="AL82" i="22"/>
  <c r="AJ644" i="44" s="1"/>
  <c r="O82" i="20"/>
  <c r="M641" i="44" s="1"/>
  <c r="E29" i="20"/>
  <c r="G27" i="32"/>
  <c r="F19" i="12"/>
  <c r="F24" i="12" s="1"/>
  <c r="L19" i="12"/>
  <c r="H24" i="12"/>
  <c r="F28" i="12"/>
  <c r="L28" i="12"/>
  <c r="D28" i="36" s="1"/>
  <c r="J29" i="24"/>
  <c r="L54" i="12"/>
  <c r="F54" i="12"/>
  <c r="F56" i="12" s="1"/>
  <c r="H56" i="12"/>
  <c r="F49" i="12"/>
  <c r="L49" i="12"/>
  <c r="D49" i="36" s="1"/>
  <c r="E76" i="24"/>
  <c r="G76" i="36" s="1"/>
  <c r="M89" i="12"/>
  <c r="E86" i="36"/>
  <c r="E89" i="36" s="1"/>
  <c r="Q29" i="24"/>
  <c r="G86" i="33"/>
  <c r="E89" i="21"/>
  <c r="C15" i="4" s="1"/>
  <c r="D24" i="23"/>
  <c r="F19" i="35"/>
  <c r="H23" i="35"/>
  <c r="F82" i="30"/>
  <c r="L21" i="15"/>
  <c r="D21" i="39" s="1"/>
  <c r="F21" i="15"/>
  <c r="F19" i="43"/>
  <c r="F19" i="5" s="1"/>
  <c r="D24" i="31"/>
  <c r="F16" i="33"/>
  <c r="H11" i="33"/>
  <c r="E20" i="5"/>
  <c r="E33" i="27"/>
  <c r="G33" i="39" s="1"/>
  <c r="I33" i="39" s="1"/>
  <c r="O16" i="24"/>
  <c r="H87" i="36"/>
  <c r="H51" i="43"/>
  <c r="F51" i="5"/>
  <c r="H51" i="5" s="1"/>
  <c r="L24" i="16"/>
  <c r="M56" i="13"/>
  <c r="E54" i="37"/>
  <c r="E56" i="37" s="1"/>
  <c r="E72" i="26"/>
  <c r="G70" i="38"/>
  <c r="H24" i="27"/>
  <c r="I13" i="42"/>
  <c r="G13" i="5"/>
  <c r="I13" i="5" s="1"/>
  <c r="H82" i="25"/>
  <c r="D27" i="39"/>
  <c r="F43" i="19"/>
  <c r="H79" i="38"/>
  <c r="F72" i="35"/>
  <c r="R82" i="27"/>
  <c r="M76" i="15"/>
  <c r="E76" i="39" s="1"/>
  <c r="I76" i="39" s="1"/>
  <c r="G76" i="15"/>
  <c r="D36" i="38"/>
  <c r="F28" i="40"/>
  <c r="D29" i="28"/>
  <c r="P82" i="25"/>
  <c r="Y16" i="27"/>
  <c r="Y82" i="27" s="1"/>
  <c r="I21" i="40"/>
  <c r="D59" i="37"/>
  <c r="D61" i="37" s="1"/>
  <c r="L61" i="13"/>
  <c r="AJ646" i="44"/>
  <c r="AL91" i="25"/>
  <c r="L72" i="16"/>
  <c r="L16" i="16"/>
  <c r="I66" i="38"/>
  <c r="E59" i="34"/>
  <c r="E61" i="34" s="1"/>
  <c r="M61" i="10"/>
  <c r="H78" i="34"/>
  <c r="G16" i="10"/>
  <c r="F59" i="34"/>
  <c r="D61" i="22"/>
  <c r="E43" i="29"/>
  <c r="E36" i="20"/>
  <c r="G32" i="32"/>
  <c r="AO82" i="29"/>
  <c r="AM640" i="44" s="1"/>
  <c r="AC82" i="20"/>
  <c r="AA641" i="44" s="1"/>
  <c r="D66" i="29"/>
  <c r="G72" i="34"/>
  <c r="I70" i="34"/>
  <c r="I72" i="34" s="1"/>
  <c r="E61" i="29"/>
  <c r="G59" i="41"/>
  <c r="I28" i="32"/>
  <c r="I23" i="34"/>
  <c r="F82" i="20"/>
  <c r="S82" i="20"/>
  <c r="Q641" i="44" s="1"/>
  <c r="H82" i="8"/>
  <c r="D36" i="29"/>
  <c r="E24" i="29"/>
  <c r="G19" i="41"/>
  <c r="G40" i="32"/>
  <c r="E42" i="20"/>
  <c r="E43" i="20" s="1"/>
  <c r="G29" i="17"/>
  <c r="F54" i="32"/>
  <c r="D56" i="20"/>
  <c r="H82" i="20"/>
  <c r="F641" i="44" s="1"/>
  <c r="F82" i="24"/>
  <c r="F91" i="24" s="1"/>
  <c r="L82" i="20"/>
  <c r="J641" i="44" s="1"/>
  <c r="I74" i="34"/>
  <c r="D54" i="24"/>
  <c r="M14" i="12"/>
  <c r="E14" i="36" s="1"/>
  <c r="I14" i="36" s="1"/>
  <c r="G14" i="12"/>
  <c r="G40" i="12"/>
  <c r="M40" i="12"/>
  <c r="I42" i="12"/>
  <c r="I43" i="12" s="1"/>
  <c r="T61" i="24"/>
  <c r="L35" i="12"/>
  <c r="D35" i="36" s="1"/>
  <c r="F35" i="12"/>
  <c r="I16" i="24"/>
  <c r="E66" i="29"/>
  <c r="G78" i="12"/>
  <c r="M78" i="12"/>
  <c r="E78" i="36" s="1"/>
  <c r="V24" i="24"/>
  <c r="R29" i="24"/>
  <c r="X36" i="24"/>
  <c r="F64" i="12"/>
  <c r="L64" i="12"/>
  <c r="H66" i="12"/>
  <c r="AG16" i="24"/>
  <c r="AI24" i="24"/>
  <c r="M41" i="12"/>
  <c r="E41" i="36" s="1"/>
  <c r="G41" i="12"/>
  <c r="Z56" i="24"/>
  <c r="Q61" i="24"/>
  <c r="E65" i="24"/>
  <c r="G65" i="36" s="1"/>
  <c r="E78" i="24"/>
  <c r="G78" i="36" s="1"/>
  <c r="E13" i="24"/>
  <c r="G13" i="36" s="1"/>
  <c r="I13" i="36" s="1"/>
  <c r="T29" i="24"/>
  <c r="E39" i="24"/>
  <c r="G39" i="36" s="1"/>
  <c r="I39" i="36" s="1"/>
  <c r="AB56" i="24"/>
  <c r="Z82" i="21"/>
  <c r="E51" i="24"/>
  <c r="G51" i="36" s="1"/>
  <c r="S61" i="24"/>
  <c r="E80" i="24"/>
  <c r="G80" i="36" s="1"/>
  <c r="F24" i="8"/>
  <c r="D12" i="33"/>
  <c r="L16" i="9"/>
  <c r="AK82" i="21"/>
  <c r="D34" i="24"/>
  <c r="F34" i="36" s="1"/>
  <c r="H42" i="24"/>
  <c r="H43" i="24" s="1"/>
  <c r="Z72" i="24"/>
  <c r="D22" i="24"/>
  <c r="F22" i="36" s="1"/>
  <c r="I28" i="35"/>
  <c r="L88" i="12"/>
  <c r="D88" i="36" s="1"/>
  <c r="H88" i="36" s="1"/>
  <c r="D88" i="33"/>
  <c r="H61" i="24"/>
  <c r="AA82" i="21"/>
  <c r="M24" i="9"/>
  <c r="AD16" i="24"/>
  <c r="Y29" i="24"/>
  <c r="AB61" i="24"/>
  <c r="F82" i="23"/>
  <c r="G54" i="12"/>
  <c r="G56" i="12" s="1"/>
  <c r="I56" i="12"/>
  <c r="M54" i="12"/>
  <c r="E59" i="43"/>
  <c r="E61" i="43" s="1"/>
  <c r="M61" i="19"/>
  <c r="E61" i="31"/>
  <c r="G59" i="43"/>
  <c r="E60" i="5"/>
  <c r="L82" i="21"/>
  <c r="U36" i="24"/>
  <c r="U82" i="24" s="1"/>
  <c r="D24" i="33"/>
  <c r="AH36" i="24"/>
  <c r="L66" i="11"/>
  <c r="D64" i="35"/>
  <c r="D66" i="35" s="1"/>
  <c r="E24" i="43"/>
  <c r="F60" i="43"/>
  <c r="D61" i="31"/>
  <c r="H47" i="42"/>
  <c r="D47" i="5"/>
  <c r="X56" i="24"/>
  <c r="E15" i="27"/>
  <c r="G15" i="39" s="1"/>
  <c r="I15" i="39" s="1"/>
  <c r="M43" i="19"/>
  <c r="D16" i="42"/>
  <c r="D11" i="5"/>
  <c r="M56" i="18"/>
  <c r="E54" i="42"/>
  <c r="I54" i="42" s="1"/>
  <c r="I56" i="42" s="1"/>
  <c r="F40" i="43"/>
  <c r="D42" i="31"/>
  <c r="D43" i="31" s="1"/>
  <c r="F78" i="5"/>
  <c r="AF651" i="44"/>
  <c r="AH91" i="31"/>
  <c r="E64" i="27"/>
  <c r="G64" i="39" s="1"/>
  <c r="AF24" i="27"/>
  <c r="AF82" i="27" s="1"/>
  <c r="J56" i="27"/>
  <c r="Z72" i="27"/>
  <c r="D76" i="27"/>
  <c r="F76" i="39" s="1"/>
  <c r="W29" i="24"/>
  <c r="D16" i="43"/>
  <c r="I89" i="43"/>
  <c r="E80" i="5"/>
  <c r="E70" i="27"/>
  <c r="AI82" i="25"/>
  <c r="D15" i="27"/>
  <c r="F15" i="39" s="1"/>
  <c r="P36" i="27"/>
  <c r="E60" i="27"/>
  <c r="G60" i="39" s="1"/>
  <c r="I60" i="39" s="1"/>
  <c r="F40" i="35"/>
  <c r="D42" i="23"/>
  <c r="D43" i="23" s="1"/>
  <c r="D16" i="21"/>
  <c r="D82" i="21" s="1"/>
  <c r="D91" i="21" s="1"/>
  <c r="X72" i="24"/>
  <c r="G16" i="19"/>
  <c r="G73" i="5"/>
  <c r="I73" i="5" s="1"/>
  <c r="L24" i="27"/>
  <c r="E73" i="27"/>
  <c r="G73" i="39" s="1"/>
  <c r="I73" i="39" s="1"/>
  <c r="J24" i="24"/>
  <c r="E61" i="23"/>
  <c r="W82" i="21"/>
  <c r="AF29" i="27"/>
  <c r="T42" i="27"/>
  <c r="T43" i="27" s="1"/>
  <c r="G16" i="20"/>
  <c r="E11" i="20"/>
  <c r="D14" i="5"/>
  <c r="E40" i="39"/>
  <c r="E42" i="39" s="1"/>
  <c r="AM82" i="25"/>
  <c r="H22" i="40"/>
  <c r="E36" i="28"/>
  <c r="G32" i="40"/>
  <c r="D42" i="26"/>
  <c r="D43" i="26" s="1"/>
  <c r="L56" i="16"/>
  <c r="L40" i="15"/>
  <c r="H42" i="15"/>
  <c r="H43" i="15" s="1"/>
  <c r="F40" i="15"/>
  <c r="F42" i="15" s="1"/>
  <c r="F43" i="15" s="1"/>
  <c r="L16" i="27"/>
  <c r="L82" i="27" s="1"/>
  <c r="N66" i="27"/>
  <c r="I59" i="37"/>
  <c r="I61" i="37" s="1"/>
  <c r="G61" i="37"/>
  <c r="G70" i="40"/>
  <c r="E72" i="28"/>
  <c r="L73" i="15"/>
  <c r="D73" i="39" s="1"/>
  <c r="H73" i="39" s="1"/>
  <c r="F73" i="15"/>
  <c r="G77" i="5"/>
  <c r="I77" i="5" s="1"/>
  <c r="T61" i="27"/>
  <c r="M20" i="15"/>
  <c r="E20" i="39" s="1"/>
  <c r="G20" i="15"/>
  <c r="L89" i="19"/>
  <c r="D86" i="43"/>
  <c r="E81" i="27"/>
  <c r="G81" i="39" s="1"/>
  <c r="I81" i="39" s="1"/>
  <c r="E59" i="27"/>
  <c r="D72" i="23"/>
  <c r="G86" i="39"/>
  <c r="E89" i="27"/>
  <c r="H14" i="37"/>
  <c r="L36" i="27"/>
  <c r="J61" i="27"/>
  <c r="U72" i="27"/>
  <c r="U82" i="27" s="1"/>
  <c r="L36" i="14"/>
  <c r="L82" i="14" s="1"/>
  <c r="D36" i="28"/>
  <c r="F32" i="40"/>
  <c r="I24" i="15"/>
  <c r="G87" i="5"/>
  <c r="G89" i="37"/>
  <c r="D72" i="40"/>
  <c r="M56" i="10"/>
  <c r="E54" i="34"/>
  <c r="E56" i="34" s="1"/>
  <c r="F59" i="41"/>
  <c r="D61" i="29"/>
  <c r="I61" i="12"/>
  <c r="G59" i="12"/>
  <c r="M59" i="12"/>
  <c r="H29" i="24"/>
  <c r="D27" i="24"/>
  <c r="F65" i="12"/>
  <c r="L65" i="12"/>
  <c r="D65" i="36" s="1"/>
  <c r="H65" i="36" s="1"/>
  <c r="AD42" i="24"/>
  <c r="AD43" i="24" s="1"/>
  <c r="E21" i="24"/>
  <c r="G21" i="36" s="1"/>
  <c r="H72" i="12"/>
  <c r="L70" i="12"/>
  <c r="F70" i="12"/>
  <c r="F72" i="12" s="1"/>
  <c r="M33" i="12"/>
  <c r="E33" i="36" s="1"/>
  <c r="I33" i="36" s="1"/>
  <c r="G33" i="12"/>
  <c r="U82" i="21"/>
  <c r="G24" i="21"/>
  <c r="E20" i="21"/>
  <c r="G20" i="33" s="1"/>
  <c r="I20" i="33" s="1"/>
  <c r="L642" i="44"/>
  <c r="N91" i="21"/>
  <c r="L41" i="12"/>
  <c r="D41" i="36" s="1"/>
  <c r="H41" i="36" s="1"/>
  <c r="F41" i="12"/>
  <c r="AK651" i="44"/>
  <c r="AM91" i="31"/>
  <c r="G82" i="11"/>
  <c r="I47" i="39"/>
  <c r="L55" i="15"/>
  <c r="D55" i="39" s="1"/>
  <c r="H55" i="39" s="1"/>
  <c r="F55" i="15"/>
  <c r="H61" i="27"/>
  <c r="D59" i="27"/>
  <c r="M646" i="44"/>
  <c r="O91" i="25"/>
  <c r="G39" i="5"/>
  <c r="I39" i="5" s="1"/>
  <c r="H35" i="42"/>
  <c r="D35" i="5"/>
  <c r="G82" i="16"/>
  <c r="G91" i="16" s="1"/>
  <c r="G40" i="38"/>
  <c r="E42" i="26"/>
  <c r="E43" i="26" s="1"/>
  <c r="E42" i="25"/>
  <c r="E43" i="25" s="1"/>
  <c r="G40" i="37"/>
  <c r="H82" i="14"/>
  <c r="E70" i="40"/>
  <c r="E72" i="40" s="1"/>
  <c r="M72" i="16"/>
  <c r="F72" i="38"/>
  <c r="H70" i="38"/>
  <c r="H72" i="38" s="1"/>
  <c r="V82" i="22"/>
  <c r="T644" i="44" s="1"/>
  <c r="H82" i="17"/>
  <c r="D56" i="29"/>
  <c r="F54" i="41"/>
  <c r="G16" i="8"/>
  <c r="G82" i="8" s="1"/>
  <c r="H32" i="32"/>
  <c r="H36" i="32" s="1"/>
  <c r="F36" i="32"/>
  <c r="P29" i="24"/>
  <c r="L34" i="12"/>
  <c r="D34" i="36" s="1"/>
  <c r="F34" i="12"/>
  <c r="E41" i="24"/>
  <c r="G41" i="36" s="1"/>
  <c r="M77" i="12"/>
  <c r="E77" i="36" s="1"/>
  <c r="G77" i="12"/>
  <c r="H79" i="32"/>
  <c r="L76" i="12"/>
  <c r="D76" i="36" s="1"/>
  <c r="F76" i="12"/>
  <c r="L14" i="12"/>
  <c r="D14" i="36" s="1"/>
  <c r="F14" i="12"/>
  <c r="F40" i="33"/>
  <c r="D42" i="21"/>
  <c r="D43" i="21" s="1"/>
  <c r="E34" i="35"/>
  <c r="E36" i="35" s="1"/>
  <c r="M36" i="11"/>
  <c r="E42" i="31"/>
  <c r="E43" i="31" s="1"/>
  <c r="G40" i="43"/>
  <c r="L72" i="19"/>
  <c r="D70" i="43"/>
  <c r="G27" i="35"/>
  <c r="E29" i="23"/>
  <c r="M55" i="15"/>
  <c r="E55" i="39" s="1"/>
  <c r="I55" i="39" s="1"/>
  <c r="G55" i="15"/>
  <c r="F59" i="35"/>
  <c r="D61" i="23"/>
  <c r="E16" i="21"/>
  <c r="G11" i="33"/>
  <c r="E21" i="5"/>
  <c r="L14" i="15"/>
  <c r="D14" i="39" s="1"/>
  <c r="H14" i="39" s="1"/>
  <c r="F14" i="15"/>
  <c r="U43" i="27"/>
  <c r="K36" i="27"/>
  <c r="M72" i="13"/>
  <c r="E70" i="37"/>
  <c r="E72" i="37" s="1"/>
  <c r="M66" i="10"/>
  <c r="E64" i="34"/>
  <c r="E66" i="34" s="1"/>
  <c r="H33" i="34"/>
  <c r="M82" i="20"/>
  <c r="K641" i="44" s="1"/>
  <c r="AK82" i="29"/>
  <c r="AI640" i="44" s="1"/>
  <c r="L29" i="8"/>
  <c r="D27" i="32"/>
  <c r="D29" i="32" s="1"/>
  <c r="E11" i="32"/>
  <c r="E16" i="32" s="1"/>
  <c r="E82" i="32" s="1"/>
  <c r="M16" i="8"/>
  <c r="D36" i="20"/>
  <c r="AH645" i="44"/>
  <c r="AJ91" i="24"/>
  <c r="D32" i="24"/>
  <c r="H36" i="24"/>
  <c r="K16" i="24"/>
  <c r="J36" i="24"/>
  <c r="E28" i="24"/>
  <c r="G28" i="36" s="1"/>
  <c r="I28" i="36" s="1"/>
  <c r="L12" i="12"/>
  <c r="D12" i="36" s="1"/>
  <c r="F12" i="12"/>
  <c r="L80" i="12"/>
  <c r="D80" i="36" s="1"/>
  <c r="H80" i="36" s="1"/>
  <c r="F80" i="12"/>
  <c r="F40" i="12"/>
  <c r="H42" i="12"/>
  <c r="H43" i="12" s="1"/>
  <c r="L40" i="12"/>
  <c r="L24" i="11"/>
  <c r="D19" i="35"/>
  <c r="D24" i="35" s="1"/>
  <c r="L56" i="11"/>
  <c r="D54" i="35"/>
  <c r="D56" i="35" s="1"/>
  <c r="AD16" i="27"/>
  <c r="P72" i="24"/>
  <c r="D29" i="31"/>
  <c r="F27" i="43"/>
  <c r="M27" i="15"/>
  <c r="G27" i="15"/>
  <c r="G29" i="15" s="1"/>
  <c r="I29" i="15"/>
  <c r="E59" i="40"/>
  <c r="E61" i="40" s="1"/>
  <c r="M61" i="16"/>
  <c r="E42" i="28"/>
  <c r="E43" i="28" s="1"/>
  <c r="G40" i="40"/>
  <c r="D40" i="43"/>
  <c r="D42" i="43" s="1"/>
  <c r="D43" i="43" s="1"/>
  <c r="L42" i="19"/>
  <c r="L43" i="19" s="1"/>
  <c r="F73" i="5"/>
  <c r="I64" i="40"/>
  <c r="I66" i="40" s="1"/>
  <c r="I82" i="10"/>
  <c r="G66" i="34"/>
  <c r="E79" i="5"/>
  <c r="D66" i="22"/>
  <c r="M75" i="12"/>
  <c r="E75" i="36" s="1"/>
  <c r="G75" i="12"/>
  <c r="M74" i="12"/>
  <c r="E74" i="36" s="1"/>
  <c r="G74" i="12"/>
  <c r="AA29" i="24"/>
  <c r="I61" i="24"/>
  <c r="I82" i="9"/>
  <c r="I91" i="9" s="1"/>
  <c r="G86" i="12"/>
  <c r="G89" i="12" s="1"/>
  <c r="G89" i="9"/>
  <c r="F24" i="42"/>
  <c r="H19" i="42"/>
  <c r="H33" i="35"/>
  <c r="AD82" i="31"/>
  <c r="M42" i="18"/>
  <c r="M43" i="18" s="1"/>
  <c r="E40" i="42"/>
  <c r="M76" i="12"/>
  <c r="E76" i="36" s="1"/>
  <c r="G76" i="12"/>
  <c r="G72" i="43"/>
  <c r="I70" i="43"/>
  <c r="I72" i="43" s="1"/>
  <c r="M66" i="19"/>
  <c r="E64" i="43"/>
  <c r="E66" i="43" s="1"/>
  <c r="D23" i="5"/>
  <c r="F81" i="5"/>
  <c r="H81" i="5" s="1"/>
  <c r="AM648" i="44"/>
  <c r="AO91" i="27"/>
  <c r="M36" i="13"/>
  <c r="E33" i="37"/>
  <c r="E36" i="37" s="1"/>
  <c r="E82" i="37" s="1"/>
  <c r="H36" i="27"/>
  <c r="D32" i="27"/>
  <c r="L61" i="24"/>
  <c r="T646" i="44"/>
  <c r="V91" i="25"/>
  <c r="M29" i="13"/>
  <c r="E27" i="37"/>
  <c r="E29" i="37" s="1"/>
  <c r="D60" i="5"/>
  <c r="H60" i="34"/>
  <c r="J82" i="22"/>
  <c r="H644" i="44" s="1"/>
  <c r="AK82" i="20"/>
  <c r="AI641" i="44" s="1"/>
  <c r="I82" i="17"/>
  <c r="D72" i="29"/>
  <c r="F70" i="41"/>
  <c r="I14" i="32"/>
  <c r="H82" i="10"/>
  <c r="I28" i="34"/>
  <c r="J82" i="20"/>
  <c r="H641" i="44" s="1"/>
  <c r="F40" i="41"/>
  <c r="D42" i="29"/>
  <c r="D43" i="29" s="1"/>
  <c r="AA82" i="20"/>
  <c r="Y641" i="44" s="1"/>
  <c r="D82" i="41"/>
  <c r="D29" i="29"/>
  <c r="F27" i="41"/>
  <c r="AF82" i="20"/>
  <c r="AD641" i="44" s="1"/>
  <c r="E61" i="20"/>
  <c r="G59" i="32"/>
  <c r="L72" i="8"/>
  <c r="D70" i="32"/>
  <c r="D72" i="32" s="1"/>
  <c r="D19" i="24"/>
  <c r="D16" i="20"/>
  <c r="F11" i="32"/>
  <c r="E54" i="24"/>
  <c r="M79" i="12"/>
  <c r="E79" i="36" s="1"/>
  <c r="I79" i="36" s="1"/>
  <c r="G79" i="12"/>
  <c r="D15" i="24"/>
  <c r="F15" i="36" s="1"/>
  <c r="F39" i="12"/>
  <c r="L39" i="12"/>
  <c r="D39" i="36" s="1"/>
  <c r="H39" i="36" s="1"/>
  <c r="G28" i="12"/>
  <c r="M28" i="12"/>
  <c r="E28" i="36" s="1"/>
  <c r="J16" i="24"/>
  <c r="AH24" i="24"/>
  <c r="Z29" i="24"/>
  <c r="AH61" i="24"/>
  <c r="F73" i="12"/>
  <c r="L73" i="12"/>
  <c r="D73" i="36" s="1"/>
  <c r="Z36" i="24"/>
  <c r="AG56" i="24"/>
  <c r="E40" i="24"/>
  <c r="F60" i="12"/>
  <c r="L60" i="12"/>
  <c r="D60" i="36" s="1"/>
  <c r="H60" i="36" s="1"/>
  <c r="S36" i="24"/>
  <c r="G66" i="33"/>
  <c r="I64" i="33"/>
  <c r="I66" i="33" s="1"/>
  <c r="M15" i="12"/>
  <c r="E15" i="36" s="1"/>
  <c r="I15" i="36" s="1"/>
  <c r="G15" i="12"/>
  <c r="G60" i="12"/>
  <c r="M60" i="12"/>
  <c r="E60" i="36" s="1"/>
  <c r="I60" i="36" s="1"/>
  <c r="F19" i="33"/>
  <c r="D24" i="21"/>
  <c r="D36" i="21"/>
  <c r="F32" i="33"/>
  <c r="H66" i="24"/>
  <c r="D66" i="24" s="1"/>
  <c r="D64" i="24"/>
  <c r="F64" i="36" s="1"/>
  <c r="L24" i="8"/>
  <c r="L82" i="8" s="1"/>
  <c r="D19" i="32"/>
  <c r="D24" i="32" s="1"/>
  <c r="D82" i="32" s="1"/>
  <c r="G24" i="9"/>
  <c r="D59" i="33"/>
  <c r="D61" i="33" s="1"/>
  <c r="L61" i="9"/>
  <c r="Q24" i="24"/>
  <c r="Q82" i="24" s="1"/>
  <c r="P43" i="24"/>
  <c r="AF72" i="24"/>
  <c r="W61" i="24"/>
  <c r="G32" i="35"/>
  <c r="E36" i="23"/>
  <c r="L21" i="12"/>
  <c r="D21" i="36" s="1"/>
  <c r="F21" i="12"/>
  <c r="M24" i="19"/>
  <c r="AH16" i="24"/>
  <c r="D16" i="23"/>
  <c r="F11" i="35"/>
  <c r="E36" i="31"/>
  <c r="G32" i="43"/>
  <c r="E16" i="30"/>
  <c r="F28" i="5"/>
  <c r="H28" i="5" s="1"/>
  <c r="M72" i="9"/>
  <c r="AH56" i="24"/>
  <c r="I41" i="33"/>
  <c r="D27" i="33"/>
  <c r="D29" i="33" s="1"/>
  <c r="L29" i="9"/>
  <c r="T82" i="21"/>
  <c r="H81" i="35"/>
  <c r="M24" i="18"/>
  <c r="L24" i="9"/>
  <c r="G40" i="33"/>
  <c r="E42" i="21"/>
  <c r="E43" i="21" s="1"/>
  <c r="G11" i="35"/>
  <c r="E16" i="23"/>
  <c r="D16" i="31"/>
  <c r="F11" i="43"/>
  <c r="I20" i="43"/>
  <c r="H64" i="43"/>
  <c r="H66" i="43" s="1"/>
  <c r="F66" i="43"/>
  <c r="F64" i="5"/>
  <c r="G43" i="19"/>
  <c r="G33" i="5"/>
  <c r="E61" i="42"/>
  <c r="E43" i="43"/>
  <c r="I74" i="43"/>
  <c r="L56" i="18"/>
  <c r="D54" i="42"/>
  <c r="G76" i="5"/>
  <c r="E24" i="31"/>
  <c r="G19" i="43"/>
  <c r="E71" i="5"/>
  <c r="M70" i="12"/>
  <c r="I72" i="12"/>
  <c r="G70" i="12"/>
  <c r="E42" i="23"/>
  <c r="E43" i="23" s="1"/>
  <c r="G40" i="35"/>
  <c r="D33" i="43"/>
  <c r="L36" i="19"/>
  <c r="H47" i="43"/>
  <c r="F47" i="5"/>
  <c r="H47" i="5" s="1"/>
  <c r="D66" i="42"/>
  <c r="F21" i="5"/>
  <c r="H21" i="5" s="1"/>
  <c r="I22" i="42"/>
  <c r="E66" i="27"/>
  <c r="L33" i="15"/>
  <c r="D33" i="39" s="1"/>
  <c r="F33" i="15"/>
  <c r="E39" i="27"/>
  <c r="G39" i="39" s="1"/>
  <c r="AD61" i="27"/>
  <c r="E20" i="20"/>
  <c r="G20" i="32" s="1"/>
  <c r="I20" i="32" s="1"/>
  <c r="G24" i="20"/>
  <c r="I39" i="43"/>
  <c r="L35" i="15"/>
  <c r="D35" i="39" s="1"/>
  <c r="F35" i="15"/>
  <c r="M82" i="25"/>
  <c r="X36" i="27"/>
  <c r="I82" i="19"/>
  <c r="I91" i="19" s="1"/>
  <c r="G28" i="5"/>
  <c r="I28" i="5" s="1"/>
  <c r="I28" i="43"/>
  <c r="F86" i="43"/>
  <c r="D89" i="31"/>
  <c r="L28" i="15"/>
  <c r="D28" i="39" s="1"/>
  <c r="F28" i="15"/>
  <c r="L71" i="15"/>
  <c r="D71" i="39" s="1"/>
  <c r="F71" i="15"/>
  <c r="D51" i="27"/>
  <c r="F51" i="39" s="1"/>
  <c r="H51" i="39" s="1"/>
  <c r="J42" i="24"/>
  <c r="J43" i="24" s="1"/>
  <c r="I88" i="43"/>
  <c r="F59" i="32"/>
  <c r="D61" i="20"/>
  <c r="W16" i="24"/>
  <c r="I20" i="42"/>
  <c r="L78" i="15"/>
  <c r="D78" i="39" s="1"/>
  <c r="H78" i="39" s="1"/>
  <c r="F78" i="15"/>
  <c r="D29" i="35"/>
  <c r="G34" i="5"/>
  <c r="AA24" i="24"/>
  <c r="AA82" i="24" s="1"/>
  <c r="M54" i="15"/>
  <c r="I56" i="15"/>
  <c r="G54" i="15"/>
  <c r="G56" i="15" s="1"/>
  <c r="F89" i="13"/>
  <c r="E56" i="26"/>
  <c r="G54" i="38"/>
  <c r="E40" i="40"/>
  <c r="E42" i="40" s="1"/>
  <c r="E43" i="40" s="1"/>
  <c r="M42" i="16"/>
  <c r="M43" i="16" s="1"/>
  <c r="I61" i="27"/>
  <c r="L42" i="13"/>
  <c r="L43" i="13" s="1"/>
  <c r="D40" i="37"/>
  <c r="D42" i="37" s="1"/>
  <c r="D43" i="37" s="1"/>
  <c r="T82" i="25"/>
  <c r="V66" i="27"/>
  <c r="I22" i="38"/>
  <c r="I80" i="38"/>
  <c r="W72" i="27"/>
  <c r="Z82" i="25"/>
  <c r="D24" i="25"/>
  <c r="H76" i="37"/>
  <c r="Y29" i="27"/>
  <c r="D89" i="25"/>
  <c r="F86" i="37"/>
  <c r="E16" i="26"/>
  <c r="G11" i="38"/>
  <c r="H82" i="28"/>
  <c r="F649" i="44" s="1"/>
  <c r="M16" i="14"/>
  <c r="I34" i="38"/>
  <c r="D43" i="40"/>
  <c r="L24" i="13"/>
  <c r="D19" i="37"/>
  <c r="L87" i="15"/>
  <c r="D87" i="37"/>
  <c r="H13" i="42"/>
  <c r="L22" i="15"/>
  <c r="D22" i="39" s="1"/>
  <c r="F22" i="15"/>
  <c r="H21" i="37"/>
  <c r="T36" i="27"/>
  <c r="AC72" i="27"/>
  <c r="K82" i="28"/>
  <c r="I649" i="44" s="1"/>
  <c r="M74" i="15"/>
  <c r="E74" i="39" s="1"/>
  <c r="I74" i="39" s="1"/>
  <c r="G74" i="15"/>
  <c r="I29" i="27"/>
  <c r="I82" i="27" s="1"/>
  <c r="E27" i="27"/>
  <c r="N82" i="26"/>
  <c r="L647" i="44" s="1"/>
  <c r="D81" i="24"/>
  <c r="F81" i="36" s="1"/>
  <c r="H81" i="36" s="1"/>
  <c r="M61" i="27"/>
  <c r="G71" i="5"/>
  <c r="I71" i="5" s="1"/>
  <c r="G82" i="28"/>
  <c r="F19" i="4" s="1"/>
  <c r="F42" i="38"/>
  <c r="F43" i="38" s="1"/>
  <c r="F36" i="38"/>
  <c r="D16" i="26"/>
  <c r="D82" i="26" s="1"/>
  <c r="D19" i="34"/>
  <c r="D24" i="34" s="1"/>
  <c r="D82" i="34" s="1"/>
  <c r="L24" i="10"/>
  <c r="L82" i="10" s="1"/>
  <c r="E16" i="29"/>
  <c r="G11" i="41"/>
  <c r="AM642" i="44"/>
  <c r="AO91" i="21"/>
  <c r="G64" i="12"/>
  <c r="G66" i="12" s="1"/>
  <c r="I66" i="12"/>
  <c r="M64" i="12"/>
  <c r="D59" i="43"/>
  <c r="L61" i="19"/>
  <c r="L72" i="11"/>
  <c r="D70" i="35"/>
  <c r="D72" i="35" s="1"/>
  <c r="F33" i="5"/>
  <c r="H33" i="42"/>
  <c r="U646" i="44"/>
  <c r="W91" i="25"/>
  <c r="F75" i="5"/>
  <c r="H13" i="35"/>
  <c r="F13" i="5"/>
  <c r="H13" i="5" s="1"/>
  <c r="W82" i="27"/>
  <c r="E61" i="21"/>
  <c r="G59" i="33"/>
  <c r="D24" i="27"/>
  <c r="F19" i="39"/>
  <c r="E40" i="27"/>
  <c r="I42" i="27"/>
  <c r="I43" i="27" s="1"/>
  <c r="G81" i="5"/>
  <c r="I81" i="5" s="1"/>
  <c r="E56" i="27"/>
  <c r="G54" i="39"/>
  <c r="H54" i="38"/>
  <c r="H56" i="38" s="1"/>
  <c r="F56" i="38"/>
  <c r="M36" i="14"/>
  <c r="E32" i="38"/>
  <c r="I39" i="41"/>
  <c r="I43" i="41" s="1"/>
  <c r="G43" i="41"/>
  <c r="G40" i="34"/>
  <c r="E42" i="22"/>
  <c r="E43" i="22" s="1"/>
  <c r="D40" i="24"/>
  <c r="AC24" i="24"/>
  <c r="D40" i="33"/>
  <c r="D42" i="33" s="1"/>
  <c r="D43" i="33" s="1"/>
  <c r="L42" i="9"/>
  <c r="L43" i="9" s="1"/>
  <c r="E20" i="24"/>
  <c r="G20" i="36" s="1"/>
  <c r="G24" i="24"/>
  <c r="N16" i="24"/>
  <c r="E54" i="33"/>
  <c r="E56" i="33" s="1"/>
  <c r="M56" i="9"/>
  <c r="AG651" i="44"/>
  <c r="AI91" i="31"/>
  <c r="AE651" i="44"/>
  <c r="AG91" i="31"/>
  <c r="AG82" i="27"/>
  <c r="E47" i="5"/>
  <c r="D72" i="31"/>
  <c r="F70" i="43"/>
  <c r="AA82" i="25"/>
  <c r="M16" i="15"/>
  <c r="E11" i="39"/>
  <c r="E16" i="39" s="1"/>
  <c r="F59" i="40"/>
  <c r="D61" i="28"/>
  <c r="M47" i="15"/>
  <c r="E47" i="39" s="1"/>
  <c r="G47" i="15"/>
  <c r="E24" i="28"/>
  <c r="G19" i="40"/>
  <c r="D27" i="27"/>
  <c r="H70" i="34"/>
  <c r="H72" i="34" s="1"/>
  <c r="F72" i="34"/>
  <c r="G19" i="32"/>
  <c r="D42" i="20"/>
  <c r="D43" i="20" s="1"/>
  <c r="F40" i="32"/>
  <c r="D40" i="32"/>
  <c r="D42" i="32" s="1"/>
  <c r="D43" i="32" s="1"/>
  <c r="L42" i="8"/>
  <c r="L43" i="8" s="1"/>
  <c r="F15" i="12"/>
  <c r="L15" i="12"/>
  <c r="D15" i="36" s="1"/>
  <c r="X29" i="24"/>
  <c r="X82" i="24" s="1"/>
  <c r="H64" i="33"/>
  <c r="H66" i="33" s="1"/>
  <c r="F66" i="33"/>
  <c r="G81" i="12"/>
  <c r="M81" i="12"/>
  <c r="E81" i="36" s="1"/>
  <c r="I81" i="36" s="1"/>
  <c r="G19" i="33"/>
  <c r="I72" i="24"/>
  <c r="E70" i="24"/>
  <c r="D86" i="36"/>
  <c r="H75" i="33"/>
  <c r="E72" i="23"/>
  <c r="G70" i="35"/>
  <c r="G651" i="44"/>
  <c r="I91" i="31"/>
  <c r="K651" i="44"/>
  <c r="M91" i="31"/>
  <c r="H14" i="43"/>
  <c r="F14" i="5"/>
  <c r="H14" i="5" s="1"/>
  <c r="E78" i="5"/>
  <c r="M71" i="15"/>
  <c r="E71" i="39" s="1"/>
  <c r="I71" i="39" s="1"/>
  <c r="G71" i="15"/>
  <c r="M65" i="15"/>
  <c r="E65" i="39" s="1"/>
  <c r="G65" i="15"/>
  <c r="X61" i="27"/>
  <c r="U61" i="24"/>
  <c r="O82" i="21"/>
  <c r="H80" i="39"/>
  <c r="D36" i="30"/>
  <c r="D82" i="30" s="1"/>
  <c r="F24" i="40"/>
  <c r="H19" i="40"/>
  <c r="G36" i="37"/>
  <c r="I32" i="37"/>
  <c r="Q82" i="25"/>
  <c r="E66" i="26"/>
  <c r="G82" i="30"/>
  <c r="F20" i="4" s="1"/>
  <c r="F29" i="15"/>
  <c r="F59" i="38"/>
  <c r="D61" i="26"/>
  <c r="Y82" i="25"/>
  <c r="L59" i="15"/>
  <c r="H61" i="15"/>
  <c r="F59" i="15"/>
  <c r="F61" i="15" s="1"/>
  <c r="U82" i="20"/>
  <c r="S641" i="44" s="1"/>
  <c r="G59" i="34"/>
  <c r="E61" i="22"/>
  <c r="H32" i="41"/>
  <c r="H36" i="41" s="1"/>
  <c r="F36" i="41"/>
  <c r="M29" i="17"/>
  <c r="L22" i="12"/>
  <c r="D22" i="36" s="1"/>
  <c r="F22" i="12"/>
  <c r="E77" i="24"/>
  <c r="G77" i="36" s="1"/>
  <c r="I77" i="36" s="1"/>
  <c r="S16" i="24"/>
  <c r="S82" i="24" s="1"/>
  <c r="D66" i="21"/>
  <c r="M51" i="12"/>
  <c r="E51" i="36" s="1"/>
  <c r="G51" i="12"/>
  <c r="H82" i="9"/>
  <c r="H91" i="9" s="1"/>
  <c r="I24" i="24"/>
  <c r="E19" i="24"/>
  <c r="D56" i="21"/>
  <c r="F54" i="33"/>
  <c r="AI82" i="23"/>
  <c r="AG643" i="44" s="1"/>
  <c r="E28" i="5"/>
  <c r="X82" i="21"/>
  <c r="D42" i="42"/>
  <c r="D43" i="42" s="1"/>
  <c r="E15" i="5"/>
  <c r="I15" i="5" s="1"/>
  <c r="M29" i="18"/>
  <c r="D59" i="35"/>
  <c r="D61" i="35" s="1"/>
  <c r="L61" i="11"/>
  <c r="E45" i="5"/>
  <c r="E94" i="7"/>
  <c r="E96" i="7" s="1"/>
  <c r="H78" i="42"/>
  <c r="D78" i="5"/>
  <c r="L23" i="15"/>
  <c r="D23" i="39" s="1"/>
  <c r="H23" i="39" s="1"/>
  <c r="F23" i="15"/>
  <c r="F39" i="5"/>
  <c r="H39" i="5" s="1"/>
  <c r="H39" i="43"/>
  <c r="L70" i="15"/>
  <c r="F70" i="15"/>
  <c r="H72" i="15"/>
  <c r="L82" i="25"/>
  <c r="F66" i="37"/>
  <c r="H64" i="37"/>
  <c r="H66" i="37" s="1"/>
  <c r="E19" i="34"/>
  <c r="E24" i="34" s="1"/>
  <c r="M24" i="10"/>
  <c r="F82" i="22"/>
  <c r="H14" i="34"/>
  <c r="E16" i="22"/>
  <c r="G11" i="34"/>
  <c r="H82" i="29"/>
  <c r="F640" i="44" s="1"/>
  <c r="F40" i="34"/>
  <c r="D42" i="22"/>
  <c r="D43" i="22" s="1"/>
  <c r="M42" i="10"/>
  <c r="M43" i="10" s="1"/>
  <c r="E40" i="34"/>
  <c r="E42" i="34" s="1"/>
  <c r="E43" i="34" s="1"/>
  <c r="D24" i="29"/>
  <c r="F19" i="41"/>
  <c r="R82" i="22"/>
  <c r="P644" i="44" s="1"/>
  <c r="L82" i="17"/>
  <c r="G16" i="17"/>
  <c r="G82" i="17" s="1"/>
  <c r="D66" i="20"/>
  <c r="D16" i="29"/>
  <c r="P82" i="20"/>
  <c r="N641" i="44" s="1"/>
  <c r="I82" i="20"/>
  <c r="G641" i="44" s="1"/>
  <c r="H64" i="32"/>
  <c r="H66" i="32" s="1"/>
  <c r="F66" i="32"/>
  <c r="G54" i="32"/>
  <c r="E56" i="20"/>
  <c r="G27" i="41"/>
  <c r="E29" i="29"/>
  <c r="D72" i="20"/>
  <c r="F70" i="32"/>
  <c r="AI645" i="44"/>
  <c r="AK91" i="24"/>
  <c r="E11" i="24"/>
  <c r="D59" i="24"/>
  <c r="M42" i="8"/>
  <c r="M43" i="8" s="1"/>
  <c r="M13" i="12"/>
  <c r="E13" i="36" s="1"/>
  <c r="G13" i="12"/>
  <c r="F20" i="12"/>
  <c r="L20" i="12"/>
  <c r="D20" i="36" s="1"/>
  <c r="G49" i="12"/>
  <c r="M49" i="12"/>
  <c r="E49" i="36" s="1"/>
  <c r="I49" i="36" s="1"/>
  <c r="D21" i="24"/>
  <c r="F21" i="36" s="1"/>
  <c r="H21" i="36" s="1"/>
  <c r="L47" i="12"/>
  <c r="D47" i="36" s="1"/>
  <c r="F47" i="12"/>
  <c r="G35" i="12"/>
  <c r="M35" i="12"/>
  <c r="E35" i="36" s="1"/>
  <c r="I35" i="36" s="1"/>
  <c r="R16" i="24"/>
  <c r="D20" i="24"/>
  <c r="F20" i="36" s="1"/>
  <c r="H20" i="36" s="1"/>
  <c r="AF29" i="24"/>
  <c r="N42" i="24"/>
  <c r="N43" i="24" s="1"/>
  <c r="E11" i="33"/>
  <c r="E16" i="33" s="1"/>
  <c r="M16" i="9"/>
  <c r="L77" i="12"/>
  <c r="D77" i="36" s="1"/>
  <c r="H77" i="36" s="1"/>
  <c r="F77" i="12"/>
  <c r="AB72" i="24"/>
  <c r="AB29" i="24"/>
  <c r="G66" i="9"/>
  <c r="AD24" i="24"/>
  <c r="L36" i="24"/>
  <c r="E45" i="24"/>
  <c r="G45" i="36" s="1"/>
  <c r="AA61" i="24"/>
  <c r="G19" i="12"/>
  <c r="I24" i="12"/>
  <c r="M19" i="12"/>
  <c r="H61" i="12"/>
  <c r="L59" i="12"/>
  <c r="F59" i="12"/>
  <c r="F61" i="12" s="1"/>
  <c r="M82" i="21"/>
  <c r="P24" i="24"/>
  <c r="P82" i="24" s="1"/>
  <c r="G73" i="12"/>
  <c r="M73" i="12"/>
  <c r="E73" i="36" s="1"/>
  <c r="M66" i="11"/>
  <c r="I14" i="33"/>
  <c r="F66" i="35"/>
  <c r="H64" i="35"/>
  <c r="H66" i="35" s="1"/>
  <c r="AI82" i="21"/>
  <c r="L36" i="11"/>
  <c r="M12" i="12"/>
  <c r="E12" i="36" s="1"/>
  <c r="G12" i="12"/>
  <c r="I66" i="24"/>
  <c r="E66" i="24" s="1"/>
  <c r="E64" i="24"/>
  <c r="G64" i="36" s="1"/>
  <c r="L42" i="11"/>
  <c r="L43" i="11" s="1"/>
  <c r="D40" i="35"/>
  <c r="D42" i="35" s="1"/>
  <c r="D43" i="35" s="1"/>
  <c r="I47" i="43"/>
  <c r="G47" i="5"/>
  <c r="I47" i="5" s="1"/>
  <c r="D42" i="30"/>
  <c r="D43" i="30" s="1"/>
  <c r="F41" i="42"/>
  <c r="E56" i="21"/>
  <c r="G54" i="33"/>
  <c r="H29" i="12"/>
  <c r="L27" i="12"/>
  <c r="F27" i="12"/>
  <c r="F29" i="12" s="1"/>
  <c r="T16" i="24"/>
  <c r="AC36" i="24"/>
  <c r="I12" i="43"/>
  <c r="E24" i="42"/>
  <c r="I19" i="42"/>
  <c r="I24" i="42" s="1"/>
  <c r="E27" i="33"/>
  <c r="M29" i="9"/>
  <c r="I82" i="23"/>
  <c r="I75" i="35"/>
  <c r="Z651" i="44"/>
  <c r="AB91" i="31"/>
  <c r="E59" i="24"/>
  <c r="M80" i="12"/>
  <c r="E80" i="36" s="1"/>
  <c r="G80" i="12"/>
  <c r="E16" i="31"/>
  <c r="G11" i="43"/>
  <c r="S651" i="44"/>
  <c r="U91" i="31"/>
  <c r="I87" i="33"/>
  <c r="E87" i="5"/>
  <c r="X651" i="44"/>
  <c r="Z91" i="31"/>
  <c r="F76" i="5"/>
  <c r="H76" i="5" s="1"/>
  <c r="G56" i="19"/>
  <c r="I21" i="43"/>
  <c r="E13" i="5"/>
  <c r="D79" i="5"/>
  <c r="E70" i="35"/>
  <c r="E72" i="35" s="1"/>
  <c r="M72" i="11"/>
  <c r="D75" i="5"/>
  <c r="F65" i="5"/>
  <c r="H65" i="5" s="1"/>
  <c r="AN82" i="27"/>
  <c r="E21" i="27"/>
  <c r="G21" i="39" s="1"/>
  <c r="I21" i="39" s="1"/>
  <c r="K66" i="24"/>
  <c r="G23" i="5"/>
  <c r="I23" i="5" s="1"/>
  <c r="G22" i="5"/>
  <c r="I22" i="5" s="1"/>
  <c r="I65" i="39"/>
  <c r="S36" i="27"/>
  <c r="S82" i="27" s="1"/>
  <c r="Z56" i="27"/>
  <c r="AE29" i="24"/>
  <c r="AF42" i="24"/>
  <c r="AF43" i="24" s="1"/>
  <c r="M34" i="12"/>
  <c r="E34" i="36" s="1"/>
  <c r="G34" i="12"/>
  <c r="G65" i="5"/>
  <c r="I65" i="5" s="1"/>
  <c r="D40" i="27"/>
  <c r="F16" i="13"/>
  <c r="L41" i="15"/>
  <c r="D41" i="39" s="1"/>
  <c r="H41" i="39" s="1"/>
  <c r="F41" i="15"/>
  <c r="E16" i="25"/>
  <c r="G11" i="37"/>
  <c r="D33" i="27"/>
  <c r="F33" i="39" s="1"/>
  <c r="H33" i="39" s="1"/>
  <c r="D49" i="27"/>
  <c r="F49" i="39" s="1"/>
  <c r="H49" i="39" s="1"/>
  <c r="AH82" i="21"/>
  <c r="M16" i="19"/>
  <c r="E11" i="43"/>
  <c r="E16" i="43" s="1"/>
  <c r="D22" i="5"/>
  <c r="D70" i="27"/>
  <c r="M82" i="13"/>
  <c r="H16" i="27"/>
  <c r="H82" i="27" s="1"/>
  <c r="D11" i="27"/>
  <c r="T24" i="27"/>
  <c r="L72" i="27"/>
  <c r="Z24" i="24"/>
  <c r="I88" i="5"/>
  <c r="AE82" i="21"/>
  <c r="E27" i="35"/>
  <c r="E29" i="35" s="1"/>
  <c r="M29" i="11"/>
  <c r="H79" i="43"/>
  <c r="F79" i="5"/>
  <c r="F34" i="5"/>
  <c r="H34" i="5" s="1"/>
  <c r="G60" i="5"/>
  <c r="M34" i="15"/>
  <c r="E34" i="39" s="1"/>
  <c r="I34" i="39" s="1"/>
  <c r="G34" i="15"/>
  <c r="K16" i="27"/>
  <c r="L29" i="11"/>
  <c r="G21" i="5"/>
  <c r="F89" i="15"/>
  <c r="AA24" i="27"/>
  <c r="H81" i="37"/>
  <c r="M41" i="15"/>
  <c r="E41" i="39" s="1"/>
  <c r="G41" i="15"/>
  <c r="G42" i="15" s="1"/>
  <c r="D42" i="28"/>
  <c r="D43" i="28" s="1"/>
  <c r="F40" i="40"/>
  <c r="H74" i="40"/>
  <c r="L61" i="16"/>
  <c r="F19" i="38"/>
  <c r="D24" i="26"/>
  <c r="T16" i="27"/>
  <c r="G82" i="26"/>
  <c r="F17" i="4" s="1"/>
  <c r="H73" i="38"/>
  <c r="G27" i="40"/>
  <c r="E29" i="28"/>
  <c r="M36" i="27"/>
  <c r="M82" i="27" s="1"/>
  <c r="D32" i="40"/>
  <c r="D36" i="40" s="1"/>
  <c r="L36" i="16"/>
  <c r="F22" i="5"/>
  <c r="H22" i="5" s="1"/>
  <c r="M56" i="14"/>
  <c r="Z16" i="27"/>
  <c r="N24" i="27"/>
  <c r="N82" i="27" s="1"/>
  <c r="I82" i="13"/>
  <c r="I91" i="13" s="1"/>
  <c r="D56" i="25"/>
  <c r="F54" i="37"/>
  <c r="U36" i="27"/>
  <c r="N36" i="27"/>
  <c r="E27" i="38"/>
  <c r="E29" i="38" s="1"/>
  <c r="M29" i="14"/>
  <c r="E11" i="27"/>
  <c r="E12" i="23"/>
  <c r="G12" i="35" s="1"/>
  <c r="G16" i="23"/>
  <c r="G82" i="23" s="1"/>
  <c r="F23" i="5"/>
  <c r="AE43" i="27"/>
  <c r="AE82" i="27" s="1"/>
  <c r="L36" i="13"/>
  <c r="D32" i="37"/>
  <c r="D36" i="37" s="1"/>
  <c r="AB36" i="27"/>
  <c r="Z61" i="27"/>
  <c r="D64" i="27"/>
  <c r="F64" i="39" s="1"/>
  <c r="H66" i="27"/>
  <c r="D72" i="37"/>
  <c r="D29" i="26"/>
  <c r="F27" i="38"/>
  <c r="H75" i="38"/>
  <c r="S82" i="28"/>
  <c r="Q649" i="44" s="1"/>
  <c r="H65" i="40"/>
  <c r="H66" i="40" s="1"/>
  <c r="F66" i="40"/>
  <c r="E19" i="39"/>
  <c r="M32" i="15"/>
  <c r="G32" i="15"/>
  <c r="I36" i="15"/>
  <c r="V36" i="27"/>
  <c r="F40" i="37"/>
  <c r="D42" i="25"/>
  <c r="D43" i="25" s="1"/>
  <c r="L42" i="16"/>
  <c r="L43" i="16" s="1"/>
  <c r="M87" i="15"/>
  <c r="E87" i="39" s="1"/>
  <c r="I87" i="39" s="1"/>
  <c r="E87" i="37"/>
  <c r="I87" i="37" s="1"/>
  <c r="L29" i="27"/>
  <c r="E21" i="40"/>
  <c r="E24" i="40" s="1"/>
  <c r="M24" i="16"/>
  <c r="M82" i="16" s="1"/>
  <c r="G11" i="40"/>
  <c r="E16" i="28"/>
  <c r="H40" i="38"/>
  <c r="H42" i="38" s="1"/>
  <c r="H43" i="38" s="1"/>
  <c r="H32" i="38"/>
  <c r="H36" i="38" s="1"/>
  <c r="F16" i="38"/>
  <c r="H11" i="38"/>
  <c r="H16" i="38" s="1"/>
  <c r="F66" i="38"/>
  <c r="I65" i="35"/>
  <c r="H54" i="40"/>
  <c r="H56" i="40" s="1"/>
  <c r="F56" i="40"/>
  <c r="E72" i="20"/>
  <c r="G70" i="32"/>
  <c r="I16" i="12"/>
  <c r="M11" i="12"/>
  <c r="G11" i="12"/>
  <c r="G16" i="12" s="1"/>
  <c r="M47" i="12"/>
  <c r="E47" i="36" s="1"/>
  <c r="G47" i="12"/>
  <c r="M22" i="12"/>
  <c r="E22" i="36" s="1"/>
  <c r="I22" i="36" s="1"/>
  <c r="G22" i="12"/>
  <c r="L71" i="12"/>
  <c r="D71" i="36" s="1"/>
  <c r="H71" i="36" s="1"/>
  <c r="F71" i="12"/>
  <c r="G32" i="33"/>
  <c r="E36" i="21"/>
  <c r="Y651" i="44"/>
  <c r="AA91" i="31"/>
  <c r="I74" i="5"/>
  <c r="E54" i="43"/>
  <c r="E56" i="43" s="1"/>
  <c r="M56" i="19"/>
  <c r="R651" i="44"/>
  <c r="T91" i="31"/>
  <c r="I64" i="43"/>
  <c r="I66" i="43" s="1"/>
  <c r="G66" i="43"/>
  <c r="G64" i="5"/>
  <c r="G27" i="33"/>
  <c r="E29" i="21"/>
  <c r="G56" i="31"/>
  <c r="G82" i="31" s="1"/>
  <c r="E55" i="31"/>
  <c r="G55" i="43" s="1"/>
  <c r="G80" i="5"/>
  <c r="X82" i="27"/>
  <c r="G82" i="21"/>
  <c r="L45" i="15"/>
  <c r="D45" i="39" s="1"/>
  <c r="F45" i="15"/>
  <c r="L49" i="15"/>
  <c r="D49" i="39" s="1"/>
  <c r="F49" i="15"/>
  <c r="AE646" i="44"/>
  <c r="AG91" i="25"/>
  <c r="E82" i="40"/>
  <c r="F36" i="35"/>
  <c r="H32" i="35"/>
  <c r="L32" i="15"/>
  <c r="F32" i="15"/>
  <c r="F36" i="15" s="1"/>
  <c r="H36" i="15"/>
  <c r="G82" i="14"/>
  <c r="M70" i="15"/>
  <c r="I72" i="15"/>
  <c r="G70" i="15"/>
  <c r="G72" i="15" s="1"/>
  <c r="G61" i="40"/>
  <c r="I59" i="40"/>
  <c r="I61" i="40" s="1"/>
  <c r="G54" i="41"/>
  <c r="E56" i="29"/>
  <c r="D24" i="22"/>
  <c r="F19" i="34"/>
  <c r="M36" i="8"/>
  <c r="E32" i="32"/>
  <c r="E36" i="32" s="1"/>
  <c r="F11" i="12"/>
  <c r="L11" i="12"/>
  <c r="H16" i="12"/>
  <c r="M32" i="12"/>
  <c r="I36" i="12"/>
  <c r="G32" i="12"/>
  <c r="H72" i="24"/>
  <c r="D70" i="24"/>
  <c r="F74" i="12"/>
  <c r="L74" i="12"/>
  <c r="D74" i="36" s="1"/>
  <c r="H74" i="36" s="1"/>
  <c r="G82" i="9"/>
  <c r="G91" i="9" s="1"/>
  <c r="L33" i="12"/>
  <c r="D33" i="36" s="1"/>
  <c r="H33" i="36" s="1"/>
  <c r="F33" i="12"/>
  <c r="AC42" i="24"/>
  <c r="AC43" i="24" s="1"/>
  <c r="O36" i="24"/>
  <c r="L89" i="9"/>
  <c r="D29" i="21"/>
  <c r="F27" i="33"/>
  <c r="F24" i="11"/>
  <c r="F82" i="11" s="1"/>
  <c r="I78" i="43"/>
  <c r="G78" i="5"/>
  <c r="I78" i="5" s="1"/>
  <c r="H82" i="21"/>
  <c r="L16" i="11"/>
  <c r="D11" i="35"/>
  <c r="D16" i="35" s="1"/>
  <c r="E74" i="24"/>
  <c r="G74" i="36" s="1"/>
  <c r="I74" i="36" s="1"/>
  <c r="D29" i="23"/>
  <c r="F27" i="35"/>
  <c r="M36" i="18"/>
  <c r="E32" i="42"/>
  <c r="M16" i="11"/>
  <c r="E12" i="35"/>
  <c r="E16" i="35" s="1"/>
  <c r="I75" i="36"/>
  <c r="M49" i="15"/>
  <c r="E49" i="39" s="1"/>
  <c r="I49" i="39" s="1"/>
  <c r="G49" i="15"/>
  <c r="I51" i="39"/>
  <c r="E42" i="30"/>
  <c r="E43" i="30" s="1"/>
  <c r="G40" i="42"/>
  <c r="F87" i="33"/>
  <c r="D89" i="21"/>
  <c r="K24" i="24"/>
  <c r="M75" i="15"/>
  <c r="E75" i="39" s="1"/>
  <c r="I75" i="39" s="1"/>
  <c r="G75" i="15"/>
  <c r="Q29" i="27"/>
  <c r="G45" i="5"/>
  <c r="I45" i="5" s="1"/>
  <c r="E70" i="42"/>
  <c r="M72" i="18"/>
  <c r="AK648" i="44"/>
  <c r="AM91" i="27"/>
  <c r="G54" i="37"/>
  <c r="E56" i="25"/>
  <c r="I47" i="37"/>
  <c r="F82" i="14"/>
  <c r="I56" i="27"/>
  <c r="E72" i="25"/>
  <c r="E56" i="22"/>
  <c r="G54" i="34"/>
  <c r="G70" i="41"/>
  <c r="E72" i="29"/>
  <c r="F78" i="12"/>
  <c r="L78" i="12"/>
  <c r="D78" i="36" s="1"/>
  <c r="H78" i="36" s="1"/>
  <c r="L13" i="12"/>
  <c r="D13" i="36" s="1"/>
  <c r="F13" i="12"/>
  <c r="L45" i="12"/>
  <c r="D45" i="36" s="1"/>
  <c r="F45" i="12"/>
  <c r="F82" i="8"/>
  <c r="S82" i="21"/>
  <c r="V16" i="24"/>
  <c r="H86" i="33"/>
  <c r="F80" i="5"/>
  <c r="H80" i="5" s="1"/>
  <c r="H80" i="43"/>
  <c r="D24" i="30"/>
  <c r="M36" i="24"/>
  <c r="G36" i="18"/>
  <c r="G82" i="18" s="1"/>
  <c r="E82" i="7"/>
  <c r="D12" i="27"/>
  <c r="F12" i="39" s="1"/>
  <c r="H12" i="39" s="1"/>
  <c r="F61" i="42"/>
  <c r="H59" i="42"/>
  <c r="H61" i="42" s="1"/>
  <c r="AM651" i="44"/>
  <c r="AO91" i="31"/>
  <c r="G56" i="42"/>
  <c r="M86" i="15"/>
  <c r="E86" i="37"/>
  <c r="M89" i="13"/>
  <c r="B18" i="4" s="1"/>
  <c r="D18" i="4" s="1"/>
  <c r="Y42" i="27"/>
  <c r="Y43" i="27" s="1"/>
  <c r="M66" i="13"/>
  <c r="E64" i="37"/>
  <c r="E66" i="37" s="1"/>
  <c r="M23" i="15"/>
  <c r="E23" i="39" s="1"/>
  <c r="I23" i="39" s="1"/>
  <c r="G23" i="15"/>
  <c r="G24" i="15" s="1"/>
  <c r="D61" i="25"/>
  <c r="F59" i="37"/>
  <c r="L16" i="13"/>
  <c r="I82" i="16"/>
  <c r="I91" i="16" s="1"/>
  <c r="L15" i="15"/>
  <c r="D15" i="39" s="1"/>
  <c r="F15" i="15"/>
  <c r="L646" i="44"/>
  <c r="N91" i="25"/>
  <c r="G66" i="38"/>
  <c r="I21" i="34"/>
  <c r="E36" i="29"/>
  <c r="G32" i="41"/>
  <c r="D56" i="22"/>
  <c r="F54" i="34"/>
  <c r="F66" i="41"/>
  <c r="H64" i="41"/>
  <c r="H66" i="41" s="1"/>
  <c r="G32" i="34"/>
  <c r="E36" i="22"/>
  <c r="I64" i="41"/>
  <c r="I66" i="41" s="1"/>
  <c r="G66" i="41"/>
  <c r="N24" i="24"/>
  <c r="W24" i="24"/>
  <c r="F51" i="12"/>
  <c r="L51" i="12"/>
  <c r="D51" i="36" s="1"/>
  <c r="H51" i="36" s="1"/>
  <c r="AC16" i="24"/>
  <c r="AC82" i="24" s="1"/>
  <c r="AI36" i="24"/>
  <c r="AD82" i="21"/>
  <c r="E55" i="24"/>
  <c r="G55" i="36" s="1"/>
  <c r="I55" i="36" s="1"/>
  <c r="O651" i="44"/>
  <c r="Q91" i="31"/>
  <c r="L16" i="24"/>
  <c r="G24" i="19"/>
  <c r="L16" i="19"/>
  <c r="L82" i="19" s="1"/>
  <c r="L91" i="19" s="1"/>
  <c r="E19" i="27"/>
  <c r="L16" i="18"/>
  <c r="H71" i="43"/>
  <c r="F71" i="5"/>
  <c r="H71" i="5" s="1"/>
  <c r="Z24" i="27"/>
  <c r="AI646" i="44"/>
  <c r="AK91" i="25"/>
  <c r="I81" i="42"/>
  <c r="I59" i="35"/>
  <c r="I61" i="35" s="1"/>
  <c r="G61" i="35"/>
  <c r="I29" i="42"/>
  <c r="E33" i="43"/>
  <c r="M36" i="19"/>
  <c r="H32" i="42"/>
  <c r="F36" i="42"/>
  <c r="L81" i="15"/>
  <c r="D81" i="39" s="1"/>
  <c r="H81" i="39" s="1"/>
  <c r="F81" i="15"/>
  <c r="F12" i="34"/>
  <c r="F12" i="5" s="1"/>
  <c r="D16" i="22"/>
  <c r="D29" i="22"/>
  <c r="F27" i="34"/>
  <c r="G24" i="10"/>
  <c r="F24" i="10"/>
  <c r="G27" i="34"/>
  <c r="E29" i="22"/>
  <c r="M16" i="17"/>
  <c r="M82" i="17" s="1"/>
  <c r="B23" i="4" s="1"/>
  <c r="D24" i="20"/>
  <c r="F19" i="32"/>
  <c r="H11" i="41"/>
  <c r="H16" i="41" s="1"/>
  <c r="F16" i="41"/>
  <c r="X82" i="20"/>
  <c r="V641" i="44" s="1"/>
  <c r="Y82" i="20"/>
  <c r="W641" i="44" s="1"/>
  <c r="H81" i="34"/>
  <c r="W82" i="20"/>
  <c r="U641" i="44" s="1"/>
  <c r="Z82" i="20"/>
  <c r="X641" i="44" s="1"/>
  <c r="L61" i="8"/>
  <c r="D59" i="32"/>
  <c r="D61" i="32" s="1"/>
  <c r="D29" i="20"/>
  <c r="F27" i="32"/>
  <c r="H74" i="32"/>
  <c r="F74" i="5"/>
  <c r="H74" i="5" s="1"/>
  <c r="E32" i="24"/>
  <c r="AL82" i="24"/>
  <c r="AK645" i="44"/>
  <c r="AM91" i="24"/>
  <c r="AN82" i="24"/>
  <c r="M21" i="12"/>
  <c r="E21" i="36" s="1"/>
  <c r="G21" i="12"/>
  <c r="G23" i="12"/>
  <c r="M23" i="12"/>
  <c r="E23" i="36" s="1"/>
  <c r="I23" i="36" s="1"/>
  <c r="H16" i="24"/>
  <c r="H82" i="24" s="1"/>
  <c r="D11" i="24"/>
  <c r="L56" i="24"/>
  <c r="L55" i="12"/>
  <c r="D55" i="36" s="1"/>
  <c r="H55" i="36" s="1"/>
  <c r="F55" i="12"/>
  <c r="M24" i="24"/>
  <c r="G39" i="12"/>
  <c r="M39" i="12"/>
  <c r="E39" i="36" s="1"/>
  <c r="Z16" i="24"/>
  <c r="V42" i="24"/>
  <c r="V43" i="24" s="1"/>
  <c r="D47" i="24"/>
  <c r="F47" i="36" s="1"/>
  <c r="E73" i="24"/>
  <c r="G73" i="36" s="1"/>
  <c r="I73" i="36" s="1"/>
  <c r="L81" i="12"/>
  <c r="D81" i="36" s="1"/>
  <c r="F81" i="12"/>
  <c r="W42" i="24"/>
  <c r="W43" i="24" s="1"/>
  <c r="E47" i="24"/>
  <c r="G47" i="36" s="1"/>
  <c r="AF36" i="24"/>
  <c r="U72" i="24"/>
  <c r="D70" i="33"/>
  <c r="D72" i="33" s="1"/>
  <c r="L72" i="9"/>
  <c r="D28" i="24"/>
  <c r="F28" i="36" s="1"/>
  <c r="H28" i="36" s="1"/>
  <c r="AA36" i="24"/>
  <c r="N72" i="24"/>
  <c r="E33" i="33"/>
  <c r="E36" i="33" s="1"/>
  <c r="M36" i="9"/>
  <c r="I22" i="33"/>
  <c r="M29" i="24"/>
  <c r="T36" i="24"/>
  <c r="M42" i="24"/>
  <c r="M43" i="24" s="1"/>
  <c r="L36" i="9"/>
  <c r="D32" i="33"/>
  <c r="D36" i="33" s="1"/>
  <c r="M16" i="24"/>
  <c r="M82" i="24" s="1"/>
  <c r="Y24" i="24"/>
  <c r="Y82" i="24" s="1"/>
  <c r="F59" i="33"/>
  <c r="D61" i="21"/>
  <c r="D73" i="24"/>
  <c r="F73" i="36" s="1"/>
  <c r="H73" i="36" s="1"/>
  <c r="I56" i="24"/>
  <c r="T72" i="24"/>
  <c r="D56" i="23"/>
  <c r="F54" i="35"/>
  <c r="M71" i="12"/>
  <c r="E71" i="36" s="1"/>
  <c r="I71" i="36" s="1"/>
  <c r="G71" i="12"/>
  <c r="M82" i="23"/>
  <c r="K643" i="44" s="1"/>
  <c r="I79" i="32"/>
  <c r="G45" i="12"/>
  <c r="M45" i="12"/>
  <c r="E45" i="36" s="1"/>
  <c r="E34" i="24"/>
  <c r="G34" i="36" s="1"/>
  <c r="I34" i="36" s="1"/>
  <c r="H45" i="35"/>
  <c r="D56" i="31"/>
  <c r="F54" i="43"/>
  <c r="F55" i="42"/>
  <c r="D56" i="30"/>
  <c r="L75" i="12"/>
  <c r="D75" i="36" s="1"/>
  <c r="H75" i="36" s="1"/>
  <c r="F75" i="12"/>
  <c r="H82" i="11"/>
  <c r="AB82" i="21"/>
  <c r="I71" i="33"/>
  <c r="H33" i="43"/>
  <c r="G29" i="9"/>
  <c r="I42" i="24"/>
  <c r="I43" i="24" s="1"/>
  <c r="AH651" i="44"/>
  <c r="AJ91" i="31"/>
  <c r="E11" i="42"/>
  <c r="M16" i="18"/>
  <c r="D36" i="42"/>
  <c r="D32" i="5"/>
  <c r="M66" i="18"/>
  <c r="E64" i="42"/>
  <c r="E76" i="5"/>
  <c r="E74" i="5"/>
  <c r="I78" i="42"/>
  <c r="Q651" i="44"/>
  <c r="S91" i="31"/>
  <c r="L24" i="18"/>
  <c r="D19" i="42"/>
  <c r="O42" i="24"/>
  <c r="O43" i="24" s="1"/>
  <c r="G82" i="25"/>
  <c r="H35" i="43"/>
  <c r="F35" i="5"/>
  <c r="G16" i="13"/>
  <c r="G82" i="13" s="1"/>
  <c r="G91" i="13" s="1"/>
  <c r="M39" i="15"/>
  <c r="E39" i="39" s="1"/>
  <c r="G39" i="15"/>
  <c r="O36" i="27"/>
  <c r="F70" i="33"/>
  <c r="D72" i="21"/>
  <c r="I35" i="43"/>
  <c r="G35" i="5"/>
  <c r="I35" i="5" s="1"/>
  <c r="E29" i="42"/>
  <c r="K82" i="15"/>
  <c r="K91" i="15" s="1"/>
  <c r="L11" i="15"/>
  <c r="F11" i="15"/>
  <c r="H16" i="15"/>
  <c r="M51" i="15"/>
  <c r="E51" i="39" s="1"/>
  <c r="G51" i="15"/>
  <c r="O16" i="27"/>
  <c r="O82" i="27" s="1"/>
  <c r="S82" i="25"/>
  <c r="U82" i="25"/>
  <c r="K24" i="27"/>
  <c r="AF24" i="24"/>
  <c r="AF82" i="24" s="1"/>
  <c r="R42" i="24"/>
  <c r="R43" i="24" s="1"/>
  <c r="D61" i="42"/>
  <c r="E72" i="21"/>
  <c r="G70" i="33"/>
  <c r="H32" i="43"/>
  <c r="F36" i="43"/>
  <c r="I59" i="42"/>
  <c r="I61" i="42" s="1"/>
  <c r="F82" i="27"/>
  <c r="L74" i="15"/>
  <c r="D74" i="39" s="1"/>
  <c r="H74" i="39" s="1"/>
  <c r="F74" i="15"/>
  <c r="P16" i="27"/>
  <c r="P82" i="27" s="1"/>
  <c r="T72" i="27"/>
  <c r="Z42" i="24"/>
  <c r="Z43" i="24" s="1"/>
  <c r="E56" i="31"/>
  <c r="G54" i="43"/>
  <c r="G49" i="5"/>
  <c r="I49" i="5" s="1"/>
  <c r="AE16" i="24"/>
  <c r="AE82" i="24" s="1"/>
  <c r="I60" i="42"/>
  <c r="M59" i="15"/>
  <c r="G59" i="15"/>
  <c r="G61" i="15" s="1"/>
  <c r="I61" i="15"/>
  <c r="AA16" i="27"/>
  <c r="AA82" i="27" s="1"/>
  <c r="E24" i="25"/>
  <c r="G19" i="37"/>
  <c r="I41" i="43"/>
  <c r="G41" i="5"/>
  <c r="I41" i="5" s="1"/>
  <c r="D73" i="5"/>
  <c r="AG24" i="24"/>
  <c r="I16" i="15"/>
  <c r="I36" i="27"/>
  <c r="F27" i="37"/>
  <c r="D29" i="25"/>
  <c r="F11" i="40"/>
  <c r="D16" i="28"/>
  <c r="F32" i="37"/>
  <c r="D36" i="25"/>
  <c r="G27" i="37"/>
  <c r="E29" i="25"/>
  <c r="I22" i="40"/>
  <c r="AB82" i="25"/>
  <c r="I76" i="38"/>
  <c r="AC36" i="27"/>
  <c r="AC82" i="27" s="1"/>
  <c r="F36" i="16"/>
  <c r="H22" i="42"/>
  <c r="AD36" i="27"/>
  <c r="E56" i="38"/>
  <c r="M24" i="14"/>
  <c r="F15" i="5"/>
  <c r="D86" i="27"/>
  <c r="F89" i="27"/>
  <c r="L64" i="15"/>
  <c r="H66" i="15"/>
  <c r="F64" i="15"/>
  <c r="F66" i="15" s="1"/>
  <c r="F24" i="13"/>
  <c r="R43" i="27"/>
  <c r="G16" i="24"/>
  <c r="G82" i="24" s="1"/>
  <c r="G91" i="24" s="1"/>
  <c r="E12" i="24"/>
  <c r="G12" i="36" s="1"/>
  <c r="I12" i="36" s="1"/>
  <c r="D36" i="23"/>
  <c r="F36" i="13"/>
  <c r="I33" i="37"/>
  <c r="D47" i="27"/>
  <c r="F47" i="39" s="1"/>
  <c r="H47" i="39" s="1"/>
  <c r="P66" i="27"/>
  <c r="I75" i="37"/>
  <c r="I12" i="38"/>
  <c r="D82" i="38"/>
  <c r="AA82" i="28"/>
  <c r="Y649" i="44" s="1"/>
  <c r="E56" i="28"/>
  <c r="G54" i="40"/>
  <c r="D72" i="28"/>
  <c r="F70" i="40"/>
  <c r="L60" i="15"/>
  <c r="D60" i="39" s="1"/>
  <c r="H60" i="39" s="1"/>
  <c r="F60" i="15"/>
  <c r="G36" i="14"/>
  <c r="I41" i="38"/>
  <c r="M72" i="14"/>
  <c r="I20" i="38"/>
  <c r="D72" i="26"/>
  <c r="H66" i="38"/>
  <c r="D56" i="28"/>
  <c r="AD648" i="44" l="1"/>
  <c r="AF91" i="27"/>
  <c r="Q648" i="44"/>
  <c r="S91" i="27"/>
  <c r="K648" i="44"/>
  <c r="M91" i="27"/>
  <c r="V645" i="44"/>
  <c r="X91" i="24"/>
  <c r="O645" i="44"/>
  <c r="Q91" i="24"/>
  <c r="S648" i="44"/>
  <c r="U91" i="27"/>
  <c r="F36" i="5"/>
  <c r="H32" i="5"/>
  <c r="H36" i="5" s="1"/>
  <c r="H648" i="44"/>
  <c r="J91" i="27"/>
  <c r="L648" i="44"/>
  <c r="N91" i="27"/>
  <c r="F24" i="5"/>
  <c r="AD645" i="44"/>
  <c r="AF91" i="24"/>
  <c r="AC648" i="44"/>
  <c r="AE91" i="27"/>
  <c r="Y645" i="44"/>
  <c r="AA91" i="24"/>
  <c r="Z648" i="44"/>
  <c r="AB91" i="27"/>
  <c r="G82" i="15"/>
  <c r="G91" i="15" s="1"/>
  <c r="W645" i="44"/>
  <c r="Y91" i="24"/>
  <c r="AA648" i="44"/>
  <c r="AC91" i="27"/>
  <c r="B19" i="4"/>
  <c r="M91" i="16"/>
  <c r="N645" i="44"/>
  <c r="P91" i="24"/>
  <c r="G648" i="44"/>
  <c r="I91" i="27"/>
  <c r="S645" i="44"/>
  <c r="U91" i="24"/>
  <c r="F61" i="33"/>
  <c r="H59" i="33"/>
  <c r="H61" i="33" s="1"/>
  <c r="G42" i="42"/>
  <c r="G43" i="42" s="1"/>
  <c r="G82" i="42" s="1"/>
  <c r="G40" i="5"/>
  <c r="I40" i="42"/>
  <c r="I42" i="42" s="1"/>
  <c r="I43" i="42" s="1"/>
  <c r="E36" i="42"/>
  <c r="E32" i="5"/>
  <c r="I32" i="42"/>
  <c r="I36" i="42" s="1"/>
  <c r="H40" i="40"/>
  <c r="H42" i="40" s="1"/>
  <c r="H43" i="40" s="1"/>
  <c r="F42" i="40"/>
  <c r="F43" i="40" s="1"/>
  <c r="F648" i="44"/>
  <c r="H91" i="27"/>
  <c r="E29" i="33"/>
  <c r="E27" i="5"/>
  <c r="E29" i="5" s="1"/>
  <c r="F56" i="33"/>
  <c r="H54" i="33"/>
  <c r="H56" i="33" s="1"/>
  <c r="G56" i="39"/>
  <c r="I54" i="39"/>
  <c r="I56" i="39" s="1"/>
  <c r="H86" i="37"/>
  <c r="H89" i="37" s="1"/>
  <c r="F89" i="37"/>
  <c r="E72" i="27"/>
  <c r="G70" i="39"/>
  <c r="I40" i="32"/>
  <c r="I42" i="32" s="1"/>
  <c r="I43" i="32" s="1"/>
  <c r="G42" i="32"/>
  <c r="G43" i="32" s="1"/>
  <c r="P648" i="44"/>
  <c r="R91" i="27"/>
  <c r="F82" i="42"/>
  <c r="F36" i="12"/>
  <c r="I54" i="40"/>
  <c r="I56" i="40" s="1"/>
  <c r="G56" i="40"/>
  <c r="I27" i="37"/>
  <c r="I29" i="37" s="1"/>
  <c r="G29" i="37"/>
  <c r="AJ645" i="44"/>
  <c r="AL91" i="24"/>
  <c r="D82" i="22"/>
  <c r="V82" i="24"/>
  <c r="K82" i="27"/>
  <c r="L61" i="12"/>
  <c r="D59" i="36"/>
  <c r="D61" i="36" s="1"/>
  <c r="F42" i="34"/>
  <c r="F43" i="34" s="1"/>
  <c r="H40" i="34"/>
  <c r="H42" i="34" s="1"/>
  <c r="H43" i="34" s="1"/>
  <c r="D29" i="27"/>
  <c r="F27" i="39"/>
  <c r="G72" i="12"/>
  <c r="I11" i="35"/>
  <c r="G16" i="35"/>
  <c r="D29" i="24"/>
  <c r="F27" i="36"/>
  <c r="J642" i="44"/>
  <c r="L91" i="21"/>
  <c r="D88" i="5"/>
  <c r="H88" i="5" s="1"/>
  <c r="H88" i="33"/>
  <c r="W648" i="44"/>
  <c r="Y91" i="27"/>
  <c r="F89" i="36"/>
  <c r="H86" i="36"/>
  <c r="H89" i="36" s="1"/>
  <c r="I47" i="36"/>
  <c r="F29" i="35"/>
  <c r="H27" i="35"/>
  <c r="H29" i="35" s="1"/>
  <c r="G43" i="15"/>
  <c r="F42" i="32"/>
  <c r="F43" i="32" s="1"/>
  <c r="H40" i="32"/>
  <c r="H42" i="32" s="1"/>
  <c r="H43" i="32" s="1"/>
  <c r="E29" i="27"/>
  <c r="G27" i="39"/>
  <c r="L72" i="12"/>
  <c r="D70" i="36"/>
  <c r="D72" i="36" s="1"/>
  <c r="D12" i="5"/>
  <c r="D16" i="5" s="1"/>
  <c r="D16" i="33"/>
  <c r="D82" i="33" s="1"/>
  <c r="G89" i="33"/>
  <c r="I86" i="33"/>
  <c r="I89" i="33" s="1"/>
  <c r="G86" i="5"/>
  <c r="G24" i="35"/>
  <c r="I19" i="35"/>
  <c r="I24" i="35" s="1"/>
  <c r="M648" i="44"/>
  <c r="O91" i="27"/>
  <c r="L82" i="18"/>
  <c r="D40" i="5"/>
  <c r="D42" i="5" s="1"/>
  <c r="D43" i="5" s="1"/>
  <c r="L89" i="12"/>
  <c r="M72" i="12"/>
  <c r="E70" i="36"/>
  <c r="E72" i="36" s="1"/>
  <c r="I40" i="33"/>
  <c r="I42" i="33" s="1"/>
  <c r="I43" i="33" s="1"/>
  <c r="G42" i="33"/>
  <c r="G43" i="33" s="1"/>
  <c r="I64" i="34"/>
  <c r="I66" i="34" s="1"/>
  <c r="K82" i="24"/>
  <c r="I27" i="35"/>
  <c r="I29" i="35" s="1"/>
  <c r="G29" i="35"/>
  <c r="I41" i="36"/>
  <c r="G42" i="37"/>
  <c r="G43" i="37" s="1"/>
  <c r="I40" i="37"/>
  <c r="I42" i="37" s="1"/>
  <c r="I43" i="37" s="1"/>
  <c r="M61" i="12"/>
  <c r="E59" i="36"/>
  <c r="E61" i="36" s="1"/>
  <c r="D86" i="5"/>
  <c r="D89" i="43"/>
  <c r="L42" i="15"/>
  <c r="L43" i="15" s="1"/>
  <c r="D40" i="39"/>
  <c r="D42" i="39" s="1"/>
  <c r="D43" i="39" s="1"/>
  <c r="M42" i="15"/>
  <c r="M43" i="15" s="1"/>
  <c r="H40" i="35"/>
  <c r="H42" i="35" s="1"/>
  <c r="H43" i="35" s="1"/>
  <c r="F42" i="35"/>
  <c r="F43" i="35" s="1"/>
  <c r="I59" i="43"/>
  <c r="I61" i="43" s="1"/>
  <c r="G61" i="43"/>
  <c r="G59" i="5"/>
  <c r="AG82" i="24"/>
  <c r="G42" i="12"/>
  <c r="G43" i="12" s="1"/>
  <c r="L56" i="12"/>
  <c r="D54" i="36"/>
  <c r="D56" i="36" s="1"/>
  <c r="I59" i="38"/>
  <c r="I61" i="38" s="1"/>
  <c r="G61" i="38"/>
  <c r="E89" i="24"/>
  <c r="G86" i="36"/>
  <c r="E82" i="34"/>
  <c r="V82" i="27"/>
  <c r="G24" i="34"/>
  <c r="I19" i="34"/>
  <c r="I24" i="34" s="1"/>
  <c r="AB646" i="44"/>
  <c r="AD91" i="25"/>
  <c r="AF648" i="44"/>
  <c r="AH91" i="27"/>
  <c r="D89" i="27"/>
  <c r="F86" i="39"/>
  <c r="D82" i="28"/>
  <c r="I27" i="34"/>
  <c r="I29" i="34" s="1"/>
  <c r="G29" i="34"/>
  <c r="E24" i="27"/>
  <c r="G19" i="39"/>
  <c r="I32" i="41"/>
  <c r="I36" i="41" s="1"/>
  <c r="G36" i="41"/>
  <c r="E34" i="5"/>
  <c r="I34" i="5" s="1"/>
  <c r="G56" i="34"/>
  <c r="I54" i="34"/>
  <c r="I56" i="34" s="1"/>
  <c r="G56" i="37"/>
  <c r="I54" i="37"/>
  <c r="I56" i="37" s="1"/>
  <c r="F16" i="12"/>
  <c r="F21" i="4"/>
  <c r="G91" i="31"/>
  <c r="I82" i="12"/>
  <c r="I91" i="12" s="1"/>
  <c r="M36" i="15"/>
  <c r="E32" i="39"/>
  <c r="E36" i="39" s="1"/>
  <c r="I60" i="5"/>
  <c r="E82" i="25"/>
  <c r="H41" i="42"/>
  <c r="H42" i="42" s="1"/>
  <c r="H43" i="42" s="1"/>
  <c r="F41" i="5"/>
  <c r="H41" i="5" s="1"/>
  <c r="F42" i="42"/>
  <c r="F43" i="42" s="1"/>
  <c r="R82" i="24"/>
  <c r="H19" i="41"/>
  <c r="H24" i="41" s="1"/>
  <c r="F24" i="41"/>
  <c r="E82" i="22"/>
  <c r="L61" i="15"/>
  <c r="D59" i="39"/>
  <c r="D61" i="39" s="1"/>
  <c r="I36" i="37"/>
  <c r="D89" i="36"/>
  <c r="I19" i="32"/>
  <c r="I24" i="32" s="1"/>
  <c r="G24" i="32"/>
  <c r="E36" i="38"/>
  <c r="E82" i="38" s="1"/>
  <c r="I32" i="38"/>
  <c r="I36" i="38" s="1"/>
  <c r="M82" i="14"/>
  <c r="B17" i="4" s="1"/>
  <c r="W82" i="24"/>
  <c r="K646" i="44"/>
  <c r="M91" i="25"/>
  <c r="E59" i="5"/>
  <c r="E61" i="5" s="1"/>
  <c r="G20" i="5"/>
  <c r="I20" i="5" s="1"/>
  <c r="H32" i="33"/>
  <c r="H36" i="33" s="1"/>
  <c r="F36" i="33"/>
  <c r="D82" i="20"/>
  <c r="F42" i="12"/>
  <c r="F43" i="12" s="1"/>
  <c r="D72" i="43"/>
  <c r="D70" i="5"/>
  <c r="D72" i="5" s="1"/>
  <c r="I21" i="36"/>
  <c r="G61" i="12"/>
  <c r="G72" i="40"/>
  <c r="I70" i="40"/>
  <c r="I72" i="40" s="1"/>
  <c r="H22" i="36"/>
  <c r="I80" i="36"/>
  <c r="I78" i="36"/>
  <c r="H59" i="34"/>
  <c r="H61" i="34" s="1"/>
  <c r="F61" i="34"/>
  <c r="H28" i="40"/>
  <c r="F29" i="40"/>
  <c r="I70" i="38"/>
  <c r="I72" i="38" s="1"/>
  <c r="G72" i="38"/>
  <c r="O82" i="24"/>
  <c r="H64" i="34"/>
  <c r="H66" i="34" s="1"/>
  <c r="M82" i="10"/>
  <c r="I27" i="38"/>
  <c r="I29" i="38" s="1"/>
  <c r="G29" i="38"/>
  <c r="M66" i="15"/>
  <c r="E64" i="39"/>
  <c r="E66" i="39" s="1"/>
  <c r="F24" i="15"/>
  <c r="I27" i="43"/>
  <c r="I29" i="43" s="1"/>
  <c r="G29" i="43"/>
  <c r="G27" i="5"/>
  <c r="E12" i="5"/>
  <c r="L16" i="15"/>
  <c r="D11" i="39"/>
  <c r="D16" i="39" s="1"/>
  <c r="D16" i="24"/>
  <c r="F11" i="36"/>
  <c r="M89" i="15"/>
  <c r="E86" i="39"/>
  <c r="E89" i="39" s="1"/>
  <c r="G16" i="40"/>
  <c r="I11" i="40"/>
  <c r="I16" i="40" s="1"/>
  <c r="F40" i="39"/>
  <c r="D42" i="27"/>
  <c r="D43" i="27" s="1"/>
  <c r="E82" i="33"/>
  <c r="E91" i="33" s="1"/>
  <c r="E94" i="36" s="1"/>
  <c r="G29" i="41"/>
  <c r="I27" i="41"/>
  <c r="I29" i="41" s="1"/>
  <c r="G72" i="35"/>
  <c r="I70" i="35"/>
  <c r="I72" i="35" s="1"/>
  <c r="G61" i="33"/>
  <c r="I59" i="33"/>
  <c r="I61" i="33" s="1"/>
  <c r="D24" i="37"/>
  <c r="D82" i="37" s="1"/>
  <c r="H19" i="37"/>
  <c r="H24" i="37" s="1"/>
  <c r="G56" i="38"/>
  <c r="I54" i="38"/>
  <c r="I56" i="38" s="1"/>
  <c r="AI642" i="44"/>
  <c r="AK91" i="21"/>
  <c r="L24" i="12"/>
  <c r="D19" i="36"/>
  <c r="D24" i="36" s="1"/>
  <c r="AG645" i="44"/>
  <c r="AI91" i="24"/>
  <c r="I82" i="15"/>
  <c r="I91" i="15" s="1"/>
  <c r="H36" i="43"/>
  <c r="Z82" i="24"/>
  <c r="M72" i="15"/>
  <c r="E70" i="39"/>
  <c r="E72" i="39" s="1"/>
  <c r="B16" i="4"/>
  <c r="M91" i="13"/>
  <c r="M85" i="13"/>
  <c r="D64" i="5"/>
  <c r="D66" i="5" s="1"/>
  <c r="I64" i="39"/>
  <c r="I66" i="39" s="1"/>
  <c r="G66" i="39"/>
  <c r="G61" i="41"/>
  <c r="I59" i="41"/>
  <c r="I61" i="41" s="1"/>
  <c r="O648" i="44"/>
  <c r="Q91" i="27"/>
  <c r="M82" i="18"/>
  <c r="B20" i="4" s="1"/>
  <c r="F56" i="35"/>
  <c r="H54" i="35"/>
  <c r="H56" i="35" s="1"/>
  <c r="F25" i="4"/>
  <c r="E91" i="7"/>
  <c r="I80" i="5"/>
  <c r="AC642" i="44"/>
  <c r="AE91" i="21"/>
  <c r="E61" i="24"/>
  <c r="G59" i="36"/>
  <c r="G11" i="36"/>
  <c r="E16" i="24"/>
  <c r="Y646" i="44"/>
  <c r="AA91" i="25"/>
  <c r="F66" i="36"/>
  <c r="H64" i="36"/>
  <c r="H66" i="36" s="1"/>
  <c r="H70" i="35"/>
  <c r="H72" i="35" s="1"/>
  <c r="H19" i="43"/>
  <c r="H24" i="43" s="1"/>
  <c r="F24" i="43"/>
  <c r="D29" i="40"/>
  <c r="D82" i="40" s="1"/>
  <c r="H27" i="40"/>
  <c r="H29" i="40" s="1"/>
  <c r="I66" i="35"/>
  <c r="E16" i="42"/>
  <c r="E11" i="5"/>
  <c r="E16" i="5" s="1"/>
  <c r="I11" i="42"/>
  <c r="I16" i="42" s="1"/>
  <c r="I55" i="43"/>
  <c r="G55" i="5"/>
  <c r="I55" i="5" s="1"/>
  <c r="M16" i="12"/>
  <c r="E11" i="36"/>
  <c r="E16" i="36" s="1"/>
  <c r="F29" i="38"/>
  <c r="H27" i="38"/>
  <c r="H29" i="38" s="1"/>
  <c r="T82" i="27"/>
  <c r="G16" i="37"/>
  <c r="I11" i="37"/>
  <c r="I16" i="37" s="1"/>
  <c r="J646" i="44"/>
  <c r="L91" i="25"/>
  <c r="I39" i="39"/>
  <c r="AH82" i="24"/>
  <c r="H11" i="32"/>
  <c r="H16" i="32" s="1"/>
  <c r="F16" i="32"/>
  <c r="H24" i="42"/>
  <c r="F42" i="33"/>
  <c r="F43" i="33" s="1"/>
  <c r="H40" i="33"/>
  <c r="H42" i="33" s="1"/>
  <c r="H43" i="33" s="1"/>
  <c r="H15" i="5"/>
  <c r="H11" i="40"/>
  <c r="H16" i="40" s="1"/>
  <c r="F16" i="40"/>
  <c r="D59" i="5"/>
  <c r="D61" i="5" s="1"/>
  <c r="F16" i="4"/>
  <c r="G91" i="25"/>
  <c r="F29" i="32"/>
  <c r="H27" i="32"/>
  <c r="H29" i="32" s="1"/>
  <c r="AA645" i="44"/>
  <c r="AC91" i="24"/>
  <c r="L82" i="13"/>
  <c r="L91" i="13" s="1"/>
  <c r="D82" i="35"/>
  <c r="D72" i="24"/>
  <c r="F70" i="36"/>
  <c r="L36" i="15"/>
  <c r="D32" i="39"/>
  <c r="D36" i="39" s="1"/>
  <c r="I70" i="32"/>
  <c r="I72" i="32" s="1"/>
  <c r="G72" i="32"/>
  <c r="E24" i="39"/>
  <c r="H23" i="5"/>
  <c r="H54" i="37"/>
  <c r="H56" i="37" s="1"/>
  <c r="F56" i="37"/>
  <c r="F24" i="38"/>
  <c r="F82" i="38" s="1"/>
  <c r="H19" i="38"/>
  <c r="H24" i="38" s="1"/>
  <c r="H82" i="38" s="1"/>
  <c r="M82" i="19"/>
  <c r="G24" i="12"/>
  <c r="H70" i="32"/>
  <c r="H72" i="32" s="1"/>
  <c r="F72" i="32"/>
  <c r="F72" i="15"/>
  <c r="V642" i="44"/>
  <c r="X91" i="21"/>
  <c r="W646" i="44"/>
  <c r="Y91" i="25"/>
  <c r="E72" i="24"/>
  <c r="G70" i="36"/>
  <c r="E24" i="20"/>
  <c r="N82" i="24"/>
  <c r="E42" i="27"/>
  <c r="E43" i="27" s="1"/>
  <c r="G40" i="39"/>
  <c r="H75" i="5"/>
  <c r="X646" i="44"/>
  <c r="Z91" i="25"/>
  <c r="M56" i="15"/>
  <c r="E54" i="39"/>
  <c r="E56" i="39" s="1"/>
  <c r="G24" i="43"/>
  <c r="I19" i="43"/>
  <c r="I24" i="43" s="1"/>
  <c r="G19" i="5"/>
  <c r="D24" i="24"/>
  <c r="F19" i="36"/>
  <c r="F72" i="41"/>
  <c r="H70" i="41"/>
  <c r="H72" i="41" s="1"/>
  <c r="AD82" i="27"/>
  <c r="D36" i="24"/>
  <c r="F32" i="36"/>
  <c r="F61" i="35"/>
  <c r="H59" i="35"/>
  <c r="H61" i="35" s="1"/>
  <c r="D61" i="27"/>
  <c r="F59" i="39"/>
  <c r="D89" i="33"/>
  <c r="I87" i="5"/>
  <c r="E16" i="20"/>
  <c r="E82" i="20" s="1"/>
  <c r="C11" i="4" s="1"/>
  <c r="G11" i="32"/>
  <c r="H76" i="39"/>
  <c r="H78" i="5"/>
  <c r="AD82" i="24"/>
  <c r="I65" i="36"/>
  <c r="L66" i="12"/>
  <c r="D64" i="36"/>
  <c r="D66" i="36" s="1"/>
  <c r="I82" i="24"/>
  <c r="H54" i="32"/>
  <c r="H56" i="32" s="1"/>
  <c r="F56" i="32"/>
  <c r="G82" i="10"/>
  <c r="D29" i="39"/>
  <c r="D82" i="25"/>
  <c r="D91" i="25" s="1"/>
  <c r="H12" i="36"/>
  <c r="H70" i="37"/>
  <c r="H72" i="37" s="1"/>
  <c r="F72" i="37"/>
  <c r="F56" i="15"/>
  <c r="I79" i="5"/>
  <c r="M29" i="12"/>
  <c r="E27" i="36"/>
  <c r="E29" i="36" s="1"/>
  <c r="E29" i="24"/>
  <c r="G27" i="36"/>
  <c r="L24" i="15"/>
  <c r="D19" i="39"/>
  <c r="D24" i="39" s="1"/>
  <c r="I642" i="44"/>
  <c r="K91" i="21"/>
  <c r="H89" i="33"/>
  <c r="E72" i="42"/>
  <c r="E70" i="5"/>
  <c r="E72" i="5" s="1"/>
  <c r="F12" i="4"/>
  <c r="G91" i="21"/>
  <c r="H40" i="37"/>
  <c r="H42" i="37" s="1"/>
  <c r="H43" i="37" s="1"/>
  <c r="F42" i="37"/>
  <c r="F43" i="37" s="1"/>
  <c r="G29" i="40"/>
  <c r="I27" i="40"/>
  <c r="I29" i="40" s="1"/>
  <c r="AF642" i="44"/>
  <c r="AH91" i="21"/>
  <c r="I59" i="34"/>
  <c r="I61" i="34" s="1"/>
  <c r="G61" i="34"/>
  <c r="I19" i="33"/>
  <c r="I24" i="33" s="1"/>
  <c r="G24" i="33"/>
  <c r="G42" i="34"/>
  <c r="G43" i="34" s="1"/>
  <c r="I40" i="34"/>
  <c r="I42" i="34" s="1"/>
  <c r="I43" i="34" s="1"/>
  <c r="E82" i="23"/>
  <c r="G36" i="35"/>
  <c r="I32" i="35"/>
  <c r="H40" i="41"/>
  <c r="H42" i="41" s="1"/>
  <c r="H43" i="41" s="1"/>
  <c r="F42" i="41"/>
  <c r="F43" i="41" s="1"/>
  <c r="S646" i="44"/>
  <c r="U91" i="25"/>
  <c r="F645" i="44"/>
  <c r="H91" i="24"/>
  <c r="V648" i="44"/>
  <c r="X91" i="27"/>
  <c r="Z82" i="27"/>
  <c r="E19" i="5"/>
  <c r="E24" i="5" s="1"/>
  <c r="F66" i="5"/>
  <c r="H64" i="5"/>
  <c r="H66" i="5" s="1"/>
  <c r="E42" i="24"/>
  <c r="E43" i="24" s="1"/>
  <c r="G40" i="36"/>
  <c r="AK646" i="44"/>
  <c r="AM91" i="25"/>
  <c r="L82" i="9"/>
  <c r="L91" i="9" s="1"/>
  <c r="H15" i="4"/>
  <c r="D15" i="4"/>
  <c r="L66" i="15"/>
  <c r="D64" i="39"/>
  <c r="D66" i="39" s="1"/>
  <c r="I70" i="33"/>
  <c r="I72" i="33" s="1"/>
  <c r="G72" i="33"/>
  <c r="K645" i="44"/>
  <c r="M91" i="24"/>
  <c r="F56" i="34"/>
  <c r="H54" i="34"/>
  <c r="H56" i="34" s="1"/>
  <c r="Q642" i="44"/>
  <c r="S91" i="21"/>
  <c r="H82" i="12"/>
  <c r="H91" i="12" s="1"/>
  <c r="I54" i="41"/>
  <c r="I56" i="41" s="1"/>
  <c r="G56" i="41"/>
  <c r="G36" i="33"/>
  <c r="I32" i="33"/>
  <c r="D72" i="27"/>
  <c r="F70" i="39"/>
  <c r="G56" i="33"/>
  <c r="I54" i="33"/>
  <c r="I56" i="33" s="1"/>
  <c r="D82" i="23"/>
  <c r="G54" i="36"/>
  <c r="E56" i="24"/>
  <c r="L42" i="12"/>
  <c r="L43" i="12" s="1"/>
  <c r="D40" i="36"/>
  <c r="D42" i="36" s="1"/>
  <c r="D43" i="36" s="1"/>
  <c r="G16" i="33"/>
  <c r="G82" i="33" s="1"/>
  <c r="G91" i="33" s="1"/>
  <c r="I11" i="33"/>
  <c r="I16" i="33" s="1"/>
  <c r="H54" i="41"/>
  <c r="H56" i="41" s="1"/>
  <c r="F56" i="41"/>
  <c r="E43" i="39"/>
  <c r="L82" i="16"/>
  <c r="L91" i="16" s="1"/>
  <c r="G29" i="32"/>
  <c r="I27" i="32"/>
  <c r="I29" i="32" s="1"/>
  <c r="P642" i="44"/>
  <c r="R91" i="21"/>
  <c r="L36" i="12"/>
  <c r="D32" i="36"/>
  <c r="D36" i="36" s="1"/>
  <c r="F36" i="37"/>
  <c r="H32" i="37"/>
  <c r="H36" i="37" s="1"/>
  <c r="M61" i="15"/>
  <c r="E59" i="39"/>
  <c r="E61" i="39" s="1"/>
  <c r="I70" i="41"/>
  <c r="I72" i="41" s="1"/>
  <c r="G72" i="41"/>
  <c r="D11" i="36"/>
  <c r="D16" i="36" s="1"/>
  <c r="L16" i="12"/>
  <c r="M24" i="12"/>
  <c r="E19" i="36"/>
  <c r="E24" i="36" s="1"/>
  <c r="F72" i="43"/>
  <c r="H70" i="43"/>
  <c r="H72" i="43" s="1"/>
  <c r="F70" i="5"/>
  <c r="Z646" i="44"/>
  <c r="AB91" i="25"/>
  <c r="I19" i="37"/>
  <c r="I24" i="37" s="1"/>
  <c r="G24" i="37"/>
  <c r="F91" i="27"/>
  <c r="H82" i="15"/>
  <c r="H91" i="15" s="1"/>
  <c r="H70" i="33"/>
  <c r="H72" i="33" s="1"/>
  <c r="F72" i="33"/>
  <c r="E66" i="42"/>
  <c r="E64" i="5"/>
  <c r="E66" i="5" s="1"/>
  <c r="I64" i="42"/>
  <c r="I66" i="42" s="1"/>
  <c r="AL645" i="44"/>
  <c r="AN91" i="24"/>
  <c r="H12" i="33"/>
  <c r="H16" i="33" s="1"/>
  <c r="H82" i="33" s="1"/>
  <c r="H91" i="33" s="1"/>
  <c r="G36" i="34"/>
  <c r="I32" i="34"/>
  <c r="I36" i="34" s="1"/>
  <c r="F61" i="37"/>
  <c r="H59" i="37"/>
  <c r="H61" i="37" s="1"/>
  <c r="E82" i="35"/>
  <c r="L82" i="11"/>
  <c r="H36" i="35"/>
  <c r="G29" i="33"/>
  <c r="I27" i="33"/>
  <c r="I29" i="33" s="1"/>
  <c r="M24" i="15"/>
  <c r="D66" i="27"/>
  <c r="F14" i="4"/>
  <c r="G84" i="24"/>
  <c r="H79" i="5"/>
  <c r="I33" i="33"/>
  <c r="AL648" i="44"/>
  <c r="AN91" i="27"/>
  <c r="I11" i="43"/>
  <c r="I16" i="43" s="1"/>
  <c r="G16" i="43"/>
  <c r="G643" i="44"/>
  <c r="I84" i="24"/>
  <c r="T82" i="24"/>
  <c r="L72" i="15"/>
  <c r="D70" i="39"/>
  <c r="D72" i="39" s="1"/>
  <c r="H24" i="40"/>
  <c r="AE648" i="44"/>
  <c r="AG91" i="27"/>
  <c r="F40" i="36"/>
  <c r="D42" i="24"/>
  <c r="D43" i="24" s="1"/>
  <c r="H19" i="39"/>
  <c r="H24" i="39" s="1"/>
  <c r="F24" i="39"/>
  <c r="D61" i="43"/>
  <c r="H59" i="43"/>
  <c r="G16" i="41"/>
  <c r="I11" i="41"/>
  <c r="I16" i="41" s="1"/>
  <c r="H87" i="37"/>
  <c r="D89" i="37"/>
  <c r="I11" i="38"/>
  <c r="I16" i="38" s="1"/>
  <c r="G16" i="38"/>
  <c r="G82" i="38" s="1"/>
  <c r="H59" i="32"/>
  <c r="H61" i="32" s="1"/>
  <c r="F61" i="32"/>
  <c r="D33" i="5"/>
  <c r="D36" i="5" s="1"/>
  <c r="D36" i="43"/>
  <c r="D82" i="43" s="1"/>
  <c r="D91" i="43" s="1"/>
  <c r="H11" i="43"/>
  <c r="H16" i="43" s="1"/>
  <c r="F16" i="43"/>
  <c r="E82" i="30"/>
  <c r="C20" i="4" s="1"/>
  <c r="I34" i="35"/>
  <c r="H73" i="5"/>
  <c r="G42" i="43"/>
  <c r="G43" i="43" s="1"/>
  <c r="I40" i="43"/>
  <c r="I42" i="43" s="1"/>
  <c r="I43" i="43" s="1"/>
  <c r="G42" i="38"/>
  <c r="G43" i="38" s="1"/>
  <c r="I40" i="38"/>
  <c r="I42" i="38" s="1"/>
  <c r="I43" i="38" s="1"/>
  <c r="S642" i="44"/>
  <c r="U91" i="21"/>
  <c r="I32" i="40"/>
  <c r="I36" i="40" s="1"/>
  <c r="G36" i="40"/>
  <c r="G82" i="20"/>
  <c r="F11" i="4" s="1"/>
  <c r="H15" i="39"/>
  <c r="I51" i="36"/>
  <c r="F66" i="12"/>
  <c r="D56" i="24"/>
  <c r="F54" i="36"/>
  <c r="L29" i="15"/>
  <c r="I76" i="36"/>
  <c r="H16" i="42"/>
  <c r="F16" i="37"/>
  <c r="H11" i="37"/>
  <c r="H16" i="37" s="1"/>
  <c r="G29" i="12"/>
  <c r="G82" i="12" s="1"/>
  <c r="G91" i="12" s="1"/>
  <c r="I70" i="37"/>
  <c r="I72" i="37" s="1"/>
  <c r="AK642" i="44"/>
  <c r="AM91" i="21"/>
  <c r="AB82" i="24"/>
  <c r="I54" i="35"/>
  <c r="I56" i="35" s="1"/>
  <c r="G56" i="35"/>
  <c r="Y648" i="44"/>
  <c r="AA91" i="27"/>
  <c r="H54" i="43"/>
  <c r="H56" i="43" s="1"/>
  <c r="F56" i="43"/>
  <c r="F54" i="5"/>
  <c r="F24" i="32"/>
  <c r="H19" i="32"/>
  <c r="H24" i="32" s="1"/>
  <c r="E16" i="27"/>
  <c r="G11" i="39"/>
  <c r="L29" i="12"/>
  <c r="D27" i="36"/>
  <c r="D29" i="36" s="1"/>
  <c r="Q645" i="44"/>
  <c r="S91" i="24"/>
  <c r="D56" i="42"/>
  <c r="D54" i="5"/>
  <c r="D56" i="5" s="1"/>
  <c r="H54" i="42"/>
  <c r="I59" i="32"/>
  <c r="I61" i="32" s="1"/>
  <c r="G61" i="32"/>
  <c r="M29" i="15"/>
  <c r="M82" i="15" s="1"/>
  <c r="M91" i="15" s="1"/>
  <c r="E27" i="39"/>
  <c r="E29" i="39" s="1"/>
  <c r="E82" i="39" s="1"/>
  <c r="E91" i="39" s="1"/>
  <c r="J648" i="44"/>
  <c r="L91" i="27"/>
  <c r="E56" i="42"/>
  <c r="E54" i="5"/>
  <c r="E56" i="5" s="1"/>
  <c r="G36" i="32"/>
  <c r="I32" i="32"/>
  <c r="I36" i="32" s="1"/>
  <c r="D56" i="27"/>
  <c r="F54" i="39"/>
  <c r="I70" i="42"/>
  <c r="I72" i="42" s="1"/>
  <c r="G72" i="42"/>
  <c r="G70" i="5"/>
  <c r="I32" i="39"/>
  <c r="I36" i="39" s="1"/>
  <c r="G36" i="39"/>
  <c r="E33" i="5"/>
  <c r="I33" i="5" s="1"/>
  <c r="E36" i="43"/>
  <c r="E82" i="43" s="1"/>
  <c r="E91" i="43" s="1"/>
  <c r="M36" i="12"/>
  <c r="E32" i="36"/>
  <c r="E36" i="36" s="1"/>
  <c r="D61" i="24"/>
  <c r="F59" i="36"/>
  <c r="H33" i="5"/>
  <c r="H11" i="35"/>
  <c r="H16" i="35" s="1"/>
  <c r="F16" i="35"/>
  <c r="J82" i="24"/>
  <c r="D36" i="27"/>
  <c r="F32" i="39"/>
  <c r="AB651" i="44"/>
  <c r="AD91" i="31"/>
  <c r="I40" i="40"/>
  <c r="I42" i="40" s="1"/>
  <c r="I43" i="40" s="1"/>
  <c r="G42" i="40"/>
  <c r="G43" i="40" s="1"/>
  <c r="F29" i="43"/>
  <c r="F27" i="5"/>
  <c r="H27" i="43"/>
  <c r="H29" i="43" s="1"/>
  <c r="M82" i="8"/>
  <c r="B11" i="4" s="1"/>
  <c r="E61" i="27"/>
  <c r="G59" i="39"/>
  <c r="U642" i="44"/>
  <c r="W91" i="21"/>
  <c r="G24" i="41"/>
  <c r="I19" i="41"/>
  <c r="I24" i="41" s="1"/>
  <c r="AA642" i="44"/>
  <c r="AC91" i="21"/>
  <c r="Q646" i="44"/>
  <c r="S91" i="25"/>
  <c r="Z642" i="44"/>
  <c r="AB91" i="21"/>
  <c r="E36" i="24"/>
  <c r="G32" i="36"/>
  <c r="H12" i="34"/>
  <c r="H16" i="34" s="1"/>
  <c r="H82" i="34" s="1"/>
  <c r="F16" i="34"/>
  <c r="G54" i="5"/>
  <c r="I64" i="36"/>
  <c r="I66" i="36" s="1"/>
  <c r="G66" i="36"/>
  <c r="I54" i="32"/>
  <c r="I56" i="32" s="1"/>
  <c r="G56" i="32"/>
  <c r="E24" i="24"/>
  <c r="G19" i="36"/>
  <c r="M642" i="44"/>
  <c r="O91" i="21"/>
  <c r="I19" i="40"/>
  <c r="I24" i="40" s="1"/>
  <c r="G24" i="40"/>
  <c r="U648" i="44"/>
  <c r="W91" i="27"/>
  <c r="R646" i="44"/>
  <c r="T91" i="25"/>
  <c r="H60" i="43"/>
  <c r="F61" i="43"/>
  <c r="F60" i="5"/>
  <c r="H60" i="5" s="1"/>
  <c r="M42" i="12"/>
  <c r="M43" i="12" s="1"/>
  <c r="E40" i="36"/>
  <c r="E42" i="36" s="1"/>
  <c r="E43" i="36" s="1"/>
  <c r="N646" i="44"/>
  <c r="P91" i="25"/>
  <c r="F36" i="34"/>
  <c r="H32" i="34"/>
  <c r="H36" i="34" s="1"/>
  <c r="N648" i="44"/>
  <c r="P91" i="27"/>
  <c r="H35" i="5"/>
  <c r="AB642" i="44"/>
  <c r="AD91" i="21"/>
  <c r="F29" i="33"/>
  <c r="H27" i="33"/>
  <c r="H29" i="33" s="1"/>
  <c r="G36" i="15"/>
  <c r="I11" i="34"/>
  <c r="I16" i="34" s="1"/>
  <c r="G16" i="34"/>
  <c r="O646" i="44"/>
  <c r="Q91" i="25"/>
  <c r="H27" i="41"/>
  <c r="H29" i="41" s="1"/>
  <c r="F29" i="41"/>
  <c r="F82" i="41" s="1"/>
  <c r="AC645" i="44"/>
  <c r="AE91" i="24"/>
  <c r="F72" i="40"/>
  <c r="H70" i="40"/>
  <c r="H72" i="40" s="1"/>
  <c r="H27" i="37"/>
  <c r="H29" i="37" s="1"/>
  <c r="F29" i="37"/>
  <c r="G56" i="43"/>
  <c r="I54" i="43"/>
  <c r="I56" i="43" s="1"/>
  <c r="F16" i="15"/>
  <c r="D24" i="42"/>
  <c r="D82" i="42" s="1"/>
  <c r="D19" i="5"/>
  <c r="D24" i="5" s="1"/>
  <c r="F56" i="42"/>
  <c r="H55" i="42"/>
  <c r="F55" i="5"/>
  <c r="H55" i="5" s="1"/>
  <c r="H47" i="36"/>
  <c r="H82" i="41"/>
  <c r="H27" i="34"/>
  <c r="H29" i="34" s="1"/>
  <c r="F29" i="34"/>
  <c r="H36" i="42"/>
  <c r="L82" i="24"/>
  <c r="E89" i="37"/>
  <c r="E91" i="37" s="1"/>
  <c r="I86" i="37"/>
  <c r="I89" i="37" s="1"/>
  <c r="E86" i="5"/>
  <c r="E89" i="5" s="1"/>
  <c r="F59" i="5"/>
  <c r="H87" i="33"/>
  <c r="F89" i="33"/>
  <c r="F87" i="5"/>
  <c r="H87" i="5" s="1"/>
  <c r="M82" i="11"/>
  <c r="B14" i="4" s="1"/>
  <c r="F642" i="44"/>
  <c r="H91" i="21"/>
  <c r="G36" i="12"/>
  <c r="F24" i="34"/>
  <c r="H19" i="34"/>
  <c r="H24" i="34" s="1"/>
  <c r="G66" i="5"/>
  <c r="I64" i="5"/>
  <c r="I66" i="5" s="1"/>
  <c r="E82" i="28"/>
  <c r="C19" i="4" s="1"/>
  <c r="F66" i="39"/>
  <c r="H64" i="39"/>
  <c r="H66" i="39" s="1"/>
  <c r="I12" i="35"/>
  <c r="G12" i="5"/>
  <c r="I12" i="5" s="1"/>
  <c r="I21" i="5"/>
  <c r="D16" i="27"/>
  <c r="F11" i="39"/>
  <c r="F82" i="13"/>
  <c r="F91" i="13" s="1"/>
  <c r="E82" i="31"/>
  <c r="AG642" i="44"/>
  <c r="AI91" i="21"/>
  <c r="K642" i="44"/>
  <c r="M91" i="21"/>
  <c r="I45" i="36"/>
  <c r="M82" i="9"/>
  <c r="M91" i="9" s="1"/>
  <c r="D82" i="29"/>
  <c r="F61" i="38"/>
  <c r="H59" i="38"/>
  <c r="H61" i="38" s="1"/>
  <c r="E24" i="21"/>
  <c r="E82" i="21" s="1"/>
  <c r="E91" i="21" s="1"/>
  <c r="H59" i="40"/>
  <c r="H61" i="40" s="1"/>
  <c r="F61" i="40"/>
  <c r="I20" i="36"/>
  <c r="M66" i="12"/>
  <c r="E64" i="36"/>
  <c r="E66" i="36" s="1"/>
  <c r="E82" i="29"/>
  <c r="C23" i="4" s="1"/>
  <c r="D87" i="39"/>
  <c r="L89" i="15"/>
  <c r="E82" i="26"/>
  <c r="C17" i="4" s="1"/>
  <c r="H86" i="43"/>
  <c r="H89" i="43" s="1"/>
  <c r="F89" i="43"/>
  <c r="F86" i="5"/>
  <c r="I40" i="35"/>
  <c r="I42" i="35" s="1"/>
  <c r="I43" i="35" s="1"/>
  <c r="G42" i="35"/>
  <c r="G43" i="35" s="1"/>
  <c r="I76" i="5"/>
  <c r="I33" i="43"/>
  <c r="D82" i="31"/>
  <c r="D91" i="31" s="1"/>
  <c r="R642" i="44"/>
  <c r="T91" i="21"/>
  <c r="G36" i="43"/>
  <c r="I32" i="43"/>
  <c r="G32" i="5"/>
  <c r="H19" i="33"/>
  <c r="H24" i="33" s="1"/>
  <c r="F24" i="33"/>
  <c r="F82" i="33" s="1"/>
  <c r="F91" i="33" s="1"/>
  <c r="H15" i="36"/>
  <c r="E40" i="5"/>
  <c r="E42" i="5" s="1"/>
  <c r="E43" i="5" s="1"/>
  <c r="E42" i="42"/>
  <c r="E43" i="42" s="1"/>
  <c r="F61" i="41"/>
  <c r="H59" i="41"/>
  <c r="H61" i="41" s="1"/>
  <c r="F36" i="40"/>
  <c r="H32" i="40"/>
  <c r="H36" i="40" s="1"/>
  <c r="I86" i="39"/>
  <c r="I89" i="39" s="1"/>
  <c r="G89" i="39"/>
  <c r="G82" i="19"/>
  <c r="G91" i="19" s="1"/>
  <c r="AG646" i="44"/>
  <c r="AI91" i="25"/>
  <c r="H40" i="43"/>
  <c r="H42" i="43" s="1"/>
  <c r="H43" i="43" s="1"/>
  <c r="F42" i="43"/>
  <c r="F43" i="43" s="1"/>
  <c r="F40" i="5"/>
  <c r="M56" i="12"/>
  <c r="E54" i="36"/>
  <c r="E56" i="36" s="1"/>
  <c r="Y642" i="44"/>
  <c r="AA91" i="21"/>
  <c r="H34" i="36"/>
  <c r="X642" i="44"/>
  <c r="Z91" i="21"/>
  <c r="F646" i="44"/>
  <c r="H91" i="25"/>
  <c r="H19" i="35"/>
  <c r="H24" i="35" s="1"/>
  <c r="F24" i="35"/>
  <c r="F11" i="5"/>
  <c r="I24" i="38"/>
  <c r="L56" i="15"/>
  <c r="D54" i="39"/>
  <c r="D56" i="39" s="1"/>
  <c r="I12" i="39"/>
  <c r="D82" i="5" l="1"/>
  <c r="G24" i="36"/>
  <c r="I19" i="36"/>
  <c r="I24" i="36" s="1"/>
  <c r="F36" i="39"/>
  <c r="H32" i="39"/>
  <c r="H36" i="39" s="1"/>
  <c r="H70" i="5"/>
  <c r="H72" i="5" s="1"/>
  <c r="F72" i="5"/>
  <c r="T648" i="44"/>
  <c r="V91" i="27"/>
  <c r="I40" i="5"/>
  <c r="I42" i="5" s="1"/>
  <c r="I43" i="5" s="1"/>
  <c r="G42" i="5"/>
  <c r="G43" i="5" s="1"/>
  <c r="F56" i="36"/>
  <c r="H54" i="36"/>
  <c r="H56" i="36" s="1"/>
  <c r="I19" i="5"/>
  <c r="I24" i="5" s="1"/>
  <c r="G24" i="5"/>
  <c r="U645" i="44"/>
  <c r="W91" i="24"/>
  <c r="AE645" i="44"/>
  <c r="AG91" i="24"/>
  <c r="I32" i="5"/>
  <c r="I36" i="5" s="1"/>
  <c r="G36" i="5"/>
  <c r="H645" i="44"/>
  <c r="J91" i="24"/>
  <c r="R645" i="44"/>
  <c r="T91" i="24"/>
  <c r="G16" i="32"/>
  <c r="G82" i="32" s="1"/>
  <c r="I11" i="32"/>
  <c r="I16" i="32" s="1"/>
  <c r="I82" i="32" s="1"/>
  <c r="G61" i="5"/>
  <c r="I59" i="5"/>
  <c r="I61" i="5" s="1"/>
  <c r="G645" i="44"/>
  <c r="I91" i="24"/>
  <c r="H11" i="4"/>
  <c r="C30" i="4"/>
  <c r="D11" i="4"/>
  <c r="F82" i="32"/>
  <c r="R648" i="44"/>
  <c r="T91" i="27"/>
  <c r="E82" i="5"/>
  <c r="E91" i="5" s="1"/>
  <c r="B25" i="4" s="1"/>
  <c r="D82" i="24"/>
  <c r="D91" i="24" s="1"/>
  <c r="C13" i="4"/>
  <c r="F82" i="12"/>
  <c r="F91" i="12" s="1"/>
  <c r="I19" i="39"/>
  <c r="I24" i="39" s="1"/>
  <c r="G24" i="39"/>
  <c r="G29" i="39"/>
  <c r="I27" i="39"/>
  <c r="I29" i="39" s="1"/>
  <c r="H27" i="36"/>
  <c r="H29" i="36" s="1"/>
  <c r="F29" i="36"/>
  <c r="H19" i="5"/>
  <c r="H24" i="5" s="1"/>
  <c r="F16" i="5"/>
  <c r="H11" i="5"/>
  <c r="H86" i="5"/>
  <c r="H89" i="5" s="1"/>
  <c r="F89" i="5"/>
  <c r="C34" i="4"/>
  <c r="D34" i="4" s="1"/>
  <c r="D19" i="4"/>
  <c r="H19" i="4"/>
  <c r="J645" i="44"/>
  <c r="L91" i="24"/>
  <c r="G82" i="34"/>
  <c r="H82" i="35"/>
  <c r="G16" i="39"/>
  <c r="I11" i="39"/>
  <c r="I16" i="39" s="1"/>
  <c r="H82" i="37"/>
  <c r="H91" i="37" s="1"/>
  <c r="F42" i="36"/>
  <c r="F43" i="36" s="1"/>
  <c r="H40" i="36"/>
  <c r="H42" i="36" s="1"/>
  <c r="H43" i="36" s="1"/>
  <c r="I54" i="36"/>
  <c r="I56" i="36" s="1"/>
  <c r="G56" i="36"/>
  <c r="X648" i="44"/>
  <c r="Z91" i="27"/>
  <c r="AB648" i="44"/>
  <c r="AD91" i="27"/>
  <c r="H82" i="32"/>
  <c r="E82" i="42"/>
  <c r="D91" i="37"/>
  <c r="D82" i="39"/>
  <c r="D91" i="39" s="1"/>
  <c r="G89" i="5"/>
  <c r="I86" i="5"/>
  <c r="I89" i="5" s="1"/>
  <c r="D17" i="4"/>
  <c r="H17" i="4"/>
  <c r="F82" i="34"/>
  <c r="H54" i="5"/>
  <c r="H56" i="5" s="1"/>
  <c r="F56" i="5"/>
  <c r="F72" i="39"/>
  <c r="H70" i="39"/>
  <c r="H72" i="39" s="1"/>
  <c r="H54" i="39"/>
  <c r="H56" i="39" s="1"/>
  <c r="F56" i="39"/>
  <c r="I82" i="37"/>
  <c r="I91" i="37" s="1"/>
  <c r="G61" i="36"/>
  <c r="I59" i="36"/>
  <c r="I61" i="36" s="1"/>
  <c r="M645" i="44"/>
  <c r="O91" i="24"/>
  <c r="H87" i="39"/>
  <c r="D89" i="39"/>
  <c r="G36" i="36"/>
  <c r="I32" i="36"/>
  <c r="I36" i="36" s="1"/>
  <c r="I82" i="38"/>
  <c r="H70" i="36"/>
  <c r="H72" i="36" s="1"/>
  <c r="F72" i="36"/>
  <c r="G82" i="37"/>
  <c r="G91" i="37" s="1"/>
  <c r="H11" i="36"/>
  <c r="H16" i="36" s="1"/>
  <c r="F16" i="36"/>
  <c r="H12" i="5"/>
  <c r="H23" i="4"/>
  <c r="C37" i="4"/>
  <c r="D37" i="4" s="1"/>
  <c r="D23" i="4"/>
  <c r="F16" i="39"/>
  <c r="H11" i="39"/>
  <c r="H16" i="39" s="1"/>
  <c r="I82" i="34"/>
  <c r="H56" i="42"/>
  <c r="E82" i="27"/>
  <c r="E91" i="27" s="1"/>
  <c r="F82" i="37"/>
  <c r="F91" i="37" s="1"/>
  <c r="I82" i="41"/>
  <c r="G11" i="5"/>
  <c r="L82" i="12"/>
  <c r="L91" i="12" s="1"/>
  <c r="I36" i="35"/>
  <c r="I27" i="36"/>
  <c r="I29" i="36" s="1"/>
  <c r="G29" i="36"/>
  <c r="I70" i="36"/>
  <c r="I72" i="36" s="1"/>
  <c r="G72" i="36"/>
  <c r="F82" i="40"/>
  <c r="AF645" i="44"/>
  <c r="AH91" i="24"/>
  <c r="H40" i="39"/>
  <c r="H42" i="39" s="1"/>
  <c r="H43" i="39" s="1"/>
  <c r="F42" i="39"/>
  <c r="F43" i="39" s="1"/>
  <c r="L82" i="15"/>
  <c r="L91" i="15" s="1"/>
  <c r="D89" i="5"/>
  <c r="G82" i="35"/>
  <c r="I70" i="39"/>
  <c r="I72" i="39" s="1"/>
  <c r="G72" i="39"/>
  <c r="E36" i="5"/>
  <c r="H59" i="5"/>
  <c r="H61" i="5" s="1"/>
  <c r="F61" i="5"/>
  <c r="I11" i="36"/>
  <c r="I16" i="36" s="1"/>
  <c r="G16" i="36"/>
  <c r="F89" i="39"/>
  <c r="H86" i="39"/>
  <c r="H89" i="39" s="1"/>
  <c r="F29" i="39"/>
  <c r="H27" i="39"/>
  <c r="H29" i="39" s="1"/>
  <c r="F29" i="5"/>
  <c r="H27" i="5"/>
  <c r="H29" i="5" s="1"/>
  <c r="F82" i="43"/>
  <c r="F91" i="43" s="1"/>
  <c r="I86" i="36"/>
  <c r="I89" i="36" s="1"/>
  <c r="G89" i="36"/>
  <c r="C21" i="4"/>
  <c r="E91" i="31"/>
  <c r="F82" i="35"/>
  <c r="L645" i="44"/>
  <c r="N91" i="24"/>
  <c r="D82" i="27"/>
  <c r="D91" i="27" s="1"/>
  <c r="G61" i="39"/>
  <c r="I59" i="39"/>
  <c r="I61" i="39" s="1"/>
  <c r="H59" i="36"/>
  <c r="H61" i="36" s="1"/>
  <c r="F61" i="36"/>
  <c r="I70" i="5"/>
  <c r="I72" i="5" s="1"/>
  <c r="G72" i="5"/>
  <c r="H82" i="42"/>
  <c r="F24" i="4"/>
  <c r="F27" i="4" s="1"/>
  <c r="G82" i="41"/>
  <c r="G82" i="43"/>
  <c r="G91" i="43" s="1"/>
  <c r="D82" i="36"/>
  <c r="D91" i="36" s="1"/>
  <c r="G42" i="36"/>
  <c r="G43" i="36" s="1"/>
  <c r="I40" i="36"/>
  <c r="I42" i="36" s="1"/>
  <c r="I43" i="36" s="1"/>
  <c r="F61" i="39"/>
  <c r="H59" i="39"/>
  <c r="H61" i="39" s="1"/>
  <c r="H82" i="40"/>
  <c r="E82" i="36"/>
  <c r="E91" i="36" s="1"/>
  <c r="I82" i="40"/>
  <c r="P645" i="44"/>
  <c r="R91" i="24"/>
  <c r="I645" i="44"/>
  <c r="K91" i="24"/>
  <c r="I16" i="35"/>
  <c r="I648" i="44"/>
  <c r="K91" i="27"/>
  <c r="G94" i="36"/>
  <c r="H40" i="5"/>
  <c r="H42" i="5" s="1"/>
  <c r="H43" i="5" s="1"/>
  <c r="F42" i="5"/>
  <c r="F43" i="5" s="1"/>
  <c r="D20" i="4"/>
  <c r="H20" i="4"/>
  <c r="C35" i="4"/>
  <c r="D35" i="4" s="1"/>
  <c r="G42" i="39"/>
  <c r="G43" i="39" s="1"/>
  <c r="I40" i="39"/>
  <c r="I42" i="39" s="1"/>
  <c r="I43" i="39" s="1"/>
  <c r="I36" i="33"/>
  <c r="I82" i="33" s="1"/>
  <c r="I91" i="33" s="1"/>
  <c r="H32" i="36"/>
  <c r="H36" i="36" s="1"/>
  <c r="F36" i="36"/>
  <c r="I82" i="42"/>
  <c r="C16" i="4"/>
  <c r="E91" i="25"/>
  <c r="I36" i="43"/>
  <c r="H82" i="43"/>
  <c r="H91" i="43" s="1"/>
  <c r="F82" i="15"/>
  <c r="F91" i="15" s="1"/>
  <c r="I54" i="5"/>
  <c r="I56" i="5" s="1"/>
  <c r="G56" i="5"/>
  <c r="Z645" i="44"/>
  <c r="AB91" i="24"/>
  <c r="H61" i="43"/>
  <c r="I82" i="43"/>
  <c r="I91" i="43" s="1"/>
  <c r="C14" i="4"/>
  <c r="C24" i="4" s="1"/>
  <c r="E84" i="24"/>
  <c r="AB645" i="44"/>
  <c r="AD91" i="24"/>
  <c r="H19" i="36"/>
  <c r="H24" i="36" s="1"/>
  <c r="F24" i="36"/>
  <c r="B21" i="4"/>
  <c r="M91" i="19"/>
  <c r="M82" i="12"/>
  <c r="M91" i="12" s="1"/>
  <c r="E82" i="24"/>
  <c r="E91" i="24" s="1"/>
  <c r="X645" i="44"/>
  <c r="Z91" i="24"/>
  <c r="G82" i="40"/>
  <c r="I27" i="5"/>
  <c r="I29" i="5" s="1"/>
  <c r="G29" i="5"/>
  <c r="B13" i="4"/>
  <c r="B24" i="4" s="1"/>
  <c r="B27" i="4" s="1"/>
  <c r="D91" i="33"/>
  <c r="T645" i="44"/>
  <c r="V91" i="24"/>
  <c r="I94" i="36" l="1"/>
  <c r="C36" i="4"/>
  <c r="D36" i="4" s="1"/>
  <c r="D21" i="4"/>
  <c r="H21" i="4"/>
  <c r="G82" i="36"/>
  <c r="G91" i="36" s="1"/>
  <c r="I82" i="39"/>
  <c r="I91" i="39" s="1"/>
  <c r="I82" i="36"/>
  <c r="I91" i="36" s="1"/>
  <c r="F82" i="36"/>
  <c r="F91" i="36" s="1"/>
  <c r="G82" i="39"/>
  <c r="G91" i="39" s="1"/>
  <c r="C33" i="4"/>
  <c r="D33" i="4" s="1"/>
  <c r="D16" i="4"/>
  <c r="H16" i="4"/>
  <c r="I82" i="35"/>
  <c r="H82" i="36"/>
  <c r="H91" i="36" s="1"/>
  <c r="H82" i="39"/>
  <c r="H91" i="39" s="1"/>
  <c r="H16" i="5"/>
  <c r="H82" i="5" s="1"/>
  <c r="H91" i="5" s="1"/>
  <c r="D14" i="4"/>
  <c r="H14" i="4"/>
  <c r="H24" i="4" s="1"/>
  <c r="F82" i="39"/>
  <c r="F91" i="39" s="1"/>
  <c r="F82" i="5"/>
  <c r="F91" i="5" s="1"/>
  <c r="G16" i="5"/>
  <c r="G82" i="5" s="1"/>
  <c r="G91" i="5" s="1"/>
  <c r="I11" i="5"/>
  <c r="I16" i="5" s="1"/>
  <c r="I82" i="5" s="1"/>
  <c r="I91" i="5" s="1"/>
  <c r="D25" i="4" s="1"/>
  <c r="D13" i="4"/>
  <c r="D24" i="4" s="1"/>
  <c r="C32" i="4"/>
  <c r="D32" i="4" s="1"/>
  <c r="H13" i="4"/>
  <c r="D30" i="4"/>
  <c r="D91" i="5"/>
  <c r="C25" i="4" l="1"/>
  <c r="C27" i="4" s="1"/>
  <c r="C39" i="4"/>
  <c r="C38" i="4"/>
  <c r="D38" i="4"/>
  <c r="C41" i="4" l="1"/>
  <c r="D39" i="4"/>
  <c r="D41" i="4" s="1"/>
</calcChain>
</file>

<file path=xl/comments1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Adjustment
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</commentList>
</comments>
</file>

<file path=xl/comments2.xml><?xml version="1.0" encoding="utf-8"?>
<comments xmlns="http://schemas.openxmlformats.org/spreadsheetml/2006/main">
  <authors>
    <author>jlittle</author>
    <author>scarmic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Adjustment
</t>
        </r>
      </text>
    </comment>
    <comment ref="AA54" authorId="1" shapeId="0">
      <text>
        <r>
          <rPr>
            <b/>
            <sz val="8"/>
            <color indexed="81"/>
            <rFont val="Tahoma"/>
          </rPr>
          <t>scarmic:</t>
        </r>
        <r>
          <rPr>
            <sz val="8"/>
            <color indexed="81"/>
            <rFont val="Tahoma"/>
          </rPr>
          <t xml:space="preserve">
Reclass with 6/99 prod
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pma booked in sept.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Adjustment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K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O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  <comment ref="K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M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9903 per M. Sanchez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adj. To be reversed in June.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<sst xmlns="http://schemas.openxmlformats.org/spreadsheetml/2006/main" count="4979" uniqueCount="201">
  <si>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</si>
  <si>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</si>
  <si>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</si>
  <si>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</si>
  <si>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</si>
  <si>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</si>
  <si>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</si>
  <si>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</si>
  <si>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</si>
  <si>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</si>
  <si>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</si>
  <si>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</si>
  <si>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</si>
  <si>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</si>
  <si>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</si>
  <si>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</si>
  <si>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</si>
  <si>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</si>
  <si>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</si>
  <si>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</si>
  <si>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</si>
  <si>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</si>
  <si>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</si>
  <si>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</si>
  <si>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</si>
  <si>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</si>
  <si>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</si>
  <si>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</si>
  <si>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</si>
  <si>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</si>
  <si>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</si>
  <si>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</si>
  <si>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</si>
  <si>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</si>
  <si>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</si>
  <si>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</si>
  <si>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</si>
  <si>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</si>
  <si>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</si>
  <si>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</si>
  <si>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</si>
  <si>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</si>
  <si>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</si>
  <si>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</si>
  <si>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</si>
  <si>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</si>
  <si>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</si>
  <si>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</si>
  <si>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</si>
  <si>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</si>
  <si>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</si>
  <si>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</si>
  <si>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</si>
  <si>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</si>
  <si>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</si>
  <si>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</si>
  <si>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</si>
  <si>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</si>
  <si>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</si>
  <si>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</si>
  <si>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</si>
  <si>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</si>
  <si>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</si>
  <si>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</si>
  <si>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</si>
  <si>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</si>
  <si>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</si>
  <si>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</si>
  <si>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</si>
  <si>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</si>
  <si>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</si>
  <si>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</si>
  <si>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</si>
  <si>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</si>
  <si>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</si>
  <si>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</si>
  <si>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</si>
  <si>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</si>
  <si>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</si>
  <si>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</si>
  <si>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</si>
  <si>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</si>
  <si>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</si>
  <si>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</si>
  <si>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</si>
  <si>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</si>
  <si>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</si>
  <si>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</si>
  <si>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</si>
  <si>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</si>
  <si>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</si>
  <si>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</si>
  <si>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</si>
  <si>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</si>
  <si>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</si>
  <si>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</si>
  <si>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</si>
  <si>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</si>
  <si>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</si>
  <si>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</si>
  <si>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</si>
  <si>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</si>
  <si>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</si>
  <si>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</si>
  <si>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</si>
  <si>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</si>
  <si>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</si>
  <si>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</si>
  <si>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</si>
  <si>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</si>
  <si>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</si>
  <si>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</si>
  <si>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</si>
  <si>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</si>
  <si>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</si>
  <si>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</si>
  <si>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</si>
  <si>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</si>
  <si>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</si>
  <si>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</si>
  <si>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</si>
  <si>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</si>
  <si>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</si>
  <si>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</si>
  <si>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</si>
  <si>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</si>
  <si>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</si>
  <si>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</si>
  <si>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</si>
  <si>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</si>
  <si>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</si>
  <si>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</si>
  <si>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</si>
  <si>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</si>
  <si>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</si>
  <si>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</si>
  <si>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</si>
  <si>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</si>
  <si>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</si>
  <si>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</si>
  <si>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</si>
  <si>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</si>
  <si>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</si>
  <si>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</si>
  <si>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</si>
  <si>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</si>
  <si>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</si>
  <si>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</si>
  <si>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</si>
  <si>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</si>
  <si>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</si>
  <si>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</si>
  <si>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</si>
  <si>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</si>
  <si>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</si>
  <si>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</si>
  <si>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</si>
  <si>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</si>
  <si>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</si>
  <si>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</si>
  <si>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</si>
  <si>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</si>
  <si>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</si>
  <si>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</si>
  <si>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</si>
  <si>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</si>
  <si>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</si>
  <si>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ONTARIO</t>
  </si>
  <si>
    <t>May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</si>
  <si>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</si>
  <si>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</si>
  <si>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</si>
  <si>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</si>
  <si>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</si>
  <si>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</si>
  <si>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</si>
  <si>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</si>
  <si>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</si>
  <si>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</si>
  <si>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</si>
  <si>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</si>
  <si>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</si>
  <si>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</si>
  <si>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</si>
  <si>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</si>
  <si>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</si>
  <si>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PRODUCTION MONTH: 9905</t>
  </si>
  <si>
    <t>June</t>
  </si>
  <si>
    <t>9905V</t>
  </si>
  <si>
    <t>9905A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</si>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</sst>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9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7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17" fillId="0" borderId="4" xfId="1" applyNumberFormat="1" applyFont="1" applyBorder="1"/>
    <xf numFmtId="165" fontId="26" fillId="0" borderId="8" xfId="1" applyNumberFormat="1" applyFont="1" applyBorder="1"/>
    <xf numFmtId="165" fontId="26" fillId="0" borderId="11" xfId="1" applyNumberFormat="1" applyFont="1" applyBorder="1"/>
    <xf numFmtId="165" fontId="26" fillId="0" borderId="3" xfId="1" applyNumberFormat="1" applyFont="1" applyBorder="1"/>
    <xf numFmtId="165" fontId="17" fillId="5" borderId="20" xfId="1" applyNumberFormat="1" applyFont="1" applyFill="1" applyBorder="1"/>
    <xf numFmtId="165" fontId="28" fillId="0" borderId="2" xfId="1" applyNumberFormat="1" applyFont="1" applyBorder="1"/>
    <xf numFmtId="165" fontId="24" fillId="0" borderId="2" xfId="1" applyNumberFormat="1" applyFont="1" applyBorder="1"/>
    <xf numFmtId="165" fontId="26" fillId="0" borderId="1" xfId="1" applyNumberFormat="1" applyFont="1" applyFill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6">
          <cell r="C46">
            <v>2942389.9900000012</v>
          </cell>
          <cell r="G46">
            <v>-199263.00999999885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3">
          <cell r="B43">
            <v>2689278</v>
          </cell>
          <cell r="C43">
            <v>-1588878</v>
          </cell>
          <cell r="D43">
            <v>0</v>
          </cell>
          <cell r="E43">
            <v>0</v>
          </cell>
          <cell r="F43">
            <v>0</v>
          </cell>
          <cell r="G43">
            <v>173277</v>
          </cell>
          <cell r="H43">
            <v>2265069</v>
          </cell>
          <cell r="I43">
            <v>0</v>
          </cell>
          <cell r="J43">
            <v>0</v>
          </cell>
          <cell r="K43">
            <v>0</v>
          </cell>
          <cell r="L43">
            <v>1061512</v>
          </cell>
          <cell r="M43">
            <v>-1933462</v>
          </cell>
          <cell r="O43">
            <v>474857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9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4"/>
  <sheetViews>
    <sheetView tabSelected="1" zoomScale="75" workbookViewId="0">
      <selection activeCell="C41" sqref="C41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  <col min="7" max="7" width="10.5703125" bestFit="1" customWidth="1"/>
    <col min="8" max="8" width="11" customWidth="1"/>
  </cols>
  <sheetData>
    <row r="1" spans="1:9" s="33" customFormat="1" x14ac:dyDescent="0.2">
      <c r="A1" s="1" t="s">
        <v>5</v>
      </c>
      <c r="B1" s="50"/>
      <c r="C1" s="50"/>
      <c r="D1" s="50"/>
      <c r="F1" s="50"/>
    </row>
    <row r="2" spans="1:9" s="33" customFormat="1" x14ac:dyDescent="0.2">
      <c r="A2" s="5" t="s">
        <v>11</v>
      </c>
      <c r="B2" s="50"/>
      <c r="C2" s="50"/>
      <c r="D2" s="50"/>
      <c r="F2" s="50"/>
    </row>
    <row r="3" spans="1:9" s="33" customFormat="1" x14ac:dyDescent="0.2">
      <c r="A3" s="1" t="s">
        <v>6</v>
      </c>
      <c r="B3" s="50"/>
      <c r="C3" s="50"/>
      <c r="D3" s="50"/>
      <c r="F3" s="50"/>
    </row>
    <row r="4" spans="1:9" s="33" customFormat="1" x14ac:dyDescent="0.2">
      <c r="A4" s="51" t="s">
        <v>7</v>
      </c>
      <c r="B4" s="50"/>
      <c r="C4" s="50"/>
      <c r="D4" s="50"/>
      <c r="F4" s="50"/>
    </row>
    <row r="5" spans="1:9" s="33" customFormat="1" x14ac:dyDescent="0.2">
      <c r="A5" s="5" t="s">
        <v>186</v>
      </c>
      <c r="B5" s="50"/>
      <c r="C5" s="50"/>
      <c r="D5" s="50"/>
      <c r="F5" s="50"/>
    </row>
    <row r="9" spans="1:9" ht="13.5" thickBot="1" x14ac:dyDescent="0.25"/>
    <row r="10" spans="1:9" s="87" customFormat="1" ht="18.75" thickBot="1" x14ac:dyDescent="0.3">
      <c r="A10" s="105" t="s">
        <v>12</v>
      </c>
      <c r="B10" s="106" t="s">
        <v>89</v>
      </c>
      <c r="C10" s="107" t="s">
        <v>8</v>
      </c>
      <c r="D10" s="107" t="s">
        <v>9</v>
      </c>
      <c r="F10" s="88" t="s">
        <v>13</v>
      </c>
    </row>
    <row r="11" spans="1:9" x14ac:dyDescent="0.2">
      <c r="A11" s="102" t="s">
        <v>14</v>
      </c>
      <c r="B11" s="140">
        <f>'CE-FLSH'!$M$82</f>
        <v>1173945.5243835263</v>
      </c>
      <c r="C11" s="205">
        <f>CE_GL!$E$82</f>
        <v>2687800.8660000227</v>
      </c>
      <c r="D11" s="108">
        <f t="shared" ref="D11:D19" si="0">C11-B11</f>
        <v>1513855.3416164964</v>
      </c>
      <c r="E11" s="31"/>
      <c r="F11" s="31">
        <f>CE_GL!G82</f>
        <v>-5939079.8199999994</v>
      </c>
      <c r="G11" s="31">
        <v>1106046</v>
      </c>
      <c r="H11" s="31">
        <f>+C11-G11</f>
        <v>1581754.8660000227</v>
      </c>
      <c r="I11">
        <f>109834-41653</f>
        <v>68181</v>
      </c>
    </row>
    <row r="12" spans="1:9" x14ac:dyDescent="0.2">
      <c r="A12" s="102" t="s">
        <v>15</v>
      </c>
      <c r="B12" s="140">
        <v>0</v>
      </c>
      <c r="C12" s="60">
        <v>0</v>
      </c>
      <c r="D12" s="108">
        <f>C12-B12</f>
        <v>0</v>
      </c>
      <c r="E12" s="31"/>
      <c r="F12" s="31">
        <f>'EAST-EGM-GL'!G82</f>
        <v>-6721422.75</v>
      </c>
      <c r="G12" s="31">
        <v>0</v>
      </c>
      <c r="H12" s="31">
        <f t="shared" ref="H12:H23" si="1">+C12-G12</f>
        <v>0</v>
      </c>
    </row>
    <row r="13" spans="1:9" x14ac:dyDescent="0.2">
      <c r="A13" s="102" t="s">
        <v>161</v>
      </c>
      <c r="B13" s="139">
        <f>'BGC-EGM-FLSH'!$M$82+'EAST-EGM-FLSH'!M82</f>
        <v>1098249.9531987011</v>
      </c>
      <c r="C13" s="205">
        <f>'BGC-EGM-GL'!$E$82+'EAST-EGM-GL'!E82</f>
        <v>-2482970.4600000558</v>
      </c>
      <c r="D13" s="108">
        <f t="shared" si="0"/>
        <v>-3581220.413198757</v>
      </c>
      <c r="E13" s="31"/>
      <c r="F13" s="31">
        <f>'BGC-EGM-GL'!G82</f>
        <v>0</v>
      </c>
      <c r="G13" s="31">
        <v>-2569085</v>
      </c>
      <c r="H13" s="31">
        <f t="shared" si="1"/>
        <v>86114.539999944158</v>
      </c>
    </row>
    <row r="14" spans="1:9" x14ac:dyDescent="0.2">
      <c r="A14" s="102" t="s">
        <v>162</v>
      </c>
      <c r="B14" s="139">
        <f>'EAST-LRC-FLSH'!$M$82</f>
        <v>-2895910.9391440554</v>
      </c>
      <c r="C14" s="205">
        <f>'EAST-LRC-GL'!$E$82</f>
        <v>1066024.1249999925</v>
      </c>
      <c r="D14" s="108">
        <f t="shared" si="0"/>
        <v>3961935.0641440479</v>
      </c>
      <c r="E14" s="31"/>
      <c r="F14" s="31">
        <f>'EAST-LRC-GL'!G82</f>
        <v>16940.22</v>
      </c>
      <c r="G14" s="31">
        <v>1024861</v>
      </c>
      <c r="H14" s="31">
        <f t="shared" si="1"/>
        <v>41163.124999992549</v>
      </c>
    </row>
    <row r="15" spans="1:9" x14ac:dyDescent="0.2">
      <c r="A15" s="102" t="s">
        <v>172</v>
      </c>
      <c r="B15" s="139">
        <f>+'EAST-EGM-FLSH'!M89</f>
        <v>-199187</v>
      </c>
      <c r="C15" s="205">
        <f>+'EAST-EGM-GL'!E89</f>
        <v>-199187.04</v>
      </c>
      <c r="D15" s="108">
        <f>C15-B15</f>
        <v>-4.0000000008149073E-2</v>
      </c>
      <c r="E15" s="31"/>
      <c r="F15" s="31">
        <f>'EAST-LRC-GL'!G83</f>
        <v>0</v>
      </c>
      <c r="G15" s="31">
        <v>-199187</v>
      </c>
      <c r="H15" s="31">
        <f t="shared" si="1"/>
        <v>-4.0000000008149073E-2</v>
      </c>
    </row>
    <row r="16" spans="1:9" x14ac:dyDescent="0.2">
      <c r="A16" s="102" t="s">
        <v>17</v>
      </c>
      <c r="B16" s="139">
        <f>'TX-EGM-FLSH'!$M$82</f>
        <v>1018888.8615309033</v>
      </c>
      <c r="C16" s="60">
        <f>'TX-EGM-GL'!$E$82</f>
        <v>2622555.4060000088</v>
      </c>
      <c r="D16" s="108">
        <f t="shared" si="0"/>
        <v>1603666.5444691055</v>
      </c>
      <c r="E16" s="31"/>
      <c r="F16" s="31">
        <f>'TX-EGM-GL'!G82</f>
        <v>-1137488.8399999999</v>
      </c>
      <c r="G16" s="31">
        <v>2550467</v>
      </c>
      <c r="H16" s="31">
        <f t="shared" si="1"/>
        <v>72088.406000008807</v>
      </c>
    </row>
    <row r="17" spans="1:8" x14ac:dyDescent="0.2">
      <c r="A17" s="102" t="s">
        <v>18</v>
      </c>
      <c r="B17" s="139">
        <f>'TX-HPL-FLSH'!$M$82</f>
        <v>553279.20491471654</v>
      </c>
      <c r="C17" s="60">
        <f>'TX-HPL-GL '!$E$82</f>
        <v>-572523.98539999989</v>
      </c>
      <c r="D17" s="108">
        <f t="shared" si="0"/>
        <v>-1125803.1903147164</v>
      </c>
      <c r="E17" s="31"/>
      <c r="F17" s="31">
        <f>'TX-HPL-GL '!G82</f>
        <v>-1190392.3599999999</v>
      </c>
      <c r="G17" s="31">
        <v>-575425</v>
      </c>
      <c r="H17" s="31">
        <f t="shared" si="1"/>
        <v>2901.0146000001114</v>
      </c>
    </row>
    <row r="18" spans="1:8" x14ac:dyDescent="0.2">
      <c r="A18" s="102" t="s">
        <v>185</v>
      </c>
      <c r="B18" s="139">
        <f>'TX-EGM-FLSH'!$M$89</f>
        <v>602</v>
      </c>
      <c r="C18" s="60">
        <f>+'TX-EGM-GL'!E89</f>
        <v>33730.429999999993</v>
      </c>
      <c r="D18" s="108">
        <f>C18-B18</f>
        <v>33128.429999999993</v>
      </c>
      <c r="E18" s="31"/>
      <c r="F18" s="31">
        <f>'WE-GL '!G81</f>
        <v>0</v>
      </c>
      <c r="G18" s="31">
        <v>33730</v>
      </c>
      <c r="H18" s="31">
        <f t="shared" si="1"/>
        <v>0.42999999999301508</v>
      </c>
    </row>
    <row r="19" spans="1:8" x14ac:dyDescent="0.2">
      <c r="A19" s="102" t="s">
        <v>19</v>
      </c>
      <c r="B19" s="139">
        <f>'WE-FLSH'!$M$82</f>
        <v>656960.84100656956</v>
      </c>
      <c r="C19" s="205">
        <f>'WE-GL '!$E$82</f>
        <v>1069502.6850000026</v>
      </c>
      <c r="D19" s="108">
        <f t="shared" si="0"/>
        <v>412541.84399343305</v>
      </c>
      <c r="E19" s="31"/>
      <c r="F19" s="31">
        <f>'WE-GL '!G82</f>
        <v>1604472.3400000003</v>
      </c>
      <c r="G19" s="31">
        <v>2266640</v>
      </c>
      <c r="H19" s="31">
        <f t="shared" si="1"/>
        <v>-1197137.3149999974</v>
      </c>
    </row>
    <row r="20" spans="1:8" x14ac:dyDescent="0.2">
      <c r="A20" s="102" t="s">
        <v>20</v>
      </c>
      <c r="B20" s="139">
        <f>STG_FLSH!$M$82</f>
        <v>-301000</v>
      </c>
      <c r="C20" s="205">
        <f>STG_GL!$E$82</f>
        <v>-1933462</v>
      </c>
      <c r="D20" s="108">
        <f>C20-B20</f>
        <v>-1632462</v>
      </c>
      <c r="E20" s="31"/>
      <c r="F20" s="31">
        <f>STG_GL!G82</f>
        <v>14125017</v>
      </c>
      <c r="G20" s="31">
        <v>-2034243</v>
      </c>
      <c r="H20" s="31">
        <f t="shared" si="1"/>
        <v>100781</v>
      </c>
    </row>
    <row r="21" spans="1:8" x14ac:dyDescent="0.2">
      <c r="A21" s="102" t="s">
        <v>165</v>
      </c>
      <c r="B21" s="139">
        <f>ONT_FLSH!$M$82</f>
        <v>129539.15000000107</v>
      </c>
      <c r="C21" s="205">
        <f>'ONT_GL '!$E$82</f>
        <v>-118942.58999999985</v>
      </c>
      <c r="D21" s="108">
        <f>C21-B21</f>
        <v>-248481.74000000092</v>
      </c>
      <c r="E21" s="31"/>
      <c r="F21" s="31">
        <f>'ONT_GL '!G82</f>
        <v>-1935342.5899999999</v>
      </c>
      <c r="G21" s="31">
        <v>-637931</v>
      </c>
      <c r="H21" s="31">
        <f t="shared" si="1"/>
        <v>518988.41000000015</v>
      </c>
    </row>
    <row r="22" spans="1:8" x14ac:dyDescent="0.2">
      <c r="A22" s="102" t="s">
        <v>171</v>
      </c>
      <c r="B22" s="139">
        <f>ONT_FLSH!$M$89</f>
        <v>593800</v>
      </c>
      <c r="C22" s="205">
        <f>+'ONT_GL '!E89</f>
        <v>593800</v>
      </c>
      <c r="D22" s="108">
        <f>C22-B22</f>
        <v>0</v>
      </c>
      <c r="E22" s="31"/>
      <c r="F22" s="31">
        <f>'ONT_GL '!G83</f>
        <v>0</v>
      </c>
      <c r="G22" s="31">
        <v>593800</v>
      </c>
      <c r="H22" s="31">
        <f t="shared" si="1"/>
        <v>0</v>
      </c>
    </row>
    <row r="23" spans="1:8" x14ac:dyDescent="0.2">
      <c r="A23" s="159" t="s">
        <v>115</v>
      </c>
      <c r="B23" s="139">
        <f>+BUG_FLSH!M82</f>
        <v>149811.04130080529</v>
      </c>
      <c r="C23" s="205">
        <f>+BUG_GL!E82</f>
        <v>173276.87000000291</v>
      </c>
      <c r="D23" s="108">
        <f>C23-B23</f>
        <v>23465.82869919762</v>
      </c>
      <c r="E23" s="31"/>
      <c r="F23" s="31">
        <f>+BUG_GL!G82</f>
        <v>456284.73000000045</v>
      </c>
      <c r="G23" s="31">
        <v>343463</v>
      </c>
      <c r="H23" s="31">
        <f t="shared" si="1"/>
        <v>-170186.12999999709</v>
      </c>
    </row>
    <row r="24" spans="1:8" ht="21.75" customHeight="1" thickBot="1" x14ac:dyDescent="0.25">
      <c r="A24" s="102" t="s">
        <v>10</v>
      </c>
      <c r="B24" s="61">
        <f>SUM(B11:B23)</f>
        <v>1978978.6371911678</v>
      </c>
      <c r="C24" s="61">
        <f>SUM(C11:C23)</f>
        <v>2939604.3065999746</v>
      </c>
      <c r="D24" s="109">
        <f>SUM(D11:D23)</f>
        <v>960625.66940880683</v>
      </c>
      <c r="E24" s="31"/>
      <c r="F24" s="61">
        <f>SUM(F11:F23)</f>
        <v>-721012.06999999844</v>
      </c>
      <c r="G24" s="31">
        <f>SUM(G11:G23)</f>
        <v>1903136</v>
      </c>
      <c r="H24" s="31">
        <f>SUM(H11:H23)</f>
        <v>1036468.3065999739</v>
      </c>
    </row>
    <row r="25" spans="1:8" ht="21" customHeight="1" thickBot="1" x14ac:dyDescent="0.25">
      <c r="A25" s="103" t="s">
        <v>21</v>
      </c>
      <c r="B25" s="104">
        <f>TOTAL!$E$91</f>
        <v>1978978.637191195</v>
      </c>
      <c r="C25" s="104">
        <f>TOTAL!$G$91</f>
        <v>2942388.3065998601</v>
      </c>
      <c r="D25" s="110">
        <f>TOTAL!$I$91</f>
        <v>963409.66940880567</v>
      </c>
      <c r="E25" s="31"/>
      <c r="F25" s="31">
        <f>'TIE-OUT'!E82+RECLASS!E82</f>
        <v>-721012.0699999989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-2.7241185307502747E-8</v>
      </c>
      <c r="C27" s="45">
        <f>+C24-C25</f>
        <v>-2783.9999998854473</v>
      </c>
      <c r="D27" s="45"/>
      <c r="E27" s="45"/>
      <c r="F27" s="45">
        <f>+F24-F25</f>
        <v>0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157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0">
        <f>+'[2]ST Warroom 99'!$B$43</f>
        <v>2689278</v>
      </c>
      <c r="C30" s="161">
        <f>C11</f>
        <v>2687800.8660000227</v>
      </c>
      <c r="D30" s="108">
        <f t="shared" ref="D30:D37" si="2">C30-B30</f>
        <v>-1477.1339999772608</v>
      </c>
    </row>
    <row r="31" spans="1:8" x14ac:dyDescent="0.2">
      <c r="A31" s="102" t="s">
        <v>15</v>
      </c>
      <c r="B31" s="140">
        <v>0</v>
      </c>
      <c r="C31" s="60">
        <f>C12</f>
        <v>0</v>
      </c>
      <c r="D31" s="108">
        <f t="shared" si="2"/>
        <v>0</v>
      </c>
    </row>
    <row r="32" spans="1:8" x14ac:dyDescent="0.2">
      <c r="A32" s="102" t="s">
        <v>163</v>
      </c>
      <c r="B32" s="139">
        <f>+'[2]ST Warroom 99'!$C$43+'[2]ST Warroom 99'!$D$43+'[2]ST Warroom 99'!$E$43+'[2]ST Warroom 99'!$F$43</f>
        <v>-1588878</v>
      </c>
      <c r="C32" s="161">
        <f>C13+C14+C15</f>
        <v>-1616133.3750000633</v>
      </c>
      <c r="D32" s="108">
        <f t="shared" si="2"/>
        <v>-27255.37500006333</v>
      </c>
    </row>
    <row r="33" spans="1:4" x14ac:dyDescent="0.2">
      <c r="A33" s="102" t="s">
        <v>158</v>
      </c>
      <c r="B33" s="139">
        <f>+'[2]ST Warroom 99'!$H$43+'[2]ST Warroom 99'!$I$43+'[2]ST Warroom 99'!$J$43+'[2]ST Warroom 99'!$K$43</f>
        <v>2265069</v>
      </c>
      <c r="C33" s="60">
        <f>C16+C17+C18</f>
        <v>2083761.8506000089</v>
      </c>
      <c r="D33" s="108">
        <f t="shared" si="2"/>
        <v>-181307.14939999115</v>
      </c>
    </row>
    <row r="34" spans="1:4" x14ac:dyDescent="0.2">
      <c r="A34" s="102" t="s">
        <v>19</v>
      </c>
      <c r="B34" s="139">
        <f>+'[2]ST Warroom 99'!$L$43</f>
        <v>1061512</v>
      </c>
      <c r="C34" s="161">
        <f>C19</f>
        <v>1069502.6850000026</v>
      </c>
      <c r="D34" s="108">
        <f t="shared" si="2"/>
        <v>7990.685000002617</v>
      </c>
    </row>
    <row r="35" spans="1:4" x14ac:dyDescent="0.2">
      <c r="A35" s="102" t="s">
        <v>20</v>
      </c>
      <c r="B35" s="139">
        <f>+'[2]ST Warroom 99'!$M$43</f>
        <v>-1933462</v>
      </c>
      <c r="C35" s="60">
        <f>C20</f>
        <v>-1933462</v>
      </c>
      <c r="D35" s="108">
        <f t="shared" si="2"/>
        <v>0</v>
      </c>
    </row>
    <row r="36" spans="1:4" x14ac:dyDescent="0.2">
      <c r="A36" s="102" t="s">
        <v>165</v>
      </c>
      <c r="B36" s="139">
        <f>+'[2]ST Warroom 99'!$O$43</f>
        <v>474857</v>
      </c>
      <c r="C36" s="161">
        <f>+C21+C22</f>
        <v>474857.41000000015</v>
      </c>
      <c r="D36" s="108">
        <f t="shared" si="2"/>
        <v>0.41000000014901161</v>
      </c>
    </row>
    <row r="37" spans="1:4" x14ac:dyDescent="0.2">
      <c r="A37" s="159" t="s">
        <v>115</v>
      </c>
      <c r="B37" s="139">
        <f>+'[2]ST Warroom 99'!$G$43</f>
        <v>173277</v>
      </c>
      <c r="C37" s="161">
        <f>C23</f>
        <v>173276.87000000291</v>
      </c>
      <c r="D37" s="108">
        <f t="shared" si="2"/>
        <v>-0.12999999709427357</v>
      </c>
    </row>
    <row r="38" spans="1:4" ht="13.5" thickBot="1" x14ac:dyDescent="0.25">
      <c r="A38" s="102" t="s">
        <v>10</v>
      </c>
      <c r="B38" s="61">
        <f>SUM(B30:B37)</f>
        <v>3141653</v>
      </c>
      <c r="C38" s="61">
        <f>SUM(C30:C37)</f>
        <v>2939604.3065999737</v>
      </c>
      <c r="D38" s="109">
        <f>SUM(D30:D37)</f>
        <v>-202048.69340002607</v>
      </c>
    </row>
    <row r="39" spans="1:4" ht="13.5" thickBot="1" x14ac:dyDescent="0.25">
      <c r="A39" s="103" t="s">
        <v>159</v>
      </c>
      <c r="B39" s="104">
        <f>+B38</f>
        <v>3141653</v>
      </c>
      <c r="C39" s="104">
        <f>TOTAL!$G$91</f>
        <v>2942388.3065998601</v>
      </c>
      <c r="D39" s="110">
        <f>C39-B39</f>
        <v>-199264.69340013992</v>
      </c>
    </row>
    <row r="41" spans="1:4" x14ac:dyDescent="0.2">
      <c r="C41" s="45">
        <f>C39-[1]OAvsACT!$C$46</f>
        <v>-1.6834001410752535</v>
      </c>
      <c r="D41" s="155">
        <f>-D39+[1]OAvsACT!$G$46</f>
        <v>1.6834001410752535</v>
      </c>
    </row>
    <row r="42" spans="1:4" x14ac:dyDescent="0.2">
      <c r="C42" s="45"/>
      <c r="D42" s="156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3" activePane="bottomRight" state="frozen"/>
      <selection activeCell="N105" sqref="N105"/>
      <selection pane="topRight" activeCell="N105" sqref="N105"/>
      <selection pane="bottomLeft" activeCell="N105" sqref="N105"/>
      <selection pane="bottomRight" activeCell="H73" sqref="H7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22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STG_VAR!D11+ONT_VAR!D11+'CE-VAR'!D11+'EAST-EGM-VAR'!D11+'BGC-EGM-VAR'!D11+'EAST-LRC-VAR'!D11+'TX-EGM-VAR'!D11+'TX-HPL-VAR '!D11+'WE-VAR'!D11+BUG_VAR!D11</f>
        <v>219323483</v>
      </c>
      <c r="E11" s="65">
        <f>STG_VAR!E11+ONT_VAR!E11+'CE-VAR'!E11+'EAST-EGM-VAR'!E11+'BGC-EGM-VAR'!E11+'EAST-LRC-VAR'!E11+'TX-EGM-VAR'!E11+'TX-HPL-VAR '!E11+'WE-VAR'!E11+BUG_VAR!E11</f>
        <v>504099644</v>
      </c>
      <c r="F11" s="65">
        <f>STG_VAR!F11+ONT_VAR!F11+'CE-VAR'!F11+'EAST-EGM-VAR'!F11+'BGC-EGM-VAR'!F11+'EAST-LRC-VAR'!F11+'TX-EGM-VAR'!F11+'TX-HPL-VAR '!F11+'WE-VAR'!F11+BUG_VAR!F11</f>
        <v>237860715</v>
      </c>
      <c r="G11" s="65">
        <f>STG_VAR!G11+ONT_VAR!G11+'CE-VAR'!G11+'EAST-EGM-VAR'!G11+'BGC-EGM-VAR'!G11+'EAST-LRC-VAR'!G11+'TX-EGM-VAR'!G11+'TX-HPL-VAR '!G11+'WE-VAR'!G11+BUG_VAR!G11</f>
        <v>567665273.50999999</v>
      </c>
      <c r="H11" s="60">
        <f>F11-D11</f>
        <v>18537232</v>
      </c>
      <c r="I11" s="38">
        <f>G11-E11</f>
        <v>63565629.50999999</v>
      </c>
    </row>
    <row r="12" spans="1:22" x14ac:dyDescent="0.2">
      <c r="A12" s="9">
        <v>2</v>
      </c>
      <c r="B12" s="7"/>
      <c r="C12" s="18" t="s">
        <v>28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-8436060.6400000006</v>
      </c>
      <c r="H12" s="60">
        <f>F12-D12</f>
        <v>0</v>
      </c>
      <c r="I12" s="38">
        <f>G12-E12</f>
        <v>-8436060.6400000006</v>
      </c>
    </row>
    <row r="13" spans="1:22" x14ac:dyDescent="0.2">
      <c r="A13" s="9">
        <v>3</v>
      </c>
      <c r="B13" s="7"/>
      <c r="C13" s="18" t="s">
        <v>29</v>
      </c>
      <c r="D13" s="65">
        <f>STG_VAR!D13+ONT_VAR!D13+'CE-VAR'!D13+'EAST-EGM-VAR'!D13+'BGC-EGM-VAR'!D13+'EAST-LRC-VAR'!D13+'TX-EGM-VAR'!D13+'TX-HPL-VAR '!D13+'WE-VAR'!D13+BUG_VAR!D13</f>
        <v>141685525</v>
      </c>
      <c r="E13" s="65">
        <f>STG_VAR!E13+ONT_VAR!E13+'CE-VAR'!E13+'EAST-EGM-VAR'!E13+'BGC-EGM-VAR'!E13+'EAST-LRC-VAR'!E13+'TX-EGM-VAR'!E13+'TX-HPL-VAR '!E13+'WE-VAR'!E13+BUG_VAR!E13</f>
        <v>322647436</v>
      </c>
      <c r="F13" s="65">
        <f>STG_VAR!F13+ONT_VAR!F13+'CE-VAR'!F13+'EAST-EGM-VAR'!F13+'BGC-EGM-VAR'!F13+'EAST-LRC-VAR'!F13+'TX-EGM-VAR'!F13+'TX-HPL-VAR '!F13+'WE-VAR'!F13+BUG_VAR!F13</f>
        <v>147258360</v>
      </c>
      <c r="G13" s="65">
        <f>STG_VAR!G13+ONT_VAR!G13+'CE-VAR'!G13+'EAST-EGM-VAR'!G13+'BGC-EGM-VAR'!G13+'EAST-LRC-VAR'!G13+'TX-EGM-VAR'!G13+'TX-HPL-VAR '!G13+'WE-VAR'!G13+BUG_VAR!G13</f>
        <v>317227368</v>
      </c>
      <c r="H13" s="60">
        <f t="shared" ref="H13:I15" si="0">F13-D13</f>
        <v>5572835</v>
      </c>
      <c r="I13" s="38">
        <f t="shared" si="0"/>
        <v>-5420068</v>
      </c>
    </row>
    <row r="14" spans="1:22" x14ac:dyDescent="0.2">
      <c r="A14" s="9">
        <v>4</v>
      </c>
      <c r="B14" s="7"/>
      <c r="C14" s="18" t="s">
        <v>30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24768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-24768</v>
      </c>
    </row>
    <row r="15" spans="1:22" x14ac:dyDescent="0.2">
      <c r="A15" s="9">
        <v>5</v>
      </c>
      <c r="B15" s="7"/>
      <c r="C15" s="18" t="s">
        <v>31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-1243774.74</v>
      </c>
      <c r="H15" s="60">
        <f t="shared" si="0"/>
        <v>0</v>
      </c>
      <c r="I15" s="38">
        <f t="shared" si="0"/>
        <v>-1243774.74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361009008</v>
      </c>
      <c r="E16" s="39">
        <f t="shared" si="1"/>
        <v>826771848</v>
      </c>
      <c r="F16" s="61">
        <f t="shared" si="1"/>
        <v>385119075</v>
      </c>
      <c r="G16" s="39">
        <f t="shared" si="1"/>
        <v>875212806.13</v>
      </c>
      <c r="H16" s="61">
        <f t="shared" si="1"/>
        <v>24110067</v>
      </c>
      <c r="I16" s="39">
        <f t="shared" si="1"/>
        <v>48440958.129999988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STG_VAR!D19+ONT_VAR!D19+'CE-VAR'!D19+'EAST-EGM-VAR'!D19+'BGC-EGM-VAR'!D19+'EAST-LRC-VAR'!D19+'TX-EGM-VAR'!D19+'TX-HPL-VAR '!D19+'WE-VAR'!D19+BUG_VAR!D19</f>
        <v>-229891471</v>
      </c>
      <c r="E19" s="65">
        <f>STG_VAR!E19+ONT_VAR!E19+'CE-VAR'!E19+'EAST-EGM-VAR'!E19+'BGC-EGM-VAR'!E19+'EAST-LRC-VAR'!E19+'TX-EGM-VAR'!E19+'TX-HPL-VAR '!E19+'WE-VAR'!E19+BUG_VAR!E19</f>
        <v>-521791328</v>
      </c>
      <c r="F19" s="65">
        <f>STG_VAR!F19+ONT_VAR!F19+'CE-VAR'!F19+'EAST-EGM-VAR'!F19+'BGC-EGM-VAR'!F19+'EAST-LRC-VAR'!F19+'TX-EGM-VAR'!F19+'TX-HPL-VAR '!F19+'WE-VAR'!F19+BUG_VAR!F19</f>
        <v>-230158761</v>
      </c>
      <c r="G19" s="65">
        <f>STG_VAR!G19+ONT_VAR!G19+'CE-VAR'!G19+'EAST-EGM-VAR'!G19+'BGC-EGM-VAR'!G19+'EAST-LRC-VAR'!G19+'TX-EGM-VAR'!G19+'TX-HPL-VAR '!G19+'WE-VAR'!G19+BUG_VAR!G19</f>
        <v>-515347670.97000003</v>
      </c>
      <c r="H19" s="60">
        <f>F19-D19</f>
        <v>-267290</v>
      </c>
      <c r="I19" s="38">
        <f>G19-E19</f>
        <v>6443657.0299999714</v>
      </c>
    </row>
    <row r="20" spans="1:9" x14ac:dyDescent="0.2">
      <c r="A20" s="9">
        <v>7</v>
      </c>
      <c r="B20" s="7"/>
      <c r="C20" s="18" t="s">
        <v>28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-4628003.6800000006</v>
      </c>
      <c r="H20" s="60">
        <f>F20-D20</f>
        <v>0</v>
      </c>
      <c r="I20" s="38">
        <f>G20-E20</f>
        <v>-4628003.6800000006</v>
      </c>
    </row>
    <row r="21" spans="1:9" x14ac:dyDescent="0.2">
      <c r="A21" s="9">
        <v>8</v>
      </c>
      <c r="B21" s="7"/>
      <c r="C21" s="18" t="s">
        <v>29</v>
      </c>
      <c r="D21" s="65">
        <f>STG_VAR!D21+ONT_VAR!D21+'CE-VAR'!D21+'EAST-EGM-VAR'!D21+'BGC-EGM-VAR'!D21+'EAST-LRC-VAR'!D21+'TX-EGM-VAR'!D21+'TX-HPL-VAR '!D21+'WE-VAR'!D21+BUG_VAR!D21</f>
        <v>-148827028</v>
      </c>
      <c r="E21" s="65">
        <f>STG_VAR!E21+ONT_VAR!E21+'CE-VAR'!E21+'EAST-EGM-VAR'!E21+'BGC-EGM-VAR'!E21+'EAST-LRC-VAR'!E21+'TX-EGM-VAR'!E21+'TX-HPL-VAR '!E21+'WE-VAR'!E21+BUG_VAR!E21</f>
        <v>-338409129</v>
      </c>
      <c r="F21" s="65">
        <f>STG_VAR!F21+ONT_VAR!F21+'CE-VAR'!F21+'EAST-EGM-VAR'!F21+'BGC-EGM-VAR'!F21+'EAST-LRC-VAR'!F21+'TX-EGM-VAR'!F21+'TX-HPL-VAR '!F21+'WE-VAR'!F21+BUG_VAR!F21</f>
        <v>-147258360</v>
      </c>
      <c r="G21" s="65">
        <f>STG_VAR!G21+ONT_VAR!G21+'CE-VAR'!G21+'EAST-EGM-VAR'!G21+'BGC-EGM-VAR'!G21+'EAST-LRC-VAR'!G21+'TX-EGM-VAR'!G21+'TX-HPL-VAR '!G21+'WE-VAR'!G21+BUG_VAR!G21</f>
        <v>-334152737</v>
      </c>
      <c r="H21" s="60">
        <f t="shared" ref="H21:I23" si="2">F21-D21</f>
        <v>1568668</v>
      </c>
      <c r="I21" s="38">
        <f t="shared" si="2"/>
        <v>4256392</v>
      </c>
    </row>
    <row r="22" spans="1:9" x14ac:dyDescent="0.2">
      <c r="A22" s="9">
        <v>9</v>
      </c>
      <c r="B22" s="7"/>
      <c r="C22" s="18" t="s">
        <v>30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STG_VAR!D23+ONT_VAR!D23+'CE-VAR'!D23+'EAST-EGM-VAR'!D23+'BGC-EGM-VAR'!D23+'EAST-LRC-VAR'!D23+'TX-EGM-VAR'!D23+'TX-HPL-VAR '!D23+'WE-VAR'!D23+BUG_VAR!D23</f>
        <v>1504160</v>
      </c>
      <c r="E23" s="65">
        <f>STG_VAR!E23+ONT_VAR!E23+'CE-VAR'!E23+'EAST-EGM-VAR'!E23+'BGC-EGM-VAR'!E23+'EAST-LRC-VAR'!E23+'TX-EGM-VAR'!E23+'TX-HPL-VAR '!E23+'WE-VAR'!E23+BUG_VAR!E23</f>
        <v>3300458</v>
      </c>
      <c r="F23" s="65">
        <f>STG_VAR!F23+ONT_VAR!F23+'CE-VAR'!F23+'EAST-EGM-VAR'!F23+'BGC-EGM-VAR'!F23+'EAST-LRC-VAR'!F23+'TX-EGM-VAR'!F23+'TX-HPL-VAR '!F23+'WE-VAR'!F23+BUG_VAR!F23</f>
        <v>990040</v>
      </c>
      <c r="G23" s="65">
        <f>STG_VAR!G23+ONT_VAR!G23+'CE-VAR'!G23+'EAST-EGM-VAR'!G23+'BGC-EGM-VAR'!G23+'EAST-LRC-VAR'!G23+'TX-EGM-VAR'!G23+'TX-HPL-VAR '!G23+'WE-VAR'!G23+BUG_VAR!G23</f>
        <v>1992107.1219999997</v>
      </c>
      <c r="H23" s="60">
        <f t="shared" si="2"/>
        <v>-514120</v>
      </c>
      <c r="I23" s="38">
        <f t="shared" si="2"/>
        <v>-1308350.8780000003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-377214339</v>
      </c>
      <c r="E24" s="39">
        <f t="shared" si="3"/>
        <v>-856899999</v>
      </c>
      <c r="F24" s="61">
        <f t="shared" si="3"/>
        <v>-376427081</v>
      </c>
      <c r="G24" s="39">
        <f t="shared" si="3"/>
        <v>-852136304.52800012</v>
      </c>
      <c r="H24" s="61">
        <f t="shared" si="3"/>
        <v>787258</v>
      </c>
      <c r="I24" s="39">
        <f t="shared" si="3"/>
        <v>4763694.4719999703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STG_VAR!D27+ONT_VAR!D27+'CE-VAR'!D27+'EAST-EGM-VAR'!D27+'BGC-EGM-VAR'!D27+'EAST-LRC-VAR'!D27+'TX-EGM-VAR'!D27+'TX-HPL-VAR '!D27+'WE-VAR'!D27+BUG_VAR!D27</f>
        <v>32997274</v>
      </c>
      <c r="E27" s="65">
        <f>STG_VAR!E27+ONT_VAR!E27+'CE-VAR'!E27+'EAST-EGM-VAR'!E27+'BGC-EGM-VAR'!E27+'EAST-LRC-VAR'!E27+'TX-EGM-VAR'!E27+'TX-HPL-VAR '!E27+'WE-VAR'!E27+BUG_VAR!E27</f>
        <v>74244674.739999995</v>
      </c>
      <c r="F27" s="65">
        <f>STG_VAR!F27+ONT_VAR!F27+'CE-VAR'!F27+'EAST-EGM-VAR'!F27+'BGC-EGM-VAR'!F27+'EAST-LRC-VAR'!F27+'TX-EGM-VAR'!F27+'TX-HPL-VAR '!F27+'WE-VAR'!F27+BUG_VAR!F27</f>
        <v>3587720</v>
      </c>
      <c r="G27" s="65">
        <f>STG_VAR!G27+ONT_VAR!G27+'CE-VAR'!G27+'EAST-EGM-VAR'!G27+'BGC-EGM-VAR'!G27+'EAST-LRC-VAR'!G27+'TX-EGM-VAR'!G27+'TX-HPL-VAR '!G27+'WE-VAR'!G27+BUG_VAR!G27</f>
        <v>8114169.734600001</v>
      </c>
      <c r="H27" s="60">
        <f>F27-D27</f>
        <v>-29409554</v>
      </c>
      <c r="I27" s="38">
        <f>G27-E27</f>
        <v>-66130505.005399995</v>
      </c>
    </row>
    <row r="28" spans="1:9" x14ac:dyDescent="0.2">
      <c r="A28" s="9">
        <v>12</v>
      </c>
      <c r="B28" s="7"/>
      <c r="C28" s="18" t="s">
        <v>38</v>
      </c>
      <c r="D28" s="65">
        <f>STG_VAR!D28+ONT_VAR!D28+'CE-VAR'!D28+'EAST-EGM-VAR'!D28+'BGC-EGM-VAR'!D28+'EAST-LRC-VAR'!D28+'TX-EGM-VAR'!D28+'TX-HPL-VAR '!D28+'WE-VAR'!D28+BUG_VAR!D28</f>
        <v>-33022074</v>
      </c>
      <c r="E28" s="65">
        <f>STG_VAR!E28+ONT_VAR!E28+'CE-VAR'!E28+'EAST-EGM-VAR'!E28+'BGC-EGM-VAR'!E28+'EAST-LRC-VAR'!E28+'TX-EGM-VAR'!E28+'TX-HPL-VAR '!E28+'WE-VAR'!E28+BUG_VAR!E28</f>
        <v>-74302953</v>
      </c>
      <c r="F28" s="65">
        <f>STG_VAR!F28+ONT_VAR!F28+'CE-VAR'!F28+'EAST-EGM-VAR'!F28+'BGC-EGM-VAR'!F28+'EAST-LRC-VAR'!F28+'TX-EGM-VAR'!F28+'TX-HPL-VAR '!F28+'WE-VAR'!F28+BUG_VAR!F28</f>
        <v>-29731455</v>
      </c>
      <c r="G28" s="65">
        <f>STG_VAR!G28+ONT_VAR!G28+'CE-VAR'!G28+'EAST-EGM-VAR'!G28+'BGC-EGM-VAR'!G28+'EAST-LRC-VAR'!G28+'TX-EGM-VAR'!G28+'TX-HPL-VAR '!G28+'WE-VAR'!G28+BUG_VAR!G28</f>
        <v>-68328402.080000013</v>
      </c>
      <c r="H28" s="60">
        <f>F28-D28</f>
        <v>3290619</v>
      </c>
      <c r="I28" s="38">
        <f>G28-E28</f>
        <v>5974550.9199999869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-24800</v>
      </c>
      <c r="E29" s="70">
        <f t="shared" si="4"/>
        <v>-58278.260000005364</v>
      </c>
      <c r="F29" s="69">
        <f t="shared" si="4"/>
        <v>-26143735</v>
      </c>
      <c r="G29" s="70">
        <f t="shared" si="4"/>
        <v>-60214232.345400013</v>
      </c>
      <c r="H29" s="69">
        <f t="shared" si="4"/>
        <v>-26118935</v>
      </c>
      <c r="I29" s="70">
        <f t="shared" si="4"/>
        <v>-60155954.085400008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STG_VAR!D32+ONT_VAR!D32+'CE-VAR'!D32+'EAST-EGM-VAR'!D32+'BGC-EGM-VAR'!D32+'EAST-LRC-VAR'!D32+'TX-EGM-VAR'!D32+'TX-HPL-VAR '!D32+'WE-VAR'!D32+BUG_VAR!D32</f>
        <v>3209295</v>
      </c>
      <c r="E32" s="65">
        <f>STG_VAR!E32+ONT_VAR!E32+'CE-VAR'!E32+'EAST-EGM-VAR'!E32+'BGC-EGM-VAR'!E32+'EAST-LRC-VAR'!E32+'TX-EGM-VAR'!E32+'TX-HPL-VAR '!E32+'WE-VAR'!E32+BUG_VAR!E32</f>
        <v>7434635</v>
      </c>
      <c r="F32" s="65">
        <f>STG_VAR!F32+ONT_VAR!F32+'CE-VAR'!F32+'EAST-EGM-VAR'!F32+'BGC-EGM-VAR'!F32+'EAST-LRC-VAR'!F32+'TX-EGM-VAR'!F32+'TX-HPL-VAR '!F32+'WE-VAR'!F32+BUG_VAR!F32</f>
        <v>439002</v>
      </c>
      <c r="G32" s="65">
        <f>STG_VAR!G32+ONT_VAR!G32+'CE-VAR'!G32+'EAST-EGM-VAR'!G32+'BGC-EGM-VAR'!G32+'EAST-LRC-VAR'!G32+'TX-EGM-VAR'!G32+'TX-HPL-VAR '!G32+'WE-VAR'!G32+BUG_VAR!G32</f>
        <v>1046450.8669999999</v>
      </c>
      <c r="H32" s="60">
        <f>F32-D32</f>
        <v>-2770293</v>
      </c>
      <c r="I32" s="38">
        <f>G32-E32</f>
        <v>-6388184.1330000004</v>
      </c>
    </row>
    <row r="33" spans="1:9" x14ac:dyDescent="0.2">
      <c r="A33" s="9">
        <v>14</v>
      </c>
      <c r="B33" s="7"/>
      <c r="C33" s="18" t="s">
        <v>42</v>
      </c>
      <c r="D33" s="65">
        <f>STG_VAR!D33+ONT_VAR!D33+'CE-VAR'!D33+'EAST-EGM-VAR'!D33+'BGC-EGM-VAR'!D33+'EAST-LRC-VAR'!D33+'TX-EGM-VAR'!D33+'TX-HPL-VAR '!D33+'WE-VAR'!D33+BUG_VAR!D33</f>
        <v>-2180517</v>
      </c>
      <c r="E33" s="65">
        <f>STG_VAR!E33+ONT_VAR!E33+'CE-VAR'!E33+'EAST-EGM-VAR'!E33+'BGC-EGM-VAR'!E33+'EAST-LRC-VAR'!E33+'TX-EGM-VAR'!E33+'TX-HPL-VAR '!E33+'WE-VAR'!E33+BUG_VAR!E33</f>
        <v>-5067091.7254931815</v>
      </c>
      <c r="F33" s="65">
        <f>STG_VAR!F33+ONT_VAR!F33+'CE-VAR'!F33+'EAST-EGM-VAR'!F33+'BGC-EGM-VAR'!F33+'EAST-LRC-VAR'!F33+'TX-EGM-VAR'!F33+'TX-HPL-VAR '!F33+'WE-VAR'!F33+BUG_VAR!F33</f>
        <v>-226230</v>
      </c>
      <c r="G33" s="65">
        <f>STG_VAR!G33+ONT_VAR!G33+'CE-VAR'!G33+'EAST-EGM-VAR'!G33+'BGC-EGM-VAR'!G33+'EAST-LRC-VAR'!G33+'TX-EGM-VAR'!G33+'TX-HPL-VAR '!G33+'WE-VAR'!G33+BUG_VAR!G33</f>
        <v>-526048.57000000007</v>
      </c>
      <c r="H33" s="60">
        <f t="shared" ref="H33:I35" si="5">F33-D33</f>
        <v>1954287</v>
      </c>
      <c r="I33" s="38">
        <f t="shared" si="5"/>
        <v>4541043.1554931812</v>
      </c>
    </row>
    <row r="34" spans="1:9" x14ac:dyDescent="0.2">
      <c r="A34" s="9">
        <v>15</v>
      </c>
      <c r="B34" s="7"/>
      <c r="C34" s="18" t="s">
        <v>43</v>
      </c>
      <c r="D34" s="65">
        <f>STG_VAR!D34+ONT_VAR!D34+'CE-VAR'!D34+'EAST-EGM-VAR'!D34+'BGC-EGM-VAR'!D34+'EAST-LRC-VAR'!D34+'TX-EGM-VAR'!D34+'TX-HPL-VAR '!D34+'WE-VAR'!D34+BUG_VAR!D34</f>
        <v>562702</v>
      </c>
      <c r="E34" s="65">
        <f>STG_VAR!E34+ONT_VAR!E34+'CE-VAR'!E34+'EAST-EGM-VAR'!E34+'BGC-EGM-VAR'!E34+'EAST-LRC-VAR'!E34+'TX-EGM-VAR'!E34+'TX-HPL-VAR '!E34+'WE-VAR'!E34+BUG_VAR!E34</f>
        <v>1277234</v>
      </c>
      <c r="F34" s="65">
        <f>STG_VAR!F34+ONT_VAR!F34+'CE-VAR'!F34+'EAST-EGM-VAR'!F34+'BGC-EGM-VAR'!F34+'EAST-LRC-VAR'!F34+'TX-EGM-VAR'!F34+'TX-HPL-VAR '!F34+'WE-VAR'!F34+BUG_VAR!F34</f>
        <v>189589</v>
      </c>
      <c r="G34" s="65">
        <f>STG_VAR!G34+ONT_VAR!G34+'CE-VAR'!G34+'EAST-EGM-VAR'!G34+'BGC-EGM-VAR'!G34+'EAST-LRC-VAR'!G34+'TX-EGM-VAR'!G34+'TX-HPL-VAR '!G34+'WE-VAR'!G34+BUG_VAR!G34</f>
        <v>412300.49</v>
      </c>
      <c r="H34" s="60">
        <f t="shared" si="5"/>
        <v>-373113</v>
      </c>
      <c r="I34" s="38">
        <f t="shared" si="5"/>
        <v>-864933.51</v>
      </c>
    </row>
    <row r="35" spans="1:9" x14ac:dyDescent="0.2">
      <c r="A35" s="9">
        <v>16</v>
      </c>
      <c r="B35" s="7"/>
      <c r="C35" s="18" t="s">
        <v>44</v>
      </c>
      <c r="D35" s="65">
        <f>STG_VAR!D35+ONT_VAR!D35+'CE-VAR'!D35+'EAST-EGM-VAR'!D35+'BGC-EGM-VAR'!D35+'EAST-LRC-VAR'!D35+'TX-EGM-VAR'!D35+'TX-HPL-VAR '!D35+'WE-VAR'!D35+BUG_VAR!D35</f>
        <v>-346452</v>
      </c>
      <c r="E35" s="65">
        <f>STG_VAR!E35+ONT_VAR!E35+'CE-VAR'!E35+'EAST-EGM-VAR'!E35+'BGC-EGM-VAR'!E35+'EAST-LRC-VAR'!E35+'TX-EGM-VAR'!E35+'TX-HPL-VAR '!E35+'WE-VAR'!E35+BUG_VAR!E35</f>
        <v>-778472</v>
      </c>
      <c r="F35" s="65">
        <f>STG_VAR!F35+ONT_VAR!F35+'CE-VAR'!F35+'EAST-EGM-VAR'!F35+'BGC-EGM-VAR'!F35+'EAST-LRC-VAR'!F35+'TX-EGM-VAR'!F35+'TX-HPL-VAR '!F35+'WE-VAR'!F35+BUG_VAR!F35</f>
        <v>818810</v>
      </c>
      <c r="G35" s="65">
        <f>STG_VAR!G35+ONT_VAR!G35+'CE-VAR'!G35+'EAST-EGM-VAR'!G35+'BGC-EGM-VAR'!G35+'EAST-LRC-VAR'!G35+'TX-EGM-VAR'!G35+'TX-HPL-VAR '!G35+'WE-VAR'!G35+BUG_VAR!G35</f>
        <v>2393637.9900000002</v>
      </c>
      <c r="H35" s="60">
        <f t="shared" si="5"/>
        <v>1165262</v>
      </c>
      <c r="I35" s="38">
        <f t="shared" si="5"/>
        <v>3172109.99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1245028</v>
      </c>
      <c r="E36" s="39">
        <f t="shared" si="6"/>
        <v>2866305.2745068185</v>
      </c>
      <c r="F36" s="61">
        <f t="shared" si="6"/>
        <v>1221171</v>
      </c>
      <c r="G36" s="39">
        <f t="shared" si="6"/>
        <v>3326340.7769999998</v>
      </c>
      <c r="H36" s="61">
        <f t="shared" si="6"/>
        <v>-23857</v>
      </c>
      <c r="I36" s="39">
        <f t="shared" si="6"/>
        <v>460035.50249318127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STG_VAR!D39+ONT_VAR!D39+'CE-VAR'!D39+'EAST-EGM-VAR'!D39+'BGC-EGM-VAR'!D39+'EAST-LRC-VAR'!D39+'TX-EGM-VAR'!D39+'TX-HPL-VAR '!D39+'WE-VAR'!D39+BUG_VAR!D39</f>
        <v>15902502</v>
      </c>
      <c r="E39" s="65">
        <f>STG_VAR!E39+ONT_VAR!E39+'CE-VAR'!E39+'EAST-EGM-VAR'!E39+'BGC-EGM-VAR'!E39+'EAST-LRC-VAR'!E39+'TX-EGM-VAR'!E39+'TX-HPL-VAR '!E39+'WE-VAR'!E39+BUG_VAR!E39</f>
        <v>38330046</v>
      </c>
      <c r="F39" s="65">
        <f>STG_VAR!F39+ONT_VAR!F39+'CE-VAR'!F39+'EAST-EGM-VAR'!F39+'BGC-EGM-VAR'!F39+'EAST-LRC-VAR'!F39+'TX-EGM-VAR'!F39+'TX-HPL-VAR '!F39+'WE-VAR'!F39+BUG_VAR!F39</f>
        <v>16953299</v>
      </c>
      <c r="G39" s="65">
        <f>STG_VAR!G39+ONT_VAR!G39+'CE-VAR'!G39+'EAST-EGM-VAR'!G39+'BGC-EGM-VAR'!G39+'EAST-LRC-VAR'!G39+'TX-EGM-VAR'!G39+'TX-HPL-VAR '!G39+'WE-VAR'!G39+BUG_VAR!G39</f>
        <v>41646456.280000001</v>
      </c>
      <c r="H39" s="60">
        <f t="shared" ref="H39:I41" si="7">F39-D39</f>
        <v>1050797</v>
      </c>
      <c r="I39" s="38">
        <f t="shared" si="7"/>
        <v>3316410.2800000012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STG_VAR!D40+ONT_VAR!D40+'CE-VAR'!D40+'EAST-EGM-VAR'!D40+'BGC-EGM-VAR'!D40+'EAST-LRC-VAR'!D40+'TX-EGM-VAR'!D40+'TX-HPL-VAR '!D40+'WE-VAR'!D40+BUG_VAR!D40</f>
        <v>-1099914</v>
      </c>
      <c r="E40" s="65">
        <f>STG_VAR!E40+ONT_VAR!E40+'CE-VAR'!E40+'EAST-EGM-VAR'!E40+'BGC-EGM-VAR'!E40+'EAST-LRC-VAR'!E40+'TX-EGM-VAR'!E40+'TX-HPL-VAR '!E40+'WE-VAR'!E40+BUG_VAR!E40</f>
        <v>-2446201</v>
      </c>
      <c r="F40" s="65">
        <f>STG_VAR!F40+ONT_VAR!F40+'CE-VAR'!F40+'EAST-EGM-VAR'!F40+'BGC-EGM-VAR'!F40+'EAST-LRC-VAR'!F40+'TX-EGM-VAR'!F40+'TX-HPL-VAR '!F40+'WE-VAR'!F40+BUG_VAR!F40</f>
        <v>-596053</v>
      </c>
      <c r="G40" s="65">
        <f>STG_VAR!G40+ONT_VAR!G40+'CE-VAR'!G40+'EAST-EGM-VAR'!G40+'BGC-EGM-VAR'!G40+'EAST-LRC-VAR'!G40+'TX-EGM-VAR'!G40+'TX-HPL-VAR '!G40+'WE-VAR'!G40+BUG_VAR!G40</f>
        <v>-1399322.0200000003</v>
      </c>
      <c r="H40" s="60">
        <f t="shared" si="7"/>
        <v>503861</v>
      </c>
      <c r="I40" s="38">
        <f t="shared" si="7"/>
        <v>1046878.9799999997</v>
      </c>
    </row>
    <row r="41" spans="1:9" x14ac:dyDescent="0.2">
      <c r="A41" s="9">
        <v>19</v>
      </c>
      <c r="B41" s="7"/>
      <c r="C41" s="18" t="s">
        <v>49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252630</v>
      </c>
      <c r="H41" s="60">
        <f t="shared" si="7"/>
        <v>0</v>
      </c>
      <c r="I41" s="38">
        <f t="shared" si="7"/>
        <v>252630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-1099914</v>
      </c>
      <c r="E42" s="70">
        <f t="shared" si="8"/>
        <v>-2446201</v>
      </c>
      <c r="F42" s="69">
        <f t="shared" si="8"/>
        <v>-596053</v>
      </c>
      <c r="G42" s="70">
        <f t="shared" si="8"/>
        <v>-1146692.0200000003</v>
      </c>
      <c r="H42" s="69">
        <f t="shared" si="8"/>
        <v>503861</v>
      </c>
      <c r="I42" s="70">
        <f t="shared" si="8"/>
        <v>1299508.9799999997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14802588</v>
      </c>
      <c r="E43" s="39">
        <f t="shared" si="9"/>
        <v>35883845</v>
      </c>
      <c r="F43" s="61">
        <f t="shared" si="9"/>
        <v>16357246</v>
      </c>
      <c r="G43" s="39">
        <f t="shared" si="9"/>
        <v>40499764.259999998</v>
      </c>
      <c r="H43" s="61">
        <f t="shared" si="9"/>
        <v>1554658</v>
      </c>
      <c r="I43" s="39">
        <f t="shared" si="9"/>
        <v>4615919.2600000007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20900</v>
      </c>
      <c r="G45" s="65">
        <f>STG_VAR!G45+ONT_VAR!G45+'CE-VAR'!G45+'EAST-EGM-VAR'!G45+'BGC-EGM-VAR'!G45+'EAST-LRC-VAR'!G45+'TX-EGM-VAR'!G45+'TX-HPL-VAR '!G45+'WE-VAR'!G45+BUG_VAR!G45</f>
        <v>35728.140000000014</v>
      </c>
      <c r="H45" s="60">
        <f>F45-D45</f>
        <v>20900</v>
      </c>
      <c r="I45" s="38">
        <f>G45-E45</f>
        <v>35728.140000000014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STG_VAR!D49+ONT_VAR!D49+'CE-VAR'!D49+'EAST-EGM-VAR'!D49+'BGC-EGM-VAR'!D49+'EAST-LRC-VAR'!D49+'TX-EGM-VAR'!D49+'TX-HPL-VAR '!D49+'WE-VAR'!D49+BUG_VAR!D49</f>
        <v>182515</v>
      </c>
      <c r="E49" s="65">
        <f>STG_VAR!E49+ONT_VAR!E49+'CE-VAR'!E49+'EAST-EGM-VAR'!E49+'BGC-EGM-VAR'!E49+'EAST-LRC-VAR'!E49+'TX-EGM-VAR'!E49+'TX-HPL-VAR '!E49+'WE-VAR'!E49+BUG_VAR!E49</f>
        <v>413524.96555999992</v>
      </c>
      <c r="F49" s="65">
        <f>STG_VAR!F49+ONT_VAR!F49+'CE-VAR'!F49+'EAST-EGM-VAR'!F49+'BGC-EGM-VAR'!F49+'EAST-LRC-VAR'!F49+'TX-EGM-VAR'!F49+'TX-HPL-VAR '!F49+'WE-VAR'!F49+BUG_VAR!F49</f>
        <v>-155754</v>
      </c>
      <c r="G49" s="65">
        <f>STG_VAR!G49+ONT_VAR!G49+'CE-VAR'!G49+'EAST-EGM-VAR'!G49+'BGC-EGM-VAR'!G49+'EAST-LRC-VAR'!G49+'TX-EGM-VAR'!G49+'TX-HPL-VAR '!G49+'WE-VAR'!G49+BUG_VAR!G49</f>
        <v>-453313.4050000002</v>
      </c>
      <c r="H49" s="60">
        <f>F49-D49</f>
        <v>-338269</v>
      </c>
      <c r="I49" s="38">
        <f>G49-E49</f>
        <v>-866838.37056000018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STG_VAR!D51+ONT_VAR!D51+'CE-VAR'!D51+'EAST-EGM-VAR'!D51+'BGC-EGM-VAR'!D51+'EAST-LRC-VAR'!D51+'TX-EGM-VAR'!D51+'TX-HPL-VAR '!D51+'WE-VAR'!D51+BUG_VAR!D51</f>
        <v>-1504160</v>
      </c>
      <c r="E51" s="65">
        <f>STG_VAR!E51+ONT_VAR!E51+'CE-VAR'!E51+'EAST-EGM-VAR'!E51+'BGC-EGM-VAR'!E51+'EAST-LRC-VAR'!E51+'TX-EGM-VAR'!E51+'TX-HPL-VAR '!E51+'WE-VAR'!E51+BUG_VAR!E51</f>
        <v>-3300458</v>
      </c>
      <c r="F51" s="65">
        <f>STG_VAR!F51+ONT_VAR!F51+'CE-VAR'!F51+'EAST-EGM-VAR'!F51+'BGC-EGM-VAR'!F51+'EAST-LRC-VAR'!F51+'TX-EGM-VAR'!F51+'TX-HPL-VAR '!F51+'WE-VAR'!F51+BUG_VAR!F51</f>
        <v>-1553484</v>
      </c>
      <c r="G51" s="65">
        <f>STG_VAR!G51+ONT_VAR!G51+'CE-VAR'!G51+'EAST-EGM-VAR'!G51+'BGC-EGM-VAR'!G51+'EAST-LRC-VAR'!G51+'TX-EGM-VAR'!G51+'TX-HPL-VAR '!G51+'WE-VAR'!G51+BUG_VAR!G51</f>
        <v>-3545007.9620000003</v>
      </c>
      <c r="H51" s="60">
        <f>F51-D51</f>
        <v>-49324</v>
      </c>
      <c r="I51" s="38">
        <f>G51-E51</f>
        <v>-244549.96200000029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-2432864.27</v>
      </c>
      <c r="F54" s="65">
        <f>STG_VAR!F54+ONT_VAR!F54+'CE-VAR'!F54+'EAST-EGM-VAR'!F54+'BGC-EGM-VAR'!F54+'EAST-LRC-VAR'!F54+'TX-EGM-VAR'!F54+'TX-HPL-VAR '!F54+'WE-VAR'!F54+BUG_VAR!F54</f>
        <v>-91474398</v>
      </c>
      <c r="G54" s="65">
        <f>STG_VAR!G54+ONT_VAR!G54+'CE-VAR'!G54+'EAST-EGM-VAR'!G54+'BGC-EGM-VAR'!G54+'EAST-LRC-VAR'!G54+'TX-EGM-VAR'!G54+'TX-HPL-VAR '!G54+'WE-VAR'!G54+BUG_VAR!G54</f>
        <v>-3626801.1599999992</v>
      </c>
      <c r="H54" s="60">
        <f>F54-D54</f>
        <v>-91474398</v>
      </c>
      <c r="I54" s="38">
        <f>G54-E54</f>
        <v>-1193936.8899999992</v>
      </c>
    </row>
    <row r="55" spans="1:9" x14ac:dyDescent="0.2">
      <c r="A55" s="9">
        <v>25</v>
      </c>
      <c r="B55" s="7"/>
      <c r="C55" s="18" t="s">
        <v>58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-16775532</v>
      </c>
      <c r="F55" s="65">
        <f>STG_VAR!F55+ONT_VAR!F55+'CE-VAR'!F55+'EAST-EGM-VAR'!F55+'BGC-EGM-VAR'!F55+'EAST-LRC-VAR'!F55+'TX-EGM-VAR'!F55+'TX-HPL-VAR '!F55+'WE-VAR'!F55+BUG_VAR!F55</f>
        <v>-1716574</v>
      </c>
      <c r="G55" s="65">
        <f>STG_VAR!G55+ONT_VAR!G55+'CE-VAR'!G55+'EAST-EGM-VAR'!G55+'BGC-EGM-VAR'!G55+'EAST-LRC-VAR'!G55+'TX-EGM-VAR'!G55+'TX-HPL-VAR '!G55+'WE-VAR'!G55+BUG_VAR!G55</f>
        <v>-13561528</v>
      </c>
      <c r="H55" s="60">
        <f>F55-D55</f>
        <v>-1716574</v>
      </c>
      <c r="I55" s="38">
        <f>G55-E55</f>
        <v>3214004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-19208396.27</v>
      </c>
      <c r="F56" s="61">
        <f t="shared" si="10"/>
        <v>-93190972</v>
      </c>
      <c r="G56" s="39">
        <f t="shared" si="10"/>
        <v>-17188329.16</v>
      </c>
      <c r="H56" s="61">
        <f t="shared" si="10"/>
        <v>-93190972</v>
      </c>
      <c r="I56" s="39">
        <f t="shared" si="10"/>
        <v>2020067.1100000008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3034645</v>
      </c>
      <c r="G59" s="65">
        <f>STG_VAR!G59+ONT_VAR!G59+'CE-VAR'!G59+'EAST-EGM-VAR'!G59+'BGC-EGM-VAR'!G59+'EAST-LRC-VAR'!G59+'TX-EGM-VAR'!G59+'TX-HPL-VAR '!G59+'WE-VAR'!G59+BUG_VAR!G59</f>
        <v>53876.2</v>
      </c>
      <c r="H59" s="60">
        <f>F59-D59</f>
        <v>3034645</v>
      </c>
      <c r="I59" s="38">
        <f>G59-E59</f>
        <v>53876.2</v>
      </c>
    </row>
    <row r="60" spans="1:9" x14ac:dyDescent="0.2">
      <c r="A60" s="9">
        <v>27</v>
      </c>
      <c r="B60" s="11"/>
      <c r="C60" s="18" t="s">
        <v>62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96833</v>
      </c>
      <c r="H60" s="60">
        <f>F60-D60</f>
        <v>0</v>
      </c>
      <c r="I60" s="38">
        <f>G60-E60</f>
        <v>96833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3034645</v>
      </c>
      <c r="G61" s="70">
        <f t="shared" si="11"/>
        <v>150709.20000000001</v>
      </c>
      <c r="H61" s="69">
        <f t="shared" si="11"/>
        <v>3034645</v>
      </c>
      <c r="I61" s="70">
        <f t="shared" si="11"/>
        <v>150709.20000000001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70884</v>
      </c>
      <c r="F64" s="65">
        <f>STG_VAR!F64+ONT_VAR!F64+'CE-VAR'!F64+'EAST-EGM-VAR'!F64+'BGC-EGM-VAR'!F64+'EAST-LRC-VAR'!F64+'TX-EGM-VAR'!F64+'TX-HPL-VAR '!F64+'WE-VAR'!F64+BUG_VAR!F64</f>
        <v>-80932585</v>
      </c>
      <c r="G64" s="65">
        <f>STG_VAR!G64+ONT_VAR!G64+'CE-VAR'!G64+'EAST-EGM-VAR'!G64+'BGC-EGM-VAR'!G64+'EAST-LRC-VAR'!G64+'TX-EGM-VAR'!G64+'TX-HPL-VAR '!G64+'WE-VAR'!G64+BUG_VAR!G64</f>
        <v>-3683821.3000000007</v>
      </c>
      <c r="H64" s="60">
        <f>F64-D64</f>
        <v>-80932585</v>
      </c>
      <c r="I64" s="38">
        <f>G64-E64</f>
        <v>-3754705.3000000007</v>
      </c>
    </row>
    <row r="65" spans="1:9" x14ac:dyDescent="0.2">
      <c r="A65" s="9">
        <v>29</v>
      </c>
      <c r="B65" s="11"/>
      <c r="C65" s="18" t="s">
        <v>65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22202788</v>
      </c>
      <c r="G65" s="65">
        <f>STG_VAR!G65+ONT_VAR!G65+'CE-VAR'!G65+'EAST-EGM-VAR'!G65+'BGC-EGM-VAR'!G65+'EAST-LRC-VAR'!G65+'TX-EGM-VAR'!G65+'TX-HPL-VAR '!G65+'WE-VAR'!G65+BUG_VAR!G65</f>
        <v>3509396.36</v>
      </c>
      <c r="H65" s="60">
        <f>F65-D65</f>
        <v>22202788</v>
      </c>
      <c r="I65" s="38">
        <f>G65-E65</f>
        <v>3509396.36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70884</v>
      </c>
      <c r="F66" s="61">
        <f t="shared" si="12"/>
        <v>-58729797</v>
      </c>
      <c r="G66" s="39">
        <f t="shared" si="12"/>
        <v>-174424.94000000088</v>
      </c>
      <c r="H66" s="61">
        <f t="shared" si="12"/>
        <v>-58729797</v>
      </c>
      <c r="I66" s="39">
        <f t="shared" si="12"/>
        <v>-245308.94000000088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7219918.0133007979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24661614.009999998</v>
      </c>
      <c r="H70" s="60">
        <f>F70-D70</f>
        <v>0</v>
      </c>
      <c r="I70" s="38">
        <f>G70-E70</f>
        <v>17441695.996699199</v>
      </c>
    </row>
    <row r="71" spans="1:9" x14ac:dyDescent="0.2">
      <c r="A71" s="9">
        <v>31</v>
      </c>
      <c r="B71" s="3"/>
      <c r="C71" s="10" t="s">
        <v>70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-10745855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-10431488.15</v>
      </c>
      <c r="H71" s="60">
        <f>F71-D71</f>
        <v>0</v>
      </c>
      <c r="I71" s="38">
        <f>G71-E71</f>
        <v>314366.84999999963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-3525936.9866992021</v>
      </c>
      <c r="F72" s="69">
        <f t="shared" si="13"/>
        <v>0</v>
      </c>
      <c r="G72" s="70">
        <f t="shared" si="13"/>
        <v>14230125.859999998</v>
      </c>
      <c r="H72" s="69">
        <f t="shared" si="13"/>
        <v>0</v>
      </c>
      <c r="I72" s="70">
        <f t="shared" si="13"/>
        <v>17756062.846699201</v>
      </c>
    </row>
    <row r="73" spans="1:9" x14ac:dyDescent="0.2">
      <c r="A73" s="9">
        <v>32</v>
      </c>
      <c r="B73" s="3"/>
      <c r="C73" s="10" t="s">
        <v>72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2712566.4688235298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5561609.6300000008</v>
      </c>
      <c r="H74" s="60">
        <f t="shared" ref="H74:I79" si="14">F74-D74</f>
        <v>0</v>
      </c>
      <c r="I74" s="38">
        <f t="shared" si="14"/>
        <v>2849043.161176471</v>
      </c>
    </row>
    <row r="75" spans="1:9" x14ac:dyDescent="0.2">
      <c r="A75" s="9">
        <v>34</v>
      </c>
      <c r="B75" s="3"/>
      <c r="C75" s="10" t="s">
        <v>74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966483.5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966600</v>
      </c>
      <c r="H75" s="60">
        <f t="shared" si="14"/>
        <v>0</v>
      </c>
      <c r="I75" s="38">
        <f t="shared" si="14"/>
        <v>116.5</v>
      </c>
    </row>
    <row r="76" spans="1:9" x14ac:dyDescent="0.2">
      <c r="A76" s="9">
        <v>35</v>
      </c>
      <c r="B76" s="3"/>
      <c r="C76" s="10" t="s">
        <v>75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-22952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-342090.16</v>
      </c>
      <c r="H76" s="60">
        <f t="shared" si="14"/>
        <v>0</v>
      </c>
      <c r="I76" s="38">
        <f t="shared" si="14"/>
        <v>-319138.15999999997</v>
      </c>
    </row>
    <row r="77" spans="1:9" x14ac:dyDescent="0.2">
      <c r="A77" s="9">
        <v>36</v>
      </c>
      <c r="B77" s="3"/>
      <c r="C77" s="10" t="s">
        <v>76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-1335109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-3933809</v>
      </c>
      <c r="H77" s="60">
        <f t="shared" si="14"/>
        <v>0</v>
      </c>
      <c r="I77" s="38">
        <f t="shared" si="14"/>
        <v>-2598700</v>
      </c>
    </row>
    <row r="78" spans="1:9" x14ac:dyDescent="0.2">
      <c r="A78" s="9">
        <v>37</v>
      </c>
      <c r="B78" s="3"/>
      <c r="C78" s="10" t="s">
        <v>77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24523.945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78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14466475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0</v>
      </c>
      <c r="H79" s="60">
        <f t="shared" si="14"/>
        <v>0</v>
      </c>
      <c r="I79" s="38">
        <f t="shared" si="14"/>
        <v>-14466475</v>
      </c>
    </row>
    <row r="80" spans="1:9" x14ac:dyDescent="0.2">
      <c r="A80" s="9">
        <v>39</v>
      </c>
      <c r="B80" s="3"/>
      <c r="C80" s="10" t="s">
        <v>79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80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1758437</v>
      </c>
      <c r="F81" s="65">
        <f>STG_VAR!F81+ONT_VAR!F81+'CE-VAR'!F81+'EAST-EGM-VAR'!F81+'BGC-EGM-VAR'!F81+'EAST-LRC-VAR'!F81+'TX-EGM-VAR'!F81+'TX-HPL-VAR '!F81+'WE-VAR'!F81+BUG_VAR!F81</f>
        <v>-31269</v>
      </c>
      <c r="G81" s="65">
        <f>STG_VAR!G81+ONT_VAR!G81+'CE-VAR'!G81+'EAST-EGM-VAR'!G81+'BGC-EGM-VAR'!G81+'EAST-LRC-VAR'!G81+'TX-EGM-VAR'!G81+'TX-HPL-VAR '!G81+'WE-VAR'!G81+BUG_VAR!G81</f>
        <v>527590.42000000004</v>
      </c>
      <c r="H81" s="60">
        <f>F81-D81</f>
        <v>-31269</v>
      </c>
      <c r="I81" s="38">
        <f>G81-E81</f>
        <v>-1230846.58</v>
      </c>
    </row>
    <row r="82" spans="1:9" s="49" customFormat="1" ht="20.25" customHeight="1" thickBot="1" x14ac:dyDescent="0.25">
      <c r="A82" s="89"/>
      <c r="B82" s="90"/>
      <c r="C82" s="91" t="s">
        <v>81</v>
      </c>
      <c r="D82" s="92">
        <f>D16+D24+D29+D36+D43+D45+D47+D49</f>
        <v>0</v>
      </c>
      <c r="E82" s="93">
        <f>SUM(E72:E81)+E16+E24+E29+E36+E43+E45+E47+E49+E51+E56+E61+E66</f>
        <v>1583763.637191195</v>
      </c>
      <c r="F82" s="92">
        <f>F16+F24+F29+F36+F43+F45+F47+F49</f>
        <v>-8178</v>
      </c>
      <c r="G82" s="93">
        <f>SUM(G72:G81)+G16+G24+G29+G36+G43+G45+G47+G49+G51+G56+G61+G66</f>
        <v>2514044.9165998599</v>
      </c>
      <c r="H82" s="92">
        <f>H16+H24+H29+H36+H43+H45+H47+H49</f>
        <v>-8178</v>
      </c>
      <c r="I82" s="93">
        <f>SUM(I72:I81)+I16+I24+I29+I36+I43+I45+I47+I49+I51+I56+I61+I66</f>
        <v>930281.27940880577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171</v>
      </c>
      <c r="B85" s="3"/>
      <c r="F85" s="31"/>
      <c r="G85" s="31"/>
      <c r="H85" s="31"/>
      <c r="I85" s="31"/>
    </row>
    <row r="86" spans="1:9" x14ac:dyDescent="0.2">
      <c r="A86" s="172"/>
      <c r="B86" s="3"/>
      <c r="C86" s="10" t="s">
        <v>175</v>
      </c>
      <c r="D86" s="173">
        <f>STG_VAR!D86+ONT_VAR!D86+'CE-VAR'!D86+'EAST-EGM-VAR'!D86+'BGC-EGM-VAR'!D86+'EAST-LRC-VAR'!D86+'TX-EGM-VAR'!D86+'TX-HPL-VAR '!D86+'WE-VAR'!D86+BUG_VAR!D86</f>
        <v>0</v>
      </c>
      <c r="E86" s="173">
        <f>STG_VAR!E86+ONT_VAR!E86+'CE-VAR'!E86+'EAST-EGM-VAR'!E86+'BGC-EGM-VAR'!E86+'EAST-LRC-VAR'!E86+'TX-EGM-VAR'!E86+'TX-HPL-VAR '!E86+'WE-VAR'!E86+BUG_VAR!E86</f>
        <v>508679</v>
      </c>
      <c r="F86" s="173">
        <f>STG_VAR!F86+ONT_VAR!F86+'CE-VAR'!F86+'EAST-EGM-VAR'!F86+'BGC-EGM-VAR'!F86+'EAST-LRC-VAR'!F86+'TX-EGM-VAR'!F86+'TX-HPL-VAR '!F86+'WE-VAR'!F86+BUG_VAR!F86</f>
        <v>0</v>
      </c>
      <c r="G86" s="173">
        <f>STG_VAR!G86+ONT_VAR!G86+'CE-VAR'!G86+'EAST-EGM-VAR'!G86+'BGC-EGM-VAR'!G86+'EAST-LRC-VAR'!G86+'TX-EGM-VAR'!G86+'TX-HPL-VAR '!G86+'WE-VAR'!G86+BUG_VAR!G86</f>
        <v>479591.38999999996</v>
      </c>
      <c r="H86" s="173">
        <f t="shared" ref="H86:I88" si="15">F86-D86</f>
        <v>0</v>
      </c>
      <c r="I86" s="173">
        <f t="shared" si="15"/>
        <v>-29087.610000000044</v>
      </c>
    </row>
    <row r="87" spans="1:9" x14ac:dyDescent="0.2">
      <c r="A87" s="172"/>
      <c r="B87" s="3"/>
      <c r="C87" s="10" t="s">
        <v>73</v>
      </c>
      <c r="D87" s="174">
        <f>STG_VAR!D87+ONT_VAR!D87+'CE-VAR'!D87+'EAST-EGM-VAR'!D87+'BGC-EGM-VAR'!D87+'EAST-LRC-VAR'!D87+'TX-EGM-VAR'!D87+'TX-HPL-VAR '!D87+'WE-VAR'!D87+BUG_VAR!D87</f>
        <v>0</v>
      </c>
      <c r="E87" s="174">
        <f>STG_VAR!E87+ONT_VAR!E87+'CE-VAR'!E87+'EAST-EGM-VAR'!E87+'BGC-EGM-VAR'!E87+'EAST-LRC-VAR'!E87+'TX-EGM-VAR'!E87+'TX-HPL-VAR '!E87+'WE-VAR'!E87+BUG_VAR!E87</f>
        <v>0</v>
      </c>
      <c r="F87" s="174">
        <f>STG_VAR!F87+ONT_VAR!F87+'CE-VAR'!F87+'EAST-EGM-VAR'!F87+'BGC-EGM-VAR'!F87+'EAST-LRC-VAR'!F87+'TX-EGM-VAR'!F87+'TX-HPL-VAR '!F87+'WE-VAR'!F87+BUG_VAR!F87</f>
        <v>0</v>
      </c>
      <c r="G87" s="174">
        <f>STG_VAR!G87+ONT_VAR!G87+'CE-VAR'!G87+'EAST-EGM-VAR'!G87+'BGC-EGM-VAR'!G87+'EAST-LRC-VAR'!G87+'TX-EGM-VAR'!G87+'TX-HPL-VAR '!G87+'WE-VAR'!G87+BUG_VAR!G87</f>
        <v>0</v>
      </c>
      <c r="H87" s="174">
        <f t="shared" si="15"/>
        <v>0</v>
      </c>
      <c r="I87" s="174">
        <f t="shared" si="15"/>
        <v>0</v>
      </c>
    </row>
    <row r="88" spans="1:9" x14ac:dyDescent="0.2">
      <c r="A88" s="172"/>
      <c r="B88" s="3"/>
      <c r="C88" s="10" t="s">
        <v>74</v>
      </c>
      <c r="D88" s="175">
        <f>STG_VAR!D88+ONT_VAR!D88+'CE-VAR'!D88+'EAST-EGM-VAR'!D88+'BGC-EGM-VAR'!D88+'EAST-LRC-VAR'!D88+'TX-EGM-VAR'!D88+'TX-HPL-VAR '!D88+'WE-VAR'!D88+BUG_VAR!D88</f>
        <v>0</v>
      </c>
      <c r="E88" s="175">
        <f>STG_VAR!E88+ONT_VAR!E88+'CE-VAR'!E88+'EAST-EGM-VAR'!E88+'BGC-EGM-VAR'!E88+'EAST-LRC-VAR'!E88+'TX-EGM-VAR'!E88+'TX-HPL-VAR '!E88+'WE-VAR'!E88+BUG_VAR!E88</f>
        <v>-113464</v>
      </c>
      <c r="F88" s="175">
        <f>STG_VAR!F88+ONT_VAR!F88+'CE-VAR'!F88+'EAST-EGM-VAR'!F88+'BGC-EGM-VAR'!F88+'EAST-LRC-VAR'!F88+'TX-EGM-VAR'!F88+'TX-HPL-VAR '!F88+'WE-VAR'!F88+BUG_VAR!F88</f>
        <v>0</v>
      </c>
      <c r="G88" s="175">
        <f>STG_VAR!G88+ONT_VAR!G88+'CE-VAR'!G88+'EAST-EGM-VAR'!G88+'BGC-EGM-VAR'!G88+'EAST-LRC-VAR'!G88+'TX-EGM-VAR'!G88+'TX-HPL-VAR '!G88+'WE-VAR'!G88+BUG_VAR!G88</f>
        <v>-51248</v>
      </c>
      <c r="H88" s="175">
        <f t="shared" si="15"/>
        <v>0</v>
      </c>
      <c r="I88" s="175">
        <f t="shared" si="15"/>
        <v>62216</v>
      </c>
    </row>
    <row r="89" spans="1:9" s="143" customFormat="1" x14ac:dyDescent="0.2">
      <c r="A89" s="186"/>
      <c r="B89" s="187"/>
      <c r="C89" s="185" t="s">
        <v>178</v>
      </c>
      <c r="D89" s="188">
        <f t="shared" ref="D89:I89" si="16">SUM(D86:D88)</f>
        <v>0</v>
      </c>
      <c r="E89" s="188">
        <f t="shared" si="16"/>
        <v>395215</v>
      </c>
      <c r="F89" s="188">
        <f t="shared" si="16"/>
        <v>0</v>
      </c>
      <c r="G89" s="188">
        <f t="shared" si="16"/>
        <v>428343.38999999996</v>
      </c>
      <c r="H89" s="188">
        <f t="shared" si="16"/>
        <v>0</v>
      </c>
      <c r="I89" s="188">
        <f t="shared" si="16"/>
        <v>33128.389999999956</v>
      </c>
    </row>
    <row r="90" spans="1:9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9" s="143" customFormat="1" x14ac:dyDescent="0.2">
      <c r="A91" s="186"/>
      <c r="B91" s="187"/>
      <c r="C91" s="185" t="s">
        <v>181</v>
      </c>
      <c r="D91" s="188">
        <f t="shared" ref="D91:I91" si="17">+D82+D89</f>
        <v>0</v>
      </c>
      <c r="E91" s="188">
        <f t="shared" si="17"/>
        <v>1978978.637191195</v>
      </c>
      <c r="F91" s="188">
        <f t="shared" si="17"/>
        <v>-8178</v>
      </c>
      <c r="G91" s="188">
        <f t="shared" si="17"/>
        <v>2942388.3065998601</v>
      </c>
      <c r="H91" s="188">
        <f t="shared" si="17"/>
        <v>-8178</v>
      </c>
      <c r="I91" s="188">
        <f t="shared" si="17"/>
        <v>963409.66940880567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5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M10" activePane="bottomRight" state="frozen"/>
      <selection activeCell="A5" sqref="A5"/>
      <selection pane="topRight" activeCell="A5" sqref="A5"/>
      <selection pane="bottomLeft" activeCell="A5" sqref="A5"/>
      <selection pane="bottomRight" activeCell="U12" sqref="U1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83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9905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165</v>
      </c>
      <c r="W8" s="27"/>
      <c r="X8" s="26" t="s">
        <v>115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6">
        <f t="shared" ref="D11:E15" si="0">F11+H11+J11+L11+N11+P11+R11+T11+V11+X11</f>
        <v>0</v>
      </c>
      <c r="E11" s="66">
        <f t="shared" si="0"/>
        <v>-879386</v>
      </c>
      <c r="F11" s="60"/>
      <c r="G11" s="38">
        <f>-879386-1401510</f>
        <v>-2280896</v>
      </c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>
        <v>1401510</v>
      </c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6">
        <f t="shared" si="0"/>
        <v>0</v>
      </c>
      <c r="E12" s="66">
        <f t="shared" si="0"/>
        <v>-1897631</v>
      </c>
      <c r="F12" s="60"/>
      <c r="G12" s="38">
        <v>0</v>
      </c>
      <c r="H12" s="60"/>
      <c r="I12" s="38">
        <v>-406701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-1401510</v>
      </c>
      <c r="T12" s="60"/>
      <c r="U12" s="38">
        <f>89420-178840</f>
        <v>-89420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29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6">
        <f t="shared" si="0"/>
        <v>0</v>
      </c>
      <c r="E15" s="66">
        <f t="shared" si="0"/>
        <v>-1452777.74</v>
      </c>
      <c r="F15" s="60"/>
      <c r="G15" s="38">
        <f>-809669.11-643108.63</f>
        <v>-1452777.74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M16" si="1">SUM(D11:D15)</f>
        <v>0</v>
      </c>
      <c r="E16" s="39">
        <f t="shared" si="1"/>
        <v>-4229794.74</v>
      </c>
      <c r="F16" s="61">
        <f t="shared" si="1"/>
        <v>0</v>
      </c>
      <c r="G16" s="39">
        <f t="shared" si="1"/>
        <v>-3733673.74</v>
      </c>
      <c r="H16" s="61">
        <f t="shared" si="1"/>
        <v>0</v>
      </c>
      <c r="I16" s="39">
        <f t="shared" si="1"/>
        <v>-406701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-89420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>
        <v>0</v>
      </c>
      <c r="H19" s="60"/>
      <c r="I19" s="38">
        <v>0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29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0</v>
      </c>
      <c r="T41" s="60"/>
      <c r="U41" s="38">
        <v>0</v>
      </c>
      <c r="V41" s="60"/>
      <c r="W41" s="38"/>
      <c r="X41" s="60"/>
      <c r="Y41" s="38"/>
    </row>
    <row r="42" spans="1:25" x14ac:dyDescent="0.2">
      <c r="A42" s="9"/>
      <c r="B42" s="7"/>
      <c r="C42" s="53" t="s">
        <v>50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>
        <v>-18891</v>
      </c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18891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>
        <v>-44824</v>
      </c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>
        <v>44824</v>
      </c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6">
        <f>F55+H55+J55+L55+N55+P55+R55+T55+V55+X55</f>
        <v>0</v>
      </c>
      <c r="E55" s="66">
        <f>G55+I55+K55+M55+O55+Q55+S55+U55+W55+Y55</f>
        <v>2332163.7399999998</v>
      </c>
      <c r="F55" s="60"/>
      <c r="G55" s="38">
        <f>879386+19890+1218068</f>
        <v>2117344</v>
      </c>
      <c r="H55" s="60"/>
      <c r="I55" s="38">
        <v>643108.63</v>
      </c>
      <c r="J55" s="60"/>
      <c r="K55" s="38"/>
      <c r="L55" s="60"/>
      <c r="M55" s="38"/>
      <c r="N55" s="60"/>
      <c r="O55" s="38">
        <v>809669.11</v>
      </c>
      <c r="P55" s="60"/>
      <c r="Q55" s="38"/>
      <c r="R55" s="60"/>
      <c r="S55" s="38"/>
      <c r="T55" s="60"/>
      <c r="U55" s="38"/>
      <c r="V55" s="60"/>
      <c r="W55" s="38">
        <f>-19890-1218068</f>
        <v>-1237958</v>
      </c>
      <c r="X55" s="60"/>
      <c r="Y55" s="38"/>
    </row>
    <row r="56" spans="1:25" x14ac:dyDescent="0.2">
      <c r="A56" s="9"/>
      <c r="B56" s="7" t="s">
        <v>59</v>
      </c>
      <c r="C56" s="6"/>
      <c r="D56" s="61">
        <f t="shared" ref="D56:M56" si="16">SUM(D54:D55)</f>
        <v>0</v>
      </c>
      <c r="E56" s="39">
        <f t="shared" si="16"/>
        <v>2332163.7399999998</v>
      </c>
      <c r="F56" s="61">
        <f t="shared" si="16"/>
        <v>0</v>
      </c>
      <c r="G56" s="39">
        <f t="shared" si="16"/>
        <v>2072520</v>
      </c>
      <c r="H56" s="61">
        <f t="shared" si="16"/>
        <v>0</v>
      </c>
      <c r="I56" s="39">
        <f t="shared" si="16"/>
        <v>643108.63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809669.11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44824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-1237958</v>
      </c>
      <c r="X56" s="61">
        <f t="shared" si="17"/>
        <v>0</v>
      </c>
      <c r="Y56" s="39">
        <f t="shared" si="17"/>
        <v>0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62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129169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-129169</v>
      </c>
    </row>
    <row r="71" spans="1:25" x14ac:dyDescent="0.2">
      <c r="A71" s="9">
        <v>31</v>
      </c>
      <c r="B71" s="3"/>
      <c r="C71" s="10" t="s">
        <v>70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71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129169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-129169</v>
      </c>
    </row>
    <row r="73" spans="1:25" x14ac:dyDescent="0.2">
      <c r="A73" s="9">
        <v>32</v>
      </c>
      <c r="B73" s="3"/>
      <c r="C73" s="10" t="s">
        <v>72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6">
        <f t="shared" si="24"/>
        <v>0</v>
      </c>
      <c r="E74" s="66">
        <f t="shared" si="24"/>
        <v>1897631</v>
      </c>
      <c r="F74" s="60"/>
      <c r="G74" s="38">
        <f>473930+99758-109834+219668-100000</f>
        <v>583522</v>
      </c>
      <c r="H74" s="60"/>
      <c r="I74" s="38">
        <f>406701-2466562</f>
        <v>-2059861</v>
      </c>
      <c r="J74" s="60"/>
      <c r="K74" s="38"/>
      <c r="L74" s="60"/>
      <c r="M74" s="38"/>
      <c r="N74" s="60"/>
      <c r="O74" s="38">
        <v>24800</v>
      </c>
      <c r="P74" s="60"/>
      <c r="Q74" s="38"/>
      <c r="R74" s="60"/>
      <c r="S74" s="38">
        <f>-5000+310000+1401510-99758</f>
        <v>1606752</v>
      </c>
      <c r="T74" s="60"/>
      <c r="U74" s="38">
        <f>5000-310000+2466562+109834-89420-24800-219668+100000+178840</f>
        <v>2216348</v>
      </c>
      <c r="V74" s="60"/>
      <c r="W74" s="38">
        <v>-473930</v>
      </c>
      <c r="X74" s="60"/>
      <c r="Y74" s="38"/>
    </row>
    <row r="75" spans="1:25" x14ac:dyDescent="0.2">
      <c r="A75" s="9">
        <v>34</v>
      </c>
      <c r="B75" s="3"/>
      <c r="C75" s="10" t="s">
        <v>74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75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>
        <v>-190000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190000</v>
      </c>
      <c r="V77" s="60"/>
      <c r="W77" s="38"/>
      <c r="X77" s="60"/>
      <c r="Y77" s="38"/>
    </row>
    <row r="78" spans="1:25" x14ac:dyDescent="0.2">
      <c r="A78" s="9">
        <v>37</v>
      </c>
      <c r="B78" s="3"/>
      <c r="C78" s="10" t="s">
        <v>77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-4.6566128730773926E-10</v>
      </c>
      <c r="F82" s="92">
        <f>F16+F24+F29+F36+F43+F45+F47+F49</f>
        <v>0</v>
      </c>
      <c r="G82" s="93">
        <f>SUM(G72:G81)+G16+G24+G29+G36+G43+G45+G47+G49+G51+G56+G61+G66</f>
        <v>-1096522.7400000002</v>
      </c>
      <c r="H82" s="92">
        <f>H16+H24+H29+H36+H43+H45+H47+H49</f>
        <v>0</v>
      </c>
      <c r="I82" s="93">
        <f>SUM(I72:I81)+I16+I24+I29+I36+I43+I45+I47+I49+I51+I56+I61+I66</f>
        <v>-1884284.37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834469.11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1670467</v>
      </c>
      <c r="T82" s="92">
        <f>T16+T24+T29+T36+T43+T45+T47+T49</f>
        <v>0</v>
      </c>
      <c r="U82" s="93">
        <f>SUM(U72:U81)+U16+U24+U29+U36+U43+U45+U47+U49+U51+U56+U61+U66</f>
        <v>2316928</v>
      </c>
      <c r="V82" s="92">
        <f>V16+V24+V29+V36+V43+V45+V47+V49</f>
        <v>0</v>
      </c>
      <c r="W82" s="93">
        <f>SUM(W72:W81)+W16+W24+W29+W36+W43+W45+W47+W49+W51+W56+W61+W66</f>
        <v>-1711888</v>
      </c>
      <c r="X82" s="92">
        <f>X16+X24+X29+X36+X43+X45+X47+X49</f>
        <v>0</v>
      </c>
      <c r="Y82" s="93">
        <f>SUM(Y72:Y81)+Y16+Y24+Y29+Y36+Y43+Y45+Y47+Y49+Y51+Y56+Y61+Y66</f>
        <v>-129169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8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R73" activePane="bottomRight" state="frozen"/>
      <selection activeCell="A5" sqref="A5"/>
      <selection pane="topRight" activeCell="A5" sqref="A5"/>
      <selection pane="bottomLeft" activeCell="A5" sqref="A5"/>
      <selection pane="bottomRight" activeCell="W74" sqref="W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1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94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86</v>
      </c>
      <c r="B2" s="46"/>
      <c r="C2" s="1"/>
      <c r="D2" s="13"/>
      <c r="E2" s="194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42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94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9905</v>
      </c>
      <c r="B5" s="48"/>
      <c r="C5" s="5"/>
      <c r="D5" s="13"/>
      <c r="E5" s="194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94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19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165</v>
      </c>
      <c r="W8" s="27"/>
      <c r="X8" s="26" t="s">
        <v>115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19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19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0">
        <f t="shared" ref="D11:E15" si="0">F11+H11+J11+L11+N11+P11+R11+T11+V11+X11</f>
        <v>0</v>
      </c>
      <c r="E11" s="198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0">
        <f t="shared" si="0"/>
        <v>0</v>
      </c>
      <c r="E12" s="161">
        <f t="shared" si="0"/>
        <v>-6666384.8399999999</v>
      </c>
      <c r="F12" s="65"/>
      <c r="G12" s="38">
        <f>-188733.53-4013475.1</f>
        <v>-4202208.63</v>
      </c>
      <c r="H12" s="65">
        <v>0</v>
      </c>
      <c r="I12" s="38">
        <f>-38405.49-1249455.59</f>
        <v>-1287861.08</v>
      </c>
      <c r="J12" s="65"/>
      <c r="K12" s="38">
        <f>14751.38</f>
        <v>14751.38</v>
      </c>
      <c r="L12" s="65"/>
      <c r="M12" s="38">
        <v>0</v>
      </c>
      <c r="N12" s="65"/>
      <c r="O12" s="38">
        <f>870479-4264.21</f>
        <v>866214.79</v>
      </c>
      <c r="P12" s="65"/>
      <c r="Q12" s="38">
        <f>-58139.01+63478.15</f>
        <v>5339.1399999999994</v>
      </c>
      <c r="R12" s="65"/>
      <c r="S12" s="38">
        <f>-125904.97-1517827.38</f>
        <v>-1643732.3499999999</v>
      </c>
      <c r="T12" s="65"/>
      <c r="U12" s="38">
        <v>0</v>
      </c>
      <c r="V12" s="65"/>
      <c r="W12" s="38">
        <v>-418888.09</v>
      </c>
      <c r="X12" s="65"/>
      <c r="Y12" s="38">
        <v>0</v>
      </c>
    </row>
    <row r="13" spans="1:25" x14ac:dyDescent="0.2">
      <c r="A13" s="9">
        <v>3</v>
      </c>
      <c r="B13" s="7"/>
      <c r="C13" s="18" t="s">
        <v>29</v>
      </c>
      <c r="D13" s="60">
        <f t="shared" si="0"/>
        <v>0</v>
      </c>
      <c r="E13" s="198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0">
        <f t="shared" si="0"/>
        <v>0</v>
      </c>
      <c r="E14" s="198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0">
        <f t="shared" si="0"/>
        <v>0</v>
      </c>
      <c r="E15" s="198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Y16" si="1">SUM(D11:D15)</f>
        <v>0</v>
      </c>
      <c r="E16" s="201">
        <f t="shared" si="1"/>
        <v>-6666384.8399999999</v>
      </c>
      <c r="F16" s="61">
        <f t="shared" si="1"/>
        <v>0</v>
      </c>
      <c r="G16" s="39">
        <f t="shared" si="1"/>
        <v>-4202208.63</v>
      </c>
      <c r="H16" s="61">
        <f t="shared" si="1"/>
        <v>0</v>
      </c>
      <c r="I16" s="39">
        <f t="shared" si="1"/>
        <v>-1287861.08</v>
      </c>
      <c r="J16" s="61">
        <f t="shared" si="1"/>
        <v>0</v>
      </c>
      <c r="K16" s="39">
        <f t="shared" si="1"/>
        <v>14751.38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866214.79</v>
      </c>
      <c r="P16" s="61">
        <f t="shared" si="1"/>
        <v>0</v>
      </c>
      <c r="Q16" s="39">
        <f t="shared" si="1"/>
        <v>5339.1399999999994</v>
      </c>
      <c r="R16" s="61">
        <f t="shared" si="1"/>
        <v>0</v>
      </c>
      <c r="S16" s="39">
        <f t="shared" si="1"/>
        <v>-1643732.3499999999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-418888.09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147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147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0">
        <f t="shared" ref="D19:E23" si="2">F19+H19+J19+L19+N19+P19+R19+T19+V19+X19</f>
        <v>0</v>
      </c>
      <c r="E19" s="198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0">
        <f t="shared" si="2"/>
        <v>0</v>
      </c>
      <c r="E20" s="161">
        <f t="shared" si="2"/>
        <v>-5797013.5700000003</v>
      </c>
      <c r="F20" s="65"/>
      <c r="G20" s="38">
        <f>128795.03-1003531.84</f>
        <v>-874736.80999999994</v>
      </c>
      <c r="H20" s="65"/>
      <c r="I20" s="38">
        <f>91202.16-3382333.37</f>
        <v>-3291131.21</v>
      </c>
      <c r="J20" s="65"/>
      <c r="K20" s="38">
        <v>2188.84</v>
      </c>
      <c r="L20" s="65"/>
      <c r="M20" s="38">
        <v>0</v>
      </c>
      <c r="N20" s="65"/>
      <c r="O20" s="38">
        <v>-1539812.8</v>
      </c>
      <c r="P20" s="65"/>
      <c r="Q20" s="38">
        <f>1091.14-13613.64</f>
        <v>-12522.5</v>
      </c>
      <c r="R20" s="65"/>
      <c r="S20" s="38">
        <f>58985.07-661658.81</f>
        <v>-602673.74000000011</v>
      </c>
      <c r="T20" s="65"/>
      <c r="U20" s="38">
        <v>0</v>
      </c>
      <c r="V20" s="65"/>
      <c r="W20" s="38">
        <v>521674.65</v>
      </c>
      <c r="X20" s="65"/>
      <c r="Y20" s="38">
        <v>0</v>
      </c>
    </row>
    <row r="21" spans="1:25" x14ac:dyDescent="0.2">
      <c r="A21" s="9">
        <v>8</v>
      </c>
      <c r="B21" s="7"/>
      <c r="C21" s="18" t="s">
        <v>29</v>
      </c>
      <c r="D21" s="60">
        <f t="shared" si="2"/>
        <v>0</v>
      </c>
      <c r="E21" s="198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0">
        <f t="shared" si="2"/>
        <v>0</v>
      </c>
      <c r="E22" s="198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0">
        <f t="shared" si="2"/>
        <v>0</v>
      </c>
      <c r="E23" s="198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Y24" si="3">SUM(D19:D23)</f>
        <v>0</v>
      </c>
      <c r="E24" s="201">
        <f t="shared" si="3"/>
        <v>-5797013.5700000003</v>
      </c>
      <c r="F24" s="61">
        <f t="shared" si="3"/>
        <v>0</v>
      </c>
      <c r="G24" s="39">
        <f t="shared" si="3"/>
        <v>-874736.80999999994</v>
      </c>
      <c r="H24" s="61">
        <f t="shared" si="3"/>
        <v>0</v>
      </c>
      <c r="I24" s="39">
        <f t="shared" si="3"/>
        <v>-3291131.21</v>
      </c>
      <c r="J24" s="61">
        <f t="shared" si="3"/>
        <v>0</v>
      </c>
      <c r="K24" s="39">
        <f t="shared" si="3"/>
        <v>2188.84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-1539812.8</v>
      </c>
      <c r="P24" s="61">
        <f t="shared" si="3"/>
        <v>0</v>
      </c>
      <c r="Q24" s="39">
        <f t="shared" si="3"/>
        <v>-12522.5</v>
      </c>
      <c r="R24" s="61">
        <f t="shared" si="3"/>
        <v>0</v>
      </c>
      <c r="S24" s="39">
        <f t="shared" si="3"/>
        <v>-602673.74000000011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521674.65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147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147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0">
        <f>F27+H27+J27+L27+N27+P27+R27+T27+V27+X27</f>
        <v>0</v>
      </c>
      <c r="E27" s="198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0">
        <f>F28+H28+J28+L28+N28+P28+R28+T28+V28+X28</f>
        <v>0</v>
      </c>
      <c r="E28" s="198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Y29" si="4">SUM(D27:D28)</f>
        <v>0</v>
      </c>
      <c r="E29" s="148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147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147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0">
        <f t="shared" ref="D32:E35" si="5">F32+H32+J32+L32+N32+P32+R32+T32+V32+X32</f>
        <v>0</v>
      </c>
      <c r="E32" s="198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0">
        <f t="shared" si="5"/>
        <v>0</v>
      </c>
      <c r="E33" s="198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0">
        <f t="shared" si="5"/>
        <v>0</v>
      </c>
      <c r="E34" s="198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0">
        <f t="shared" si="5"/>
        <v>0</v>
      </c>
      <c r="E35" s="198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148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147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147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0">
        <f t="shared" ref="D39:E41" si="7">F39+H39+J39+L39+N39+P39+R39+T39+V39+X39</f>
        <v>0</v>
      </c>
      <c r="E39" s="198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0">
        <f t="shared" si="7"/>
        <v>0</v>
      </c>
      <c r="E40" s="198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0">
        <f t="shared" si="7"/>
        <v>0</v>
      </c>
      <c r="E41" s="198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50</v>
      </c>
      <c r="D42" s="61">
        <f t="shared" ref="D42:Y42" si="8">SUM(D40:D41)</f>
        <v>0</v>
      </c>
      <c r="E42" s="148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Y43" si="9">D42+D39</f>
        <v>0</v>
      </c>
      <c r="E43" s="148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147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0">
        <f>F45+H45+J45+L45+N45+P45+R45+T45+V45+X45</f>
        <v>0</v>
      </c>
      <c r="E45" s="198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147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0">
        <f>F47+H47+J47+L47+N47+P47+R47+T47+V47+X47</f>
        <v>0</v>
      </c>
      <c r="E47" s="198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147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0">
        <f>F49+H49+J49+L49+N49+P49+R49+T49+V49+X49</f>
        <v>0</v>
      </c>
      <c r="E49" s="198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147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0">
        <f>F51+H51+J51+L51+N51+P51+R51+T51+V51+X51</f>
        <v>0</v>
      </c>
      <c r="E51" s="198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147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147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0">
        <f>F54+H54+J54+L54+N54+P54+R54+T54+V54+X54</f>
        <v>0</v>
      </c>
      <c r="E54" s="198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0">
        <f>F55+H55+J55+L55+N55+P55+R55+T55+V55+X55</f>
        <v>0</v>
      </c>
      <c r="E55" s="204">
        <f>G55+I55+K55+M55+O55+Q55+S55+U55+W55+Y55</f>
        <v>-992568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-992568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59</v>
      </c>
      <c r="C56" s="6"/>
      <c r="D56" s="61">
        <f t="shared" ref="D56:Y56" si="10">SUM(D54:D55)</f>
        <v>0</v>
      </c>
      <c r="E56" s="148">
        <f t="shared" si="10"/>
        <v>-992568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-992568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147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147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0">
        <f>F59+H59+J59+L59+N59+P59+R59+T59+V59+X59</f>
        <v>0</v>
      </c>
      <c r="E59" s="198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62</v>
      </c>
      <c r="D60" s="60">
        <f>F60+H60+J60+L60+N60+P60+R60+T60+V60+X60</f>
        <v>0</v>
      </c>
      <c r="E60" s="198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Y61" si="11">SUM(D59:D60)</f>
        <v>0</v>
      </c>
      <c r="E61" s="148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147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147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0">
        <f>F64+H64+J64+L64+N64+P64+R64+T64+V64+X64</f>
        <v>0</v>
      </c>
      <c r="E64" s="198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0">
        <f>F65+H65+J65+L65+N65+P65+R65+T65+V65+X65</f>
        <v>0</v>
      </c>
      <c r="E65" s="198">
        <f>G65+I65+K65+M65+O65+Q65+S65+U65+W65+Y65</f>
        <v>718772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>
        <v>-190641</v>
      </c>
      <c r="R65" s="60"/>
      <c r="S65" s="38">
        <f>869413+40000</f>
        <v>909413</v>
      </c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Y66" si="12">SUM(D64:D65)</f>
        <v>0</v>
      </c>
      <c r="E66" s="148">
        <f t="shared" si="12"/>
        <v>718772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-190641</v>
      </c>
      <c r="R66" s="61">
        <f t="shared" si="12"/>
        <v>0</v>
      </c>
      <c r="S66" s="39">
        <f t="shared" si="12"/>
        <v>909413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147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147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147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0">
        <f>F70+H70+J70+L70+N70+P70+R70+T70+V70+X70</f>
        <v>0</v>
      </c>
      <c r="E70" s="161">
        <f>G70+I70+K70+M70+O70+Q70+S70+U70+W70+Y70</f>
        <v>23619571.010000002</v>
      </c>
      <c r="F70" s="60"/>
      <c r="G70" s="38">
        <v>1086087</v>
      </c>
      <c r="H70" s="60"/>
      <c r="I70" s="38">
        <v>2849705.85</v>
      </c>
      <c r="J70" s="60"/>
      <c r="K70" s="38">
        <v>0</v>
      </c>
      <c r="L70" s="60"/>
      <c r="M70" s="38">
        <v>0</v>
      </c>
      <c r="N70" s="60"/>
      <c r="O70" s="38">
        <v>1493640</v>
      </c>
      <c r="P70" s="60"/>
      <c r="Q70" s="38">
        <v>0</v>
      </c>
      <c r="R70" s="60"/>
      <c r="S70" s="38">
        <v>250999.06</v>
      </c>
      <c r="T70" s="60"/>
      <c r="U70" s="38">
        <v>12765894</v>
      </c>
      <c r="V70" s="60"/>
      <c r="W70" s="38">
        <v>-808256.63</v>
      </c>
      <c r="X70" s="60"/>
      <c r="Y70" s="38">
        <v>5981501.7300000004</v>
      </c>
    </row>
    <row r="71" spans="1:25" x14ac:dyDescent="0.2">
      <c r="A71" s="9">
        <v>31</v>
      </c>
      <c r="B71" s="3"/>
      <c r="C71" s="10" t="s">
        <v>70</v>
      </c>
      <c r="D71" s="60">
        <f>F71+H71+J71+L71+N71+P71+R71+T71+V71+X71</f>
        <v>0</v>
      </c>
      <c r="E71" s="161">
        <f>G71+I71+K71+M71+O71+Q71+S71+U71+W71+Y71</f>
        <v>-10431488.15</v>
      </c>
      <c r="F71" s="60"/>
      <c r="G71" s="38">
        <v>-1513816.64</v>
      </c>
      <c r="H71" s="60"/>
      <c r="I71" s="38">
        <v>196194.06</v>
      </c>
      <c r="J71" s="60"/>
      <c r="K71" s="38">
        <v>0</v>
      </c>
      <c r="L71" s="60"/>
      <c r="M71" s="38">
        <v>0</v>
      </c>
      <c r="N71" s="60"/>
      <c r="O71" s="38">
        <v>-709561.76</v>
      </c>
      <c r="P71" s="60"/>
      <c r="Q71" s="38">
        <v>0</v>
      </c>
      <c r="R71" s="60"/>
      <c r="S71" s="38">
        <v>-1054678.81</v>
      </c>
      <c r="T71" s="60"/>
      <c r="U71" s="38">
        <v>0</v>
      </c>
      <c r="V71" s="60"/>
      <c r="W71" s="38">
        <v>420951</v>
      </c>
      <c r="X71" s="60"/>
      <c r="Y71" s="38">
        <v>-7770576</v>
      </c>
    </row>
    <row r="72" spans="1:25" x14ac:dyDescent="0.2">
      <c r="A72" s="9"/>
      <c r="B72" s="3"/>
      <c r="C72" s="55" t="s">
        <v>71</v>
      </c>
      <c r="D72" s="61">
        <f t="shared" ref="D72:Y72" si="13">SUM(D70:D71)</f>
        <v>0</v>
      </c>
      <c r="E72" s="201">
        <f t="shared" si="13"/>
        <v>13188082.860000001</v>
      </c>
      <c r="F72" s="61">
        <f t="shared" si="13"/>
        <v>0</v>
      </c>
      <c r="G72" s="39">
        <f t="shared" si="13"/>
        <v>-427729.6399999999</v>
      </c>
      <c r="H72" s="61">
        <f t="shared" si="13"/>
        <v>0</v>
      </c>
      <c r="I72" s="39">
        <f t="shared" si="13"/>
        <v>3045899.91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784078.24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-803679.75</v>
      </c>
      <c r="T72" s="61">
        <f t="shared" si="13"/>
        <v>0</v>
      </c>
      <c r="U72" s="39">
        <f t="shared" si="13"/>
        <v>12765894</v>
      </c>
      <c r="V72" s="61">
        <f t="shared" si="13"/>
        <v>0</v>
      </c>
      <c r="W72" s="39">
        <f t="shared" si="13"/>
        <v>-387305.63</v>
      </c>
      <c r="X72" s="61">
        <f t="shared" si="13"/>
        <v>0</v>
      </c>
      <c r="Y72" s="39">
        <f t="shared" si="13"/>
        <v>-1789074.2699999996</v>
      </c>
    </row>
    <row r="73" spans="1:25" x14ac:dyDescent="0.2">
      <c r="A73" s="9">
        <v>32</v>
      </c>
      <c r="B73" s="3"/>
      <c r="C73" s="10" t="s">
        <v>72</v>
      </c>
      <c r="D73" s="60">
        <f t="shared" ref="D73:D81" si="14">F73+H73+J73+L73+N73+P73+R73+T73+V73+X73</f>
        <v>0</v>
      </c>
      <c r="E73" s="198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0">
        <f t="shared" si="14"/>
        <v>0</v>
      </c>
      <c r="E74" s="161">
        <f t="shared" si="15"/>
        <v>2352883.48</v>
      </c>
      <c r="F74" s="65"/>
      <c r="G74" s="66">
        <v>555818</v>
      </c>
      <c r="H74" s="65"/>
      <c r="I74" s="66">
        <f>-922316-12621</f>
        <v>-934937</v>
      </c>
      <c r="J74" s="65"/>
      <c r="K74" s="66">
        <v>0</v>
      </c>
      <c r="L74" s="65"/>
      <c r="M74" s="66">
        <v>0</v>
      </c>
      <c r="N74" s="65"/>
      <c r="O74" s="66">
        <v>548223</v>
      </c>
      <c r="P74" s="65"/>
      <c r="Q74" s="66">
        <v>0</v>
      </c>
      <c r="R74" s="65"/>
      <c r="S74" s="66">
        <v>-748583</v>
      </c>
      <c r="T74" s="65"/>
      <c r="U74" s="66">
        <v>496770</v>
      </c>
      <c r="V74" s="65"/>
      <c r="W74" s="66">
        <f>52270+8794.48</f>
        <v>61064.479999999996</v>
      </c>
      <c r="X74" s="65"/>
      <c r="Y74" s="66">
        <v>2374528</v>
      </c>
    </row>
    <row r="75" spans="1:25" x14ac:dyDescent="0.2">
      <c r="A75" s="9">
        <v>34</v>
      </c>
      <c r="B75" s="3"/>
      <c r="C75" s="10" t="s">
        <v>74</v>
      </c>
      <c r="D75" s="60">
        <f t="shared" si="14"/>
        <v>0</v>
      </c>
      <c r="E75" s="161">
        <f t="shared" si="15"/>
        <v>966600</v>
      </c>
      <c r="F75" s="65"/>
      <c r="G75" s="38">
        <v>106300</v>
      </c>
      <c r="H75" s="65"/>
      <c r="I75" s="38">
        <v>667700</v>
      </c>
      <c r="J75" s="65"/>
      <c r="K75" s="38">
        <v>0</v>
      </c>
      <c r="L75" s="65"/>
      <c r="M75" s="38">
        <v>0</v>
      </c>
      <c r="N75" s="65"/>
      <c r="O75" s="38">
        <v>111300</v>
      </c>
      <c r="P75" s="65"/>
      <c r="Q75" s="38"/>
      <c r="R75" s="65"/>
      <c r="S75" s="38">
        <v>81300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75</v>
      </c>
      <c r="D76" s="60">
        <f t="shared" si="14"/>
        <v>0</v>
      </c>
      <c r="E76" s="161">
        <f t="shared" si="15"/>
        <v>-5660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-5660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0">
        <f t="shared" si="14"/>
        <v>0</v>
      </c>
      <c r="E77" s="161">
        <f t="shared" si="15"/>
        <v>-3933809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77</v>
      </c>
      <c r="D78" s="60">
        <f t="shared" si="14"/>
        <v>0</v>
      </c>
      <c r="E78" s="198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0">
        <f t="shared" si="14"/>
        <v>0</v>
      </c>
      <c r="E79" s="198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0">
        <f t="shared" si="14"/>
        <v>0</v>
      </c>
      <c r="E80" s="198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0">
        <f t="shared" si="14"/>
        <v>0</v>
      </c>
      <c r="E81" s="204">
        <f t="shared" si="15"/>
        <v>-551915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-551915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177</v>
      </c>
      <c r="D82" s="92">
        <f>D16+D24+D29+D36+D43+D45+D47+D49</f>
        <v>0</v>
      </c>
      <c r="E82" s="112">
        <f>SUM(E72:E81)+E16+E24+E29+E36+E43+E45+E47+E49+E51+E56+E61+E66</f>
        <v>-721012.06999999844</v>
      </c>
      <c r="F82" s="92">
        <f>F16+F24+F29+F36+F43+F45+F47+F49</f>
        <v>0</v>
      </c>
      <c r="G82" s="93">
        <f>SUM(G72:G81)+G16+G24+G29+G36+G43+G45+G47+G49+G51+G56+G61+G66</f>
        <v>-4842557.0799999991</v>
      </c>
      <c r="H82" s="92">
        <f>H16+H24+H29+H36+H43+H45+H47+H49</f>
        <v>0</v>
      </c>
      <c r="I82" s="93">
        <f>SUM(I72:I81)+I16+I24+I29+I36+I43+I45+I47+I49+I51+I56+I61+I66</f>
        <v>-4837138.38</v>
      </c>
      <c r="J82" s="92">
        <f>J16+J24+J29+J36+J43+J45+J47+J49</f>
        <v>0</v>
      </c>
      <c r="K82" s="93">
        <f>SUM(K72:K81)+K16+K24+K29+K36+K43+K45+K47+K49+K51+K56+K61+K66</f>
        <v>16940.22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770003.23000000021</v>
      </c>
      <c r="P82" s="92">
        <f>P16+P24+P29+P36+P43+P45+P47+P49</f>
        <v>0</v>
      </c>
      <c r="Q82" s="93">
        <f>SUM(Q72:Q81)+Q16+Q24+Q29+Q36+Q43+Q45+Q47+Q49+Q51+Q56+Q61+Q66</f>
        <v>-1190392.3599999999</v>
      </c>
      <c r="R82" s="92">
        <f>R16+R24+R29+R36+R43+R45+R47+R49</f>
        <v>0</v>
      </c>
      <c r="S82" s="93">
        <f>SUM(S72:S81)+S16+S24+S29+S36+S43+S45+S47+S49+S51+S56+S61+S66</f>
        <v>-2807955.84</v>
      </c>
      <c r="T82" s="92">
        <f>T16+T24+T29+T36+T43+T45+T47+T49</f>
        <v>0</v>
      </c>
      <c r="U82" s="93">
        <f>SUM(U72:U81)+U16+U24+U29+U36+U43+U45+U47+U49+U51+U56+U61+U66</f>
        <v>11808089</v>
      </c>
      <c r="V82" s="92">
        <f>V16+V24+V29+V36+V43+V45+V47+V49</f>
        <v>0</v>
      </c>
      <c r="W82" s="93">
        <f>SUM(W72:W81)+W16+W24+W29+W36+W43+W45+W47+W49+W51+W56+W61+W66</f>
        <v>-223454.58999999997</v>
      </c>
      <c r="X82" s="92">
        <f>X16+X24+X29+X36+X43+X45+X47+X49</f>
        <v>0</v>
      </c>
      <c r="Y82" s="93">
        <f>SUM(Y72:Y81)+Y16+Y24+Y29+Y36+Y43+Y45+Y47+Y49+Y51+Y56+Y61+Y66</f>
        <v>585453.73000000045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 t="s">
        <v>174</v>
      </c>
      <c r="B85" s="3"/>
      <c r="F85" s="31"/>
      <c r="G85" s="31"/>
      <c r="H85" s="31"/>
      <c r="I85" s="31"/>
      <c r="L85" s="45"/>
    </row>
    <row r="86" spans="1:26" s="3" customFormat="1" x14ac:dyDescent="0.2">
      <c r="A86" s="172"/>
      <c r="C86" s="10" t="s">
        <v>175</v>
      </c>
      <c r="D86" s="173">
        <f>F86+H86+J86+L86+N86+P86+R86+T86+V86+X86</f>
        <v>0</v>
      </c>
      <c r="E86" s="202">
        <f>G86+I86+K86+M86+O86+Q86+S86+U86+W86+Y86</f>
        <v>547152.39</v>
      </c>
      <c r="F86" s="173"/>
      <c r="G86" s="173"/>
      <c r="H86" s="173"/>
      <c r="I86" s="173">
        <v>812.96</v>
      </c>
      <c r="J86" s="173"/>
      <c r="K86" s="173"/>
      <c r="L86" s="173"/>
      <c r="M86" s="173"/>
      <c r="N86" s="173"/>
      <c r="O86" s="173"/>
      <c r="P86" s="173"/>
      <c r="Q86" s="173"/>
      <c r="R86" s="173"/>
      <c r="S86" s="173">
        <v>69330.429999999993</v>
      </c>
      <c r="T86" s="173"/>
      <c r="U86" s="173"/>
      <c r="V86" s="173"/>
      <c r="W86" s="173">
        <f>89703.37-W72</f>
        <v>477009</v>
      </c>
      <c r="X86" s="173"/>
      <c r="Y86" s="173"/>
    </row>
    <row r="87" spans="1:26" s="3" customFormat="1" x14ac:dyDescent="0.2">
      <c r="A87" s="172"/>
      <c r="C87" s="10" t="s">
        <v>73</v>
      </c>
      <c r="D87" s="174">
        <v>0</v>
      </c>
      <c r="E87" s="199">
        <f>G87+I87+K87+M87+O87+Q87+S87+U87+W87+Y87</f>
        <v>0</v>
      </c>
      <c r="F87" s="174">
        <v>0</v>
      </c>
      <c r="G87" s="174"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f>U87+W87+Y87+AA87+AC87+AE87+AG87+AI87+AK87+AM87</f>
        <v>0</v>
      </c>
      <c r="T87" s="174">
        <f>V87+X87+Z87+AB87+AD87+AF87+AH87+AJ87+AL87+AN87</f>
        <v>0</v>
      </c>
      <c r="U87" s="174"/>
      <c r="V87" s="174"/>
      <c r="W87" s="174"/>
      <c r="X87" s="174"/>
      <c r="Y87" s="174"/>
    </row>
    <row r="88" spans="1:26" s="3" customFormat="1" x14ac:dyDescent="0.2">
      <c r="A88" s="172"/>
      <c r="C88" s="10" t="s">
        <v>74</v>
      </c>
      <c r="D88" s="175">
        <v>0</v>
      </c>
      <c r="E88" s="200">
        <f>G88+I88+K88+M88+O88+Q88+S88+U88+W88+Y88</f>
        <v>-35600</v>
      </c>
      <c r="F88" s="175">
        <v>0</v>
      </c>
      <c r="G88" s="175">
        <v>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0</v>
      </c>
      <c r="R88" s="175">
        <v>0</v>
      </c>
      <c r="S88" s="175">
        <v>-35600</v>
      </c>
      <c r="T88" s="175">
        <f>V88+X88+Z88+AB88+AD88+AF88+AH88+AJ88+AL88+AN88</f>
        <v>0</v>
      </c>
      <c r="U88" s="175"/>
      <c r="V88" s="175"/>
      <c r="W88" s="175"/>
      <c r="X88" s="175"/>
      <c r="Y88" s="175"/>
    </row>
    <row r="89" spans="1:26" s="143" customFormat="1" ht="20.25" customHeight="1" x14ac:dyDescent="0.2">
      <c r="A89" s="186"/>
      <c r="B89" s="187"/>
      <c r="C89" s="189" t="s">
        <v>183</v>
      </c>
      <c r="D89" s="188">
        <f>SUM(D86:D88)</f>
        <v>0</v>
      </c>
      <c r="E89" s="188">
        <f t="shared" ref="E89:M89" si="16">SUM(E86:E88)</f>
        <v>511552.39</v>
      </c>
      <c r="F89" s="188">
        <f t="shared" si="16"/>
        <v>0</v>
      </c>
      <c r="G89" s="188">
        <f t="shared" si="16"/>
        <v>0</v>
      </c>
      <c r="H89" s="188">
        <f t="shared" si="16"/>
        <v>0</v>
      </c>
      <c r="I89" s="188">
        <f t="shared" si="16"/>
        <v>812.96</v>
      </c>
      <c r="J89" s="188">
        <f t="shared" si="16"/>
        <v>0</v>
      </c>
      <c r="K89" s="188">
        <f t="shared" si="16"/>
        <v>0</v>
      </c>
      <c r="L89" s="188">
        <f t="shared" si="16"/>
        <v>0</v>
      </c>
      <c r="M89" s="188">
        <f t="shared" si="16"/>
        <v>0</v>
      </c>
      <c r="N89" s="188">
        <f t="shared" ref="N89:Y89" si="17">SUM(N86:N88)</f>
        <v>0</v>
      </c>
      <c r="O89" s="188">
        <f t="shared" si="17"/>
        <v>0</v>
      </c>
      <c r="P89" s="188">
        <f t="shared" si="17"/>
        <v>0</v>
      </c>
      <c r="Q89" s="188">
        <f t="shared" si="17"/>
        <v>0</v>
      </c>
      <c r="R89" s="188">
        <f t="shared" si="17"/>
        <v>0</v>
      </c>
      <c r="S89" s="188">
        <f t="shared" si="17"/>
        <v>33730.429999999993</v>
      </c>
      <c r="T89" s="188">
        <f t="shared" si="17"/>
        <v>0</v>
      </c>
      <c r="U89" s="188">
        <f t="shared" si="17"/>
        <v>0</v>
      </c>
      <c r="V89" s="188">
        <f t="shared" si="17"/>
        <v>0</v>
      </c>
      <c r="W89" s="188">
        <f t="shared" si="17"/>
        <v>477009</v>
      </c>
      <c r="X89" s="188">
        <f t="shared" si="17"/>
        <v>0</v>
      </c>
      <c r="Y89" s="188">
        <f t="shared" si="17"/>
        <v>0</v>
      </c>
    </row>
    <row r="90" spans="1:26" x14ac:dyDescent="0.2">
      <c r="A90" s="4"/>
      <c r="B90" s="3"/>
      <c r="F90" s="31"/>
      <c r="G90" s="31"/>
      <c r="H90" s="31"/>
      <c r="I90" s="31"/>
    </row>
    <row r="91" spans="1:26" s="143" customFormat="1" ht="20.25" customHeight="1" x14ac:dyDescent="0.2">
      <c r="A91" s="186"/>
      <c r="B91" s="187"/>
      <c r="C91" s="185" t="s">
        <v>184</v>
      </c>
      <c r="D91" s="188">
        <f>+D82+D89</f>
        <v>0</v>
      </c>
      <c r="E91" s="188">
        <f t="shared" ref="E91:M91" si="18">+E82+E89</f>
        <v>-209459.67999999842</v>
      </c>
      <c r="F91" s="188">
        <f t="shared" si="18"/>
        <v>0</v>
      </c>
      <c r="G91" s="188">
        <f t="shared" si="18"/>
        <v>-4842557.0799999991</v>
      </c>
      <c r="H91" s="188">
        <f t="shared" si="18"/>
        <v>0</v>
      </c>
      <c r="I91" s="188">
        <f t="shared" si="18"/>
        <v>-4836325.42</v>
      </c>
      <c r="J91" s="188">
        <f t="shared" si="18"/>
        <v>0</v>
      </c>
      <c r="K91" s="188">
        <f t="shared" si="18"/>
        <v>16940.22</v>
      </c>
      <c r="L91" s="188">
        <f t="shared" si="18"/>
        <v>0</v>
      </c>
      <c r="M91" s="188">
        <f t="shared" si="18"/>
        <v>0</v>
      </c>
      <c r="N91" s="188">
        <f t="shared" ref="N91:Y91" si="19">+N82+N89</f>
        <v>0</v>
      </c>
      <c r="O91" s="188">
        <f t="shared" si="19"/>
        <v>770003.23000000021</v>
      </c>
      <c r="P91" s="188">
        <f t="shared" si="19"/>
        <v>0</v>
      </c>
      <c r="Q91" s="188">
        <f t="shared" si="19"/>
        <v>-1190392.3599999999</v>
      </c>
      <c r="R91" s="188">
        <f t="shared" si="19"/>
        <v>0</v>
      </c>
      <c r="S91" s="188">
        <f t="shared" si="19"/>
        <v>-2774225.4099999997</v>
      </c>
      <c r="T91" s="188">
        <f t="shared" si="19"/>
        <v>0</v>
      </c>
      <c r="U91" s="188">
        <f t="shared" si="19"/>
        <v>11808089</v>
      </c>
      <c r="V91" s="188">
        <f t="shared" si="19"/>
        <v>0</v>
      </c>
      <c r="W91" s="188">
        <f t="shared" si="19"/>
        <v>253554.41000000003</v>
      </c>
      <c r="X91" s="188">
        <f t="shared" si="19"/>
        <v>0</v>
      </c>
      <c r="Y91" s="188">
        <f t="shared" si="19"/>
        <v>585453.73000000045</v>
      </c>
    </row>
    <row r="92" spans="1:26" x14ac:dyDescent="0.2">
      <c r="A92" s="4"/>
      <c r="B92" s="3"/>
      <c r="D92" s="31">
        <v>0</v>
      </c>
      <c r="E92" s="191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">
      <c r="A93" s="4"/>
      <c r="B93" s="3"/>
    </row>
    <row r="94" spans="1:26" x14ac:dyDescent="0.2">
      <c r="A94" s="4"/>
      <c r="B94" s="3"/>
      <c r="E94" s="191">
        <f>+E12+E20+E74</f>
        <v>-10110514.93</v>
      </c>
      <c r="G94" s="191">
        <f>+G12+G20+G74</f>
        <v>-4521127.4399999995</v>
      </c>
      <c r="I94" s="191">
        <f>+I12+I20+I74</f>
        <v>-5513929.29</v>
      </c>
      <c r="K94" s="191">
        <f>+K12+K20+K74</f>
        <v>16940.22</v>
      </c>
      <c r="M94" s="191">
        <f>+M12+M20+M74</f>
        <v>0</v>
      </c>
      <c r="O94" s="191">
        <f>+O12+O20+O74</f>
        <v>-125375.01000000001</v>
      </c>
      <c r="Q94" s="191">
        <f>+Q12+Q20+Q74</f>
        <v>-7183.3600000000006</v>
      </c>
      <c r="S94" s="191">
        <f>+S12+S20+S74</f>
        <v>-2994989.09</v>
      </c>
      <c r="U94" s="191">
        <f>+U12+U20+U74</f>
        <v>496770</v>
      </c>
      <c r="W94" s="191">
        <f>+W12+W20+W74</f>
        <v>163851.03999999998</v>
      </c>
      <c r="Y94" s="191">
        <f>+Y12+Y20+Y74</f>
        <v>2374528</v>
      </c>
    </row>
    <row r="95" spans="1:26" x14ac:dyDescent="0.2">
      <c r="A95" s="4"/>
      <c r="B95" s="3"/>
      <c r="E95" s="191">
        <v>-10110515</v>
      </c>
    </row>
    <row r="96" spans="1:26" x14ac:dyDescent="0.2">
      <c r="A96" s="4"/>
      <c r="B96" s="3"/>
      <c r="E96" s="191">
        <f>+E94-E95</f>
        <v>7.0000000298023224E-2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A5" sqref="A5"/>
      <selection pane="topRight" activeCell="A5" sqref="A5"/>
      <selection pane="bottomLeft" activeCell="A5" sqref="A5"/>
      <selection pane="bottomRight" activeCell="E5" sqref="E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152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46055997</v>
      </c>
      <c r="E11" s="65">
        <v>105225079</v>
      </c>
      <c r="F11" s="60">
        <f>H11-D11</f>
        <v>0</v>
      </c>
      <c r="G11" s="37">
        <f>I11-E11</f>
        <v>0</v>
      </c>
      <c r="H11" s="65">
        <f t="shared" ref="H11:I15" si="0">D11</f>
        <v>46055997</v>
      </c>
      <c r="I11" s="66">
        <f t="shared" si="0"/>
        <v>105225079</v>
      </c>
      <c r="J11" s="37"/>
      <c r="K11" s="38"/>
      <c r="L11" s="60">
        <f t="shared" ref="L11:M15" si="1">H11+J11</f>
        <v>46055997</v>
      </c>
      <c r="M11" s="38">
        <f t="shared" si="1"/>
        <v>105225079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29</v>
      </c>
      <c r="D13" s="65">
        <v>20240342</v>
      </c>
      <c r="E13" s="65">
        <v>46092175</v>
      </c>
      <c r="F13" s="60">
        <f t="shared" si="2"/>
        <v>0</v>
      </c>
      <c r="G13" s="37">
        <f t="shared" si="2"/>
        <v>0</v>
      </c>
      <c r="H13" s="65">
        <f t="shared" si="0"/>
        <v>20240342</v>
      </c>
      <c r="I13" s="66">
        <f t="shared" si="0"/>
        <v>46092175</v>
      </c>
      <c r="J13" s="37"/>
      <c r="K13" s="38"/>
      <c r="L13" s="60">
        <f t="shared" si="1"/>
        <v>20240342</v>
      </c>
      <c r="M13" s="38">
        <f t="shared" si="1"/>
        <v>46092175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32</v>
      </c>
      <c r="C16" s="6"/>
      <c r="D16" s="61">
        <v>66296339</v>
      </c>
      <c r="E16" s="39">
        <v>151317254</v>
      </c>
      <c r="F16" s="61">
        <f t="shared" ref="F16:M16" si="3">SUM(F11:F15)</f>
        <v>0</v>
      </c>
      <c r="G16" s="39">
        <f t="shared" si="3"/>
        <v>0</v>
      </c>
      <c r="H16" s="61">
        <f>SUM(H11:H15)</f>
        <v>66296339</v>
      </c>
      <c r="I16" s="39">
        <f>SUM(I11:I15)</f>
        <v>151317254</v>
      </c>
      <c r="J16" s="151">
        <f t="shared" si="3"/>
        <v>0</v>
      </c>
      <c r="K16" s="39">
        <f t="shared" si="3"/>
        <v>0</v>
      </c>
      <c r="L16" s="61">
        <f t="shared" si="3"/>
        <v>66296339</v>
      </c>
      <c r="M16" s="39">
        <f t="shared" si="3"/>
        <v>151317254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-39778827</v>
      </c>
      <c r="E19" s="65">
        <v>-89690039</v>
      </c>
      <c r="F19" s="60">
        <f>H19-D19</f>
        <v>0</v>
      </c>
      <c r="G19" s="37">
        <f>I19-E19</f>
        <v>0</v>
      </c>
      <c r="H19" s="65">
        <f t="shared" si="4"/>
        <v>-39778827</v>
      </c>
      <c r="I19" s="66">
        <f t="shared" si="4"/>
        <v>-89690039</v>
      </c>
      <c r="J19" s="37">
        <v>0</v>
      </c>
      <c r="K19" s="38">
        <v>0</v>
      </c>
      <c r="L19" s="60">
        <f t="shared" ref="L19:M23" si="5">H19+J19</f>
        <v>-39778827</v>
      </c>
      <c r="M19" s="38">
        <f t="shared" si="5"/>
        <v>-89690039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-26987857</v>
      </c>
      <c r="E21" s="65">
        <v>-61385107</v>
      </c>
      <c r="F21" s="60">
        <f t="shared" si="6"/>
        <v>0</v>
      </c>
      <c r="G21" s="37">
        <f t="shared" si="6"/>
        <v>0</v>
      </c>
      <c r="H21" s="65">
        <f t="shared" si="4"/>
        <v>-26987857</v>
      </c>
      <c r="I21" s="66">
        <f t="shared" si="4"/>
        <v>-61385107</v>
      </c>
      <c r="J21" s="37"/>
      <c r="K21" s="38"/>
      <c r="L21" s="60">
        <f t="shared" si="5"/>
        <v>-26987857</v>
      </c>
      <c r="M21" s="38">
        <f t="shared" si="5"/>
        <v>-61385107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333756</v>
      </c>
      <c r="E23" s="65">
        <v>726383</v>
      </c>
      <c r="F23" s="60">
        <f t="shared" si="6"/>
        <v>0</v>
      </c>
      <c r="G23" s="37">
        <f t="shared" si="6"/>
        <v>0</v>
      </c>
      <c r="H23" s="65">
        <f t="shared" si="4"/>
        <v>333756</v>
      </c>
      <c r="I23" s="66">
        <f t="shared" si="4"/>
        <v>726383</v>
      </c>
      <c r="J23" s="37"/>
      <c r="K23" s="38"/>
      <c r="L23" s="60">
        <f t="shared" si="5"/>
        <v>333756</v>
      </c>
      <c r="M23" s="38">
        <f t="shared" si="5"/>
        <v>726383</v>
      </c>
    </row>
    <row r="24" spans="1:13" x14ac:dyDescent="0.2">
      <c r="A24" s="9"/>
      <c r="B24" s="7" t="s">
        <v>35</v>
      </c>
      <c r="C24" s="6"/>
      <c r="D24" s="61">
        <v>-66432928</v>
      </c>
      <c r="E24" s="39">
        <v>-150348763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-66432928</v>
      </c>
      <c r="I24" s="39">
        <f>SUM(I19:I23)</f>
        <v>-150348763</v>
      </c>
      <c r="J24" s="151">
        <f t="shared" si="7"/>
        <v>0</v>
      </c>
      <c r="K24" s="39">
        <f t="shared" si="7"/>
        <v>0</v>
      </c>
      <c r="L24" s="61">
        <f t="shared" si="7"/>
        <v>-66432928</v>
      </c>
      <c r="M24" s="39">
        <f t="shared" si="7"/>
        <v>-150348763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2812410</v>
      </c>
      <c r="E32" s="65">
        <v>6475934</v>
      </c>
      <c r="F32" s="60">
        <f>H32-D32</f>
        <v>0</v>
      </c>
      <c r="G32" s="37">
        <f>I32-E32</f>
        <v>0</v>
      </c>
      <c r="H32" s="65">
        <f t="shared" ref="H32:I35" si="9">D32</f>
        <v>2812410</v>
      </c>
      <c r="I32" s="66">
        <f t="shared" si="9"/>
        <v>6475934</v>
      </c>
      <c r="J32" s="37"/>
      <c r="K32" s="38"/>
      <c r="L32" s="60">
        <f t="shared" ref="L32:M35" si="10">H32+J32</f>
        <v>2812410</v>
      </c>
      <c r="M32" s="38">
        <f t="shared" si="10"/>
        <v>6475934</v>
      </c>
    </row>
    <row r="33" spans="1:13" x14ac:dyDescent="0.2">
      <c r="A33" s="9">
        <v>14</v>
      </c>
      <c r="B33" s="7"/>
      <c r="C33" s="18" t="s">
        <v>42</v>
      </c>
      <c r="D33" s="65">
        <v>-2858336</v>
      </c>
      <c r="E33" s="65">
        <v>-6575369</v>
      </c>
      <c r="F33" s="60">
        <f t="shared" ref="F33:G35" si="11">H33-D33</f>
        <v>0</v>
      </c>
      <c r="G33" s="37">
        <f t="shared" si="11"/>
        <v>0</v>
      </c>
      <c r="H33" s="65">
        <f t="shared" si="9"/>
        <v>-2858336</v>
      </c>
      <c r="I33" s="66">
        <f t="shared" si="9"/>
        <v>-6575369</v>
      </c>
      <c r="J33" s="37"/>
      <c r="K33" s="38"/>
      <c r="L33" s="60">
        <f t="shared" si="10"/>
        <v>-2858336</v>
      </c>
      <c r="M33" s="38">
        <f t="shared" si="10"/>
        <v>-6575369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-45926</v>
      </c>
      <c r="E36" s="39">
        <v>-99435</v>
      </c>
      <c r="F36" s="61">
        <f>SUM(F32:F35)</f>
        <v>0</v>
      </c>
      <c r="G36" s="39">
        <f>SUM(G32:G35)</f>
        <v>0</v>
      </c>
      <c r="H36" s="61">
        <f>SUM(H32:H35)</f>
        <v>-45926</v>
      </c>
      <c r="I36" s="39">
        <f>SUM(I32:I35)</f>
        <v>-99435</v>
      </c>
      <c r="J36" s="151">
        <f>SUM(J32:J34)</f>
        <v>0</v>
      </c>
      <c r="K36" s="39">
        <f>SUM(K32:K34)</f>
        <v>0</v>
      </c>
      <c r="L36" s="61">
        <f>SUM(L32:L35)</f>
        <v>-45926</v>
      </c>
      <c r="M36" s="39">
        <f>SUM(M32:M35)</f>
        <v>-99435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182515</v>
      </c>
      <c r="E49" s="65">
        <v>413524.96555999998</v>
      </c>
      <c r="F49" s="60">
        <f>H49-D49</f>
        <v>0</v>
      </c>
      <c r="G49" s="37">
        <f>I49-E49</f>
        <v>0</v>
      </c>
      <c r="H49" s="65">
        <f>D49</f>
        <v>182515</v>
      </c>
      <c r="I49" s="66">
        <f>E49</f>
        <v>413524.96555999998</v>
      </c>
      <c r="J49" s="37"/>
      <c r="K49" s="38"/>
      <c r="L49" s="60">
        <f>H49+J49</f>
        <v>182515</v>
      </c>
      <c r="M49" s="38">
        <f>I49+K49</f>
        <v>413524.96555999998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-333756</v>
      </c>
      <c r="E51" s="65">
        <v>-726383</v>
      </c>
      <c r="F51" s="60">
        <f>H51-D51</f>
        <v>0</v>
      </c>
      <c r="G51" s="37">
        <f>I51-E51</f>
        <v>0</v>
      </c>
      <c r="H51" s="65">
        <f>D51</f>
        <v>-333756</v>
      </c>
      <c r="I51" s="66">
        <f>E51</f>
        <v>-726383</v>
      </c>
      <c r="J51" s="37"/>
      <c r="K51" s="38"/>
      <c r="L51" s="60">
        <f>H51+J51</f>
        <v>-333756</v>
      </c>
      <c r="M51" s="38">
        <f>I51+K51</f>
        <v>-726383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-83193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-83193</v>
      </c>
      <c r="J54" s="37"/>
      <c r="K54" s="38"/>
      <c r="L54" s="60">
        <f>H54+J54</f>
        <v>0</v>
      </c>
      <c r="M54" s="38">
        <f>I54+K54</f>
        <v>-83193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-2261341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-2261341</v>
      </c>
      <c r="J55" s="37"/>
      <c r="K55" s="38"/>
      <c r="L55" s="60">
        <f>H55+J55</f>
        <v>0</v>
      </c>
      <c r="M55" s="38">
        <f>I55+K55</f>
        <v>-2261341</v>
      </c>
    </row>
    <row r="56" spans="1:15" x14ac:dyDescent="0.2">
      <c r="A56" s="9"/>
      <c r="B56" s="7" t="s">
        <v>59</v>
      </c>
      <c r="C56" s="6"/>
      <c r="D56" s="61">
        <v>0</v>
      </c>
      <c r="E56" s="39">
        <v>-2344534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-2344534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-2344534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1086087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1086087</v>
      </c>
      <c r="J70" s="37"/>
      <c r="K70" s="38"/>
      <c r="L70" s="60">
        <f t="shared" si="20"/>
        <v>0</v>
      </c>
      <c r="M70" s="38">
        <f t="shared" si="20"/>
        <v>1086087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-2230799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-2230799</v>
      </c>
      <c r="J71" s="37"/>
      <c r="K71" s="38"/>
      <c r="L71" s="60">
        <f t="shared" si="20"/>
        <v>0</v>
      </c>
      <c r="M71" s="38">
        <f t="shared" si="20"/>
        <v>-2230799</v>
      </c>
    </row>
    <row r="72" spans="1:13" x14ac:dyDescent="0.2">
      <c r="A72" s="9"/>
      <c r="B72" s="3"/>
      <c r="C72" s="55" t="s">
        <v>71</v>
      </c>
      <c r="D72" s="61">
        <v>0</v>
      </c>
      <c r="E72" s="39">
        <v>-1144712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-1144712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-1144712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2293654.0588235296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2293654.0588235296</v>
      </c>
      <c r="J74" s="37"/>
      <c r="K74" s="38"/>
      <c r="L74" s="60">
        <f t="shared" si="24"/>
        <v>0</v>
      </c>
      <c r="M74" s="38">
        <f t="shared" si="24"/>
        <v>2293654.0588235296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106310.5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106310.5</v>
      </c>
      <c r="J75" s="37"/>
      <c r="K75" s="38"/>
      <c r="L75" s="60">
        <f t="shared" si="24"/>
        <v>0</v>
      </c>
      <c r="M75" s="38">
        <f t="shared" si="24"/>
        <v>106310.5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-10679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-10679</v>
      </c>
      <c r="J76" s="37"/>
      <c r="K76" s="38"/>
      <c r="L76" s="60">
        <f t="shared" si="24"/>
        <v>0</v>
      </c>
      <c r="M76" s="38">
        <f t="shared" si="24"/>
        <v>-10679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1385895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1385895</v>
      </c>
      <c r="J79" s="37"/>
      <c r="K79" s="38"/>
      <c r="L79" s="60">
        <f t="shared" si="24"/>
        <v>0</v>
      </c>
      <c r="M79" s="38">
        <f t="shared" si="24"/>
        <v>1385895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331813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331813</v>
      </c>
      <c r="J81" s="37"/>
      <c r="K81" s="38"/>
      <c r="L81" s="60">
        <f t="shared" si="24"/>
        <v>0</v>
      </c>
      <c r="M81" s="38">
        <f t="shared" si="24"/>
        <v>331813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165">
        <f>SUM(E72:E81)+E16+E24+E29+E36+E43+E45+E47+E49+E51+E56+E61+E66</f>
        <v>1173945.5243835263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1173945.5243835263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1173945.5243835263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79" activePane="bottomRight" state="frozen"/>
      <selection activeCell="A5" sqref="A5"/>
      <selection pane="topRight" activeCell="A5" sqref="A5"/>
      <selection pane="bottomLeft" activeCell="A5" sqref="A5"/>
      <selection pane="bottomRight" activeCell="F84" sqref="F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66050158</v>
      </c>
      <c r="E11" s="38">
        <v>157021800.05000001</v>
      </c>
      <c r="F11" s="60">
        <f>H11-D11</f>
        <v>0</v>
      </c>
      <c r="G11" s="37">
        <f>I11-E11</f>
        <v>0</v>
      </c>
      <c r="H11" s="65">
        <f>D11</f>
        <v>66050158</v>
      </c>
      <c r="I11" s="66">
        <f>E11</f>
        <v>157021800.05000001</v>
      </c>
      <c r="J11" s="60"/>
      <c r="K11" s="38"/>
      <c r="L11" s="60">
        <f t="shared" ref="L11:M15" si="0">H11+J11</f>
        <v>66050158</v>
      </c>
      <c r="M11" s="38">
        <f t="shared" si="0"/>
        <v>157021800.05000001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69521578</v>
      </c>
      <c r="E13" s="38">
        <v>159508985.94999999</v>
      </c>
      <c r="F13" s="60">
        <f t="shared" si="1"/>
        <v>0</v>
      </c>
      <c r="G13" s="37">
        <f t="shared" si="1"/>
        <v>0</v>
      </c>
      <c r="H13" s="65">
        <f t="shared" si="2"/>
        <v>69521578</v>
      </c>
      <c r="I13" s="66">
        <f t="shared" si="2"/>
        <v>159508985.94999999</v>
      </c>
      <c r="J13" s="60"/>
      <c r="K13" s="38"/>
      <c r="L13" s="60">
        <f t="shared" si="0"/>
        <v>69521578</v>
      </c>
      <c r="M13" s="38">
        <f t="shared" si="0"/>
        <v>159508985.94999999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24768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24768</v>
      </c>
      <c r="J14" s="60"/>
      <c r="K14" s="38"/>
      <c r="L14" s="60">
        <f t="shared" si="0"/>
        <v>0</v>
      </c>
      <c r="M14" s="38">
        <f t="shared" si="0"/>
        <v>24768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135571736</v>
      </c>
      <c r="E16" s="39">
        <v>316555554</v>
      </c>
      <c r="F16" s="61">
        <f t="shared" ref="F16:M16" si="3">SUM(F11:F15)</f>
        <v>0</v>
      </c>
      <c r="G16" s="39">
        <f t="shared" si="3"/>
        <v>0</v>
      </c>
      <c r="H16" s="61">
        <f>SUM(H11:H15)</f>
        <v>135571736</v>
      </c>
      <c r="I16" s="39">
        <f>SUM(I11:I15)</f>
        <v>316555554</v>
      </c>
      <c r="J16" s="61">
        <f t="shared" si="3"/>
        <v>0</v>
      </c>
      <c r="K16" s="39">
        <f t="shared" si="3"/>
        <v>0</v>
      </c>
      <c r="L16" s="61">
        <f t="shared" si="3"/>
        <v>135571736</v>
      </c>
      <c r="M16" s="39">
        <f t="shared" si="3"/>
        <v>316555554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-86507193</v>
      </c>
      <c r="E19" s="38">
        <v>-202900168</v>
      </c>
      <c r="F19" s="60">
        <f>H19-D19</f>
        <v>0</v>
      </c>
      <c r="G19" s="37">
        <f>I19-E19</f>
        <v>0</v>
      </c>
      <c r="H19" s="65">
        <f t="shared" si="4"/>
        <v>-86507193</v>
      </c>
      <c r="I19" s="66">
        <f t="shared" si="4"/>
        <v>-202900168</v>
      </c>
      <c r="J19" s="60"/>
      <c r="K19" s="38"/>
      <c r="L19" s="60">
        <f t="shared" ref="L19:M23" si="5">H19+J19</f>
        <v>-86507193</v>
      </c>
      <c r="M19" s="38">
        <f t="shared" si="5"/>
        <v>-202900168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-49770103</v>
      </c>
      <c r="E21" s="38">
        <v>-114326909</v>
      </c>
      <c r="F21" s="60">
        <f t="shared" si="6"/>
        <v>0</v>
      </c>
      <c r="G21" s="37">
        <f t="shared" si="6"/>
        <v>0</v>
      </c>
      <c r="H21" s="65">
        <f t="shared" si="4"/>
        <v>-49770103</v>
      </c>
      <c r="I21" s="66">
        <f t="shared" si="4"/>
        <v>-114326909</v>
      </c>
      <c r="J21" s="60"/>
      <c r="K21" s="38"/>
      <c r="L21" s="60">
        <f t="shared" si="5"/>
        <v>-49770103</v>
      </c>
      <c r="M21" s="38">
        <f t="shared" si="5"/>
        <v>-114326909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237567</v>
      </c>
      <c r="E23" s="38">
        <v>531921</v>
      </c>
      <c r="F23" s="60">
        <f t="shared" si="6"/>
        <v>0</v>
      </c>
      <c r="G23" s="37">
        <f t="shared" si="6"/>
        <v>0</v>
      </c>
      <c r="H23" s="65">
        <f t="shared" si="4"/>
        <v>237567</v>
      </c>
      <c r="I23" s="66">
        <f t="shared" si="4"/>
        <v>531921</v>
      </c>
      <c r="J23" s="60"/>
      <c r="K23" s="38"/>
      <c r="L23" s="60">
        <f t="shared" si="5"/>
        <v>237567</v>
      </c>
      <c r="M23" s="38">
        <f t="shared" si="5"/>
        <v>531921</v>
      </c>
    </row>
    <row r="24" spans="1:13" x14ac:dyDescent="0.2">
      <c r="A24" s="9"/>
      <c r="B24" s="7" t="s">
        <v>35</v>
      </c>
      <c r="C24" s="6"/>
      <c r="D24" s="61">
        <v>-136039729</v>
      </c>
      <c r="E24" s="39">
        <v>-316695156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-136039729</v>
      </c>
      <c r="I24" s="39">
        <f>SUM(I19:I23)</f>
        <v>-316695156</v>
      </c>
      <c r="J24" s="61">
        <f t="shared" si="7"/>
        <v>0</v>
      </c>
      <c r="K24" s="39">
        <f t="shared" si="7"/>
        <v>0</v>
      </c>
      <c r="L24" s="61">
        <f t="shared" si="7"/>
        <v>-136039729</v>
      </c>
      <c r="M24" s="39">
        <f t="shared" si="7"/>
        <v>-316695156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-1004508</v>
      </c>
      <c r="E27" s="38">
        <v>-2299953</v>
      </c>
      <c r="F27" s="60">
        <f>H27-D27</f>
        <v>0</v>
      </c>
      <c r="G27" s="37">
        <f>I27-E27</f>
        <v>0</v>
      </c>
      <c r="H27" s="65">
        <f>D27</f>
        <v>-1004508</v>
      </c>
      <c r="I27" s="66">
        <f>E27</f>
        <v>-2299953</v>
      </c>
      <c r="J27" s="60"/>
      <c r="K27" s="38"/>
      <c r="L27" s="60">
        <f>H27+J27</f>
        <v>-1004508</v>
      </c>
      <c r="M27" s="38">
        <f>I27+K27</f>
        <v>-2299953</v>
      </c>
    </row>
    <row r="28" spans="1:13" x14ac:dyDescent="0.2">
      <c r="A28" s="9">
        <v>12</v>
      </c>
      <c r="B28" s="7"/>
      <c r="C28" s="18" t="s">
        <v>38</v>
      </c>
      <c r="D28" s="60">
        <v>582660</v>
      </c>
      <c r="E28" s="38">
        <v>1315137</v>
      </c>
      <c r="F28" s="60">
        <f>H28-D28</f>
        <v>0</v>
      </c>
      <c r="G28" s="37">
        <f>I28-E28</f>
        <v>0</v>
      </c>
      <c r="H28" s="65">
        <f>D28</f>
        <v>582660</v>
      </c>
      <c r="I28" s="66">
        <f>E28</f>
        <v>1315137</v>
      </c>
      <c r="J28" s="60"/>
      <c r="K28" s="38"/>
      <c r="L28" s="60">
        <f>H28+J28</f>
        <v>582660</v>
      </c>
      <c r="M28" s="38">
        <f>I28+K28</f>
        <v>1315137</v>
      </c>
    </row>
    <row r="29" spans="1:13" x14ac:dyDescent="0.2">
      <c r="A29" s="9"/>
      <c r="B29" s="7" t="s">
        <v>39</v>
      </c>
      <c r="C29" s="6"/>
      <c r="D29" s="61">
        <v>-421848</v>
      </c>
      <c r="E29" s="39">
        <v>-984816</v>
      </c>
      <c r="F29" s="61">
        <f t="shared" ref="F29:M29" si="8">SUM(F27:F28)</f>
        <v>0</v>
      </c>
      <c r="G29" s="39">
        <f t="shared" si="8"/>
        <v>0</v>
      </c>
      <c r="H29" s="61">
        <f>SUM(H27:H28)</f>
        <v>-421848</v>
      </c>
      <c r="I29" s="39">
        <f>SUM(I27:I28)</f>
        <v>-984816</v>
      </c>
      <c r="J29" s="61">
        <f t="shared" si="8"/>
        <v>0</v>
      </c>
      <c r="K29" s="39">
        <f t="shared" si="8"/>
        <v>0</v>
      </c>
      <c r="L29" s="61">
        <f t="shared" si="8"/>
        <v>-421848</v>
      </c>
      <c r="M29" s="39">
        <f t="shared" si="8"/>
        <v>-984816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326249</v>
      </c>
      <c r="E32" s="38">
        <v>812865</v>
      </c>
      <c r="F32" s="60">
        <f>H32-D32</f>
        <v>0</v>
      </c>
      <c r="G32" s="37">
        <f>I32-E32</f>
        <v>0</v>
      </c>
      <c r="H32" s="65">
        <f t="shared" ref="H32:I35" si="9">D32</f>
        <v>326249</v>
      </c>
      <c r="I32" s="66">
        <f t="shared" si="9"/>
        <v>812865</v>
      </c>
      <c r="J32" s="60"/>
      <c r="K32" s="38"/>
      <c r="L32" s="60">
        <f t="shared" ref="L32:M35" si="10">H32+J32</f>
        <v>326249</v>
      </c>
      <c r="M32" s="38">
        <f t="shared" si="10"/>
        <v>812865</v>
      </c>
    </row>
    <row r="33" spans="1:13" x14ac:dyDescent="0.2">
      <c r="A33" s="9">
        <v>14</v>
      </c>
      <c r="B33" s="7"/>
      <c r="C33" s="18" t="s">
        <v>42</v>
      </c>
      <c r="D33" s="60">
        <v>41175</v>
      </c>
      <c r="E33" s="38">
        <v>54822.219054628862</v>
      </c>
      <c r="F33" s="60">
        <f t="shared" ref="F33:G35" si="11">H33-D33</f>
        <v>0</v>
      </c>
      <c r="G33" s="37">
        <f t="shared" si="11"/>
        <v>0</v>
      </c>
      <c r="H33" s="65">
        <f t="shared" si="9"/>
        <v>41175</v>
      </c>
      <c r="I33" s="66">
        <f t="shared" si="9"/>
        <v>54822.219054628862</v>
      </c>
      <c r="J33" s="60"/>
      <c r="K33" s="38"/>
      <c r="L33" s="60">
        <f t="shared" si="10"/>
        <v>41175</v>
      </c>
      <c r="M33" s="38">
        <f t="shared" si="10"/>
        <v>54822.219054628862</v>
      </c>
    </row>
    <row r="34" spans="1:13" x14ac:dyDescent="0.2">
      <c r="A34" s="9">
        <v>15</v>
      </c>
      <c r="B34" s="7"/>
      <c r="C34" s="18" t="s">
        <v>43</v>
      </c>
      <c r="D34" s="60">
        <v>559377</v>
      </c>
      <c r="E34" s="38">
        <v>1269071</v>
      </c>
      <c r="F34" s="60">
        <f t="shared" si="11"/>
        <v>0</v>
      </c>
      <c r="G34" s="37">
        <f t="shared" si="11"/>
        <v>0</v>
      </c>
      <c r="H34" s="65">
        <f t="shared" si="9"/>
        <v>559377</v>
      </c>
      <c r="I34" s="66">
        <f t="shared" si="9"/>
        <v>1269071</v>
      </c>
      <c r="J34" s="60"/>
      <c r="K34" s="38"/>
      <c r="L34" s="60">
        <f t="shared" si="10"/>
        <v>559377</v>
      </c>
      <c r="M34" s="38">
        <f t="shared" si="10"/>
        <v>1269071</v>
      </c>
    </row>
    <row r="35" spans="1:13" x14ac:dyDescent="0.2">
      <c r="A35" s="9">
        <v>16</v>
      </c>
      <c r="B35" s="7"/>
      <c r="C35" s="18" t="s">
        <v>44</v>
      </c>
      <c r="D35" s="60">
        <v>-346452</v>
      </c>
      <c r="E35" s="38">
        <v>-778472</v>
      </c>
      <c r="F35" s="60">
        <f t="shared" si="11"/>
        <v>0</v>
      </c>
      <c r="G35" s="37">
        <f t="shared" si="11"/>
        <v>0</v>
      </c>
      <c r="H35" s="65">
        <f t="shared" si="9"/>
        <v>-346452</v>
      </c>
      <c r="I35" s="66">
        <f t="shared" si="9"/>
        <v>-778472</v>
      </c>
      <c r="J35" s="60"/>
      <c r="K35" s="38"/>
      <c r="L35" s="60">
        <f t="shared" si="10"/>
        <v>-346452</v>
      </c>
      <c r="M35" s="38">
        <f t="shared" si="10"/>
        <v>-778472</v>
      </c>
    </row>
    <row r="36" spans="1:13" x14ac:dyDescent="0.2">
      <c r="A36" s="9"/>
      <c r="B36" s="7" t="s">
        <v>45</v>
      </c>
      <c r="C36" s="6"/>
      <c r="D36" s="61">
        <v>580349</v>
      </c>
      <c r="E36" s="39">
        <v>1358286.2190546291</v>
      </c>
      <c r="F36" s="61">
        <f>SUM(F32:F35)</f>
        <v>0</v>
      </c>
      <c r="G36" s="39">
        <f>SUM(G32:G35)</f>
        <v>0</v>
      </c>
      <c r="H36" s="61">
        <f>SUM(H32:H35)</f>
        <v>580349</v>
      </c>
      <c r="I36" s="39">
        <f>SUM(I32:I35)</f>
        <v>1358286.2190546291</v>
      </c>
      <c r="J36" s="61">
        <f>SUM(J32:J34)</f>
        <v>0</v>
      </c>
      <c r="K36" s="39">
        <f>SUM(K32:K34)</f>
        <v>0</v>
      </c>
      <c r="L36" s="61">
        <f>SUM(L32:L35)</f>
        <v>580349</v>
      </c>
      <c r="M36" s="39">
        <f>SUM(M32:M35)</f>
        <v>1358286.2190546291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-311859</v>
      </c>
      <c r="E39" s="38">
        <v>-736027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-311859</v>
      </c>
      <c r="I39" s="66">
        <f t="shared" si="12"/>
        <v>-736027</v>
      </c>
      <c r="J39" s="60"/>
      <c r="K39" s="38"/>
      <c r="L39" s="60">
        <f t="shared" ref="L39:M41" si="14">H39+J39</f>
        <v>-311859</v>
      </c>
      <c r="M39" s="38">
        <f t="shared" si="14"/>
        <v>-736027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205867</v>
      </c>
      <c r="E40" s="38">
        <v>483787</v>
      </c>
      <c r="F40" s="60">
        <f t="shared" si="13"/>
        <v>0</v>
      </c>
      <c r="G40" s="37">
        <f t="shared" si="13"/>
        <v>0</v>
      </c>
      <c r="H40" s="65">
        <f t="shared" si="12"/>
        <v>205867</v>
      </c>
      <c r="I40" s="66">
        <f t="shared" si="12"/>
        <v>483787</v>
      </c>
      <c r="J40" s="60"/>
      <c r="K40" s="38"/>
      <c r="L40" s="60">
        <f t="shared" si="14"/>
        <v>205867</v>
      </c>
      <c r="M40" s="38">
        <f t="shared" si="14"/>
        <v>483787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205867</v>
      </c>
      <c r="E42" s="39">
        <v>483787</v>
      </c>
      <c r="F42" s="61">
        <f t="shared" ref="F42:M42" si="15">SUM(F40:F41)</f>
        <v>0</v>
      </c>
      <c r="G42" s="39">
        <f t="shared" si="15"/>
        <v>0</v>
      </c>
      <c r="H42" s="61">
        <f>SUM(H40:H41)</f>
        <v>205867</v>
      </c>
      <c r="I42" s="39">
        <f>SUM(I40:I41)</f>
        <v>483787</v>
      </c>
      <c r="J42" s="61">
        <f t="shared" si="15"/>
        <v>0</v>
      </c>
      <c r="K42" s="39">
        <f t="shared" si="15"/>
        <v>0</v>
      </c>
      <c r="L42" s="61">
        <f t="shared" si="15"/>
        <v>205867</v>
      </c>
      <c r="M42" s="39">
        <f t="shared" si="15"/>
        <v>483787</v>
      </c>
    </row>
    <row r="43" spans="1:13" ht="21" customHeight="1" x14ac:dyDescent="0.2">
      <c r="A43" s="9"/>
      <c r="B43" s="7" t="s">
        <v>51</v>
      </c>
      <c r="C43" s="6"/>
      <c r="D43" s="61">
        <v>-105992</v>
      </c>
      <c r="E43" s="39">
        <v>-252240</v>
      </c>
      <c r="F43" s="61">
        <f t="shared" ref="F43:M43" si="16">F42+F39</f>
        <v>0</v>
      </c>
      <c r="G43" s="39">
        <f t="shared" si="16"/>
        <v>0</v>
      </c>
      <c r="H43" s="61">
        <f>H42+H39</f>
        <v>-105992</v>
      </c>
      <c r="I43" s="39">
        <f>I42+I39</f>
        <v>-252240</v>
      </c>
      <c r="J43" s="61">
        <f t="shared" si="16"/>
        <v>0</v>
      </c>
      <c r="K43" s="39">
        <f t="shared" si="16"/>
        <v>0</v>
      </c>
      <c r="L43" s="61">
        <f t="shared" si="16"/>
        <v>-105992</v>
      </c>
      <c r="M43" s="39">
        <f t="shared" si="16"/>
        <v>-252240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475484</v>
      </c>
      <c r="E49" s="38">
        <v>1074270.9391440554</v>
      </c>
      <c r="F49" s="60">
        <f>H49-D49</f>
        <v>0</v>
      </c>
      <c r="G49" s="37">
        <f>I49-E49</f>
        <v>0</v>
      </c>
      <c r="H49" s="65">
        <f>D49</f>
        <v>475484</v>
      </c>
      <c r="I49" s="66">
        <f>E49</f>
        <v>1074270.9391440554</v>
      </c>
      <c r="J49" s="60"/>
      <c r="K49" s="38"/>
      <c r="L49" s="60">
        <f>H49+J49</f>
        <v>475484</v>
      </c>
      <c r="M49" s="38">
        <f>I49+K49</f>
        <v>1074270.9391440554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-237567</v>
      </c>
      <c r="E51" s="38">
        <v>-531921</v>
      </c>
      <c r="F51" s="60">
        <f>H51-D51</f>
        <v>0</v>
      </c>
      <c r="G51" s="37">
        <f>I51-E51</f>
        <v>0</v>
      </c>
      <c r="H51" s="65">
        <f>D51</f>
        <v>-237567</v>
      </c>
      <c r="I51" s="66">
        <f>E51</f>
        <v>-531921</v>
      </c>
      <c r="J51" s="60"/>
      <c r="K51" s="38"/>
      <c r="L51" s="60">
        <f>H51+J51</f>
        <v>-237567</v>
      </c>
      <c r="M51" s="38">
        <f>I51+K51</f>
        <v>-531921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-509841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-509841</v>
      </c>
      <c r="J54" s="60"/>
      <c r="K54" s="38"/>
      <c r="L54" s="60">
        <f>H54+J54</f>
        <v>0</v>
      </c>
      <c r="M54" s="38">
        <f>I54+K54</f>
        <v>-509841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-1302091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-1302091</v>
      </c>
      <c r="J55" s="60"/>
      <c r="K55" s="38"/>
      <c r="L55" s="60">
        <f>H55+J55</f>
        <v>0</v>
      </c>
      <c r="M55" s="38">
        <f>I55+K55</f>
        <v>-1302091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-1811932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-1811932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-1811932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-104001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-104001</v>
      </c>
      <c r="J60" s="60"/>
      <c r="K60" s="38"/>
      <c r="L60" s="60">
        <f>H60+J60</f>
        <v>0</v>
      </c>
      <c r="M60" s="38">
        <f>I60+K60</f>
        <v>-104001</v>
      </c>
    </row>
    <row r="61" spans="1:15" x14ac:dyDescent="0.2">
      <c r="A61" s="9"/>
      <c r="B61" s="62" t="s">
        <v>63</v>
      </c>
      <c r="C61" s="6"/>
      <c r="D61" s="61">
        <v>0</v>
      </c>
      <c r="E61" s="39">
        <v>-104001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-104001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-104001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70884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70884</v>
      </c>
      <c r="J64" s="60"/>
      <c r="K64" s="38"/>
      <c r="L64" s="60">
        <f>H64+J64</f>
        <v>0</v>
      </c>
      <c r="M64" s="38">
        <f>I64+K64</f>
        <v>70884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70884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70884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70884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2849705.85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2849705.85</v>
      </c>
      <c r="J70" s="60"/>
      <c r="K70" s="38"/>
      <c r="L70" s="60">
        <f>H70+J70</f>
        <v>0</v>
      </c>
      <c r="M70" s="38">
        <f>I70+K70</f>
        <v>2849705.85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196193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196193</v>
      </c>
      <c r="J71" s="60"/>
      <c r="K71" s="38"/>
      <c r="L71" s="60">
        <f>H71+J71</f>
        <v>0</v>
      </c>
      <c r="M71" s="38">
        <f>I71+K71</f>
        <v>196193</v>
      </c>
    </row>
    <row r="72" spans="1:13" x14ac:dyDescent="0.2">
      <c r="A72" s="9"/>
      <c r="B72" s="3"/>
      <c r="C72" s="55" t="s">
        <v>71</v>
      </c>
      <c r="D72" s="61">
        <v>0</v>
      </c>
      <c r="E72" s="39">
        <v>3045898.85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3045898.85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3045898.85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-2871909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-2871909</v>
      </c>
      <c r="J74" s="60"/>
      <c r="K74" s="38"/>
      <c r="L74" s="60">
        <f t="shared" si="22"/>
        <v>0</v>
      </c>
      <c r="M74" s="38">
        <f t="shared" si="22"/>
        <v>-2871909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667651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667651</v>
      </c>
      <c r="J75" s="60"/>
      <c r="K75" s="38"/>
      <c r="L75" s="60">
        <f t="shared" si="22"/>
        <v>0</v>
      </c>
      <c r="M75" s="38">
        <f t="shared" si="22"/>
        <v>667651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-8213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-8213</v>
      </c>
      <c r="J76" s="60"/>
      <c r="K76" s="38"/>
      <c r="L76" s="60">
        <f t="shared" si="22"/>
        <v>0</v>
      </c>
      <c r="M76" s="38">
        <f t="shared" si="22"/>
        <v>-8213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2670191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2670191</v>
      </c>
      <c r="J77" s="60"/>
      <c r="K77" s="38"/>
      <c r="L77" s="60">
        <f t="shared" si="22"/>
        <v>0</v>
      </c>
      <c r="M77" s="38">
        <f t="shared" si="22"/>
        <v>2670191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878217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878217</v>
      </c>
      <c r="J79" s="60"/>
      <c r="K79" s="38"/>
      <c r="L79" s="60">
        <f t="shared" si="22"/>
        <v>0</v>
      </c>
      <c r="M79" s="38">
        <f t="shared" si="22"/>
        <v>878217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-1987039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-1987039</v>
      </c>
      <c r="J81" s="60"/>
      <c r="K81" s="38"/>
      <c r="L81" s="60">
        <f t="shared" si="22"/>
        <v>0</v>
      </c>
      <c r="M81" s="38">
        <f t="shared" si="22"/>
        <v>-1987039</v>
      </c>
    </row>
    <row r="82" spans="1:67" s="44" customFormat="1" ht="20.25" customHeight="1" thickBot="1" x14ac:dyDescent="0.25">
      <c r="A82" s="40"/>
      <c r="B82" s="41"/>
      <c r="C82" s="42" t="s">
        <v>177</v>
      </c>
      <c r="D82" s="166">
        <f>D16+D24+D29+D36+D43+D45+D47+D49</f>
        <v>60000</v>
      </c>
      <c r="E82" s="165">
        <f>SUM(E72:E81)+E16+E24+E29+E36+E43+E45+E47+E49+E51+E56+E61+E66</f>
        <v>1098249.9531987011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1098249.9531987011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1098249.9531987011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172</v>
      </c>
      <c r="B85" s="3"/>
      <c r="K85" s="45"/>
    </row>
    <row r="86" spans="1:67" s="3" customFormat="1" x14ac:dyDescent="0.2">
      <c r="A86" s="172"/>
      <c r="C86" s="10" t="s">
        <v>175</v>
      </c>
      <c r="D86" s="176">
        <v>0</v>
      </c>
      <c r="E86" s="176">
        <v>-199187</v>
      </c>
      <c r="F86" s="176">
        <f t="shared" ref="F86:G88" si="24">H86-D86</f>
        <v>0</v>
      </c>
      <c r="G86" s="176">
        <f t="shared" si="24"/>
        <v>0</v>
      </c>
      <c r="H86" s="176">
        <f t="shared" ref="H86:I88" si="25">D86</f>
        <v>0</v>
      </c>
      <c r="I86" s="176">
        <f t="shared" si="25"/>
        <v>-199187</v>
      </c>
      <c r="J86" s="176"/>
      <c r="K86" s="176"/>
      <c r="L86" s="176">
        <f t="shared" ref="L86:M88" si="26">H86+J86</f>
        <v>0</v>
      </c>
      <c r="M86" s="176">
        <f t="shared" si="26"/>
        <v>-199187</v>
      </c>
    </row>
    <row r="87" spans="1:67" s="3" customFormat="1" x14ac:dyDescent="0.2">
      <c r="A87" s="172"/>
      <c r="C87" s="10" t="s">
        <v>73</v>
      </c>
      <c r="D87" s="177">
        <v>0</v>
      </c>
      <c r="E87" s="177">
        <v>0</v>
      </c>
      <c r="F87" s="177">
        <f t="shared" si="24"/>
        <v>0</v>
      </c>
      <c r="G87" s="177">
        <f t="shared" si="24"/>
        <v>0</v>
      </c>
      <c r="H87" s="177">
        <f t="shared" si="25"/>
        <v>0</v>
      </c>
      <c r="I87" s="177">
        <f t="shared" si="25"/>
        <v>0</v>
      </c>
      <c r="J87" s="177"/>
      <c r="K87" s="177"/>
      <c r="L87" s="177">
        <f t="shared" si="26"/>
        <v>0</v>
      </c>
      <c r="M87" s="177">
        <f t="shared" si="26"/>
        <v>0</v>
      </c>
    </row>
    <row r="88" spans="1:67" s="3" customFormat="1" x14ac:dyDescent="0.2">
      <c r="A88" s="172"/>
      <c r="C88" s="10" t="s">
        <v>74</v>
      </c>
      <c r="D88" s="178">
        <v>0</v>
      </c>
      <c r="E88" s="178">
        <v>0</v>
      </c>
      <c r="F88" s="178">
        <f t="shared" si="24"/>
        <v>0</v>
      </c>
      <c r="G88" s="178">
        <f t="shared" si="24"/>
        <v>0</v>
      </c>
      <c r="H88" s="178">
        <f t="shared" si="25"/>
        <v>0</v>
      </c>
      <c r="I88" s="178">
        <f t="shared" si="25"/>
        <v>0</v>
      </c>
      <c r="J88" s="178"/>
      <c r="K88" s="178"/>
      <c r="L88" s="178">
        <f t="shared" si="26"/>
        <v>0</v>
      </c>
      <c r="M88" s="178">
        <f t="shared" si="26"/>
        <v>0</v>
      </c>
    </row>
    <row r="89" spans="1:67" s="44" customFormat="1" ht="20.25" customHeight="1" x14ac:dyDescent="0.2">
      <c r="A89" s="179"/>
      <c r="B89" s="180"/>
      <c r="C89" s="181" t="s">
        <v>178</v>
      </c>
      <c r="D89" s="184">
        <f>SUM(D86:D88)</f>
        <v>0</v>
      </c>
      <c r="E89" s="184">
        <f t="shared" ref="E89:M89" si="27">SUM(E86:E88)</f>
        <v>-199187</v>
      </c>
      <c r="F89" s="184">
        <f t="shared" si="27"/>
        <v>0</v>
      </c>
      <c r="G89" s="184">
        <f t="shared" si="27"/>
        <v>0</v>
      </c>
      <c r="H89" s="184">
        <f t="shared" si="27"/>
        <v>0</v>
      </c>
      <c r="I89" s="184">
        <f t="shared" si="27"/>
        <v>-199187</v>
      </c>
      <c r="J89" s="184">
        <f t="shared" si="27"/>
        <v>0</v>
      </c>
      <c r="K89" s="184">
        <f t="shared" si="27"/>
        <v>0</v>
      </c>
      <c r="L89" s="184">
        <f t="shared" si="27"/>
        <v>0</v>
      </c>
      <c r="M89" s="184">
        <f t="shared" si="27"/>
        <v>-199187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176</v>
      </c>
      <c r="D91" s="184">
        <f>+D82+D89</f>
        <v>60000</v>
      </c>
      <c r="E91" s="184">
        <f t="shared" ref="E91:M91" si="28">+E82+E89</f>
        <v>899062.95319870114</v>
      </c>
      <c r="F91" s="184">
        <f t="shared" si="28"/>
        <v>0</v>
      </c>
      <c r="G91" s="184">
        <f t="shared" si="28"/>
        <v>0</v>
      </c>
      <c r="H91" s="184">
        <f t="shared" si="28"/>
        <v>60000</v>
      </c>
      <c r="I91" s="184">
        <f t="shared" si="28"/>
        <v>899062.95319870114</v>
      </c>
      <c r="J91" s="184">
        <f t="shared" si="28"/>
        <v>0</v>
      </c>
      <c r="K91" s="184">
        <f t="shared" si="28"/>
        <v>0</v>
      </c>
      <c r="L91" s="184">
        <f t="shared" si="28"/>
        <v>60000</v>
      </c>
      <c r="M91" s="184">
        <f t="shared" si="28"/>
        <v>899062.95319870114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H68" activePane="bottomRight" state="frozen"/>
      <selection activeCell="A5" sqref="A5"/>
      <selection pane="topRight" activeCell="A5" sqref="A5"/>
      <selection pane="bottomLeft" activeCell="A5" sqref="A5"/>
      <selection pane="bottomRight" activeCell="M89" sqref="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8944488</v>
      </c>
      <c r="E11" s="65">
        <v>21132760.949999999</v>
      </c>
      <c r="F11" s="65">
        <f>H11-D11</f>
        <v>0</v>
      </c>
      <c r="G11" s="63">
        <f>I11-E11</f>
        <v>0</v>
      </c>
      <c r="H11" s="65">
        <f>D11</f>
        <v>8944488</v>
      </c>
      <c r="I11" s="66">
        <f>E11</f>
        <v>21132760.949999999</v>
      </c>
      <c r="J11" s="60"/>
      <c r="K11" s="38"/>
      <c r="L11" s="60">
        <f t="shared" ref="L11:M15" si="0">H11+J11</f>
        <v>8944488</v>
      </c>
      <c r="M11" s="38">
        <f t="shared" si="0"/>
        <v>21132760.949999999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3201196</v>
      </c>
      <c r="E13" s="65">
        <v>7224493.0499999998</v>
      </c>
      <c r="F13" s="65">
        <f t="shared" si="1"/>
        <v>0</v>
      </c>
      <c r="G13" s="63">
        <f t="shared" si="1"/>
        <v>0</v>
      </c>
      <c r="H13" s="65">
        <f t="shared" si="2"/>
        <v>3201196</v>
      </c>
      <c r="I13" s="66">
        <f t="shared" si="2"/>
        <v>7224493.0499999998</v>
      </c>
      <c r="J13" s="60"/>
      <c r="K13" s="38"/>
      <c r="L13" s="60">
        <f t="shared" si="0"/>
        <v>3201196</v>
      </c>
      <c r="M13" s="38">
        <f t="shared" si="0"/>
        <v>7224493.0499999998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12145684</v>
      </c>
      <c r="E16" s="39">
        <v>28357254</v>
      </c>
      <c r="F16" s="61">
        <f t="shared" ref="F16:M16" si="3">SUM(F11:F15)</f>
        <v>0</v>
      </c>
      <c r="G16" s="39">
        <f t="shared" si="3"/>
        <v>0</v>
      </c>
      <c r="H16" s="61">
        <f>SUM(H11:H15)</f>
        <v>12145684</v>
      </c>
      <c r="I16" s="39">
        <f>SUM(I11:I15)</f>
        <v>28357254</v>
      </c>
      <c r="J16" s="61">
        <f t="shared" si="3"/>
        <v>0</v>
      </c>
      <c r="K16" s="39">
        <f t="shared" si="3"/>
        <v>0</v>
      </c>
      <c r="L16" s="61">
        <f t="shared" si="3"/>
        <v>12145684</v>
      </c>
      <c r="M16" s="39">
        <f t="shared" si="3"/>
        <v>28357254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-1284613</v>
      </c>
      <c r="E19" s="65">
        <v>-2888637</v>
      </c>
      <c r="F19" s="65">
        <f>H19-D19</f>
        <v>0</v>
      </c>
      <c r="G19" s="63">
        <f>I19-E19</f>
        <v>0</v>
      </c>
      <c r="H19" s="65">
        <f t="shared" si="4"/>
        <v>-1284613</v>
      </c>
      <c r="I19" s="66">
        <f t="shared" si="4"/>
        <v>-2888637</v>
      </c>
      <c r="J19" s="60"/>
      <c r="K19" s="38"/>
      <c r="L19" s="60">
        <f t="shared" ref="L19:M23" si="5">H19+J19</f>
        <v>-1284613</v>
      </c>
      <c r="M19" s="38">
        <f t="shared" si="5"/>
        <v>-2888637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-11270806</v>
      </c>
      <c r="E21" s="65">
        <v>-25429998</v>
      </c>
      <c r="F21" s="65">
        <f t="shared" si="6"/>
        <v>0</v>
      </c>
      <c r="G21" s="63">
        <f t="shared" si="6"/>
        <v>0</v>
      </c>
      <c r="H21" s="65">
        <f t="shared" si="4"/>
        <v>-11270806</v>
      </c>
      <c r="I21" s="66">
        <f t="shared" si="4"/>
        <v>-25429998</v>
      </c>
      <c r="J21" s="60"/>
      <c r="K21" s="38"/>
      <c r="L21" s="60">
        <f t="shared" si="5"/>
        <v>-11270806</v>
      </c>
      <c r="M21" s="38">
        <f t="shared" si="5"/>
        <v>-25429998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-12555419</v>
      </c>
      <c r="E24" s="39">
        <v>-28318635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-12555419</v>
      </c>
      <c r="I24" s="39">
        <f>SUM(I19:I23)</f>
        <v>-28318635</v>
      </c>
      <c r="J24" s="61">
        <f t="shared" si="7"/>
        <v>0</v>
      </c>
      <c r="K24" s="39">
        <f t="shared" si="7"/>
        <v>0</v>
      </c>
      <c r="L24" s="61">
        <f t="shared" si="7"/>
        <v>-12555419</v>
      </c>
      <c r="M24" s="39">
        <f t="shared" si="7"/>
        <v>-28318635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1004508</v>
      </c>
      <c r="E27" s="65">
        <v>2299953</v>
      </c>
      <c r="F27" s="65">
        <f>H27-D27</f>
        <v>0</v>
      </c>
      <c r="G27" s="63">
        <f>I27-E27</f>
        <v>0</v>
      </c>
      <c r="H27" s="65">
        <f>D27</f>
        <v>1004508</v>
      </c>
      <c r="I27" s="66">
        <f>E27</f>
        <v>2299953</v>
      </c>
      <c r="J27" s="60"/>
      <c r="K27" s="38"/>
      <c r="L27" s="60">
        <f>H27+J27</f>
        <v>1004508</v>
      </c>
      <c r="M27" s="38">
        <f>I27+K27</f>
        <v>2299953</v>
      </c>
    </row>
    <row r="28" spans="1:13" x14ac:dyDescent="0.2">
      <c r="A28" s="9">
        <v>12</v>
      </c>
      <c r="B28" s="7"/>
      <c r="C28" s="18" t="s">
        <v>38</v>
      </c>
      <c r="D28" s="65">
        <v>-582660</v>
      </c>
      <c r="E28" s="65">
        <v>-1315137</v>
      </c>
      <c r="F28" s="65">
        <f>H28-D28</f>
        <v>0</v>
      </c>
      <c r="G28" s="63">
        <f>I28-E28</f>
        <v>0</v>
      </c>
      <c r="H28" s="65">
        <f>D28</f>
        <v>-582660</v>
      </c>
      <c r="I28" s="66">
        <f>E28</f>
        <v>-1315137</v>
      </c>
      <c r="J28" s="60"/>
      <c r="K28" s="38"/>
      <c r="L28" s="60">
        <f>H28+J28</f>
        <v>-582660</v>
      </c>
      <c r="M28" s="38">
        <f>I28+K28</f>
        <v>-1315137</v>
      </c>
    </row>
    <row r="29" spans="1:13" x14ac:dyDescent="0.2">
      <c r="A29" s="9"/>
      <c r="B29" s="7" t="s">
        <v>39</v>
      </c>
      <c r="C29" s="6"/>
      <c r="D29" s="61">
        <v>421848</v>
      </c>
      <c r="E29" s="39">
        <v>984816</v>
      </c>
      <c r="F29" s="61">
        <f t="shared" ref="F29:M29" si="8">SUM(F27:F28)</f>
        <v>0</v>
      </c>
      <c r="G29" s="39">
        <f t="shared" si="8"/>
        <v>0</v>
      </c>
      <c r="H29" s="61">
        <f>SUM(H27:H28)</f>
        <v>421848</v>
      </c>
      <c r="I29" s="39">
        <f>SUM(I27:I28)</f>
        <v>984816</v>
      </c>
      <c r="J29" s="61">
        <f t="shared" si="8"/>
        <v>0</v>
      </c>
      <c r="K29" s="39">
        <f t="shared" si="8"/>
        <v>0</v>
      </c>
      <c r="L29" s="61">
        <f t="shared" si="8"/>
        <v>421848</v>
      </c>
      <c r="M29" s="39">
        <f t="shared" si="8"/>
        <v>984816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947768</v>
      </c>
      <c r="E39" s="65">
        <v>2227256</v>
      </c>
      <c r="F39" s="65">
        <f t="shared" ref="F39:G41" si="13">H39-D39</f>
        <v>0</v>
      </c>
      <c r="G39" s="63">
        <f t="shared" si="13"/>
        <v>0</v>
      </c>
      <c r="H39" s="65">
        <f t="shared" si="12"/>
        <v>947768</v>
      </c>
      <c r="I39" s="66">
        <f t="shared" si="12"/>
        <v>2227256</v>
      </c>
      <c r="J39" s="60"/>
      <c r="K39" s="38"/>
      <c r="L39" s="60">
        <f t="shared" ref="L39:M41" si="14">H39+J39</f>
        <v>947768</v>
      </c>
      <c r="M39" s="38">
        <f t="shared" si="14"/>
        <v>2227256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-544397</v>
      </c>
      <c r="E40" s="65">
        <v>-1279332</v>
      </c>
      <c r="F40" s="65">
        <f t="shared" si="13"/>
        <v>0</v>
      </c>
      <c r="G40" s="63">
        <f t="shared" si="13"/>
        <v>0</v>
      </c>
      <c r="H40" s="65">
        <f t="shared" si="12"/>
        <v>-544397</v>
      </c>
      <c r="I40" s="66">
        <f t="shared" si="12"/>
        <v>-1279332</v>
      </c>
      <c r="J40" s="60"/>
      <c r="K40" s="38"/>
      <c r="L40" s="60">
        <f t="shared" si="14"/>
        <v>-544397</v>
      </c>
      <c r="M40" s="38">
        <f t="shared" si="14"/>
        <v>-1279332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-544397</v>
      </c>
      <c r="E42" s="39">
        <v>-1279332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-544397</v>
      </c>
      <c r="I42" s="39">
        <f>SUM(I40:I41)</f>
        <v>-1279332</v>
      </c>
      <c r="J42" s="61">
        <f t="shared" si="15"/>
        <v>0</v>
      </c>
      <c r="K42" s="39">
        <f t="shared" si="15"/>
        <v>0</v>
      </c>
      <c r="L42" s="61">
        <f t="shared" si="15"/>
        <v>-544397</v>
      </c>
      <c r="M42" s="39">
        <f t="shared" si="15"/>
        <v>-1279332</v>
      </c>
    </row>
    <row r="43" spans="1:13" ht="21" customHeight="1" x14ac:dyDescent="0.2">
      <c r="A43" s="9"/>
      <c r="B43" s="7" t="s">
        <v>51</v>
      </c>
      <c r="C43" s="6"/>
      <c r="D43" s="61">
        <v>403371</v>
      </c>
      <c r="E43" s="39">
        <v>947924</v>
      </c>
      <c r="F43" s="61">
        <f t="shared" ref="F43:M43" si="16">F42+F39</f>
        <v>0</v>
      </c>
      <c r="G43" s="39">
        <f t="shared" si="16"/>
        <v>0</v>
      </c>
      <c r="H43" s="61">
        <f>H42+H39</f>
        <v>403371</v>
      </c>
      <c r="I43" s="39">
        <f>I42+I39</f>
        <v>947924</v>
      </c>
      <c r="J43" s="61">
        <f t="shared" si="16"/>
        <v>0</v>
      </c>
      <c r="K43" s="39">
        <f t="shared" si="16"/>
        <v>0</v>
      </c>
      <c r="L43" s="61">
        <f t="shared" si="16"/>
        <v>403371</v>
      </c>
      <c r="M43" s="39">
        <f t="shared" si="16"/>
        <v>947924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-475484</v>
      </c>
      <c r="E49" s="65">
        <v>-1074270.9391440554</v>
      </c>
      <c r="F49" s="65">
        <f>H49-D49</f>
        <v>0</v>
      </c>
      <c r="G49" s="63">
        <f>I49-E49</f>
        <v>0</v>
      </c>
      <c r="H49" s="65">
        <f>D49</f>
        <v>-475484</v>
      </c>
      <c r="I49" s="66">
        <f>E49</f>
        <v>-1074270.9391440554</v>
      </c>
      <c r="J49" s="60"/>
      <c r="K49" s="38"/>
      <c r="L49" s="60">
        <f>H49+J49</f>
        <v>-475484</v>
      </c>
      <c r="M49" s="38">
        <f>I49+K49</f>
        <v>-1074270.9391440554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104001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104001</v>
      </c>
      <c r="J60" s="60"/>
      <c r="K60" s="38"/>
      <c r="L60" s="60">
        <f>H60+J60</f>
        <v>0</v>
      </c>
      <c r="M60" s="38">
        <f>I60+K60</f>
        <v>104001</v>
      </c>
    </row>
    <row r="61" spans="1:15" x14ac:dyDescent="0.2">
      <c r="A61" s="9"/>
      <c r="B61" s="62" t="s">
        <v>63</v>
      </c>
      <c r="C61" s="6"/>
      <c r="D61" s="61">
        <v>0</v>
      </c>
      <c r="E61" s="39">
        <v>104001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104001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104001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80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177</v>
      </c>
      <c r="D82" s="166">
        <f>D16+D24+D29+D36+D43+D45+D47+D49</f>
        <v>-60000</v>
      </c>
      <c r="E82" s="165">
        <f>SUM(E72:E81)+E16+E24+E29+E36+E43+E45+E47+E49+E51+E56+E61+E66</f>
        <v>-2895910.9391440554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-2895910.9391440554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-2895910.9391440554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10" activePane="bottomRight" state="frozen"/>
      <selection activeCell="A5" sqref="A5"/>
      <selection pane="topRight" activeCell="A5" sqref="A5"/>
      <selection pane="bottomLeft" activeCell="A5" sqref="A5"/>
      <selection pane="bottomRight" activeCell="O5" sqref="O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f>'EAST-EGM-FLSH'!D11+'EAST-LRC-FLSH'!D11</f>
        <v>74994646</v>
      </c>
      <c r="E11" s="66">
        <f>'EAST-EGM-FLSH'!E11+'EAST-LRC-FLSH'!E11</f>
        <v>178154561</v>
      </c>
      <c r="F11" s="37">
        <f>H11-D11</f>
        <v>0</v>
      </c>
      <c r="G11" s="37">
        <f>I11-E11</f>
        <v>0</v>
      </c>
      <c r="H11" s="60">
        <f>'EAST-EGM-FLSH'!H11+'EAST-LRC-FLSH'!H11</f>
        <v>74994646</v>
      </c>
      <c r="I11" s="38">
        <f>'EAST-EGM-FLSH'!I11+'EAST-LRC-FLSH'!I11</f>
        <v>178154561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74994646</v>
      </c>
      <c r="M11" s="38">
        <f t="shared" si="0"/>
        <v>178154561</v>
      </c>
    </row>
    <row r="12" spans="1:26" x14ac:dyDescent="0.2">
      <c r="A12" s="9">
        <v>2</v>
      </c>
      <c r="B12" s="7"/>
      <c r="C12" s="18" t="s">
        <v>28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f>'EAST-EGM-FLSH'!D13+'EAST-LRC-FLSH'!D13</f>
        <v>72722774</v>
      </c>
      <c r="E13" s="66">
        <f>'EAST-EGM-FLSH'!E13+'EAST-LRC-FLSH'!E13</f>
        <v>166733479</v>
      </c>
      <c r="F13" s="60">
        <f t="shared" si="1"/>
        <v>0</v>
      </c>
      <c r="G13" s="37">
        <f t="shared" si="1"/>
        <v>0</v>
      </c>
      <c r="H13" s="60">
        <f>'EAST-EGM-FLSH'!H13+'EAST-LRC-FLSH'!H13</f>
        <v>72722774</v>
      </c>
      <c r="I13" s="38">
        <f>'EAST-EGM-FLSH'!I13+'EAST-LRC-FLSH'!I13</f>
        <v>166733479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72722774</v>
      </c>
      <c r="M13" s="38">
        <f t="shared" si="0"/>
        <v>166733479</v>
      </c>
    </row>
    <row r="14" spans="1:26" x14ac:dyDescent="0.2">
      <c r="A14" s="9">
        <v>4</v>
      </c>
      <c r="B14" s="7"/>
      <c r="C14" s="18" t="s">
        <v>30</v>
      </c>
      <c r="D14" s="65">
        <f>'EAST-EGM-FLSH'!D14+'EAST-LRC-FLSH'!D14</f>
        <v>0</v>
      </c>
      <c r="E14" s="66">
        <f>'EAST-EGM-FLSH'!E14+'EAST-LRC-FLSH'!E14</f>
        <v>24768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24768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24768</v>
      </c>
    </row>
    <row r="15" spans="1:26" x14ac:dyDescent="0.2">
      <c r="A15" s="9">
        <v>5</v>
      </c>
      <c r="B15" s="7"/>
      <c r="C15" s="18" t="s">
        <v>31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147717420</v>
      </c>
      <c r="E16" s="39">
        <f>SUM(E11:E15)</f>
        <v>344912808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147717420</v>
      </c>
      <c r="I16" s="39">
        <f t="shared" si="2"/>
        <v>344912808</v>
      </c>
      <c r="J16" s="61">
        <f t="shared" si="2"/>
        <v>0</v>
      </c>
      <c r="K16" s="39">
        <f t="shared" si="2"/>
        <v>0</v>
      </c>
      <c r="L16" s="61">
        <f t="shared" si="2"/>
        <v>147717420</v>
      </c>
      <c r="M16" s="39">
        <f t="shared" si="2"/>
        <v>344912808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f>'EAST-EGM-FLSH'!D19+'EAST-LRC-FLSH'!D19</f>
        <v>-87791806</v>
      </c>
      <c r="E19" s="66">
        <f>'EAST-EGM-FLSH'!E19+'EAST-LRC-FLSH'!E19</f>
        <v>-205788805</v>
      </c>
      <c r="F19" s="60">
        <f>H19-D19</f>
        <v>0</v>
      </c>
      <c r="G19" s="37">
        <f>I19-E19</f>
        <v>0</v>
      </c>
      <c r="H19" s="60">
        <f>'EAST-EGM-FLSH'!H19+'EAST-LRC-FLSH'!H19</f>
        <v>-87791806</v>
      </c>
      <c r="I19" s="38">
        <f>'EAST-EGM-FLSH'!I19+'EAST-LRC-FLSH'!I19</f>
        <v>-205788805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-87791806</v>
      </c>
      <c r="M19" s="38">
        <f t="shared" si="3"/>
        <v>-205788805</v>
      </c>
    </row>
    <row r="20" spans="1:13" x14ac:dyDescent="0.2">
      <c r="A20" s="9">
        <v>7</v>
      </c>
      <c r="B20" s="7"/>
      <c r="C20" s="18" t="s">
        <v>28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5">
        <f>'EAST-EGM-FLSH'!D21+'EAST-LRC-FLSH'!D21</f>
        <v>-61040909</v>
      </c>
      <c r="E21" s="66">
        <f>'EAST-EGM-FLSH'!E21+'EAST-LRC-FLSH'!E21</f>
        <v>-139756907</v>
      </c>
      <c r="F21" s="60">
        <f t="shared" si="4"/>
        <v>0</v>
      </c>
      <c r="G21" s="37">
        <f t="shared" si="4"/>
        <v>0</v>
      </c>
      <c r="H21" s="60">
        <f>'EAST-EGM-FLSH'!H21+'EAST-LRC-FLSH'!H21</f>
        <v>-61040909</v>
      </c>
      <c r="I21" s="38">
        <f>'EAST-EGM-FLSH'!I21+'EAST-LRC-FLSH'!I21</f>
        <v>-139756907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-61040909</v>
      </c>
      <c r="M21" s="38">
        <f t="shared" si="3"/>
        <v>-139756907</v>
      </c>
    </row>
    <row r="22" spans="1:13" x14ac:dyDescent="0.2">
      <c r="A22" s="9">
        <v>9</v>
      </c>
      <c r="B22" s="7"/>
      <c r="C22" s="18" t="s">
        <v>30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5">
        <f>'EAST-EGM-FLSH'!D23+'EAST-LRC-FLSH'!D23</f>
        <v>237567</v>
      </c>
      <c r="E23" s="66">
        <f>'EAST-EGM-FLSH'!E23+'EAST-LRC-FLSH'!E23</f>
        <v>531921</v>
      </c>
      <c r="F23" s="60">
        <f t="shared" si="4"/>
        <v>0</v>
      </c>
      <c r="G23" s="37">
        <f t="shared" si="4"/>
        <v>0</v>
      </c>
      <c r="H23" s="60">
        <f>'EAST-EGM-FLSH'!H23+'EAST-LRC-FLSH'!H23</f>
        <v>237567</v>
      </c>
      <c r="I23" s="38">
        <f>'EAST-EGM-FLSH'!I23+'EAST-LRC-FLSH'!I23</f>
        <v>531921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237567</v>
      </c>
      <c r="M23" s="38">
        <f t="shared" si="3"/>
        <v>531921</v>
      </c>
    </row>
    <row r="24" spans="1:13" x14ac:dyDescent="0.2">
      <c r="A24" s="9"/>
      <c r="B24" s="7" t="s">
        <v>35</v>
      </c>
      <c r="C24" s="6"/>
      <c r="D24" s="61">
        <f>SUM(D19:D23)</f>
        <v>-148595148</v>
      </c>
      <c r="E24" s="39">
        <f>SUM(E19:E23)</f>
        <v>-345013791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-148595148</v>
      </c>
      <c r="I24" s="39">
        <f t="shared" si="5"/>
        <v>-345013791</v>
      </c>
      <c r="J24" s="61">
        <f t="shared" si="5"/>
        <v>0</v>
      </c>
      <c r="K24" s="39">
        <f t="shared" si="5"/>
        <v>0</v>
      </c>
      <c r="L24" s="61">
        <f t="shared" si="5"/>
        <v>-148595148</v>
      </c>
      <c r="M24" s="39">
        <f t="shared" si="5"/>
        <v>-345013791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f>'EAST-EGM-FLSH'!D32+'EAST-LRC-FLSH'!D32</f>
        <v>326249</v>
      </c>
      <c r="E32" s="66">
        <f>'EAST-EGM-FLSH'!E32+'EAST-LRC-FLSH'!E32</f>
        <v>812865</v>
      </c>
      <c r="F32" s="60">
        <f>H32-D32</f>
        <v>0</v>
      </c>
      <c r="G32" s="37">
        <f>I32-E32</f>
        <v>0</v>
      </c>
      <c r="H32" s="60">
        <f>'EAST-EGM-FLSH'!H32+'EAST-LRC-FLSH'!H32</f>
        <v>326249</v>
      </c>
      <c r="I32" s="38">
        <f>'EAST-EGM-FLSH'!I32+'EAST-LRC-FLSH'!I32</f>
        <v>812865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326249</v>
      </c>
      <c r="M32" s="38">
        <f t="shared" si="7"/>
        <v>812865</v>
      </c>
    </row>
    <row r="33" spans="1:13" x14ac:dyDescent="0.2">
      <c r="A33" s="9">
        <v>14</v>
      </c>
      <c r="B33" s="7"/>
      <c r="C33" s="18" t="s">
        <v>42</v>
      </c>
      <c r="D33" s="65">
        <f>'EAST-EGM-FLSH'!D33+'EAST-LRC-FLSH'!D33</f>
        <v>41175</v>
      </c>
      <c r="E33" s="66">
        <f>'EAST-EGM-FLSH'!E33+'EAST-LRC-FLSH'!E33</f>
        <v>54822.219054628862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41175</v>
      </c>
      <c r="I33" s="38">
        <f>'EAST-EGM-FLSH'!I33+'EAST-LRC-FLSH'!I33</f>
        <v>54822.219054628862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41175</v>
      </c>
      <c r="M33" s="38">
        <f t="shared" si="7"/>
        <v>54822.219054628862</v>
      </c>
    </row>
    <row r="34" spans="1:13" x14ac:dyDescent="0.2">
      <c r="A34" s="9">
        <v>15</v>
      </c>
      <c r="B34" s="7"/>
      <c r="C34" s="18" t="s">
        <v>43</v>
      </c>
      <c r="D34" s="65">
        <f>'EAST-EGM-FLSH'!D34+'EAST-LRC-FLSH'!D34</f>
        <v>559377</v>
      </c>
      <c r="E34" s="66">
        <f>'EAST-EGM-FLSH'!E34+'EAST-LRC-FLSH'!E34</f>
        <v>1269071</v>
      </c>
      <c r="F34" s="60">
        <f t="shared" si="8"/>
        <v>0</v>
      </c>
      <c r="G34" s="37">
        <f t="shared" si="8"/>
        <v>0</v>
      </c>
      <c r="H34" s="60">
        <f>'EAST-EGM-FLSH'!H34+'EAST-LRC-FLSH'!H34</f>
        <v>559377</v>
      </c>
      <c r="I34" s="38">
        <f>'EAST-EGM-FLSH'!I34+'EAST-LRC-FLSH'!I34</f>
        <v>1269071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559377</v>
      </c>
      <c r="M34" s="38">
        <f t="shared" si="7"/>
        <v>1269071</v>
      </c>
    </row>
    <row r="35" spans="1:13" x14ac:dyDescent="0.2">
      <c r="A35" s="9">
        <v>16</v>
      </c>
      <c r="B35" s="7"/>
      <c r="C35" s="18" t="s">
        <v>44</v>
      </c>
      <c r="D35" s="65">
        <f>'EAST-EGM-FLSH'!D35+'EAST-LRC-FLSH'!D35</f>
        <v>-346452</v>
      </c>
      <c r="E35" s="66">
        <f>'EAST-EGM-FLSH'!E35+'EAST-LRC-FLSH'!E35</f>
        <v>-778472</v>
      </c>
      <c r="F35" s="60">
        <f t="shared" si="8"/>
        <v>0</v>
      </c>
      <c r="G35" s="37">
        <f t="shared" si="8"/>
        <v>0</v>
      </c>
      <c r="H35" s="60">
        <f>'EAST-EGM-FLSH'!H35+'EAST-LRC-FLSH'!H35</f>
        <v>-346452</v>
      </c>
      <c r="I35" s="38">
        <f>'EAST-EGM-FLSH'!I35+'EAST-LRC-FLSH'!I35</f>
        <v>-778472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-346452</v>
      </c>
      <c r="M35" s="38">
        <f t="shared" si="7"/>
        <v>-778472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580349</v>
      </c>
      <c r="E36" s="39">
        <f t="shared" si="9"/>
        <v>1358286.2190546291</v>
      </c>
      <c r="F36" s="61">
        <f t="shared" si="9"/>
        <v>0</v>
      </c>
      <c r="G36" s="39">
        <f t="shared" si="9"/>
        <v>0</v>
      </c>
      <c r="H36" s="61">
        <f t="shared" si="9"/>
        <v>580349</v>
      </c>
      <c r="I36" s="39">
        <f t="shared" si="9"/>
        <v>1358286.2190546291</v>
      </c>
      <c r="J36" s="61">
        <f>SUM(J32:J34)</f>
        <v>0</v>
      </c>
      <c r="K36" s="39">
        <f>SUM(K32:K34)</f>
        <v>0</v>
      </c>
      <c r="L36" s="61">
        <f>SUM(L32:L35)</f>
        <v>580349</v>
      </c>
      <c r="M36" s="39">
        <f>SUM(M32:M35)</f>
        <v>1358286.2190546291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f>'EAST-EGM-FLSH'!D39+'EAST-LRC-FLSH'!D39</f>
        <v>635909</v>
      </c>
      <c r="E39" s="66">
        <f>'EAST-EGM-FLSH'!E39+'EAST-LRC-FLSH'!E39</f>
        <v>1491229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635909</v>
      </c>
      <c r="I39" s="38">
        <f>'EAST-EGM-FLSH'!I39+'EAST-LRC-FLSH'!I39</f>
        <v>1491229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635909</v>
      </c>
      <c r="M39" s="38">
        <f t="shared" si="11"/>
        <v>1491229</v>
      </c>
    </row>
    <row r="40" spans="1:13" ht="22.5" customHeight="1" x14ac:dyDescent="0.2">
      <c r="A40" s="9">
        <v>18</v>
      </c>
      <c r="B40" s="7"/>
      <c r="C40" s="18" t="s">
        <v>48</v>
      </c>
      <c r="D40" s="65">
        <f>'EAST-EGM-FLSH'!D40+'EAST-LRC-FLSH'!D40</f>
        <v>-338530</v>
      </c>
      <c r="E40" s="66">
        <f>'EAST-EGM-FLSH'!E40+'EAST-LRC-FLSH'!E40</f>
        <v>-795545</v>
      </c>
      <c r="F40" s="60">
        <f t="shared" si="10"/>
        <v>0</v>
      </c>
      <c r="G40" s="37">
        <f t="shared" si="10"/>
        <v>0</v>
      </c>
      <c r="H40" s="60">
        <f>'EAST-EGM-FLSH'!H40+'EAST-LRC-FLSH'!H40</f>
        <v>-338530</v>
      </c>
      <c r="I40" s="38">
        <f>'EAST-EGM-FLSH'!I40+'EAST-LRC-FLSH'!I40</f>
        <v>-795545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-338530</v>
      </c>
      <c r="M40" s="38">
        <f t="shared" si="11"/>
        <v>-795545</v>
      </c>
    </row>
    <row r="41" spans="1:13" x14ac:dyDescent="0.2">
      <c r="A41" s="9">
        <v>19</v>
      </c>
      <c r="B41" s="7"/>
      <c r="C41" s="18" t="s">
        <v>49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>SUM(D40:D41)</f>
        <v>-338530</v>
      </c>
      <c r="E42" s="39">
        <f>SUM(E40:E41)</f>
        <v>-795545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-338530</v>
      </c>
      <c r="I42" s="39">
        <f t="shared" si="12"/>
        <v>-795545</v>
      </c>
      <c r="J42" s="61">
        <f t="shared" si="12"/>
        <v>0</v>
      </c>
      <c r="K42" s="39">
        <f t="shared" si="12"/>
        <v>0</v>
      </c>
      <c r="L42" s="61">
        <f t="shared" si="12"/>
        <v>-338530</v>
      </c>
      <c r="M42" s="39">
        <f t="shared" si="12"/>
        <v>-795545</v>
      </c>
    </row>
    <row r="43" spans="1:13" ht="21" customHeight="1" x14ac:dyDescent="0.2">
      <c r="A43" s="9"/>
      <c r="B43" s="7" t="s">
        <v>51</v>
      </c>
      <c r="C43" s="6"/>
      <c r="D43" s="61">
        <f>D42+D39</f>
        <v>297379</v>
      </c>
      <c r="E43" s="39">
        <f>E42+E39</f>
        <v>695684</v>
      </c>
      <c r="F43" s="61">
        <f t="shared" ref="F43:M43" si="13">F42+F39</f>
        <v>0</v>
      </c>
      <c r="G43" s="39">
        <f t="shared" si="13"/>
        <v>0</v>
      </c>
      <c r="H43" s="61">
        <f t="shared" si="13"/>
        <v>297379</v>
      </c>
      <c r="I43" s="39">
        <f t="shared" si="13"/>
        <v>695684</v>
      </c>
      <c r="J43" s="61">
        <f t="shared" si="13"/>
        <v>0</v>
      </c>
      <c r="K43" s="39">
        <f t="shared" si="13"/>
        <v>0</v>
      </c>
      <c r="L43" s="61">
        <f t="shared" si="13"/>
        <v>297379</v>
      </c>
      <c r="M43" s="39">
        <f t="shared" si="13"/>
        <v>695684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f>'EAST-EGM-FLSH'!D49+'EAST-LRC-FLSH'!D49</f>
        <v>0</v>
      </c>
      <c r="E49" s="66">
        <f>'EAST-EGM-FLSH'!E49+'EAST-LRC-FLSH'!E49</f>
        <v>0</v>
      </c>
      <c r="F49" s="60">
        <f>H49-D49</f>
        <v>0</v>
      </c>
      <c r="G49" s="37">
        <f>I49-E49</f>
        <v>0</v>
      </c>
      <c r="H49" s="60">
        <f>'EAST-EGM-FLSH'!H49+'EAST-LRC-FLSH'!H49</f>
        <v>0</v>
      </c>
      <c r="I49" s="38">
        <f>'EAST-EGM-FLSH'!I49+'EAST-LRC-FLSH'!I49</f>
        <v>0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f>'EAST-EGM-FLSH'!D51+'EAST-LRC-FLSH'!D51</f>
        <v>-237567</v>
      </c>
      <c r="E51" s="66">
        <f>'EAST-EGM-FLSH'!E51+'EAST-LRC-FLSH'!E51</f>
        <v>-531921</v>
      </c>
      <c r="F51" s="60">
        <f>H51-D51</f>
        <v>0</v>
      </c>
      <c r="G51" s="37">
        <f>I51-E51</f>
        <v>0</v>
      </c>
      <c r="H51" s="60">
        <f>'EAST-EGM-FLSH'!H51+'EAST-LRC-FLSH'!H51</f>
        <v>-237567</v>
      </c>
      <c r="I51" s="38">
        <f>'EAST-EGM-FLSH'!I51+'EAST-LRC-FLSH'!I51</f>
        <v>-531921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-237567</v>
      </c>
      <c r="M51" s="38">
        <f>I51+K51</f>
        <v>-531921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f>'EAST-EGM-FLSH'!D54+'EAST-LRC-FLSH'!D54</f>
        <v>0</v>
      </c>
      <c r="E54" s="66">
        <f>'EAST-EGM-FLSH'!E54+'EAST-LRC-FLSH'!E54</f>
        <v>-509841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-509841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-509841</v>
      </c>
    </row>
    <row r="55" spans="1:15" x14ac:dyDescent="0.2">
      <c r="A55" s="9">
        <v>25</v>
      </c>
      <c r="B55" s="7"/>
      <c r="C55" s="18" t="s">
        <v>58</v>
      </c>
      <c r="D55" s="65">
        <f>'EAST-EGM-FLSH'!D55+'EAST-LRC-FLSH'!D55</f>
        <v>0</v>
      </c>
      <c r="E55" s="66">
        <f>'EAST-EGM-FLSH'!E55+'EAST-LRC-FLSH'!E55</f>
        <v>-1302091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-1302091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-1302091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-1811932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-1811932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-1811932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f>'EAST-EGM-FLSH'!D64+'EAST-LRC-FLSH'!D64</f>
        <v>0</v>
      </c>
      <c r="E64" s="66">
        <f>'EAST-EGM-FLSH'!E64+'EAST-LRC-FLSH'!E64</f>
        <v>70884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70884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70884</v>
      </c>
    </row>
    <row r="65" spans="1:13" x14ac:dyDescent="0.2">
      <c r="A65" s="9">
        <v>29</v>
      </c>
      <c r="B65" s="11"/>
      <c r="C65" s="18" t="s">
        <v>65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70884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70884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70884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f>'EAST-EGM-FLSH'!D70+'EAST-LRC-FLSH'!D70</f>
        <v>0</v>
      </c>
      <c r="E70" s="66">
        <f>'EAST-EGM-FLSH'!E70+'EAST-LRC-FLSH'!E70</f>
        <v>2849705.85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2849705.85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2849705.85</v>
      </c>
    </row>
    <row r="71" spans="1:13" x14ac:dyDescent="0.2">
      <c r="A71" s="9">
        <v>31</v>
      </c>
      <c r="B71" s="3"/>
      <c r="C71" s="10" t="s">
        <v>70</v>
      </c>
      <c r="D71" s="65">
        <f>'EAST-EGM-FLSH'!D71+'EAST-LRC-FLSH'!D71</f>
        <v>0</v>
      </c>
      <c r="E71" s="66">
        <f>'EAST-EGM-FLSH'!E71+'EAST-LRC-FLSH'!E71</f>
        <v>196193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196193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196193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3045898.85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3045898.85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3045898.85</v>
      </c>
    </row>
    <row r="73" spans="1:13" x14ac:dyDescent="0.2">
      <c r="A73" s="9">
        <v>32</v>
      </c>
      <c r="B73" s="3"/>
      <c r="C73" s="10" t="s">
        <v>72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5">
        <f>'EAST-EGM-FLSH'!D74+'EAST-LRC-FLSH'!D74</f>
        <v>0</v>
      </c>
      <c r="E74" s="66">
        <f>'EAST-EGM-FLSH'!E74+'EAST-LRC-FLSH'!E74</f>
        <v>-2871909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-2871909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-2871909</v>
      </c>
    </row>
    <row r="75" spans="1:13" x14ac:dyDescent="0.2">
      <c r="A75" s="9">
        <v>34</v>
      </c>
      <c r="B75" s="3"/>
      <c r="C75" s="10" t="s">
        <v>74</v>
      </c>
      <c r="D75" s="65">
        <f>'EAST-EGM-FLSH'!D75+'EAST-LRC-FLSH'!D75</f>
        <v>0</v>
      </c>
      <c r="E75" s="66">
        <f>'EAST-EGM-FLSH'!E75+'EAST-LRC-FLSH'!E75</f>
        <v>667651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667651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667651</v>
      </c>
    </row>
    <row r="76" spans="1:13" x14ac:dyDescent="0.2">
      <c r="A76" s="9">
        <v>35</v>
      </c>
      <c r="B76" s="3"/>
      <c r="C76" s="10" t="s">
        <v>75</v>
      </c>
      <c r="D76" s="65">
        <f>'EAST-EGM-FLSH'!D76+'EAST-LRC-FLSH'!D76</f>
        <v>0</v>
      </c>
      <c r="E76" s="66">
        <f>'EAST-EGM-FLSH'!E76+'EAST-LRC-FLSH'!E76</f>
        <v>-8213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-8213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-8213</v>
      </c>
    </row>
    <row r="77" spans="1:13" x14ac:dyDescent="0.2">
      <c r="A77" s="9">
        <v>36</v>
      </c>
      <c r="B77" s="3"/>
      <c r="C77" s="10" t="s">
        <v>76</v>
      </c>
      <c r="D77" s="65">
        <f>'EAST-EGM-FLSH'!D77+'EAST-LRC-FLSH'!D77</f>
        <v>0</v>
      </c>
      <c r="E77" s="66">
        <f>'EAST-EGM-FLSH'!E77+'EAST-LRC-FLSH'!E77</f>
        <v>-1226809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-1226809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-1226809</v>
      </c>
    </row>
    <row r="78" spans="1:13" x14ac:dyDescent="0.2">
      <c r="A78" s="9">
        <v>37</v>
      </c>
      <c r="B78" s="3"/>
      <c r="C78" s="10" t="s">
        <v>77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78</v>
      </c>
      <c r="D79" s="65">
        <f>'EAST-EGM-FLSH'!D79+'EAST-LRC-FLSH'!D79</f>
        <v>0</v>
      </c>
      <c r="E79" s="66">
        <f>'EAST-EGM-FLSH'!E79+'EAST-LRC-FLSH'!E79</f>
        <v>878217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878217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878217</v>
      </c>
    </row>
    <row r="80" spans="1:13" x14ac:dyDescent="0.2">
      <c r="A80" s="9">
        <v>39</v>
      </c>
      <c r="B80" s="3"/>
      <c r="C80" s="10" t="s">
        <v>79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/>
      <c r="E81" s="66">
        <f>'EAST-EGM-FLSH'!E81+'EAST-LRC-FLSH'!E81</f>
        <v>-1987039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-1987039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-1987039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74">
        <f>SUM(E72:E81)+E16+E24+E29+E36+E43+E45+E47+E49+E51+E56+E61+E66</f>
        <v>-1797660.9859453542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-1797660.9859453542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-1797660.9859453542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-1797660.9859453542</v>
      </c>
      <c r="M84" s="45"/>
    </row>
    <row r="85" spans="1:67" x14ac:dyDescent="0.2">
      <c r="A85" s="4" t="s">
        <v>172</v>
      </c>
      <c r="B85" s="3"/>
    </row>
    <row r="86" spans="1:67" s="3" customFormat="1" x14ac:dyDescent="0.2">
      <c r="A86" s="172"/>
      <c r="C86" s="10" t="s">
        <v>175</v>
      </c>
      <c r="D86" s="173">
        <f>'EAST-EGM-FLSH'!D86+'EAST-LRC-FLSH'!D86</f>
        <v>0</v>
      </c>
      <c r="E86" s="173">
        <f>'EAST-EGM-FLSH'!E86+'EAST-LRC-FLSH'!E86</f>
        <v>-199187</v>
      </c>
      <c r="F86" s="173">
        <f>'EAST-EGM-FLSH'!F86+'EAST-LRC-FLSH'!F86</f>
        <v>0</v>
      </c>
      <c r="G86" s="173">
        <f>'EAST-EGM-FLSH'!G86+'EAST-LRC-FLSH'!G86</f>
        <v>0</v>
      </c>
      <c r="H86" s="173">
        <f>'EAST-EGM-FLSH'!H86+'EAST-LRC-FLSH'!H86</f>
        <v>0</v>
      </c>
      <c r="I86" s="173">
        <f>'EAST-EGM-FLSH'!I86+'EAST-LRC-FLSH'!I86</f>
        <v>-199187</v>
      </c>
      <c r="J86" s="173">
        <f>'EAST-EGM-FLSH'!J86+'EAST-LRC-FLSH'!J86</f>
        <v>0</v>
      </c>
      <c r="K86" s="173">
        <f>'EAST-EGM-FLSH'!K86+'EAST-LRC-FLSH'!K86</f>
        <v>0</v>
      </c>
      <c r="L86" s="173">
        <f>'EAST-EGM-FLSH'!L86+'EAST-LRC-FLSH'!L86</f>
        <v>0</v>
      </c>
      <c r="M86" s="173">
        <f>'EAST-EGM-FLSH'!M86+'EAST-LRC-FLSH'!M86</f>
        <v>-199187</v>
      </c>
    </row>
    <row r="87" spans="1:67" s="3" customFormat="1" x14ac:dyDescent="0.2">
      <c r="A87" s="172"/>
      <c r="C87" s="10" t="s">
        <v>73</v>
      </c>
      <c r="D87" s="174">
        <f>'EAST-EGM-FLSH'!D87+'EAST-LRC-FLSH'!D87</f>
        <v>0</v>
      </c>
      <c r="E87" s="174">
        <f>'EAST-EGM-FLSH'!E87+'EAST-LRC-FLSH'!E87</f>
        <v>0</v>
      </c>
      <c r="F87" s="174">
        <f>'EAST-EGM-FLSH'!F87+'EAST-LRC-FLSH'!F87</f>
        <v>0</v>
      </c>
      <c r="G87" s="174">
        <f>'EAST-EGM-FLSH'!G87+'EAST-LRC-FLSH'!G87</f>
        <v>0</v>
      </c>
      <c r="H87" s="174">
        <f>'EAST-EGM-FLSH'!H87+'EAST-LRC-FLSH'!H87</f>
        <v>0</v>
      </c>
      <c r="I87" s="174">
        <f>'EAST-EGM-FLSH'!I87+'EAST-LRC-FLSH'!I87</f>
        <v>0</v>
      </c>
      <c r="J87" s="174">
        <f>'EAST-EGM-FLSH'!J87+'EAST-LRC-FLSH'!J87</f>
        <v>0</v>
      </c>
      <c r="K87" s="174">
        <f>'EAST-EGM-FLSH'!K87+'EAST-LRC-FLSH'!K87</f>
        <v>0</v>
      </c>
      <c r="L87" s="174">
        <f>'EAST-EGM-FLSH'!L87+'EAST-LRC-FLSH'!L87</f>
        <v>0</v>
      </c>
      <c r="M87" s="174">
        <f>'EAST-EGM-FLSH'!M87+'EAST-LRC-FLSH'!M87</f>
        <v>0</v>
      </c>
    </row>
    <row r="88" spans="1:67" s="3" customFormat="1" x14ac:dyDescent="0.2">
      <c r="A88" s="172"/>
      <c r="C88" s="10" t="s">
        <v>74</v>
      </c>
      <c r="D88" s="175">
        <f>'EAST-EGM-FLSH'!D88+'EAST-LRC-FLSH'!D88</f>
        <v>0</v>
      </c>
      <c r="E88" s="175">
        <f>'EAST-EGM-FLSH'!E88+'EAST-LRC-FLSH'!E88</f>
        <v>0</v>
      </c>
      <c r="F88" s="175">
        <f>'EAST-EGM-FLSH'!F88+'EAST-LRC-FLSH'!F88</f>
        <v>0</v>
      </c>
      <c r="G88" s="175">
        <f>'EAST-EGM-FLSH'!G88+'EAST-LRC-FLSH'!G88</f>
        <v>0</v>
      </c>
      <c r="H88" s="175">
        <f>'EAST-EGM-FLSH'!H88+'EAST-LRC-FLSH'!H88</f>
        <v>0</v>
      </c>
      <c r="I88" s="175">
        <f>'EAST-EGM-FLSH'!I88+'EAST-LRC-FLSH'!I88</f>
        <v>0</v>
      </c>
      <c r="J88" s="175">
        <f>'EAST-EGM-FLSH'!J88+'EAST-LRC-FLSH'!J88</f>
        <v>0</v>
      </c>
      <c r="K88" s="175">
        <f>'EAST-EGM-FLSH'!K88+'EAST-LRC-FLSH'!K88</f>
        <v>0</v>
      </c>
      <c r="L88" s="175">
        <f>'EAST-EGM-FLSH'!L88+'EAST-LRC-FLSH'!L88</f>
        <v>0</v>
      </c>
      <c r="M88" s="175">
        <f>'EAST-EGM-FLSH'!M88+'EAST-LRC-FLSH'!M88</f>
        <v>0</v>
      </c>
    </row>
    <row r="89" spans="1:67" s="44" customFormat="1" ht="20.25" customHeight="1" x14ac:dyDescent="0.2">
      <c r="A89" s="179"/>
      <c r="B89" s="180"/>
      <c r="C89" s="181" t="s">
        <v>178</v>
      </c>
      <c r="D89" s="183">
        <f>SUM(D86:D88)</f>
        <v>0</v>
      </c>
      <c r="E89" s="183">
        <f t="shared" ref="E89:M89" si="20">SUM(E86:E88)</f>
        <v>-199187</v>
      </c>
      <c r="F89" s="183">
        <f t="shared" si="20"/>
        <v>0</v>
      </c>
      <c r="G89" s="183">
        <f t="shared" si="20"/>
        <v>0</v>
      </c>
      <c r="H89" s="183">
        <f t="shared" si="20"/>
        <v>0</v>
      </c>
      <c r="I89" s="183">
        <f t="shared" si="20"/>
        <v>-199187</v>
      </c>
      <c r="J89" s="183">
        <f t="shared" si="20"/>
        <v>0</v>
      </c>
      <c r="K89" s="183">
        <f t="shared" si="20"/>
        <v>0</v>
      </c>
      <c r="L89" s="183">
        <f t="shared" si="20"/>
        <v>0</v>
      </c>
      <c r="M89" s="183">
        <f t="shared" si="20"/>
        <v>-199187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176</v>
      </c>
      <c r="D91" s="183">
        <f>+D82+D89</f>
        <v>0</v>
      </c>
      <c r="E91" s="183">
        <f t="shared" ref="E91:M91" si="21">+E82+E89</f>
        <v>-1996847.9859453542</v>
      </c>
      <c r="F91" s="183">
        <f t="shared" si="21"/>
        <v>0</v>
      </c>
      <c r="G91" s="183">
        <f t="shared" si="21"/>
        <v>0</v>
      </c>
      <c r="H91" s="183">
        <f t="shared" si="21"/>
        <v>0</v>
      </c>
      <c r="I91" s="183">
        <f t="shared" si="21"/>
        <v>-1996847.9859453542</v>
      </c>
      <c r="J91" s="183">
        <f t="shared" si="21"/>
        <v>0</v>
      </c>
      <c r="K91" s="183">
        <f t="shared" si="21"/>
        <v>0</v>
      </c>
      <c r="L91" s="183">
        <f t="shared" si="21"/>
        <v>0</v>
      </c>
      <c r="M91" s="183">
        <f t="shared" si="21"/>
        <v>-1996847.9859453542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A91" sqref="A91"/>
      <selection pane="topRight" activeCell="A91" sqref="A91"/>
      <selection pane="bottomLeft" activeCell="A91" sqref="A91"/>
      <selection pane="bottomRight" activeCell="A85" sqref="A85:IV9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71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36" activePane="bottomRight" state="frozen"/>
      <selection activeCell="A91" sqref="A91"/>
      <selection pane="topRight" activeCell="A91" sqref="A91"/>
      <selection pane="bottomLeft" activeCell="A91" sqref="A91"/>
      <selection pane="bottomRight" activeCell="B37" sqref="B3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50782978</v>
      </c>
      <c r="E11" s="38">
        <v>118286936.95999998</v>
      </c>
      <c r="F11" s="65">
        <f>H11-D11</f>
        <v>0</v>
      </c>
      <c r="G11" s="63">
        <f>I11-E11</f>
        <v>0</v>
      </c>
      <c r="H11" s="65">
        <f>D11</f>
        <v>50782978</v>
      </c>
      <c r="I11" s="66">
        <f>E11</f>
        <v>118286936.95999998</v>
      </c>
      <c r="J11" s="60"/>
      <c r="K11" s="38"/>
      <c r="L11" s="60">
        <f t="shared" ref="L11:M15" si="0">H11+J11</f>
        <v>50782978</v>
      </c>
      <c r="M11" s="38">
        <f t="shared" si="0"/>
        <v>118286936.95999998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71127</v>
      </c>
      <c r="E13" s="38">
        <v>159944.9</v>
      </c>
      <c r="F13" s="65">
        <f t="shared" si="1"/>
        <v>0</v>
      </c>
      <c r="G13" s="63">
        <f t="shared" si="1"/>
        <v>0</v>
      </c>
      <c r="H13" s="65">
        <f t="shared" si="2"/>
        <v>71127</v>
      </c>
      <c r="I13" s="66">
        <f t="shared" si="2"/>
        <v>159944.9</v>
      </c>
      <c r="J13" s="60"/>
      <c r="K13" s="38"/>
      <c r="L13" s="60">
        <f t="shared" si="0"/>
        <v>71127</v>
      </c>
      <c r="M13" s="38">
        <f t="shared" si="0"/>
        <v>159944.9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50854105</v>
      </c>
      <c r="E16" s="39">
        <v>118446881.85999998</v>
      </c>
      <c r="F16" s="61">
        <f t="shared" ref="F16:M16" si="3">SUM(F11:F15)</f>
        <v>0</v>
      </c>
      <c r="G16" s="39">
        <f t="shared" si="3"/>
        <v>0</v>
      </c>
      <c r="H16" s="61">
        <f>SUM(H11:H15)</f>
        <v>50854105</v>
      </c>
      <c r="I16" s="39">
        <f>SUM(I11:I15)</f>
        <v>118446881.85999998</v>
      </c>
      <c r="J16" s="61">
        <f t="shared" si="3"/>
        <v>0</v>
      </c>
      <c r="K16" s="39">
        <f t="shared" si="3"/>
        <v>0</v>
      </c>
      <c r="L16" s="61">
        <f t="shared" si="3"/>
        <v>50854105</v>
      </c>
      <c r="M16" s="39">
        <f t="shared" si="3"/>
        <v>118446881.85999998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-56565409</v>
      </c>
      <c r="E19" s="38">
        <v>-129583943.57000001</v>
      </c>
      <c r="F19" s="65">
        <f>H19-D19</f>
        <v>0</v>
      </c>
      <c r="G19" s="63">
        <f>I19-E19</f>
        <v>0</v>
      </c>
      <c r="H19" s="65">
        <f t="shared" si="4"/>
        <v>-56565409</v>
      </c>
      <c r="I19" s="66">
        <f t="shared" si="4"/>
        <v>-129583943.57000001</v>
      </c>
      <c r="J19" s="60"/>
      <c r="K19" s="38"/>
      <c r="L19" s="60">
        <f t="shared" ref="L19:M23" si="5">H19+J19</f>
        <v>-56565409</v>
      </c>
      <c r="M19" s="38">
        <f t="shared" si="5"/>
        <v>-129583943.57000001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-2052275</v>
      </c>
      <c r="E21" s="38">
        <v>-4472679.1100000003</v>
      </c>
      <c r="F21" s="65">
        <f t="shared" si="6"/>
        <v>0</v>
      </c>
      <c r="G21" s="63">
        <f t="shared" si="6"/>
        <v>0</v>
      </c>
      <c r="H21" s="65">
        <f t="shared" si="4"/>
        <v>-2052275</v>
      </c>
      <c r="I21" s="66">
        <f t="shared" si="4"/>
        <v>-4472679.1100000003</v>
      </c>
      <c r="J21" s="60"/>
      <c r="K21" s="38"/>
      <c r="L21" s="60">
        <f t="shared" si="5"/>
        <v>-2052275</v>
      </c>
      <c r="M21" s="38">
        <f t="shared" si="5"/>
        <v>-4472679.1100000003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-58617684</v>
      </c>
      <c r="E24" s="39">
        <v>-134056622.68000001</v>
      </c>
      <c r="F24" s="61">
        <f t="shared" ref="F24:M24" si="7">SUM(F19:F23)</f>
        <v>0</v>
      </c>
      <c r="G24" s="39">
        <f t="shared" si="7"/>
        <v>0</v>
      </c>
      <c r="H24" s="61">
        <f>SUM(H19:H23)</f>
        <v>-58617684</v>
      </c>
      <c r="I24" s="39">
        <f>SUM(I19:I23)</f>
        <v>-134056622.68000001</v>
      </c>
      <c r="J24" s="61">
        <f t="shared" si="7"/>
        <v>0</v>
      </c>
      <c r="K24" s="39">
        <f t="shared" si="7"/>
        <v>0</v>
      </c>
      <c r="L24" s="61">
        <f t="shared" si="7"/>
        <v>-58617684</v>
      </c>
      <c r="M24" s="39">
        <f t="shared" si="7"/>
        <v>-134056622.68000001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32997274</v>
      </c>
      <c r="E27" s="38">
        <v>74244674.739999995</v>
      </c>
      <c r="F27" s="65">
        <f>H27-D27</f>
        <v>0</v>
      </c>
      <c r="G27" s="63">
        <f>I27-E27</f>
        <v>0</v>
      </c>
      <c r="H27" s="65">
        <f>D27</f>
        <v>32997274</v>
      </c>
      <c r="I27" s="66">
        <f>E27</f>
        <v>74244674.739999995</v>
      </c>
      <c r="J27" s="60"/>
      <c r="K27" s="38"/>
      <c r="L27" s="60">
        <f>H27+J27</f>
        <v>32997274</v>
      </c>
      <c r="M27" s="38">
        <f>I27+K27</f>
        <v>74244674.739999995</v>
      </c>
    </row>
    <row r="28" spans="1:13" x14ac:dyDescent="0.2">
      <c r="A28" s="9">
        <v>12</v>
      </c>
      <c r="B28" s="7"/>
      <c r="C28" s="18" t="s">
        <v>38</v>
      </c>
      <c r="D28" s="60">
        <v>-33022074</v>
      </c>
      <c r="E28" s="38">
        <v>-74302955</v>
      </c>
      <c r="F28" s="65">
        <f>H28-D28</f>
        <v>0</v>
      </c>
      <c r="G28" s="63">
        <f>I28-E28</f>
        <v>0</v>
      </c>
      <c r="H28" s="65">
        <f>D28</f>
        <v>-33022074</v>
      </c>
      <c r="I28" s="66">
        <f>E28</f>
        <v>-74302955</v>
      </c>
      <c r="J28" s="60"/>
      <c r="K28" s="38"/>
      <c r="L28" s="60">
        <f>H28+J28</f>
        <v>-33022074</v>
      </c>
      <c r="M28" s="38">
        <f>I28+K28</f>
        <v>-74302955</v>
      </c>
    </row>
    <row r="29" spans="1:13" x14ac:dyDescent="0.2">
      <c r="A29" s="9"/>
      <c r="B29" s="7" t="s">
        <v>39</v>
      </c>
      <c r="C29" s="6"/>
      <c r="D29" s="61">
        <v>-24800</v>
      </c>
      <c r="E29" s="39">
        <v>-58280.260000005364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-24800</v>
      </c>
      <c r="I29" s="39">
        <f>SUM(I27:I28)</f>
        <v>-58280.260000005364</v>
      </c>
      <c r="J29" s="61">
        <f t="shared" si="8"/>
        <v>0</v>
      </c>
      <c r="K29" s="39">
        <f t="shared" si="8"/>
        <v>0</v>
      </c>
      <c r="L29" s="61">
        <f t="shared" si="8"/>
        <v>-24800</v>
      </c>
      <c r="M29" s="39">
        <f t="shared" si="8"/>
        <v>-58280.260000005364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1027777</v>
      </c>
      <c r="E33" s="38">
        <v>1867759.4615309306</v>
      </c>
      <c r="F33" s="65">
        <f t="shared" ref="F33:G35" si="11">H33-D33</f>
        <v>0</v>
      </c>
      <c r="G33" s="63">
        <f t="shared" si="11"/>
        <v>0</v>
      </c>
      <c r="H33" s="65">
        <f t="shared" si="9"/>
        <v>1027777</v>
      </c>
      <c r="I33" s="66">
        <f t="shared" si="9"/>
        <v>1867759.4615309306</v>
      </c>
      <c r="J33" s="60"/>
      <c r="K33" s="38"/>
      <c r="L33" s="60">
        <f t="shared" si="10"/>
        <v>1027777</v>
      </c>
      <c r="M33" s="38">
        <f t="shared" si="10"/>
        <v>1867759.4615309306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1027777</v>
      </c>
      <c r="E36" s="39">
        <v>1867759.4615309306</v>
      </c>
      <c r="F36" s="61">
        <f>SUM(F32:F35)</f>
        <v>0</v>
      </c>
      <c r="G36" s="39">
        <f>SUM(G32:G35)</f>
        <v>0</v>
      </c>
      <c r="H36" s="61">
        <f>SUM(H32:H35)</f>
        <v>1027777</v>
      </c>
      <c r="I36" s="39">
        <f>SUM(I32:I35)</f>
        <v>1867759.4615309306</v>
      </c>
      <c r="J36" s="61">
        <f>SUM(J32:J34)</f>
        <v>0</v>
      </c>
      <c r="K36" s="39">
        <f>SUM(K32:K34)</f>
        <v>0</v>
      </c>
      <c r="L36" s="61">
        <f>SUM(L32:L35)</f>
        <v>1027777</v>
      </c>
      <c r="M36" s="39">
        <f>SUM(M32:M35)</f>
        <v>1867759.4615309306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7337145</v>
      </c>
      <c r="E39" s="38">
        <v>16945465.600000001</v>
      </c>
      <c r="F39" s="65">
        <f t="shared" ref="F39:G41" si="13">H39-D39</f>
        <v>0</v>
      </c>
      <c r="G39" s="63">
        <f t="shared" si="13"/>
        <v>0</v>
      </c>
      <c r="H39" s="65">
        <f t="shared" si="12"/>
        <v>7337145</v>
      </c>
      <c r="I39" s="66">
        <f t="shared" si="12"/>
        <v>16945465.600000001</v>
      </c>
      <c r="J39" s="60"/>
      <c r="K39" s="38"/>
      <c r="L39" s="60">
        <f t="shared" ref="L39:M41" si="14">H39+J39</f>
        <v>7337145</v>
      </c>
      <c r="M39" s="38">
        <f t="shared" si="14"/>
        <v>16945465.600000001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-576543</v>
      </c>
      <c r="E40" s="38">
        <v>-1293656.32</v>
      </c>
      <c r="F40" s="65">
        <f t="shared" si="13"/>
        <v>0</v>
      </c>
      <c r="G40" s="63">
        <f t="shared" si="13"/>
        <v>0</v>
      </c>
      <c r="H40" s="65">
        <f t="shared" si="12"/>
        <v>-576543</v>
      </c>
      <c r="I40" s="66">
        <f t="shared" si="12"/>
        <v>-1293656.32</v>
      </c>
      <c r="J40" s="60"/>
      <c r="K40" s="38"/>
      <c r="L40" s="60">
        <f t="shared" si="14"/>
        <v>-576543</v>
      </c>
      <c r="M40" s="38">
        <f t="shared" si="14"/>
        <v>-1293656.32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-576543</v>
      </c>
      <c r="E42" s="39">
        <v>-1293656.32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-576543</v>
      </c>
      <c r="I42" s="39">
        <f>SUM(I40:I41)</f>
        <v>-1293656.32</v>
      </c>
      <c r="J42" s="61">
        <f t="shared" si="15"/>
        <v>0</v>
      </c>
      <c r="K42" s="39">
        <f t="shared" si="15"/>
        <v>0</v>
      </c>
      <c r="L42" s="69">
        <f t="shared" si="15"/>
        <v>-576543</v>
      </c>
      <c r="M42" s="70">
        <f t="shared" si="15"/>
        <v>-1293656.32</v>
      </c>
    </row>
    <row r="43" spans="1:13" ht="21" customHeight="1" x14ac:dyDescent="0.2">
      <c r="A43" s="9"/>
      <c r="B43" s="7" t="s">
        <v>51</v>
      </c>
      <c r="C43" s="6"/>
      <c r="D43" s="60">
        <v>6760602</v>
      </c>
      <c r="E43" s="38">
        <v>15651809.280000001</v>
      </c>
      <c r="F43" s="61">
        <f t="shared" ref="F43:M43" si="16">F42+F39</f>
        <v>0</v>
      </c>
      <c r="G43" s="39">
        <f t="shared" si="16"/>
        <v>0</v>
      </c>
      <c r="H43" s="61">
        <f>H42+H39</f>
        <v>6760602</v>
      </c>
      <c r="I43" s="39">
        <f>I42+I39</f>
        <v>15651809.280000001</v>
      </c>
      <c r="J43" s="61">
        <f t="shared" si="16"/>
        <v>0</v>
      </c>
      <c r="K43" s="39">
        <f t="shared" si="16"/>
        <v>0</v>
      </c>
      <c r="L43" s="61">
        <f t="shared" si="16"/>
        <v>6760602</v>
      </c>
      <c r="M43" s="39">
        <f t="shared" si="16"/>
        <v>15651809.280000001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-992568.27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-992568.27</v>
      </c>
      <c r="J54" s="60"/>
      <c r="K54" s="38"/>
      <c r="L54" s="60">
        <f>H54+J54</f>
        <v>0</v>
      </c>
      <c r="M54" s="38">
        <f>I54+K54</f>
        <v>-992568.27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-992568.27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-992568.27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-992568.27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250999.06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250999.06</v>
      </c>
      <c r="J70" s="60"/>
      <c r="K70" s="38"/>
      <c r="L70" s="60">
        <f t="shared" si="20"/>
        <v>0</v>
      </c>
      <c r="M70" s="38">
        <f t="shared" si="20"/>
        <v>250999.06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-1054678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-1054678</v>
      </c>
      <c r="J71" s="60"/>
      <c r="K71" s="38"/>
      <c r="L71" s="60">
        <f t="shared" si="20"/>
        <v>0</v>
      </c>
      <c r="M71" s="38">
        <f t="shared" si="20"/>
        <v>-1054678</v>
      </c>
    </row>
    <row r="72" spans="1:13" x14ac:dyDescent="0.2">
      <c r="A72" s="9"/>
      <c r="B72" s="3"/>
      <c r="C72" s="55" t="s">
        <v>71</v>
      </c>
      <c r="D72" s="61">
        <v>0</v>
      </c>
      <c r="E72" s="39">
        <v>-803678.94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-803678.94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-803678.94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1019748.41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1019748.41</v>
      </c>
      <c r="J74" s="60"/>
      <c r="K74" s="38"/>
      <c r="L74" s="60">
        <f t="shared" si="23"/>
        <v>0</v>
      </c>
      <c r="M74" s="38">
        <f t="shared" si="23"/>
        <v>1019748.41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81200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81200</v>
      </c>
      <c r="J75" s="60"/>
      <c r="K75" s="38"/>
      <c r="L75" s="60">
        <f t="shared" si="23"/>
        <v>0</v>
      </c>
      <c r="M75" s="38">
        <f t="shared" si="23"/>
        <v>81200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-4060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-4060</v>
      </c>
      <c r="J76" s="60"/>
      <c r="K76" s="38"/>
      <c r="L76" s="60">
        <f t="shared" si="23"/>
        <v>0</v>
      </c>
      <c r="M76" s="38">
        <f t="shared" si="23"/>
        <v>-4060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-108300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-108300</v>
      </c>
      <c r="J77" s="60"/>
      <c r="K77" s="38"/>
      <c r="L77" s="60">
        <f t="shared" si="23"/>
        <v>0</v>
      </c>
      <c r="M77" s="38">
        <f t="shared" si="23"/>
        <v>-108300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165">
        <f>SUM(E72:E81)+E16+E24+E29+E36+E43+E45+E47+E49+E51+E56+E61+E66</f>
        <v>1018888.8615309033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1018888.8615309033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1018888.8615309033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179</v>
      </c>
      <c r="B85" s="3"/>
      <c r="M85" s="45">
        <f>M82+'TX-HPL-FLSH'!M82</f>
        <v>1572168.0664456198</v>
      </c>
    </row>
    <row r="86" spans="1:67" s="3" customFormat="1" x14ac:dyDescent="0.2">
      <c r="A86" s="172"/>
      <c r="C86" s="10" t="s">
        <v>175</v>
      </c>
      <c r="D86" s="176">
        <v>0</v>
      </c>
      <c r="E86" s="176">
        <v>114066</v>
      </c>
      <c r="F86" s="176">
        <f t="shared" ref="F86:G88" si="25">H86-D86</f>
        <v>0</v>
      </c>
      <c r="G86" s="176">
        <f t="shared" si="25"/>
        <v>0</v>
      </c>
      <c r="H86" s="176">
        <f t="shared" ref="H86:I88" si="26">D86</f>
        <v>0</v>
      </c>
      <c r="I86" s="176">
        <f t="shared" si="26"/>
        <v>114066</v>
      </c>
      <c r="J86" s="176"/>
      <c r="K86" s="176"/>
      <c r="L86" s="176">
        <f t="shared" ref="L86:M88" si="27">H86+J86</f>
        <v>0</v>
      </c>
      <c r="M86" s="176">
        <f t="shared" si="27"/>
        <v>114066</v>
      </c>
    </row>
    <row r="87" spans="1:67" s="3" customFormat="1" x14ac:dyDescent="0.2">
      <c r="A87" s="172"/>
      <c r="C87" s="10" t="s">
        <v>73</v>
      </c>
      <c r="D87" s="177">
        <v>0</v>
      </c>
      <c r="E87" s="177">
        <v>0</v>
      </c>
      <c r="F87" s="177">
        <f t="shared" si="25"/>
        <v>0</v>
      </c>
      <c r="G87" s="177">
        <f t="shared" si="25"/>
        <v>0</v>
      </c>
      <c r="H87" s="177">
        <f t="shared" si="26"/>
        <v>0</v>
      </c>
      <c r="I87" s="177">
        <f t="shared" si="26"/>
        <v>0</v>
      </c>
      <c r="J87" s="177"/>
      <c r="K87" s="177"/>
      <c r="L87" s="177">
        <f t="shared" si="27"/>
        <v>0</v>
      </c>
      <c r="M87" s="177">
        <f t="shared" si="27"/>
        <v>0</v>
      </c>
    </row>
    <row r="88" spans="1:67" s="3" customFormat="1" x14ac:dyDescent="0.2">
      <c r="A88" s="172"/>
      <c r="C88" s="10" t="s">
        <v>74</v>
      </c>
      <c r="D88" s="178">
        <v>0</v>
      </c>
      <c r="E88" s="178">
        <v>-113464</v>
      </c>
      <c r="F88" s="178">
        <f t="shared" si="25"/>
        <v>0</v>
      </c>
      <c r="G88" s="178">
        <f t="shared" si="25"/>
        <v>0</v>
      </c>
      <c r="H88" s="178">
        <f t="shared" si="26"/>
        <v>0</v>
      </c>
      <c r="I88" s="178">
        <f t="shared" si="26"/>
        <v>-113464</v>
      </c>
      <c r="J88" s="178"/>
      <c r="K88" s="178"/>
      <c r="L88" s="178">
        <f t="shared" si="27"/>
        <v>0</v>
      </c>
      <c r="M88" s="178">
        <f t="shared" si="27"/>
        <v>-113464</v>
      </c>
    </row>
    <row r="89" spans="1:67" s="44" customFormat="1" ht="20.25" customHeight="1" x14ac:dyDescent="0.2">
      <c r="A89" s="179"/>
      <c r="B89" s="180"/>
      <c r="C89" s="181" t="s">
        <v>178</v>
      </c>
      <c r="D89" s="183">
        <f>SUM(D86:D88)</f>
        <v>0</v>
      </c>
      <c r="E89" s="183">
        <f t="shared" ref="E89:M89" si="28">SUM(E86:E88)</f>
        <v>602</v>
      </c>
      <c r="F89" s="183">
        <f t="shared" si="28"/>
        <v>0</v>
      </c>
      <c r="G89" s="183">
        <f t="shared" si="28"/>
        <v>0</v>
      </c>
      <c r="H89" s="183">
        <f t="shared" si="28"/>
        <v>0</v>
      </c>
      <c r="I89" s="183">
        <f t="shared" si="28"/>
        <v>602</v>
      </c>
      <c r="J89" s="183">
        <f t="shared" si="28"/>
        <v>0</v>
      </c>
      <c r="K89" s="183">
        <f t="shared" si="28"/>
        <v>0</v>
      </c>
      <c r="L89" s="183">
        <f t="shared" si="28"/>
        <v>0</v>
      </c>
      <c r="M89" s="183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176</v>
      </c>
      <c r="D91" s="183">
        <f>+D82+D89</f>
        <v>0</v>
      </c>
      <c r="E91" s="183">
        <f t="shared" ref="E91:M91" si="29">+E82+E89</f>
        <v>1019490.8615309033</v>
      </c>
      <c r="F91" s="183">
        <f t="shared" si="29"/>
        <v>0</v>
      </c>
      <c r="G91" s="183">
        <f t="shared" si="29"/>
        <v>0</v>
      </c>
      <c r="H91" s="183">
        <f t="shared" si="29"/>
        <v>0</v>
      </c>
      <c r="I91" s="183">
        <f t="shared" si="29"/>
        <v>1019490.8615309033</v>
      </c>
      <c r="J91" s="183">
        <f t="shared" si="29"/>
        <v>0</v>
      </c>
      <c r="K91" s="183">
        <f t="shared" si="29"/>
        <v>0</v>
      </c>
      <c r="L91" s="183">
        <f t="shared" si="29"/>
        <v>0</v>
      </c>
      <c r="M91" s="183">
        <f t="shared" si="29"/>
        <v>1019490.8615309033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M56" activePane="bottomRight" state="frozen"/>
      <selection activeCell="A91" sqref="A91"/>
      <selection pane="topRight" activeCell="A91" sqref="A91"/>
      <selection pane="bottomLeft" activeCell="A91" sqref="A91"/>
      <selection pane="bottomRight" activeCell="F81" sqref="F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942514</v>
      </c>
      <c r="E11" s="60">
        <v>2190441.0400000215</v>
      </c>
      <c r="F11" s="60">
        <f>H11-D11</f>
        <v>0</v>
      </c>
      <c r="G11" s="37">
        <f>I11-E11</f>
        <v>0</v>
      </c>
      <c r="H11" s="65">
        <f>D11</f>
        <v>942514</v>
      </c>
      <c r="I11" s="66">
        <f>E11</f>
        <v>2190441.0400000215</v>
      </c>
      <c r="J11" s="60"/>
      <c r="K11" s="38"/>
      <c r="L11" s="60">
        <f t="shared" ref="L11:M15" si="0">H11+J11</f>
        <v>942514</v>
      </c>
      <c r="M11" s="38">
        <f t="shared" si="0"/>
        <v>2190441.0400000215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-0.89999999999417923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-0.89999999999417923</v>
      </c>
      <c r="J13" s="60"/>
      <c r="K13" s="38"/>
      <c r="L13" s="60">
        <f t="shared" si="0"/>
        <v>0</v>
      </c>
      <c r="M13" s="38">
        <f t="shared" si="0"/>
        <v>-0.89999999999417923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942514</v>
      </c>
      <c r="E16" s="39">
        <v>2190440.1400000216</v>
      </c>
      <c r="F16" s="61">
        <f t="shared" ref="F16:M16" si="3">SUM(F11:F15)</f>
        <v>0</v>
      </c>
      <c r="G16" s="39">
        <f t="shared" si="3"/>
        <v>0</v>
      </c>
      <c r="H16" s="61">
        <f>SUM(H11:H15)</f>
        <v>942514</v>
      </c>
      <c r="I16" s="39">
        <f>SUM(I11:I15)</f>
        <v>2190440.1400000216</v>
      </c>
      <c r="J16" s="61">
        <f t="shared" si="3"/>
        <v>0</v>
      </c>
      <c r="K16" s="39">
        <f t="shared" si="3"/>
        <v>0</v>
      </c>
      <c r="L16" s="61">
        <f t="shared" si="3"/>
        <v>942514</v>
      </c>
      <c r="M16" s="39">
        <f t="shared" si="3"/>
        <v>2190440.1400000216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-1123944</v>
      </c>
      <c r="E19" s="60">
        <v>-2561345.4299999923</v>
      </c>
      <c r="F19" s="60">
        <f>H19-D19</f>
        <v>0</v>
      </c>
      <c r="G19" s="37">
        <f>I19-E19</f>
        <v>0</v>
      </c>
      <c r="H19" s="65">
        <f t="shared" si="4"/>
        <v>-1123944</v>
      </c>
      <c r="I19" s="66">
        <f t="shared" si="4"/>
        <v>-2561345.4299999923</v>
      </c>
      <c r="J19" s="60"/>
      <c r="K19" s="38"/>
      <c r="L19" s="60">
        <f t="shared" ref="L19:M23" si="5">H19+J19</f>
        <v>-1123944</v>
      </c>
      <c r="M19" s="38">
        <f t="shared" si="5"/>
        <v>-2561345.4299999923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0.10999999940395355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0.10999999940395355</v>
      </c>
      <c r="J21" s="60"/>
      <c r="K21" s="38"/>
      <c r="L21" s="60">
        <f t="shared" si="5"/>
        <v>0</v>
      </c>
      <c r="M21" s="38">
        <f t="shared" si="5"/>
        <v>0.10999999940395355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6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-1123944</v>
      </c>
      <c r="E24" s="39">
        <v>-2561345.3199999928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-1123944</v>
      </c>
      <c r="I24" s="39">
        <f>SUM(I19:I23)</f>
        <v>-2561345.3199999928</v>
      </c>
      <c r="J24" s="61">
        <f t="shared" si="7"/>
        <v>0</v>
      </c>
      <c r="K24" s="39">
        <f t="shared" si="7"/>
        <v>0</v>
      </c>
      <c r="L24" s="61">
        <f t="shared" si="7"/>
        <v>-1123944</v>
      </c>
      <c r="M24" s="39">
        <f t="shared" si="7"/>
        <v>-2561345.3199999928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6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60">
        <v>2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2</v>
      </c>
      <c r="J28" s="60"/>
      <c r="K28" s="38"/>
      <c r="L28" s="60">
        <f>H28+J28</f>
        <v>0</v>
      </c>
      <c r="M28" s="38">
        <f>I28+K28</f>
        <v>2</v>
      </c>
    </row>
    <row r="29" spans="1:13" x14ac:dyDescent="0.2">
      <c r="A29" s="9"/>
      <c r="B29" s="7" t="s">
        <v>39</v>
      </c>
      <c r="C29" s="6"/>
      <c r="D29" s="61">
        <v>0</v>
      </c>
      <c r="E29" s="39">
        <v>2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2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2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181430</v>
      </c>
      <c r="E33" s="60">
        <v>899183.66491468926</v>
      </c>
      <c r="F33" s="60">
        <f t="shared" ref="F33:G35" si="11">H33-D33</f>
        <v>0</v>
      </c>
      <c r="G33" s="37">
        <f t="shared" si="11"/>
        <v>0</v>
      </c>
      <c r="H33" s="65">
        <f t="shared" si="9"/>
        <v>181430</v>
      </c>
      <c r="I33" s="66">
        <f t="shared" si="9"/>
        <v>899183.66491468926</v>
      </c>
      <c r="J33" s="60"/>
      <c r="K33" s="38"/>
      <c r="L33" s="60">
        <f t="shared" si="10"/>
        <v>181430</v>
      </c>
      <c r="M33" s="38">
        <f t="shared" si="10"/>
        <v>899183.66491468926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181430</v>
      </c>
      <c r="E36" s="39">
        <v>899183.66491468926</v>
      </c>
      <c r="F36" s="61">
        <f>SUM(F32:F35)</f>
        <v>0</v>
      </c>
      <c r="G36" s="39">
        <f>SUM(G32:G35)</f>
        <v>0</v>
      </c>
      <c r="H36" s="61">
        <f>SUM(H32:H35)</f>
        <v>181430</v>
      </c>
      <c r="I36" s="39">
        <f>SUM(I32:I35)</f>
        <v>899183.66491468926</v>
      </c>
      <c r="J36" s="61">
        <f>SUM(J32:J34)</f>
        <v>0</v>
      </c>
      <c r="K36" s="39">
        <f>SUM(K32:K34)</f>
        <v>0</v>
      </c>
      <c r="L36" s="61">
        <f>SUM(L32:L35)</f>
        <v>181430</v>
      </c>
      <c r="M36" s="39">
        <f>SUM(M32:M35)</f>
        <v>899183.66491468926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-0.60000000149011612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-0.60000000149011612</v>
      </c>
      <c r="J39" s="60"/>
      <c r="K39" s="38"/>
      <c r="L39" s="60">
        <f t="shared" ref="L39:M41" si="14">H39+J39</f>
        <v>0</v>
      </c>
      <c r="M39" s="38">
        <f t="shared" si="14"/>
        <v>-0.60000000149011612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-0.67999999993480742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-0.67999999993480742</v>
      </c>
      <c r="J40" s="60"/>
      <c r="K40" s="38"/>
      <c r="L40" s="60">
        <f t="shared" si="14"/>
        <v>0</v>
      </c>
      <c r="M40" s="38">
        <f t="shared" si="14"/>
        <v>-0.67999999993480742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-0.67999999993480742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-0.67999999993480742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-0.67999999993480742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-1.2800000014249235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-1.2800000014249235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-1.2800000014249235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165">
        <f>SUM(E72:E81)+E16+E24+E29+E36+E43+E45+E47+E49+E51+E56+E61+E66</f>
        <v>553279.20491471654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553279.20491471654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553279.20491471654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M56" activePane="bottomRight" state="frozen"/>
      <selection activeCell="A91" sqref="A91"/>
      <selection pane="topRight" activeCell="A91" sqref="A91"/>
      <selection pane="bottomLeft" activeCell="A91" sqref="A91"/>
      <selection pane="bottomRight" activeCell="F81" sqref="F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51725492</v>
      </c>
      <c r="E11" s="38">
        <v>120477378</v>
      </c>
      <c r="F11" s="60">
        <f>H11-D11</f>
        <v>0</v>
      </c>
      <c r="G11" s="37">
        <f>I11-E11</f>
        <v>0</v>
      </c>
      <c r="H11" s="60">
        <f>'TX-EGM-FLSH'!H11+'TX-HPL-FLSH'!H11</f>
        <v>51725492</v>
      </c>
      <c r="I11" s="38">
        <f>'TX-EGM-FLSH'!I11+'TX-HPL-FLSH'!I11</f>
        <v>120477378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51725492</v>
      </c>
      <c r="M11" s="38">
        <f t="shared" si="0"/>
        <v>120477378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71127</v>
      </c>
      <c r="E13" s="38">
        <v>159944</v>
      </c>
      <c r="F13" s="60">
        <f t="shared" si="1"/>
        <v>0</v>
      </c>
      <c r="G13" s="37">
        <f t="shared" si="1"/>
        <v>0</v>
      </c>
      <c r="H13" s="60">
        <f>'TX-EGM-FLSH'!H13+'TX-HPL-FLSH'!H13</f>
        <v>71127</v>
      </c>
      <c r="I13" s="38">
        <f>'TX-EGM-FLSH'!I13+'TX-HPL-FLSH'!I13</f>
        <v>159944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71127</v>
      </c>
      <c r="M13" s="38">
        <f t="shared" si="0"/>
        <v>159944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51796619</v>
      </c>
      <c r="E16" s="39">
        <v>120637322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51796619</v>
      </c>
      <c r="I16" s="39">
        <f t="shared" si="2"/>
        <v>120637322</v>
      </c>
      <c r="J16" s="61">
        <f t="shared" si="2"/>
        <v>0</v>
      </c>
      <c r="K16" s="39">
        <f t="shared" si="2"/>
        <v>0</v>
      </c>
      <c r="L16" s="61">
        <f t="shared" si="2"/>
        <v>51796619</v>
      </c>
      <c r="M16" s="39">
        <f t="shared" si="2"/>
        <v>120637322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-57689353</v>
      </c>
      <c r="E19" s="38">
        <v>-132145289</v>
      </c>
      <c r="F19" s="60">
        <f>H19-D19</f>
        <v>0</v>
      </c>
      <c r="G19" s="37">
        <f>I19-E19</f>
        <v>0</v>
      </c>
      <c r="H19" s="60">
        <f>'TX-EGM-FLSH'!H19+'TX-HPL-FLSH'!H19</f>
        <v>-57689353</v>
      </c>
      <c r="I19" s="38">
        <f>'TX-EGM-FLSH'!I19+'TX-HPL-FLSH'!I19</f>
        <v>-132145289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-57689353</v>
      </c>
      <c r="M19" s="38">
        <f t="shared" si="3"/>
        <v>-132145289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0">
        <v>-2052275</v>
      </c>
      <c r="E21" s="38">
        <v>-4472679</v>
      </c>
      <c r="F21" s="60">
        <f t="shared" si="4"/>
        <v>0</v>
      </c>
      <c r="G21" s="37">
        <f t="shared" si="4"/>
        <v>0</v>
      </c>
      <c r="H21" s="60">
        <f>'TX-EGM-FLSH'!H21+'TX-HPL-FLSH'!H21</f>
        <v>-2052275</v>
      </c>
      <c r="I21" s="38">
        <f>'TX-EGM-FLSH'!I21+'TX-HPL-FLSH'!I21</f>
        <v>-4472679.0000000009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-2052275</v>
      </c>
      <c r="M21" s="38">
        <f t="shared" si="3"/>
        <v>-4472679.0000000009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0">
        <f t="shared" si="4"/>
        <v>0</v>
      </c>
      <c r="G23" s="37">
        <f t="shared" si="4"/>
        <v>0</v>
      </c>
      <c r="H23" s="60">
        <f>'TX-EGM-FLSH'!H23+'TX-HPL-FLSH'!H23</f>
        <v>0</v>
      </c>
      <c r="I23" s="38">
        <f>'TX-EGM-FLSH'!I23+'TX-HPL-FLSH'!I23</f>
        <v>0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0</v>
      </c>
      <c r="M23" s="38">
        <f t="shared" si="3"/>
        <v>0</v>
      </c>
    </row>
    <row r="24" spans="1:13" x14ac:dyDescent="0.2">
      <c r="A24" s="9"/>
      <c r="B24" s="7" t="s">
        <v>35</v>
      </c>
      <c r="C24" s="6"/>
      <c r="D24" s="61">
        <v>-59741628</v>
      </c>
      <c r="E24" s="39">
        <v>-136617968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-59741628</v>
      </c>
      <c r="I24" s="39">
        <f t="shared" si="5"/>
        <v>-136617968</v>
      </c>
      <c r="J24" s="61">
        <f t="shared" si="5"/>
        <v>0</v>
      </c>
      <c r="K24" s="39">
        <f t="shared" si="5"/>
        <v>0</v>
      </c>
      <c r="L24" s="61">
        <f t="shared" si="5"/>
        <v>-59741628</v>
      </c>
      <c r="M24" s="39">
        <f t="shared" si="5"/>
        <v>-136617968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32997274</v>
      </c>
      <c r="E27" s="38">
        <v>74244674.739999995</v>
      </c>
      <c r="F27" s="60">
        <f>H27-D27</f>
        <v>0</v>
      </c>
      <c r="G27" s="37">
        <f>I27-E27</f>
        <v>0</v>
      </c>
      <c r="H27" s="60">
        <f>'TX-EGM-FLSH'!H27+'TX-HPL-FLSH'!H27</f>
        <v>32997274</v>
      </c>
      <c r="I27" s="38">
        <f>'TX-EGM-FLSH'!I27+'TX-HPL-FLSH'!I27</f>
        <v>74244674.739999995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32997274</v>
      </c>
      <c r="M27" s="38">
        <f>I27+K27</f>
        <v>74244674.739999995</v>
      </c>
    </row>
    <row r="28" spans="1:13" x14ac:dyDescent="0.2">
      <c r="A28" s="9">
        <v>12</v>
      </c>
      <c r="B28" s="7"/>
      <c r="C28" s="18" t="s">
        <v>38</v>
      </c>
      <c r="D28" s="60">
        <v>-33022074</v>
      </c>
      <c r="E28" s="38">
        <v>-74302953</v>
      </c>
      <c r="F28" s="60">
        <f>H28-D28</f>
        <v>0</v>
      </c>
      <c r="G28" s="37">
        <f>I28-E28</f>
        <v>0</v>
      </c>
      <c r="H28" s="60">
        <f>'TX-EGM-FLSH'!H28+'TX-HPL-FLSH'!H28</f>
        <v>-33022074</v>
      </c>
      <c r="I28" s="38">
        <f>'TX-EGM-FLSH'!I28+'TX-HPL-FLSH'!I28</f>
        <v>-74302953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-33022074</v>
      </c>
      <c r="M28" s="38">
        <f>I28+K28</f>
        <v>-74302953</v>
      </c>
    </row>
    <row r="29" spans="1:13" x14ac:dyDescent="0.2">
      <c r="A29" s="9"/>
      <c r="B29" s="7" t="s">
        <v>39</v>
      </c>
      <c r="C29" s="6"/>
      <c r="D29" s="61">
        <v>-24800</v>
      </c>
      <c r="E29" s="39">
        <v>-58278.260000005364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-24800</v>
      </c>
      <c r="I29" s="39">
        <f t="shared" si="6"/>
        <v>-58278.260000005364</v>
      </c>
      <c r="J29" s="61">
        <f t="shared" si="6"/>
        <v>0</v>
      </c>
      <c r="K29" s="39">
        <f t="shared" si="6"/>
        <v>0</v>
      </c>
      <c r="L29" s="61">
        <f t="shared" si="6"/>
        <v>-24800</v>
      </c>
      <c r="M29" s="39">
        <f t="shared" si="6"/>
        <v>-58278.260000005364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42</v>
      </c>
      <c r="D33" s="60">
        <v>1209207</v>
      </c>
      <c r="E33" s="38">
        <v>2766943.1264456199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1209207</v>
      </c>
      <c r="I33" s="38">
        <f>'TX-EGM-FLSH'!I33+'TX-HPL-FLSH'!I33</f>
        <v>2766943.1264456199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1209207</v>
      </c>
      <c r="M33" s="38">
        <f t="shared" si="7"/>
        <v>2766943.1264456199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45</v>
      </c>
      <c r="C36" s="6"/>
      <c r="D36" s="61">
        <v>1209207</v>
      </c>
      <c r="E36" s="39">
        <v>2766943.1264456199</v>
      </c>
      <c r="F36" s="61">
        <f>SUM(F32:F35)</f>
        <v>0</v>
      </c>
      <c r="G36" s="39">
        <f>SUM(G32:G35)</f>
        <v>0</v>
      </c>
      <c r="H36" s="61">
        <f>SUM(H32:H35)</f>
        <v>1209207</v>
      </c>
      <c r="I36" s="39">
        <f>SUM(I32:I35)</f>
        <v>2766943.1264456199</v>
      </c>
      <c r="J36" s="61">
        <f>SUM(J32:J34)</f>
        <v>0</v>
      </c>
      <c r="K36" s="39">
        <f>SUM(K32:K34)</f>
        <v>0</v>
      </c>
      <c r="L36" s="61">
        <f>SUM(L32:L35)</f>
        <v>1209207</v>
      </c>
      <c r="M36" s="39">
        <f>SUM(M32:M35)</f>
        <v>2766943.1264456199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7337145</v>
      </c>
      <c r="E39" s="38">
        <v>16945465</v>
      </c>
      <c r="F39" s="60">
        <f t="shared" ref="F39:G41" si="9">H39-D39</f>
        <v>0</v>
      </c>
      <c r="G39" s="37">
        <f t="shared" si="9"/>
        <v>0</v>
      </c>
      <c r="H39" s="60">
        <f>'TX-EGM-FLSH'!H39+'TX-HPL-FLSH'!H39</f>
        <v>7337145</v>
      </c>
      <c r="I39" s="38">
        <f>'TX-EGM-FLSH'!I39+'TX-HPL-FLSH'!I39</f>
        <v>16945465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0">H39+J39</f>
        <v>7337145</v>
      </c>
      <c r="M39" s="38">
        <f t="shared" si="10"/>
        <v>16945465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-576543</v>
      </c>
      <c r="E40" s="38">
        <v>-1293657</v>
      </c>
      <c r="F40" s="60">
        <f t="shared" si="9"/>
        <v>0</v>
      </c>
      <c r="G40" s="37">
        <f t="shared" si="9"/>
        <v>0</v>
      </c>
      <c r="H40" s="60">
        <f>'TX-EGM-FLSH'!H40+'TX-HPL-FLSH'!H40</f>
        <v>-576543</v>
      </c>
      <c r="I40" s="38">
        <f>'TX-EGM-FLSH'!I40+'TX-HPL-FLSH'!I40</f>
        <v>-1293657</v>
      </c>
      <c r="J40" s="60">
        <f>'TX-EGM-FLSH'!J40+'TX-HPL-FLSH'!J40</f>
        <v>0</v>
      </c>
      <c r="K40" s="38">
        <f>'TX-EGM-FLSH'!K40+'TX-HPL-FLSH'!K40</f>
        <v>0</v>
      </c>
      <c r="L40" s="60">
        <f t="shared" si="10"/>
        <v>-576543</v>
      </c>
      <c r="M40" s="38">
        <f t="shared" si="10"/>
        <v>-1293657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50</v>
      </c>
      <c r="D42" s="61">
        <v>-576543</v>
      </c>
      <c r="E42" s="39">
        <v>-1293657</v>
      </c>
      <c r="F42" s="61">
        <f t="shared" ref="F42:M42" si="11">SUM(F40:F41)</f>
        <v>0</v>
      </c>
      <c r="G42" s="39">
        <f t="shared" si="11"/>
        <v>0</v>
      </c>
      <c r="H42" s="61">
        <f t="shared" si="11"/>
        <v>-576543</v>
      </c>
      <c r="I42" s="39">
        <f t="shared" si="11"/>
        <v>-1293657</v>
      </c>
      <c r="J42" s="61">
        <f t="shared" si="11"/>
        <v>0</v>
      </c>
      <c r="K42" s="39">
        <f t="shared" si="11"/>
        <v>0</v>
      </c>
      <c r="L42" s="61">
        <f t="shared" si="11"/>
        <v>-576543</v>
      </c>
      <c r="M42" s="39">
        <f t="shared" si="11"/>
        <v>-1293657</v>
      </c>
    </row>
    <row r="43" spans="1:13" ht="21" customHeight="1" x14ac:dyDescent="0.2">
      <c r="A43" s="9"/>
      <c r="B43" s="7" t="s">
        <v>51</v>
      </c>
      <c r="C43" s="6"/>
      <c r="D43" s="61">
        <v>6760602</v>
      </c>
      <c r="E43" s="39">
        <v>15651808</v>
      </c>
      <c r="F43" s="61">
        <f t="shared" ref="F43:M43" si="12">F42+F39</f>
        <v>0</v>
      </c>
      <c r="G43" s="39">
        <f t="shared" si="12"/>
        <v>0</v>
      </c>
      <c r="H43" s="61">
        <f t="shared" si="12"/>
        <v>6760602</v>
      </c>
      <c r="I43" s="39">
        <f t="shared" si="12"/>
        <v>15651808</v>
      </c>
      <c r="J43" s="61">
        <f t="shared" si="12"/>
        <v>0</v>
      </c>
      <c r="K43" s="39">
        <f t="shared" si="12"/>
        <v>0</v>
      </c>
      <c r="L43" s="61">
        <f t="shared" si="12"/>
        <v>6760602</v>
      </c>
      <c r="M43" s="39">
        <f t="shared" si="12"/>
        <v>15651808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-992568.27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-992568.27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-992568.27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0</v>
      </c>
      <c r="H56" s="61">
        <f t="shared" si="13"/>
        <v>0</v>
      </c>
      <c r="I56" s="39">
        <f t="shared" si="13"/>
        <v>-992568.27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-992568.27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250999.06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250999.06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250999.06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-1054678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-1054678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-1054678</v>
      </c>
    </row>
    <row r="72" spans="1:13" x14ac:dyDescent="0.2">
      <c r="A72" s="9"/>
      <c r="B72" s="3"/>
      <c r="C72" s="55" t="s">
        <v>71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0</v>
      </c>
      <c r="H72" s="61">
        <f t="shared" si="16"/>
        <v>0</v>
      </c>
      <c r="I72" s="39">
        <f t="shared" si="16"/>
        <v>-803678.94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-803678.94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0</v>
      </c>
      <c r="H74" s="60">
        <f>'TX-EGM-FLSH'!H74+'TX-HPL-FLSH'!H74</f>
        <v>0</v>
      </c>
      <c r="I74" s="38">
        <f>'TX-EGM-FLSH'!I74+'TX-HPL-FLSH'!I74</f>
        <v>1019748.41</v>
      </c>
      <c r="J74" s="60">
        <f>'TX-EGM-FLSH'!J74+'TX-HPL-FLSH'!J74</f>
        <v>0</v>
      </c>
      <c r="K74" s="38">
        <f>'TX-EGM-FLSH'!K74+'TX-HPL-FLSH'!K74</f>
        <v>0</v>
      </c>
      <c r="L74" s="60">
        <f t="shared" si="17"/>
        <v>0</v>
      </c>
      <c r="M74" s="38">
        <f t="shared" si="17"/>
        <v>1019748.41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81200</v>
      </c>
      <c r="F75" s="60">
        <f t="shared" si="18"/>
        <v>0</v>
      </c>
      <c r="G75" s="37">
        <f t="shared" si="18"/>
        <v>0</v>
      </c>
      <c r="H75" s="60">
        <f>'TX-EGM-FLSH'!H75+'TX-HPL-FLSH'!H75</f>
        <v>0</v>
      </c>
      <c r="I75" s="38">
        <f>'TX-EGM-FLSH'!I75+'TX-HPL-FLSH'!I75</f>
        <v>81200</v>
      </c>
      <c r="J75" s="60">
        <f>'TX-EGM-FLSH'!J75+'TX-HPL-FLSH'!J75</f>
        <v>0</v>
      </c>
      <c r="K75" s="38">
        <f>'TX-EGM-FLSH'!K75+'TX-HPL-FLSH'!K75</f>
        <v>0</v>
      </c>
      <c r="L75" s="60">
        <f t="shared" si="17"/>
        <v>0</v>
      </c>
      <c r="M75" s="38">
        <f t="shared" si="17"/>
        <v>81200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-4060</v>
      </c>
      <c r="F76" s="60">
        <f t="shared" si="18"/>
        <v>0</v>
      </c>
      <c r="G76" s="37">
        <f t="shared" si="18"/>
        <v>0</v>
      </c>
      <c r="H76" s="60">
        <f>'TX-EGM-FLSH'!H76+'TX-HPL-FLSH'!H76</f>
        <v>0</v>
      </c>
      <c r="I76" s="38">
        <f>'TX-EGM-FLSH'!I76+'TX-HPL-FLSH'!I76</f>
        <v>-4060</v>
      </c>
      <c r="J76" s="60">
        <f>'TX-EGM-FLSH'!J76+'TX-HPL-FLSH'!J76</f>
        <v>0</v>
      </c>
      <c r="K76" s="38">
        <f>'TX-EGM-FLSH'!K76+'TX-HPL-FLSH'!K76</f>
        <v>0</v>
      </c>
      <c r="L76" s="60">
        <f t="shared" si="17"/>
        <v>0</v>
      </c>
      <c r="M76" s="38">
        <f t="shared" si="17"/>
        <v>-4060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0</v>
      </c>
      <c r="H77" s="60">
        <f>'TX-EGM-FLSH'!H77+'TX-HPL-FLSH'!H77</f>
        <v>0</v>
      </c>
      <c r="I77" s="38">
        <f>'TX-EGM-FLSH'!I77+'TX-HPL-FLSH'!I77</f>
        <v>-108300</v>
      </c>
      <c r="J77" s="60">
        <f>'TX-EGM-FLSH'!J77+'TX-HPL-FLSH'!J77</f>
        <v>0</v>
      </c>
      <c r="K77" s="38">
        <f>'TX-EGM-FLSH'!K77+'TX-HPL-FLSH'!K77</f>
        <v>0</v>
      </c>
      <c r="L77" s="60">
        <f t="shared" si="17"/>
        <v>0</v>
      </c>
      <c r="M77" s="38">
        <f t="shared" si="17"/>
        <v>-108300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7"/>
        <v>0</v>
      </c>
      <c r="M80" s="38">
        <f t="shared" si="17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0</v>
      </c>
      <c r="F81" s="60">
        <f t="shared" si="18"/>
        <v>0</v>
      </c>
      <c r="G81" s="37">
        <f t="shared" si="18"/>
        <v>0</v>
      </c>
      <c r="H81" s="60">
        <f>'TX-EGM-FLSH'!H81+'TX-HPL-FLSH'!H81</f>
        <v>0</v>
      </c>
      <c r="I81" s="38">
        <f>'TX-EGM-FLSH'!I81+'TX-HPL-FLSH'!I81</f>
        <v>0</v>
      </c>
      <c r="J81" s="60">
        <f>'TX-EGM-FLSH'!J81+'TX-HPL-FLSH'!J81</f>
        <v>0</v>
      </c>
      <c r="K81" s="38">
        <f>'TX-EGM-FLSH'!K81+'TX-HPL-FLSH'!K81</f>
        <v>0</v>
      </c>
      <c r="L81" s="60">
        <f t="shared" si="17"/>
        <v>0</v>
      </c>
      <c r="M81" s="38">
        <f t="shared" si="17"/>
        <v>0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1572168.0664456128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1572168.0664456128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173</v>
      </c>
      <c r="B85" s="3"/>
      <c r="E85" s="31">
        <f>+'TX-HPL-FLSH'!E82+'TX-EGM-FLSH'!E82</f>
        <v>1572168.0664456198</v>
      </c>
    </row>
    <row r="86" spans="1:67" s="3" customFormat="1" x14ac:dyDescent="0.2">
      <c r="A86" s="172"/>
      <c r="C86" s="10" t="s">
        <v>175</v>
      </c>
      <c r="D86" s="176">
        <f>'TX-EGM-FLSH'!D86+'TX-HPL-FLSH'!D86</f>
        <v>0</v>
      </c>
      <c r="E86" s="176">
        <f>'TX-EGM-FLSH'!E86+'TX-HPL-FLSH'!E86</f>
        <v>114066</v>
      </c>
      <c r="F86" s="176">
        <f>'TX-EGM-FLSH'!F86+'TX-HPL-FLSH'!F86</f>
        <v>0</v>
      </c>
      <c r="G86" s="176">
        <f>'TX-EGM-FLSH'!G86+'TX-HPL-FLSH'!G86</f>
        <v>0</v>
      </c>
      <c r="H86" s="176">
        <f>'TX-EGM-FLSH'!H86+'TX-HPL-FLSH'!H86</f>
        <v>0</v>
      </c>
      <c r="I86" s="176">
        <f>'TX-EGM-FLSH'!I86+'TX-HPL-FLSH'!I86</f>
        <v>114066</v>
      </c>
      <c r="J86" s="176">
        <f>'TX-EGM-FLSH'!J86+'TX-HPL-FLSH'!J86</f>
        <v>0</v>
      </c>
      <c r="K86" s="176">
        <f>'TX-EGM-FLSH'!K86+'TX-HPL-FLSH'!K86</f>
        <v>0</v>
      </c>
      <c r="L86" s="176">
        <f>'TX-EGM-FLSH'!L86+'TX-HPL-FLSH'!L86</f>
        <v>0</v>
      </c>
      <c r="M86" s="176">
        <f>'TX-EGM-FLSH'!M86+'TX-HPL-FLSH'!M86</f>
        <v>114066</v>
      </c>
    </row>
    <row r="87" spans="1:67" s="3" customFormat="1" x14ac:dyDescent="0.2">
      <c r="A87" s="172"/>
      <c r="C87" s="10" t="s">
        <v>73</v>
      </c>
      <c r="D87" s="177">
        <f>'TX-EGM-FLSH'!D87+'TX-HPL-FLSH'!D87</f>
        <v>0</v>
      </c>
      <c r="E87" s="177">
        <f>'TX-EGM-FLSH'!E87+'TX-HPL-FLSH'!E87</f>
        <v>0</v>
      </c>
      <c r="F87" s="177">
        <f>'TX-EGM-FLSH'!F87+'TX-HPL-FLSH'!F87</f>
        <v>0</v>
      </c>
      <c r="G87" s="177">
        <f>'TX-EGM-FLSH'!G87+'TX-HPL-FLSH'!G87</f>
        <v>0</v>
      </c>
      <c r="H87" s="177">
        <f>'TX-EGM-FLSH'!H87+'TX-HPL-FLSH'!H87</f>
        <v>0</v>
      </c>
      <c r="I87" s="177">
        <f>'TX-EGM-FLSH'!I87+'TX-HPL-FLSH'!I87</f>
        <v>0</v>
      </c>
      <c r="J87" s="177">
        <f>'TX-EGM-FLSH'!J87+'TX-HPL-FLSH'!J87</f>
        <v>0</v>
      </c>
      <c r="K87" s="177">
        <f>'TX-EGM-FLSH'!K87+'TX-HPL-FLSH'!K87</f>
        <v>0</v>
      </c>
      <c r="L87" s="177">
        <f>'TX-EGM-FLSH'!L87+'TX-HPL-FLSH'!L87</f>
        <v>0</v>
      </c>
      <c r="M87" s="177">
        <f>'TX-EGM-FLSH'!M87+'TX-HPL-FLSH'!M87</f>
        <v>0</v>
      </c>
    </row>
    <row r="88" spans="1:67" s="3" customFormat="1" x14ac:dyDescent="0.2">
      <c r="A88" s="172"/>
      <c r="C88" s="10" t="s">
        <v>74</v>
      </c>
      <c r="D88" s="178">
        <f>'TX-EGM-FLSH'!D88+'TX-HPL-FLSH'!D88</f>
        <v>0</v>
      </c>
      <c r="E88" s="178">
        <f>'TX-EGM-FLSH'!E88+'TX-HPL-FLSH'!E88</f>
        <v>-113464</v>
      </c>
      <c r="F88" s="178">
        <f>'TX-EGM-FLSH'!F88+'TX-HPL-FLSH'!F88</f>
        <v>0</v>
      </c>
      <c r="G88" s="178">
        <f>'TX-EGM-FLSH'!G88+'TX-HPL-FLSH'!G88</f>
        <v>0</v>
      </c>
      <c r="H88" s="178">
        <f>'TX-EGM-FLSH'!H88+'TX-HPL-FLSH'!H88</f>
        <v>0</v>
      </c>
      <c r="I88" s="178">
        <f>'TX-EGM-FLSH'!I88+'TX-HPL-FLSH'!I88</f>
        <v>-113464</v>
      </c>
      <c r="J88" s="178">
        <f>'TX-EGM-FLSH'!J88+'TX-HPL-FLSH'!J88</f>
        <v>0</v>
      </c>
      <c r="K88" s="178">
        <f>'TX-EGM-FLSH'!K88+'TX-HPL-FLSH'!K88</f>
        <v>0</v>
      </c>
      <c r="L88" s="178">
        <f>'TX-EGM-FLSH'!L88+'TX-HPL-FLSH'!L88</f>
        <v>0</v>
      </c>
      <c r="M88" s="178">
        <f>'TX-EGM-FLSH'!M88+'TX-HPL-FLSH'!M88</f>
        <v>-113464</v>
      </c>
    </row>
    <row r="89" spans="1:67" s="44" customFormat="1" ht="20.25" customHeight="1" x14ac:dyDescent="0.2">
      <c r="A89" s="179"/>
      <c r="B89" s="180"/>
      <c r="C89" s="181" t="s">
        <v>178</v>
      </c>
      <c r="D89" s="183">
        <f>SUM(D86:D88)</f>
        <v>0</v>
      </c>
      <c r="E89" s="183">
        <f t="shared" ref="E89:M89" si="19">SUM(E86:E88)</f>
        <v>602</v>
      </c>
      <c r="F89" s="183">
        <f t="shared" si="19"/>
        <v>0</v>
      </c>
      <c r="G89" s="183">
        <f t="shared" si="19"/>
        <v>0</v>
      </c>
      <c r="H89" s="183">
        <f t="shared" si="19"/>
        <v>0</v>
      </c>
      <c r="I89" s="183">
        <f t="shared" si="19"/>
        <v>602</v>
      </c>
      <c r="J89" s="183">
        <f t="shared" si="19"/>
        <v>0</v>
      </c>
      <c r="K89" s="183">
        <f t="shared" si="19"/>
        <v>0</v>
      </c>
      <c r="L89" s="183">
        <f t="shared" si="19"/>
        <v>0</v>
      </c>
      <c r="M89" s="183">
        <f t="shared" si="19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176</v>
      </c>
      <c r="D91" s="183">
        <f>+D82+D89</f>
        <v>0</v>
      </c>
      <c r="E91" s="183">
        <f t="shared" ref="E91:M91" si="20">+E82+E89</f>
        <v>1572770.0664456128</v>
      </c>
      <c r="F91" s="183">
        <f t="shared" si="20"/>
        <v>0</v>
      </c>
      <c r="G91" s="183">
        <f t="shared" si="20"/>
        <v>0</v>
      </c>
      <c r="H91" s="183">
        <f t="shared" si="20"/>
        <v>0</v>
      </c>
      <c r="I91" s="183">
        <f t="shared" si="20"/>
        <v>1572770.0664456128</v>
      </c>
      <c r="J91" s="183">
        <f t="shared" si="20"/>
        <v>0</v>
      </c>
      <c r="K91" s="183">
        <f t="shared" si="20"/>
        <v>0</v>
      </c>
      <c r="L91" s="183">
        <f t="shared" si="20"/>
        <v>0</v>
      </c>
      <c r="M91" s="183">
        <f t="shared" si="20"/>
        <v>1572770.0664456128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9" activePane="bottomRight" state="frozen"/>
      <selection activeCell="A91" sqref="A91"/>
      <selection pane="topRight" activeCell="A91" sqref="A91"/>
      <selection pane="bottomLeft" activeCell="A91" sqref="A91"/>
      <selection pane="bottomRight" activeCell="D80" sqref="D8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33032516</v>
      </c>
      <c r="E11" s="65">
        <v>69663094</v>
      </c>
      <c r="F11" s="60">
        <f>H11-D11</f>
        <v>0</v>
      </c>
      <c r="G11" s="37">
        <f>I11-E11</f>
        <v>0</v>
      </c>
      <c r="H11" s="65">
        <f>D11</f>
        <v>33032516</v>
      </c>
      <c r="I11" s="66">
        <f>E11</f>
        <v>69663094</v>
      </c>
      <c r="J11" s="60"/>
      <c r="K11" s="38"/>
      <c r="L11" s="60">
        <f t="shared" ref="L11:M15" si="0">H11+J11</f>
        <v>33032516</v>
      </c>
      <c r="M11" s="38">
        <f t="shared" si="0"/>
        <v>69663094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23503292</v>
      </c>
      <c r="E13" s="65">
        <v>49418174</v>
      </c>
      <c r="F13" s="60">
        <f t="shared" si="1"/>
        <v>0</v>
      </c>
      <c r="G13" s="37">
        <f t="shared" si="1"/>
        <v>0</v>
      </c>
      <c r="H13" s="65">
        <f t="shared" si="2"/>
        <v>23503292</v>
      </c>
      <c r="I13" s="66">
        <f t="shared" si="2"/>
        <v>49418174</v>
      </c>
      <c r="J13" s="60"/>
      <c r="K13" s="38"/>
      <c r="L13" s="60">
        <f t="shared" si="0"/>
        <v>23503292</v>
      </c>
      <c r="M13" s="38">
        <f t="shared" si="0"/>
        <v>49418174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56535808</v>
      </c>
      <c r="E16" s="39">
        <v>119081268</v>
      </c>
      <c r="F16" s="61">
        <f t="shared" ref="F16:M16" si="3">SUM(F11:F15)</f>
        <v>0</v>
      </c>
      <c r="G16" s="39">
        <f t="shared" si="3"/>
        <v>0</v>
      </c>
      <c r="H16" s="61">
        <f>SUM(H11:H15)</f>
        <v>56535808</v>
      </c>
      <c r="I16" s="39">
        <f>SUM(I11:I15)</f>
        <v>119081268</v>
      </c>
      <c r="J16" s="61">
        <f t="shared" si="3"/>
        <v>0</v>
      </c>
      <c r="K16" s="39">
        <f t="shared" si="3"/>
        <v>0</v>
      </c>
      <c r="L16" s="61">
        <f t="shared" si="3"/>
        <v>56535808</v>
      </c>
      <c r="M16" s="39">
        <f t="shared" si="3"/>
        <v>119081268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-32678947</v>
      </c>
      <c r="E19" s="65">
        <v>-67719283</v>
      </c>
      <c r="F19" s="60">
        <f>H19-D19</f>
        <v>0</v>
      </c>
      <c r="G19" s="37">
        <f>I19-E19</f>
        <v>0</v>
      </c>
      <c r="H19" s="65">
        <f t="shared" si="4"/>
        <v>-32678947</v>
      </c>
      <c r="I19" s="66">
        <f t="shared" si="4"/>
        <v>-67719283</v>
      </c>
      <c r="J19" s="60"/>
      <c r="K19" s="38"/>
      <c r="L19" s="60">
        <f t="shared" ref="L19:M23" si="5">H19+J19</f>
        <v>-32678947</v>
      </c>
      <c r="M19" s="38">
        <f t="shared" si="5"/>
        <v>-67719283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-24534760</v>
      </c>
      <c r="E21" s="65">
        <v>-51227196</v>
      </c>
      <c r="F21" s="60">
        <f t="shared" si="6"/>
        <v>0</v>
      </c>
      <c r="G21" s="37">
        <f t="shared" si="6"/>
        <v>0</v>
      </c>
      <c r="H21" s="65">
        <f t="shared" si="4"/>
        <v>-24534760</v>
      </c>
      <c r="I21" s="66">
        <f t="shared" si="4"/>
        <v>-51227196</v>
      </c>
      <c r="J21" s="60"/>
      <c r="K21" s="38"/>
      <c r="L21" s="60">
        <f t="shared" si="5"/>
        <v>-24534760</v>
      </c>
      <c r="M21" s="38">
        <f t="shared" si="5"/>
        <v>-51227196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290973</v>
      </c>
      <c r="E23" s="65">
        <v>574945</v>
      </c>
      <c r="F23" s="60">
        <f t="shared" si="6"/>
        <v>0</v>
      </c>
      <c r="G23" s="37">
        <f t="shared" si="6"/>
        <v>0</v>
      </c>
      <c r="H23" s="65">
        <f t="shared" si="4"/>
        <v>290973</v>
      </c>
      <c r="I23" s="66">
        <f t="shared" si="4"/>
        <v>574945</v>
      </c>
      <c r="J23" s="60"/>
      <c r="K23" s="38"/>
      <c r="L23" s="60">
        <f t="shared" si="5"/>
        <v>290973</v>
      </c>
      <c r="M23" s="38">
        <f t="shared" si="5"/>
        <v>574945</v>
      </c>
    </row>
    <row r="24" spans="1:13" x14ac:dyDescent="0.2">
      <c r="A24" s="9"/>
      <c r="B24" s="7" t="s">
        <v>35</v>
      </c>
      <c r="C24" s="6"/>
      <c r="D24" s="61">
        <v>-56922734</v>
      </c>
      <c r="E24" s="39">
        <v>-118371534</v>
      </c>
      <c r="F24" s="61">
        <f t="shared" ref="F24:M24" si="7">SUM(F19:F23)</f>
        <v>0</v>
      </c>
      <c r="G24" s="39">
        <f t="shared" si="7"/>
        <v>0</v>
      </c>
      <c r="H24" s="61">
        <f>SUM(H19:H23)</f>
        <v>-56922734</v>
      </c>
      <c r="I24" s="39">
        <f>SUM(I19:I23)</f>
        <v>-118371534</v>
      </c>
      <c r="J24" s="61">
        <f t="shared" si="7"/>
        <v>0</v>
      </c>
      <c r="K24" s="39">
        <f t="shared" si="7"/>
        <v>0</v>
      </c>
      <c r="L24" s="61">
        <f t="shared" si="7"/>
        <v>-56922734</v>
      </c>
      <c r="M24" s="39">
        <f t="shared" si="7"/>
        <v>-118371534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64836</v>
      </c>
      <c r="E32" s="65">
        <v>131336</v>
      </c>
      <c r="F32" s="60">
        <f>H32-D32</f>
        <v>0</v>
      </c>
      <c r="G32" s="37">
        <f>I32-E32</f>
        <v>0</v>
      </c>
      <c r="H32" s="65">
        <f t="shared" ref="H32:I35" si="9">D32</f>
        <v>64836</v>
      </c>
      <c r="I32" s="66">
        <f t="shared" si="9"/>
        <v>131336</v>
      </c>
      <c r="J32" s="60"/>
      <c r="K32" s="38"/>
      <c r="L32" s="60">
        <f t="shared" ref="L32:M35" si="10">H32+J32</f>
        <v>64836</v>
      </c>
      <c r="M32" s="38">
        <f t="shared" si="10"/>
        <v>131336</v>
      </c>
    </row>
    <row r="33" spans="1:13" x14ac:dyDescent="0.2">
      <c r="A33" s="9">
        <v>14</v>
      </c>
      <c r="B33" s="7"/>
      <c r="C33" s="18" t="s">
        <v>42</v>
      </c>
      <c r="D33" s="65">
        <v>-107073</v>
      </c>
      <c r="E33" s="65">
        <v>-220434.15899343032</v>
      </c>
      <c r="F33" s="60">
        <f t="shared" ref="F33:G35" si="11">H33-D33</f>
        <v>0</v>
      </c>
      <c r="G33" s="37">
        <f t="shared" si="11"/>
        <v>0</v>
      </c>
      <c r="H33" s="65">
        <f t="shared" si="9"/>
        <v>-107073</v>
      </c>
      <c r="I33" s="66">
        <f t="shared" si="9"/>
        <v>-220434.15899343032</v>
      </c>
      <c r="J33" s="60"/>
      <c r="K33" s="38"/>
      <c r="L33" s="60">
        <f t="shared" si="10"/>
        <v>-107073</v>
      </c>
      <c r="M33" s="38">
        <f t="shared" si="10"/>
        <v>-220434.15899343032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-42237</v>
      </c>
      <c r="E36" s="39">
        <v>-89098.158993430319</v>
      </c>
      <c r="F36" s="61">
        <f>SUM(F32:F35)</f>
        <v>0</v>
      </c>
      <c r="G36" s="39">
        <f>SUM(G32:G35)</f>
        <v>0</v>
      </c>
      <c r="H36" s="61">
        <f>SUM(H32:H35)</f>
        <v>-42237</v>
      </c>
      <c r="I36" s="39">
        <f>SUM(I32:I35)</f>
        <v>-89098.158993430319</v>
      </c>
      <c r="J36" s="61">
        <f>SUM(J32:J34)</f>
        <v>0</v>
      </c>
      <c r="K36" s="39">
        <f>SUM(K32:K34)</f>
        <v>0</v>
      </c>
      <c r="L36" s="61">
        <f>SUM(L32:L35)</f>
        <v>-42237</v>
      </c>
      <c r="M36" s="39">
        <f>SUM(M32:M35)</f>
        <v>-89098.158993430319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614004</v>
      </c>
      <c r="E39" s="65">
        <v>1324867</v>
      </c>
      <c r="F39" s="60">
        <f t="shared" ref="F39:G41" si="13">H39-D39</f>
        <v>0</v>
      </c>
      <c r="G39" s="37">
        <f t="shared" si="13"/>
        <v>0</v>
      </c>
      <c r="H39" s="65">
        <f t="shared" si="12"/>
        <v>614004</v>
      </c>
      <c r="I39" s="66">
        <f t="shared" si="12"/>
        <v>1324867</v>
      </c>
      <c r="J39" s="60"/>
      <c r="K39" s="38"/>
      <c r="L39" s="60">
        <f t="shared" ref="L39:M41" si="14">H39+J39</f>
        <v>614004</v>
      </c>
      <c r="M39" s="38">
        <f t="shared" si="14"/>
        <v>1324867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-184841</v>
      </c>
      <c r="E40" s="65">
        <v>-356999</v>
      </c>
      <c r="F40" s="60">
        <f t="shared" si="13"/>
        <v>0</v>
      </c>
      <c r="G40" s="37">
        <f t="shared" si="13"/>
        <v>0</v>
      </c>
      <c r="H40" s="65">
        <f t="shared" si="12"/>
        <v>-184841</v>
      </c>
      <c r="I40" s="66">
        <f t="shared" si="12"/>
        <v>-356999</v>
      </c>
      <c r="J40" s="60"/>
      <c r="K40" s="38"/>
      <c r="L40" s="60">
        <f t="shared" si="14"/>
        <v>-184841</v>
      </c>
      <c r="M40" s="38">
        <f t="shared" si="14"/>
        <v>-356999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-184841</v>
      </c>
      <c r="E42" s="39">
        <v>-356999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-184841</v>
      </c>
      <c r="I42" s="39">
        <f>SUM(I40:I41)</f>
        <v>-356999</v>
      </c>
      <c r="J42" s="61">
        <f t="shared" si="15"/>
        <v>0</v>
      </c>
      <c r="K42" s="39">
        <f t="shared" si="15"/>
        <v>0</v>
      </c>
      <c r="L42" s="61">
        <f t="shared" si="15"/>
        <v>-184841</v>
      </c>
      <c r="M42" s="39">
        <f t="shared" si="15"/>
        <v>-356999</v>
      </c>
    </row>
    <row r="43" spans="1:13" ht="21" customHeight="1" x14ac:dyDescent="0.2">
      <c r="A43" s="9"/>
      <c r="B43" s="7" t="s">
        <v>51</v>
      </c>
      <c r="C43" s="6"/>
      <c r="D43" s="61">
        <v>429163</v>
      </c>
      <c r="E43" s="39">
        <v>967868</v>
      </c>
      <c r="F43" s="61">
        <f t="shared" ref="F43:M43" si="16">F42+F39</f>
        <v>0</v>
      </c>
      <c r="G43" s="39">
        <f t="shared" si="16"/>
        <v>0</v>
      </c>
      <c r="H43" s="61">
        <f>H42+H39</f>
        <v>429163</v>
      </c>
      <c r="I43" s="39">
        <f>I42+I39</f>
        <v>967868</v>
      </c>
      <c r="J43" s="61">
        <f t="shared" si="16"/>
        <v>0</v>
      </c>
      <c r="K43" s="39">
        <f t="shared" si="16"/>
        <v>0</v>
      </c>
      <c r="L43" s="61">
        <f t="shared" si="16"/>
        <v>429163</v>
      </c>
      <c r="M43" s="39">
        <f t="shared" si="16"/>
        <v>967868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-290973</v>
      </c>
      <c r="E51" s="65">
        <v>-574945</v>
      </c>
      <c r="F51" s="60">
        <f>H51-D51</f>
        <v>0</v>
      </c>
      <c r="G51" s="37">
        <f>I51-E51</f>
        <v>0</v>
      </c>
      <c r="H51" s="65">
        <f>D51</f>
        <v>-290973</v>
      </c>
      <c r="I51" s="66">
        <f>E51</f>
        <v>-574945</v>
      </c>
      <c r="J51" s="60"/>
      <c r="K51" s="38"/>
      <c r="L51" s="60">
        <f>H51+J51</f>
        <v>-290973</v>
      </c>
      <c r="M51" s="38">
        <f>I51+K51</f>
        <v>-574945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-242944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-242944</v>
      </c>
      <c r="J54" s="60"/>
      <c r="K54" s="38"/>
      <c r="L54" s="60">
        <f>H54+J54</f>
        <v>0</v>
      </c>
      <c r="M54" s="38">
        <f>I54+K54</f>
        <v>-242944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-2652722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-2652722</v>
      </c>
      <c r="J55" s="60"/>
      <c r="K55" s="38"/>
      <c r="L55" s="60">
        <f>H55+J55</f>
        <v>0</v>
      </c>
      <c r="M55" s="38">
        <f>I55+K55</f>
        <v>-2652722</v>
      </c>
    </row>
    <row r="56" spans="1:15" x14ac:dyDescent="0.2">
      <c r="A56" s="9"/>
      <c r="B56" s="7" t="s">
        <v>59</v>
      </c>
      <c r="C56" s="6"/>
      <c r="D56" s="61">
        <v>0</v>
      </c>
      <c r="E56" s="39">
        <v>-2895666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-2895666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-2895666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1493640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1493640</v>
      </c>
      <c r="J70" s="60"/>
      <c r="K70" s="38"/>
      <c r="L70" s="60">
        <f>H70+J70</f>
        <v>0</v>
      </c>
      <c r="M70" s="38">
        <f>I70+K70</f>
        <v>1493640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-709562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-709562</v>
      </c>
      <c r="J71" s="60"/>
      <c r="K71" s="38"/>
      <c r="L71" s="60">
        <f>H71+J71</f>
        <v>0</v>
      </c>
      <c r="M71" s="38">
        <f>I71+K71</f>
        <v>-709562</v>
      </c>
    </row>
    <row r="72" spans="1:13" x14ac:dyDescent="0.2">
      <c r="A72" s="9"/>
      <c r="B72" s="3"/>
      <c r="C72" s="55" t="s">
        <v>71</v>
      </c>
      <c r="D72" s="61">
        <v>0</v>
      </c>
      <c r="E72" s="39">
        <v>784078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784078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784078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-103453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-103453</v>
      </c>
      <c r="J74" s="60"/>
      <c r="K74" s="38"/>
      <c r="L74" s="60">
        <f t="shared" si="22"/>
        <v>0</v>
      </c>
      <c r="M74" s="38">
        <f t="shared" si="22"/>
        <v>-103453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111322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111322</v>
      </c>
      <c r="J75" s="60"/>
      <c r="K75" s="38"/>
      <c r="L75" s="60">
        <f t="shared" si="22"/>
        <v>0</v>
      </c>
      <c r="M75" s="38">
        <f t="shared" si="22"/>
        <v>111322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1642985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1642985</v>
      </c>
      <c r="J79" s="60"/>
      <c r="K79" s="38"/>
      <c r="L79" s="60">
        <f t="shared" si="22"/>
        <v>0</v>
      </c>
      <c r="M79" s="38">
        <f t="shared" si="22"/>
        <v>1642985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104136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104136</v>
      </c>
      <c r="J81" s="60"/>
      <c r="K81" s="38"/>
      <c r="L81" s="60">
        <f t="shared" si="22"/>
        <v>0</v>
      </c>
      <c r="M81" s="38">
        <f t="shared" si="22"/>
        <v>104136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74">
        <f>SUM(E72:E81)+E16+E24+E29+E36+E43+E45+E47+E49+E51+E56+E61+E66</f>
        <v>656960.84100656956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656960.84100656956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656960.84100656956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180</v>
      </c>
      <c r="B85" s="3"/>
    </row>
    <row r="86" spans="1:67" s="3" customFormat="1" x14ac:dyDescent="0.2">
      <c r="A86" s="172"/>
      <c r="C86" s="10" t="s">
        <v>175</v>
      </c>
      <c r="D86" s="173">
        <v>0</v>
      </c>
      <c r="E86" s="173">
        <v>0</v>
      </c>
      <c r="F86" s="173">
        <v>0</v>
      </c>
      <c r="G86" s="173">
        <v>0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</row>
    <row r="87" spans="1:67" s="3" customFormat="1" x14ac:dyDescent="0.2">
      <c r="A87" s="172"/>
      <c r="C87" s="10" t="s">
        <v>73</v>
      </c>
      <c r="D87" s="174">
        <v>0</v>
      </c>
      <c r="E87" s="174">
        <v>0</v>
      </c>
      <c r="F87" s="174">
        <v>0</v>
      </c>
      <c r="G87" s="174"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</row>
    <row r="88" spans="1:67" s="3" customFormat="1" x14ac:dyDescent="0.2">
      <c r="A88" s="172"/>
      <c r="C88" s="10" t="s">
        <v>74</v>
      </c>
      <c r="D88" s="175">
        <v>0</v>
      </c>
      <c r="E88" s="175">
        <v>0</v>
      </c>
      <c r="F88" s="175">
        <v>0</v>
      </c>
      <c r="G88" s="175">
        <v>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</row>
    <row r="89" spans="1:67" s="44" customFormat="1" ht="20.25" customHeight="1" x14ac:dyDescent="0.2">
      <c r="A89" s="179"/>
      <c r="B89" s="180"/>
      <c r="C89" s="181" t="s">
        <v>178</v>
      </c>
      <c r="D89" s="183">
        <f>SUM(D86:D88)</f>
        <v>0</v>
      </c>
      <c r="E89" s="183">
        <f t="shared" ref="E89:M89" si="24">SUM(E86:E88)</f>
        <v>0</v>
      </c>
      <c r="F89" s="183">
        <f t="shared" si="24"/>
        <v>0</v>
      </c>
      <c r="G89" s="183">
        <f t="shared" si="24"/>
        <v>0</v>
      </c>
      <c r="H89" s="183">
        <f t="shared" si="24"/>
        <v>0</v>
      </c>
      <c r="I89" s="183">
        <f t="shared" si="24"/>
        <v>0</v>
      </c>
      <c r="J89" s="183">
        <f t="shared" si="24"/>
        <v>0</v>
      </c>
      <c r="K89" s="183">
        <f t="shared" si="24"/>
        <v>0</v>
      </c>
      <c r="L89" s="183">
        <f t="shared" si="24"/>
        <v>0</v>
      </c>
      <c r="M89" s="183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176</v>
      </c>
      <c r="D91" s="183">
        <f>+D82+D89</f>
        <v>0</v>
      </c>
      <c r="E91" s="183">
        <f t="shared" ref="E91:M91" si="25">+E82+E89</f>
        <v>656960.84100656956</v>
      </c>
      <c r="F91" s="183">
        <f t="shared" si="25"/>
        <v>0</v>
      </c>
      <c r="G91" s="183">
        <f t="shared" si="25"/>
        <v>0</v>
      </c>
      <c r="H91" s="183">
        <f t="shared" si="25"/>
        <v>0</v>
      </c>
      <c r="I91" s="183">
        <f t="shared" si="25"/>
        <v>656960.84100656956</v>
      </c>
      <c r="J91" s="183">
        <f t="shared" si="25"/>
        <v>0</v>
      </c>
      <c r="K91" s="183">
        <f t="shared" si="25"/>
        <v>0</v>
      </c>
      <c r="L91" s="183">
        <f t="shared" si="25"/>
        <v>0</v>
      </c>
      <c r="M91" s="183">
        <f t="shared" si="25"/>
        <v>656960.84100656956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9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H70" activePane="bottomRight" state="frozen"/>
      <selection activeCell="A91" sqref="A91"/>
      <selection pane="topRight" activeCell="A91" sqref="A91"/>
      <selection pane="bottomLeft" activeCell="A91" sqref="A91"/>
      <selection pane="bottomRight" activeCell="M81" sqref="M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49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/>
      <c r="E70" s="38">
        <v>-3633759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-3633759</v>
      </c>
      <c r="J70" s="65"/>
      <c r="K70" s="38"/>
      <c r="L70" s="60">
        <f t="shared" si="21"/>
        <v>0</v>
      </c>
      <c r="M70" s="38">
        <f t="shared" si="21"/>
        <v>-3633759</v>
      </c>
    </row>
    <row r="71" spans="1:13" x14ac:dyDescent="0.2">
      <c r="A71" s="9">
        <v>31</v>
      </c>
      <c r="B71" s="3"/>
      <c r="C71" s="10" t="s">
        <v>70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-3633759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-3633759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-3633759</v>
      </c>
    </row>
    <row r="73" spans="1:13" x14ac:dyDescent="0.2">
      <c r="A73" s="9">
        <v>32</v>
      </c>
      <c r="B73" s="3"/>
      <c r="C73" s="10" t="s">
        <v>72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74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75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76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79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0"/>
      <c r="E81" s="38">
        <f>-301000+3633759</f>
        <v>3332759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54">
        <f t="shared" si="23"/>
        <v>3332759</v>
      </c>
      <c r="J81" s="60"/>
      <c r="K81" s="38"/>
      <c r="L81" s="60">
        <f t="shared" si="24"/>
        <v>0</v>
      </c>
      <c r="M81" s="38">
        <f t="shared" si="24"/>
        <v>3332759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74">
        <f>SUM(E72:E81)+E16+E24+E29+E36+E43+E45+E47+E49+E51+E56+E61+E66</f>
        <v>-301000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-301000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-301000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9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A67" zoomScale="75" workbookViewId="0">
      <selection activeCell="D93" sqref="D9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7020222</v>
      </c>
      <c r="E11" s="38">
        <v>16520575</v>
      </c>
      <c r="F11" s="60">
        <f>H11-D11</f>
        <v>0</v>
      </c>
      <c r="G11" s="37">
        <f>I11-E11</f>
        <v>0</v>
      </c>
      <c r="H11" s="65">
        <f>D11</f>
        <v>7020222</v>
      </c>
      <c r="I11" s="66">
        <f>E11</f>
        <v>16520575</v>
      </c>
      <c r="J11" s="60"/>
      <c r="K11" s="38"/>
      <c r="L11" s="60">
        <f t="shared" ref="L11:M15" si="0">H11+J11</f>
        <v>7020222</v>
      </c>
      <c r="M11" s="38">
        <f t="shared" si="0"/>
        <v>16520575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2232777</v>
      </c>
      <c r="E13" s="38">
        <v>5214825</v>
      </c>
      <c r="F13" s="60">
        <f t="shared" si="1"/>
        <v>0</v>
      </c>
      <c r="G13" s="37">
        <f t="shared" si="1"/>
        <v>0</v>
      </c>
      <c r="H13" s="65">
        <f t="shared" si="2"/>
        <v>2232777</v>
      </c>
      <c r="I13" s="66">
        <f t="shared" si="2"/>
        <v>5214825</v>
      </c>
      <c r="J13" s="60"/>
      <c r="K13" s="38"/>
      <c r="L13" s="60">
        <f t="shared" si="0"/>
        <v>2232777</v>
      </c>
      <c r="M13" s="38">
        <f t="shared" si="0"/>
        <v>5214825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9252999</v>
      </c>
      <c r="E16" s="39">
        <v>21735400</v>
      </c>
      <c r="F16" s="61">
        <f t="shared" ref="F16:M16" si="3">SUM(F11:F15)</f>
        <v>0</v>
      </c>
      <c r="G16" s="39">
        <f t="shared" si="3"/>
        <v>0</v>
      </c>
      <c r="H16" s="61">
        <f>SUM(H11:H15)</f>
        <v>9252999</v>
      </c>
      <c r="I16" s="39">
        <f>SUM(I11:I15)</f>
        <v>21735400</v>
      </c>
      <c r="J16" s="61">
        <f t="shared" si="3"/>
        <v>0</v>
      </c>
      <c r="K16" s="39">
        <f t="shared" si="3"/>
        <v>0</v>
      </c>
      <c r="L16" s="61">
        <f t="shared" si="3"/>
        <v>9252999</v>
      </c>
      <c r="M16" s="39">
        <f t="shared" si="3"/>
        <v>21735400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-6088585</v>
      </c>
      <c r="E19" s="38">
        <v>-14323204</v>
      </c>
      <c r="F19" s="60">
        <f>H19-D19</f>
        <v>0</v>
      </c>
      <c r="G19" s="37">
        <f>I19-E19</f>
        <v>0</v>
      </c>
      <c r="H19" s="65">
        <f t="shared" si="4"/>
        <v>-6088585</v>
      </c>
      <c r="I19" s="66">
        <f t="shared" si="4"/>
        <v>-14323204</v>
      </c>
      <c r="J19" s="60"/>
      <c r="K19" s="38"/>
      <c r="L19" s="60">
        <f t="shared" ref="L19:M23" si="5">H19+J19</f>
        <v>-6088585</v>
      </c>
      <c r="M19" s="38">
        <f t="shared" si="5"/>
        <v>-14323204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-2936881</v>
      </c>
      <c r="E21" s="38">
        <v>-6871475</v>
      </c>
      <c r="F21" s="60">
        <f t="shared" si="6"/>
        <v>0</v>
      </c>
      <c r="G21" s="37">
        <f t="shared" si="6"/>
        <v>0</v>
      </c>
      <c r="H21" s="65">
        <f t="shared" si="4"/>
        <v>-2936881</v>
      </c>
      <c r="I21" s="66">
        <f t="shared" si="4"/>
        <v>-6871475</v>
      </c>
      <c r="J21" s="60"/>
      <c r="K21" s="38"/>
      <c r="L21" s="60">
        <f t="shared" si="5"/>
        <v>-2936881</v>
      </c>
      <c r="M21" s="38">
        <f t="shared" si="5"/>
        <v>-6871475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-9025466</v>
      </c>
      <c r="E24" s="39">
        <v>-21194679</v>
      </c>
      <c r="F24" s="61">
        <f t="shared" ref="F24:M24" si="7">SUM(F19:F23)</f>
        <v>0</v>
      </c>
      <c r="G24" s="39">
        <f t="shared" si="7"/>
        <v>0</v>
      </c>
      <c r="H24" s="61">
        <f>SUM(H19:H23)</f>
        <v>-9025466</v>
      </c>
      <c r="I24" s="39">
        <f>SUM(I19:I23)</f>
        <v>-21194679</v>
      </c>
      <c r="J24" s="61">
        <f t="shared" si="7"/>
        <v>0</v>
      </c>
      <c r="K24" s="39">
        <f t="shared" si="7"/>
        <v>0</v>
      </c>
      <c r="L24" s="61">
        <f t="shared" si="7"/>
        <v>-9025466</v>
      </c>
      <c r="M24" s="39">
        <f t="shared" si="7"/>
        <v>-21194679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-227533</v>
      </c>
      <c r="E33" s="38">
        <v>-532427.22</v>
      </c>
      <c r="F33" s="60">
        <f t="shared" ref="F33:G35" si="11">H33-D33</f>
        <v>0</v>
      </c>
      <c r="G33" s="37">
        <f t="shared" si="11"/>
        <v>0</v>
      </c>
      <c r="H33" s="65">
        <f t="shared" si="9"/>
        <v>-227533</v>
      </c>
      <c r="I33" s="66">
        <f t="shared" si="9"/>
        <v>-532427.22</v>
      </c>
      <c r="J33" s="60"/>
      <c r="K33" s="38"/>
      <c r="L33" s="60">
        <f t="shared" si="10"/>
        <v>-227533</v>
      </c>
      <c r="M33" s="38">
        <f t="shared" si="10"/>
        <v>-532427.22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-227533</v>
      </c>
      <c r="E36" s="39">
        <v>-532427.22</v>
      </c>
      <c r="F36" s="61">
        <f>SUM(F32:F35)</f>
        <v>0</v>
      </c>
      <c r="G36" s="39">
        <f>SUM(G32:G35)</f>
        <v>0</v>
      </c>
      <c r="H36" s="61">
        <f>SUM(H32:H35)</f>
        <v>-227533</v>
      </c>
      <c r="I36" s="39">
        <f>SUM(I32:I35)</f>
        <v>-532427.22</v>
      </c>
      <c r="J36" s="61">
        <f>SUM(J32:J34)</f>
        <v>0</v>
      </c>
      <c r="K36" s="39">
        <f>SUM(K32:K34)</f>
        <v>0</v>
      </c>
      <c r="L36" s="61">
        <f>SUM(L32:L35)</f>
        <v>-227533</v>
      </c>
      <c r="M36" s="39">
        <f>SUM(M32:M35)</f>
        <v>-532427.22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-808256.63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-808256.63</v>
      </c>
      <c r="J70" s="65"/>
      <c r="K70" s="38"/>
      <c r="L70" s="60">
        <f t="shared" si="20"/>
        <v>0</v>
      </c>
      <c r="M70" s="38">
        <f t="shared" si="20"/>
        <v>-808256.63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952734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952734</v>
      </c>
      <c r="J71" s="65"/>
      <c r="K71" s="38"/>
      <c r="L71" s="60">
        <f t="shared" si="20"/>
        <v>0</v>
      </c>
      <c r="M71" s="38">
        <f t="shared" si="20"/>
        <v>952734</v>
      </c>
    </row>
    <row r="72" spans="1:13" x14ac:dyDescent="0.2">
      <c r="A72" s="9"/>
      <c r="B72" s="3"/>
      <c r="C72" s="55" t="s">
        <v>71</v>
      </c>
      <c r="D72" s="61">
        <v>0</v>
      </c>
      <c r="E72" s="39">
        <v>144477.37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144477.37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144477.37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80</v>
      </c>
      <c r="D81" s="60">
        <v>0</v>
      </c>
      <c r="E81" s="38">
        <v>-23232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-23232</v>
      </c>
      <c r="J81" s="60"/>
      <c r="K81" s="38"/>
      <c r="L81" s="60">
        <f t="shared" si="23"/>
        <v>0</v>
      </c>
      <c r="M81" s="38">
        <f t="shared" si="23"/>
        <v>-23232</v>
      </c>
    </row>
    <row r="82" spans="1:13" s="2" customFormat="1" ht="20.25" customHeight="1" thickBot="1" x14ac:dyDescent="0.25">
      <c r="A82" s="95"/>
      <c r="B82" s="30"/>
      <c r="C82" s="96" t="s">
        <v>177</v>
      </c>
      <c r="D82" s="73">
        <f>D16+D24+D29+D36+D43+D45+D47+D49</f>
        <v>0</v>
      </c>
      <c r="E82" s="74">
        <f>SUM(E72:E81)+E16+E24+E29+E36+E43+E45+E47+E49+E51+E56+E61+E66</f>
        <v>129539.15000000107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129539.15000000107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129539.15000000107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171</v>
      </c>
      <c r="B85" s="3"/>
      <c r="L85" s="45"/>
    </row>
    <row r="86" spans="1:13" s="3" customFormat="1" x14ac:dyDescent="0.2">
      <c r="A86" s="172"/>
      <c r="C86" s="10" t="s">
        <v>175</v>
      </c>
      <c r="D86" s="176">
        <v>0</v>
      </c>
      <c r="E86" s="176">
        <v>593800</v>
      </c>
      <c r="F86" s="176">
        <f t="shared" ref="F86:G88" si="25">H86-D86</f>
        <v>0</v>
      </c>
      <c r="G86" s="176">
        <f t="shared" si="25"/>
        <v>0</v>
      </c>
      <c r="H86" s="176">
        <f t="shared" ref="H86:I88" si="26">D86</f>
        <v>0</v>
      </c>
      <c r="I86" s="176">
        <f t="shared" si="26"/>
        <v>593800</v>
      </c>
      <c r="J86" s="176"/>
      <c r="K86" s="176"/>
      <c r="L86" s="176">
        <f t="shared" ref="L86:M88" si="27">H86+J86</f>
        <v>0</v>
      </c>
      <c r="M86" s="176">
        <f t="shared" si="27"/>
        <v>593800</v>
      </c>
    </row>
    <row r="87" spans="1:13" s="3" customFormat="1" x14ac:dyDescent="0.2">
      <c r="A87" s="172"/>
      <c r="C87" s="10" t="s">
        <v>73</v>
      </c>
      <c r="D87" s="177">
        <v>0</v>
      </c>
      <c r="E87" s="177">
        <v>0</v>
      </c>
      <c r="F87" s="177">
        <f t="shared" si="25"/>
        <v>0</v>
      </c>
      <c r="G87" s="177">
        <f t="shared" si="25"/>
        <v>0</v>
      </c>
      <c r="H87" s="177">
        <f t="shared" si="26"/>
        <v>0</v>
      </c>
      <c r="I87" s="177">
        <f t="shared" si="26"/>
        <v>0</v>
      </c>
      <c r="J87" s="177"/>
      <c r="K87" s="177"/>
      <c r="L87" s="177">
        <f t="shared" si="27"/>
        <v>0</v>
      </c>
      <c r="M87" s="177">
        <f t="shared" si="27"/>
        <v>0</v>
      </c>
    </row>
    <row r="88" spans="1:13" s="3" customFormat="1" x14ac:dyDescent="0.2">
      <c r="A88" s="172"/>
      <c r="C88" s="10" t="s">
        <v>74</v>
      </c>
      <c r="D88" s="178">
        <v>0</v>
      </c>
      <c r="E88" s="178">
        <v>0</v>
      </c>
      <c r="F88" s="178">
        <f t="shared" si="25"/>
        <v>0</v>
      </c>
      <c r="G88" s="178">
        <f t="shared" si="25"/>
        <v>0</v>
      </c>
      <c r="H88" s="178">
        <f t="shared" si="26"/>
        <v>0</v>
      </c>
      <c r="I88" s="178">
        <f t="shared" si="26"/>
        <v>0</v>
      </c>
      <c r="J88" s="178"/>
      <c r="K88" s="178"/>
      <c r="L88" s="178">
        <f t="shared" si="27"/>
        <v>0</v>
      </c>
      <c r="M88" s="178">
        <f t="shared" si="27"/>
        <v>0</v>
      </c>
    </row>
    <row r="89" spans="1:13" s="2" customFormat="1" ht="20.25" customHeight="1" x14ac:dyDescent="0.2">
      <c r="A89" s="172"/>
      <c r="B89" s="4"/>
      <c r="C89" s="182" t="s">
        <v>178</v>
      </c>
      <c r="D89" s="183">
        <f>SUM(D86:D88)</f>
        <v>0</v>
      </c>
      <c r="E89" s="183">
        <f t="shared" ref="E89:M89" si="28">SUM(E86:E88)</f>
        <v>593800</v>
      </c>
      <c r="F89" s="183">
        <f t="shared" si="28"/>
        <v>0</v>
      </c>
      <c r="G89" s="183">
        <f t="shared" si="28"/>
        <v>0</v>
      </c>
      <c r="H89" s="183">
        <f t="shared" si="28"/>
        <v>0</v>
      </c>
      <c r="I89" s="183">
        <f t="shared" si="28"/>
        <v>593800</v>
      </c>
      <c r="J89" s="183">
        <f t="shared" si="28"/>
        <v>0</v>
      </c>
      <c r="K89" s="183">
        <f t="shared" si="28"/>
        <v>0</v>
      </c>
      <c r="L89" s="183">
        <f t="shared" si="28"/>
        <v>0</v>
      </c>
      <c r="M89" s="183">
        <f t="shared" si="28"/>
        <v>593800</v>
      </c>
    </row>
    <row r="90" spans="1:13" x14ac:dyDescent="0.2">
      <c r="A90" s="4"/>
      <c r="B90" s="3"/>
    </row>
    <row r="91" spans="1:13" s="2" customFormat="1" ht="20.25" customHeight="1" x14ac:dyDescent="0.2">
      <c r="A91" s="172"/>
      <c r="B91" s="4"/>
      <c r="C91" s="182" t="s">
        <v>176</v>
      </c>
      <c r="D91" s="183">
        <f>+D82+D89</f>
        <v>0</v>
      </c>
      <c r="E91" s="183">
        <f t="shared" ref="E91:M91" si="29">+E82+E89</f>
        <v>723339.15000000107</v>
      </c>
      <c r="F91" s="183">
        <f t="shared" si="29"/>
        <v>0</v>
      </c>
      <c r="G91" s="183">
        <f t="shared" si="29"/>
        <v>0</v>
      </c>
      <c r="H91" s="183">
        <f t="shared" si="29"/>
        <v>0</v>
      </c>
      <c r="I91" s="183">
        <f t="shared" si="29"/>
        <v>723339.15000000107</v>
      </c>
      <c r="J91" s="183">
        <f t="shared" si="29"/>
        <v>0</v>
      </c>
      <c r="K91" s="183">
        <f t="shared" si="29"/>
        <v>0</v>
      </c>
      <c r="L91" s="183">
        <f t="shared" si="29"/>
        <v>0</v>
      </c>
      <c r="M91" s="183">
        <f t="shared" si="29"/>
        <v>723339.15000000107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31" zoomScale="75" workbookViewId="0">
      <selection activeCell="E54" sqref="E5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9905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6494610</v>
      </c>
      <c r="E11" s="65">
        <v>14058957</v>
      </c>
      <c r="F11" s="60">
        <f>H11-D11</f>
        <v>0</v>
      </c>
      <c r="G11" s="37">
        <f>I11-E11</f>
        <v>0</v>
      </c>
      <c r="H11" s="65">
        <f>D11</f>
        <v>6494610</v>
      </c>
      <c r="I11" s="66">
        <f>E11</f>
        <v>14058957</v>
      </c>
      <c r="J11" s="60"/>
      <c r="K11" s="38"/>
      <c r="L11" s="60">
        <f t="shared" ref="L11:M15" si="0">H11+J11</f>
        <v>6494610</v>
      </c>
      <c r="M11" s="38">
        <f t="shared" si="0"/>
        <v>14058957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22915213</v>
      </c>
      <c r="E13" s="65">
        <v>55028839</v>
      </c>
      <c r="F13" s="60">
        <f t="shared" si="1"/>
        <v>0</v>
      </c>
      <c r="G13" s="37">
        <f t="shared" si="1"/>
        <v>0</v>
      </c>
      <c r="H13" s="65">
        <f t="shared" si="2"/>
        <v>22915213</v>
      </c>
      <c r="I13" s="66">
        <f t="shared" si="2"/>
        <v>55028839</v>
      </c>
      <c r="J13" s="60"/>
      <c r="K13" s="38"/>
      <c r="L13" s="60">
        <f t="shared" si="0"/>
        <v>22915213</v>
      </c>
      <c r="M13" s="38">
        <f t="shared" si="0"/>
        <v>55028839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29409823</v>
      </c>
      <c r="E16" s="39">
        <v>69087796</v>
      </c>
      <c r="F16" s="61">
        <f t="shared" ref="F16:M16" si="3">SUM(F11:F15)</f>
        <v>0</v>
      </c>
      <c r="G16" s="39">
        <f t="shared" si="3"/>
        <v>0</v>
      </c>
      <c r="H16" s="61">
        <f>SUM(H11:H15)</f>
        <v>29409823</v>
      </c>
      <c r="I16" s="39">
        <f>SUM(I11:I15)</f>
        <v>69087796</v>
      </c>
      <c r="J16" s="61">
        <f t="shared" si="3"/>
        <v>0</v>
      </c>
      <c r="K16" s="39">
        <f t="shared" si="3"/>
        <v>0</v>
      </c>
      <c r="L16" s="61">
        <f t="shared" si="3"/>
        <v>29409823</v>
      </c>
      <c r="M16" s="39">
        <f t="shared" si="3"/>
        <v>69087796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-5863953</v>
      </c>
      <c r="E19" s="65">
        <v>-12124708</v>
      </c>
      <c r="F19" s="60">
        <f>H19-D19</f>
        <v>0</v>
      </c>
      <c r="G19" s="37">
        <f>I19-E19</f>
        <v>0</v>
      </c>
      <c r="H19" s="65">
        <f t="shared" si="4"/>
        <v>-5863953</v>
      </c>
      <c r="I19" s="66">
        <f t="shared" si="4"/>
        <v>-12124708</v>
      </c>
      <c r="J19" s="60"/>
      <c r="K19" s="38"/>
      <c r="L19" s="60">
        <f t="shared" ref="L19:M23" si="5">H19+J19</f>
        <v>-5863953</v>
      </c>
      <c r="M19" s="38">
        <f t="shared" si="5"/>
        <v>-12124708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-31274346</v>
      </c>
      <c r="E21" s="65">
        <v>-74695765</v>
      </c>
      <c r="F21" s="60">
        <f t="shared" si="6"/>
        <v>0</v>
      </c>
      <c r="G21" s="37">
        <f t="shared" si="6"/>
        <v>0</v>
      </c>
      <c r="H21" s="65">
        <f t="shared" si="4"/>
        <v>-31274346</v>
      </c>
      <c r="I21" s="66">
        <f t="shared" si="4"/>
        <v>-74695765</v>
      </c>
      <c r="J21" s="60"/>
      <c r="K21" s="38"/>
      <c r="L21" s="60">
        <f t="shared" si="5"/>
        <v>-31274346</v>
      </c>
      <c r="M21" s="38">
        <f t="shared" si="5"/>
        <v>-74695765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641864</v>
      </c>
      <c r="E23" s="65">
        <v>1467209</v>
      </c>
      <c r="F23" s="60">
        <f t="shared" si="6"/>
        <v>0</v>
      </c>
      <c r="G23" s="37">
        <f t="shared" si="6"/>
        <v>0</v>
      </c>
      <c r="H23" s="65">
        <f t="shared" si="4"/>
        <v>641864</v>
      </c>
      <c r="I23" s="66">
        <f t="shared" si="4"/>
        <v>1467209</v>
      </c>
      <c r="J23" s="60"/>
      <c r="K23" s="38"/>
      <c r="L23" s="60">
        <f t="shared" si="5"/>
        <v>641864</v>
      </c>
      <c r="M23" s="38">
        <f t="shared" si="5"/>
        <v>1467209</v>
      </c>
    </row>
    <row r="24" spans="1:13" x14ac:dyDescent="0.2">
      <c r="A24" s="9"/>
      <c r="B24" s="7" t="s">
        <v>35</v>
      </c>
      <c r="C24" s="6"/>
      <c r="D24" s="61">
        <v>-36496435</v>
      </c>
      <c r="E24" s="39">
        <v>-85353264</v>
      </c>
      <c r="F24" s="61">
        <f t="shared" ref="F24:M24" si="7">SUM(F19:F23)</f>
        <v>0</v>
      </c>
      <c r="G24" s="39">
        <f t="shared" si="7"/>
        <v>0</v>
      </c>
      <c r="H24" s="61">
        <f>SUM(H19:H23)</f>
        <v>-36496435</v>
      </c>
      <c r="I24" s="39">
        <f>SUM(I19:I23)</f>
        <v>-85353264</v>
      </c>
      <c r="J24" s="61">
        <f t="shared" si="7"/>
        <v>0</v>
      </c>
      <c r="K24" s="39">
        <f t="shared" si="7"/>
        <v>0</v>
      </c>
      <c r="L24" s="61">
        <f t="shared" si="7"/>
        <v>-36496435</v>
      </c>
      <c r="M24" s="39">
        <f t="shared" si="7"/>
        <v>-85353264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5800</v>
      </c>
      <c r="E32" s="65">
        <v>14500</v>
      </c>
      <c r="F32" s="60">
        <f>H32-D32</f>
        <v>0</v>
      </c>
      <c r="G32" s="37">
        <f>I32-E32</f>
        <v>0</v>
      </c>
      <c r="H32" s="65">
        <f t="shared" ref="H32:I35" si="9">D32</f>
        <v>5800</v>
      </c>
      <c r="I32" s="66">
        <f t="shared" si="9"/>
        <v>14500</v>
      </c>
      <c r="J32" s="60"/>
      <c r="K32" s="38"/>
      <c r="L32" s="60">
        <f t="shared" ref="L32:M35" si="10">H32+J32</f>
        <v>5800</v>
      </c>
      <c r="M32" s="38">
        <f t="shared" si="10"/>
        <v>14500</v>
      </c>
    </row>
    <row r="33" spans="1:13" x14ac:dyDescent="0.2">
      <c r="A33" s="9">
        <v>14</v>
      </c>
      <c r="B33" s="7"/>
      <c r="C33" s="18" t="s">
        <v>42</v>
      </c>
      <c r="D33" s="65">
        <v>-237957</v>
      </c>
      <c r="E33" s="65">
        <v>-560626.69199999992</v>
      </c>
      <c r="F33" s="60">
        <f t="shared" ref="F33:G35" si="11">H33-D33</f>
        <v>0</v>
      </c>
      <c r="G33" s="37">
        <f t="shared" si="11"/>
        <v>0</v>
      </c>
      <c r="H33" s="65">
        <f t="shared" si="9"/>
        <v>-237957</v>
      </c>
      <c r="I33" s="66">
        <f t="shared" si="9"/>
        <v>-560626.69199999992</v>
      </c>
      <c r="J33" s="60"/>
      <c r="K33" s="38"/>
      <c r="L33" s="60">
        <f t="shared" si="10"/>
        <v>-237957</v>
      </c>
      <c r="M33" s="38">
        <f t="shared" si="10"/>
        <v>-560626.69199999992</v>
      </c>
    </row>
    <row r="34" spans="1:13" x14ac:dyDescent="0.2">
      <c r="A34" s="9">
        <v>15</v>
      </c>
      <c r="B34" s="7"/>
      <c r="C34" s="18" t="s">
        <v>43</v>
      </c>
      <c r="D34" s="65">
        <v>3325</v>
      </c>
      <c r="E34" s="65">
        <v>8163</v>
      </c>
      <c r="F34" s="60">
        <f t="shared" si="11"/>
        <v>0</v>
      </c>
      <c r="G34" s="37">
        <f t="shared" si="11"/>
        <v>0</v>
      </c>
      <c r="H34" s="65">
        <f t="shared" si="9"/>
        <v>3325</v>
      </c>
      <c r="I34" s="66">
        <f t="shared" si="9"/>
        <v>8163</v>
      </c>
      <c r="J34" s="60"/>
      <c r="K34" s="38"/>
      <c r="L34" s="60">
        <f t="shared" si="10"/>
        <v>3325</v>
      </c>
      <c r="M34" s="38">
        <f t="shared" si="10"/>
        <v>8163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-228832</v>
      </c>
      <c r="E36" s="39">
        <v>-537963.69199999992</v>
      </c>
      <c r="F36" s="61">
        <f>SUM(F32:F35)</f>
        <v>0</v>
      </c>
      <c r="G36" s="39">
        <f>SUM(G32:G35)</f>
        <v>0</v>
      </c>
      <c r="H36" s="61">
        <f>SUM(H32:H35)</f>
        <v>-228832</v>
      </c>
      <c r="I36" s="39">
        <f>SUM(I32:I35)</f>
        <v>-537963.69199999992</v>
      </c>
      <c r="J36" s="61">
        <f>SUM(J32:J34)</f>
        <v>0</v>
      </c>
      <c r="K36" s="39">
        <f>SUM(K32:K34)</f>
        <v>0</v>
      </c>
      <c r="L36" s="61">
        <f>SUM(L32:L35)</f>
        <v>-228832</v>
      </c>
      <c r="M36" s="39">
        <f>SUM(M32:M35)</f>
        <v>-537963.69199999992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7315444</v>
      </c>
      <c r="E39" s="65">
        <v>18568485</v>
      </c>
      <c r="F39" s="60">
        <f t="shared" ref="F39:G41" si="13">H39-D39</f>
        <v>0</v>
      </c>
      <c r="G39" s="37">
        <f t="shared" si="13"/>
        <v>0</v>
      </c>
      <c r="H39" s="65">
        <f t="shared" si="12"/>
        <v>7315444</v>
      </c>
      <c r="I39" s="66">
        <f t="shared" si="12"/>
        <v>18568485</v>
      </c>
      <c r="J39" s="60"/>
      <c r="K39" s="38"/>
      <c r="L39" s="60">
        <f t="shared" ref="L39:M41" si="14">H39+J39</f>
        <v>7315444</v>
      </c>
      <c r="M39" s="38">
        <f t="shared" si="14"/>
        <v>18568485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7315444</v>
      </c>
      <c r="E43" s="39">
        <v>18568485</v>
      </c>
      <c r="F43" s="61">
        <f t="shared" ref="F43:M43" si="16">F42+F39</f>
        <v>0</v>
      </c>
      <c r="G43" s="39">
        <f t="shared" si="16"/>
        <v>0</v>
      </c>
      <c r="H43" s="61">
        <f>H42+H39</f>
        <v>7315444</v>
      </c>
      <c r="I43" s="39">
        <f>I42+I39</f>
        <v>18568485</v>
      </c>
      <c r="J43" s="61">
        <f t="shared" si="16"/>
        <v>0</v>
      </c>
      <c r="K43" s="39">
        <f t="shared" si="16"/>
        <v>0</v>
      </c>
      <c r="L43" s="61">
        <f t="shared" si="16"/>
        <v>7315444</v>
      </c>
      <c r="M43" s="39">
        <f t="shared" si="16"/>
        <v>18568485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-641864</v>
      </c>
      <c r="E51" s="65">
        <v>-1467209</v>
      </c>
      <c r="F51" s="60">
        <f>H51-D51</f>
        <v>0</v>
      </c>
      <c r="G51" s="37">
        <f>I51-E51</f>
        <v>0</v>
      </c>
      <c r="H51" s="65">
        <f>D51</f>
        <v>-641864</v>
      </c>
      <c r="I51" s="66">
        <f>E51</f>
        <v>-1467209</v>
      </c>
      <c r="J51" s="60"/>
      <c r="K51" s="38"/>
      <c r="L51" s="60">
        <f>H51+J51</f>
        <v>-641864</v>
      </c>
      <c r="M51" s="38">
        <f>I51+K51</f>
        <v>-1467209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-604318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-604318</v>
      </c>
      <c r="J54" s="60"/>
      <c r="K54" s="38"/>
      <c r="L54" s="60">
        <f>H54+J54</f>
        <v>0</v>
      </c>
      <c r="M54" s="38">
        <f>I54+K54</f>
        <v>-604318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-10559378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-10559378</v>
      </c>
      <c r="J55" s="60"/>
      <c r="K55" s="38"/>
      <c r="L55" s="60">
        <f>H55+J55</f>
        <v>0</v>
      </c>
      <c r="M55" s="38">
        <f>I55+K55</f>
        <v>-10559378</v>
      </c>
    </row>
    <row r="56" spans="1:15" x14ac:dyDescent="0.2">
      <c r="A56" s="9"/>
      <c r="B56" s="7" t="s">
        <v>59</v>
      </c>
      <c r="C56" s="6"/>
      <c r="D56" s="61">
        <v>0</v>
      </c>
      <c r="E56" s="39">
        <v>-11163696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-11163696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-11163696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5981501.7333007976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5981501.7333007976</v>
      </c>
      <c r="J70" s="65"/>
      <c r="K70" s="38"/>
      <c r="L70" s="60">
        <f t="shared" si="20"/>
        <v>0</v>
      </c>
      <c r="M70" s="38">
        <f t="shared" si="20"/>
        <v>5981501.7333007976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-7899743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-7899743</v>
      </c>
      <c r="J71" s="65"/>
      <c r="K71" s="38"/>
      <c r="L71" s="60">
        <f t="shared" si="20"/>
        <v>0</v>
      </c>
      <c r="M71" s="38">
        <f t="shared" si="20"/>
        <v>-7899743</v>
      </c>
    </row>
    <row r="72" spans="1:13" x14ac:dyDescent="0.2">
      <c r="A72" s="9"/>
      <c r="B72" s="3"/>
      <c r="C72" s="55" t="s">
        <v>71</v>
      </c>
      <c r="D72" s="61">
        <v>0</v>
      </c>
      <c r="E72" s="39">
        <v>-1918241.2666992024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-1918241.2666992024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-1918241.2666992024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2374526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2374526</v>
      </c>
      <c r="J74" s="60"/>
      <c r="K74" s="38"/>
      <c r="L74" s="60">
        <f t="shared" si="23"/>
        <v>0</v>
      </c>
      <c r="M74" s="38">
        <f t="shared" si="23"/>
        <v>2374526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10559378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10559378</v>
      </c>
      <c r="J79" s="60"/>
      <c r="K79" s="38"/>
      <c r="L79" s="60">
        <f t="shared" si="23"/>
        <v>0</v>
      </c>
      <c r="M79" s="38">
        <f t="shared" si="23"/>
        <v>10559378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177</v>
      </c>
      <c r="D82" s="73">
        <f>D16+D24+D29+D36+D43+D45+D47+D49</f>
        <v>0</v>
      </c>
      <c r="E82" s="74">
        <f>SUM(E72:E81)+E16+E24+E29+E36+E43+E45+E47+E49+E51+E56+E61+E66</f>
        <v>149811.04130080529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149811.04130080529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149811.04130080529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9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O179"/>
  <sheetViews>
    <sheetView zoomScale="75" workbookViewId="0">
      <pane xSplit="3" ySplit="9" topLeftCell="AK79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N87" sqref="AN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">
        <v>168</v>
      </c>
      <c r="I8" s="27"/>
      <c r="J8" s="26" t="s">
        <v>187</v>
      </c>
      <c r="K8" s="27"/>
      <c r="L8" s="26" t="s">
        <v>190</v>
      </c>
      <c r="M8" s="27"/>
      <c r="N8" s="26" t="s">
        <v>191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46988958</v>
      </c>
      <c r="E11" s="38">
        <f t="shared" si="0"/>
        <v>113341030.24000001</v>
      </c>
      <c r="F11" s="60">
        <f>'TIE-OUT'!F11+RECLASS!F11</f>
        <v>0</v>
      </c>
      <c r="G11" s="38">
        <f>'TIE-OUT'!G11+RECLASS!G11</f>
        <v>-2280896</v>
      </c>
      <c r="H11" s="127">
        <f>+Actuals!E124</f>
        <v>45022264</v>
      </c>
      <c r="I11" s="128">
        <f>+Actuals!F124</f>
        <v>109975690.22</v>
      </c>
      <c r="J11" s="127">
        <f>+Actuals!G124</f>
        <v>1176371</v>
      </c>
      <c r="K11" s="128">
        <f>+Actuals!H124</f>
        <v>1201576.99</v>
      </c>
      <c r="L11" s="127">
        <f>+Actuals!I124</f>
        <v>741104</v>
      </c>
      <c r="M11" s="128">
        <f>+Actuals!J124</f>
        <v>3180462</v>
      </c>
      <c r="N11" s="127">
        <f>+Actuals!K124</f>
        <v>20702</v>
      </c>
      <c r="O11" s="128">
        <f>+Actuals!L124</f>
        <v>1081756.51</v>
      </c>
      <c r="P11" s="127">
        <f>+Actuals!M124</f>
        <v>0</v>
      </c>
      <c r="Q11" s="128">
        <f>+Actuals!N124</f>
        <v>0</v>
      </c>
      <c r="R11" s="127">
        <f>+Actuals!O124</f>
        <v>128</v>
      </c>
      <c r="S11" s="128">
        <f>+Actuals!P124</f>
        <v>290.43</v>
      </c>
      <c r="T11" s="127">
        <f>+Actuals!Q124</f>
        <v>2196</v>
      </c>
      <c r="U11" s="128">
        <f>+Actuals!R124</f>
        <v>5028.84</v>
      </c>
      <c r="V11" s="127">
        <f>+Actuals!S124</f>
        <v>1614</v>
      </c>
      <c r="W11" s="128">
        <f>+Actuals!T124</f>
        <v>3728.84</v>
      </c>
      <c r="X11" s="127">
        <f>+Actuals!U164</f>
        <v>-2</v>
      </c>
      <c r="Y11" s="128">
        <f>+Actuals!V164</f>
        <v>15325.1</v>
      </c>
      <c r="Z11" s="127">
        <f>+Actuals!W164</f>
        <v>25035</v>
      </c>
      <c r="AA11" s="128">
        <f>+Actuals!X164</f>
        <v>58936.75</v>
      </c>
      <c r="AB11" s="127">
        <f>+Actuals!Y164</f>
        <v>0</v>
      </c>
      <c r="AC11" s="128">
        <f>+Actuals!Z164</f>
        <v>0</v>
      </c>
      <c r="AD11" s="127">
        <f>+Actuals!AA164</f>
        <v>-454</v>
      </c>
      <c r="AE11" s="128">
        <f>+Actuals!AB164</f>
        <v>-869.44</v>
      </c>
      <c r="AF11" s="127">
        <f>+Actuals!AC164</f>
        <v>0</v>
      </c>
      <c r="AG11" s="157">
        <f>+Actuals!AD164+100000</f>
        <v>100000</v>
      </c>
      <c r="AH11" s="127">
        <f>+Actuals!AE164</f>
        <v>0</v>
      </c>
      <c r="AI11" s="157">
        <f>+Actuals!AF164</f>
        <v>0</v>
      </c>
      <c r="AJ11" s="127">
        <f>+Actuals!AG164</f>
        <v>0</v>
      </c>
      <c r="AK11" s="157">
        <f>+Actuals!AH164</f>
        <v>0</v>
      </c>
      <c r="AL11" s="127">
        <f>+Actuals!AI164</f>
        <v>0</v>
      </c>
      <c r="AM11" s="157">
        <f>+Actuals!AJ164</f>
        <v>0</v>
      </c>
      <c r="AN11" s="127">
        <f>+Actuals!AK164</f>
        <v>0</v>
      </c>
      <c r="AO11" s="157">
        <f>+Actuals!AL164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-4081461.65</v>
      </c>
      <c r="F12" s="60">
        <f>'TIE-OUT'!F12+RECLASS!F12</f>
        <v>0</v>
      </c>
      <c r="G12" s="38">
        <f>'TIE-OUT'!G12+RECLASS!G12</f>
        <v>-4202208.63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60">
        <f>+Actuals!H125-128590.52+249337.5</f>
        <v>120746.98</v>
      </c>
      <c r="L12" s="127">
        <f>+Actuals!I125</f>
        <v>0</v>
      </c>
      <c r="M12" s="128">
        <f>+Actuals!J125</f>
        <v>0</v>
      </c>
      <c r="N12" s="127">
        <f>+Actuals!K125</f>
        <v>0</v>
      </c>
      <c r="O12" s="128">
        <f>+Actuals!L125</f>
        <v>0</v>
      </c>
      <c r="P12" s="127">
        <f>+Actuals!M125</f>
        <v>0</v>
      </c>
      <c r="Q12" s="128">
        <f>+Actuals!N125</f>
        <v>0</v>
      </c>
      <c r="R12" s="127">
        <f>+Actuals!O125</f>
        <v>0</v>
      </c>
      <c r="S12" s="128">
        <f>+Actuals!P125</f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  <c r="AF12" s="127">
        <f>+Actuals!AC165</f>
        <v>0</v>
      </c>
      <c r="AG12" s="128">
        <f>+Actuals!AD165</f>
        <v>0</v>
      </c>
      <c r="AH12" s="127">
        <f>+Actuals!AE165</f>
        <v>0</v>
      </c>
      <c r="AI12" s="128">
        <f>+Actuals!AF165</f>
        <v>0</v>
      </c>
      <c r="AJ12" s="127">
        <f>+Actuals!AG165</f>
        <v>0</v>
      </c>
      <c r="AK12" s="128">
        <f>+Actuals!AH165</f>
        <v>0</v>
      </c>
      <c r="AL12" s="127">
        <f>+Actuals!AI165</f>
        <v>0</v>
      </c>
      <c r="AM12" s="128">
        <f>+Actuals!AJ165</f>
        <v>0</v>
      </c>
      <c r="AN12" s="127">
        <f>+Actuals!AK165</f>
        <v>0</v>
      </c>
      <c r="AO12" s="128">
        <f>+Actuals!AL165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19030434</v>
      </c>
      <c r="E13" s="38">
        <f t="shared" si="0"/>
        <v>43171267</v>
      </c>
      <c r="F13" s="60">
        <f>'TIE-OUT'!F13+RECLASS!F13</f>
        <v>0</v>
      </c>
      <c r="G13" s="38">
        <f>'TIE-OUT'!G13+RECLASS!G13</f>
        <v>0</v>
      </c>
      <c r="H13" s="127">
        <f>+Actuals!E126</f>
        <v>19030434</v>
      </c>
      <c r="I13" s="128">
        <f>+Actuals!F126</f>
        <v>43171267</v>
      </c>
      <c r="J13" s="127">
        <f>+Actuals!G126</f>
        <v>-239056</v>
      </c>
      <c r="K13" s="128">
        <f>+Actuals!H126</f>
        <v>-520123</v>
      </c>
      <c r="L13" s="127">
        <f>+Actuals!I126</f>
        <v>0</v>
      </c>
      <c r="M13" s="128">
        <f>+Actuals!J126</f>
        <v>0</v>
      </c>
      <c r="N13" s="127">
        <f>+Actuals!K126</f>
        <v>32147</v>
      </c>
      <c r="O13" s="128">
        <f>+Actuals!L126</f>
        <v>68236</v>
      </c>
      <c r="P13" s="127">
        <f>+Actuals!M126</f>
        <v>0</v>
      </c>
      <c r="Q13" s="128">
        <f>+Actuals!N126</f>
        <v>0</v>
      </c>
      <c r="R13" s="127">
        <f>+Actuals!O126</f>
        <v>1671369</v>
      </c>
      <c r="S13" s="128">
        <f>+Actuals!P126</f>
        <v>3786699</v>
      </c>
      <c r="T13" s="127">
        <f>+Actuals!Q126</f>
        <v>1671369</v>
      </c>
      <c r="U13" s="128">
        <f>+Actuals!R126</f>
        <v>3786699</v>
      </c>
      <c r="V13" s="127">
        <f>+Actuals!S126</f>
        <v>-3135829</v>
      </c>
      <c r="W13" s="128">
        <f>+Actuals!T126</f>
        <v>-7121511</v>
      </c>
      <c r="X13" s="127">
        <f>+Actuals!U166</f>
        <v>3135829</v>
      </c>
      <c r="Y13" s="128">
        <f>+Actuals!V166</f>
        <v>7121511</v>
      </c>
      <c r="Z13" s="127">
        <f>+Actuals!W166</f>
        <v>0</v>
      </c>
      <c r="AA13" s="128">
        <f>+Actuals!X166</f>
        <v>0</v>
      </c>
      <c r="AB13" s="127">
        <f>+Actuals!Y166</f>
        <v>-3135829</v>
      </c>
      <c r="AC13" s="128">
        <f>+Actuals!Z166</f>
        <v>-7121511</v>
      </c>
      <c r="AD13" s="127">
        <f>+Actuals!AA166</f>
        <v>0</v>
      </c>
      <c r="AE13" s="128">
        <f>+Actuals!AB166</f>
        <v>0</v>
      </c>
      <c r="AF13" s="127">
        <f>+Actuals!AC166</f>
        <v>0</v>
      </c>
      <c r="AG13" s="128">
        <f>+Actuals!AD166</f>
        <v>0</v>
      </c>
      <c r="AH13" s="127">
        <f>+Actuals!AE166</f>
        <v>0</v>
      </c>
      <c r="AI13" s="128">
        <f>+Actuals!AF166</f>
        <v>0</v>
      </c>
      <c r="AJ13" s="127">
        <f>+Actuals!AG166</f>
        <v>0</v>
      </c>
      <c r="AK13" s="128">
        <f>+Actuals!AH166</f>
        <v>0</v>
      </c>
      <c r="AL13" s="127">
        <f>+Actuals!AI166</f>
        <v>0</v>
      </c>
      <c r="AM13" s="128">
        <f>+Actuals!AJ166</f>
        <v>0</v>
      </c>
      <c r="AN13" s="127">
        <f>+Actuals!AK166</f>
        <v>0</v>
      </c>
      <c r="AO13" s="128">
        <f>+Actuals!AL166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+Actuals!K127</f>
        <v>0</v>
      </c>
      <c r="O14" s="128">
        <f>+Actuals!L127</f>
        <v>0</v>
      </c>
      <c r="P14" s="127">
        <f>+Actuals!M127</f>
        <v>0</v>
      </c>
      <c r="Q14" s="128">
        <f>+Actuals!N127</f>
        <v>0</v>
      </c>
      <c r="R14" s="127">
        <f>+Actuals!O127</f>
        <v>0</v>
      </c>
      <c r="S14" s="128">
        <f>+Actuals!P127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  <c r="AF14" s="127">
        <f>+Actuals!AC167</f>
        <v>0</v>
      </c>
      <c r="AG14" s="128">
        <f>+Actuals!AD167</f>
        <v>0</v>
      </c>
      <c r="AH14" s="127">
        <f>+Actuals!AE167</f>
        <v>0</v>
      </c>
      <c r="AI14" s="128">
        <f>+Actuals!AF167</f>
        <v>0</v>
      </c>
      <c r="AJ14" s="127">
        <f>+Actuals!AG167</f>
        <v>0</v>
      </c>
      <c r="AK14" s="128">
        <f>+Actuals!AH167</f>
        <v>0</v>
      </c>
      <c r="AL14" s="127">
        <f>+Actuals!AI167</f>
        <v>0</v>
      </c>
      <c r="AM14" s="128">
        <f>+Actuals!AJ167</f>
        <v>0</v>
      </c>
      <c r="AN14" s="127">
        <f>+Actuals!AK167</f>
        <v>0</v>
      </c>
      <c r="AO14" s="128">
        <f>+Actuals!AL167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-1243774.74</v>
      </c>
      <c r="F15" s="81">
        <f>'TIE-OUT'!F15+RECLASS!F15</f>
        <v>0</v>
      </c>
      <c r="G15" s="82">
        <f>'TIE-OUT'!G15+RECLASS!G15</f>
        <v>-1452777.74</v>
      </c>
      <c r="H15" s="127">
        <f>+Actuals!E128</f>
        <v>0</v>
      </c>
      <c r="I15" s="129">
        <f>+Actuals!F128</f>
        <v>0</v>
      </c>
      <c r="J15" s="127">
        <f>+Actuals!G128</f>
        <v>0</v>
      </c>
      <c r="K15" s="129">
        <f>+Actuals!H128</f>
        <v>0</v>
      </c>
      <c r="L15" s="127">
        <f>+Actuals!I128</f>
        <v>0</v>
      </c>
      <c r="M15" s="129">
        <f>+Actuals!J128</f>
        <v>0</v>
      </c>
      <c r="N15" s="127">
        <f>+Actuals!K128</f>
        <v>0</v>
      </c>
      <c r="O15" s="129">
        <f>+Actuals!L128</f>
        <v>0</v>
      </c>
      <c r="P15" s="127">
        <f>+Actuals!M128</f>
        <v>0</v>
      </c>
      <c r="Q15" s="129">
        <f>+Actuals!N128</f>
        <v>209000</v>
      </c>
      <c r="R15" s="127">
        <f>+Actuals!O128</f>
        <v>0</v>
      </c>
      <c r="S15" s="129">
        <f>+Actuals!P128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9">
        <f>+Actuals!X168</f>
        <v>3</v>
      </c>
      <c r="AB15" s="127">
        <f>+Actuals!Y168</f>
        <v>0</v>
      </c>
      <c r="AC15" s="129">
        <f>+Actuals!Z168</f>
        <v>0</v>
      </c>
      <c r="AD15" s="127">
        <f>+Actuals!AA168</f>
        <v>0</v>
      </c>
      <c r="AE15" s="129">
        <f>+Actuals!AB168</f>
        <v>0</v>
      </c>
      <c r="AF15" s="127">
        <f>+Actuals!AC168</f>
        <v>0</v>
      </c>
      <c r="AG15" s="129">
        <f>+Actuals!AD168</f>
        <v>0</v>
      </c>
      <c r="AH15" s="127">
        <f>+Actuals!AE168</f>
        <v>0</v>
      </c>
      <c r="AI15" s="129">
        <f>+Actuals!AF168</f>
        <v>0</v>
      </c>
      <c r="AJ15" s="127">
        <f>+Actuals!AG168</f>
        <v>0</v>
      </c>
      <c r="AK15" s="129">
        <f>+Actuals!AH168</f>
        <v>0</v>
      </c>
      <c r="AL15" s="127">
        <f>+Actuals!AI168</f>
        <v>0</v>
      </c>
      <c r="AM15" s="129">
        <f>+Actuals!AJ168</f>
        <v>0</v>
      </c>
      <c r="AN15" s="127">
        <f>+Actuals!AK168</f>
        <v>0</v>
      </c>
      <c r="AO15" s="129">
        <f>+Actuals!AL168</f>
        <v>0</v>
      </c>
    </row>
    <row r="16" spans="1:41" x14ac:dyDescent="0.2">
      <c r="A16" s="9"/>
      <c r="B16" s="7" t="s">
        <v>32</v>
      </c>
      <c r="C16" s="6"/>
      <c r="D16" s="61">
        <f t="shared" ref="D16:I16" si="1">SUM(D11:D15)</f>
        <v>66019392</v>
      </c>
      <c r="E16" s="39">
        <f t="shared" si="1"/>
        <v>151187060.84999999</v>
      </c>
      <c r="F16" s="61">
        <f t="shared" si="1"/>
        <v>0</v>
      </c>
      <c r="G16" s="39">
        <f t="shared" si="1"/>
        <v>-7935882.3700000001</v>
      </c>
      <c r="H16" s="61">
        <f t="shared" si="1"/>
        <v>64052698</v>
      </c>
      <c r="I16" s="82">
        <f t="shared" si="1"/>
        <v>153146957.22</v>
      </c>
      <c r="J16" s="61">
        <f t="shared" ref="J16:Y16" si="2">SUM(J11:J15)</f>
        <v>937315</v>
      </c>
      <c r="K16" s="82">
        <f t="shared" si="2"/>
        <v>802200.97</v>
      </c>
      <c r="L16" s="61">
        <f t="shared" si="2"/>
        <v>741104</v>
      </c>
      <c r="M16" s="82">
        <f t="shared" si="2"/>
        <v>3180462</v>
      </c>
      <c r="N16" s="61">
        <f t="shared" si="2"/>
        <v>52849</v>
      </c>
      <c r="O16" s="82">
        <f t="shared" si="2"/>
        <v>1149992.51</v>
      </c>
      <c r="P16" s="61">
        <f t="shared" si="2"/>
        <v>0</v>
      </c>
      <c r="Q16" s="82">
        <f t="shared" si="2"/>
        <v>209000</v>
      </c>
      <c r="R16" s="61">
        <f t="shared" si="2"/>
        <v>1671497</v>
      </c>
      <c r="S16" s="82">
        <f t="shared" si="2"/>
        <v>3786989.43</v>
      </c>
      <c r="T16" s="61">
        <f t="shared" si="2"/>
        <v>1673565</v>
      </c>
      <c r="U16" s="82">
        <f t="shared" si="2"/>
        <v>3791727.84</v>
      </c>
      <c r="V16" s="61">
        <f t="shared" si="2"/>
        <v>-3134215</v>
      </c>
      <c r="W16" s="82">
        <f t="shared" si="2"/>
        <v>-7117782.1600000001</v>
      </c>
      <c r="X16" s="61">
        <f t="shared" si="2"/>
        <v>3135827</v>
      </c>
      <c r="Y16" s="39">
        <f t="shared" si="2"/>
        <v>7136836.0999999996</v>
      </c>
      <c r="Z16" s="61">
        <f t="shared" ref="Z16:AE16" si="3">SUM(Z11:Z15)</f>
        <v>25035</v>
      </c>
      <c r="AA16" s="82">
        <f t="shared" si="3"/>
        <v>58939.75</v>
      </c>
      <c r="AB16" s="61">
        <f t="shared" si="3"/>
        <v>-3135829</v>
      </c>
      <c r="AC16" s="82">
        <f t="shared" si="3"/>
        <v>-7121511</v>
      </c>
      <c r="AD16" s="61">
        <f t="shared" si="3"/>
        <v>-454</v>
      </c>
      <c r="AE16" s="82">
        <f t="shared" si="3"/>
        <v>-869.44</v>
      </c>
      <c r="AF16" s="61">
        <f t="shared" ref="AF16:AK16" si="4">SUM(AF11:AF15)</f>
        <v>0</v>
      </c>
      <c r="AG16" s="82">
        <f t="shared" si="4"/>
        <v>100000</v>
      </c>
      <c r="AH16" s="61">
        <f t="shared" si="4"/>
        <v>0</v>
      </c>
      <c r="AI16" s="82">
        <f t="shared" si="4"/>
        <v>0</v>
      </c>
      <c r="AJ16" s="61">
        <f t="shared" si="4"/>
        <v>0</v>
      </c>
      <c r="AK16" s="82">
        <f t="shared" si="4"/>
        <v>0</v>
      </c>
      <c r="AL16" s="61">
        <f>SUM(AL11:AL15)</f>
        <v>0</v>
      </c>
      <c r="AM16" s="82">
        <f>SUM(AM11:AM15)</f>
        <v>0</v>
      </c>
      <c r="AN16" s="61">
        <f>SUM(AN11:AN15)</f>
        <v>0</v>
      </c>
      <c r="AO16" s="82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5">SUM(F19,H19,J19,L19,N19,P19,R19,T19,V19,X19,Z19,AB19,AD19,AF19,AH19,AJ19,AL19,AN19)</f>
        <v>-46710656</v>
      </c>
      <c r="E19" s="38">
        <f t="shared" si="5"/>
        <v>-103773340.03999996</v>
      </c>
      <c r="F19" s="64">
        <f>'TIE-OUT'!F19+RECLASS!F19</f>
        <v>0</v>
      </c>
      <c r="G19" s="68">
        <f>'TIE-OUT'!G19+RECLASS!G19</f>
        <v>0</v>
      </c>
      <c r="H19" s="127">
        <f>+Actuals!E129</f>
        <v>-47340701</v>
      </c>
      <c r="I19" s="128">
        <f>+Actuals!F129</f>
        <v>-104702378.75999999</v>
      </c>
      <c r="J19" s="127">
        <f>+Actuals!G129</f>
        <v>524002</v>
      </c>
      <c r="K19" s="128">
        <f>+Actuals!H129</f>
        <v>986906.3</v>
      </c>
      <c r="L19" s="127">
        <f>+Actuals!I129</f>
        <v>-373578</v>
      </c>
      <c r="M19" s="128">
        <f>+Actuals!J129</f>
        <v>-471056.82</v>
      </c>
      <c r="N19" s="127">
        <f>+Actuals!K129</f>
        <v>13233</v>
      </c>
      <c r="O19" s="128">
        <f>+Actuals!L129</f>
        <v>17164</v>
      </c>
      <c r="P19" s="127">
        <f>+Actuals!M129</f>
        <v>-894</v>
      </c>
      <c r="Q19" s="128">
        <f>+Actuals!N129</f>
        <v>457324.54</v>
      </c>
      <c r="R19" s="127">
        <f>+Actuals!O129</f>
        <v>-20265</v>
      </c>
      <c r="S19" s="128">
        <f>+Actuals!P129</f>
        <v>-43791.16</v>
      </c>
      <c r="T19" s="127">
        <f>+Actuals!Q129</f>
        <v>0</v>
      </c>
      <c r="U19" s="128">
        <f>+Actuals!R129</f>
        <v>1300.429999999993</v>
      </c>
      <c r="V19" s="127">
        <f>+Actuals!S129</f>
        <v>-15000</v>
      </c>
      <c r="W19" s="128">
        <f>+Actuals!T129</f>
        <v>-19842.88</v>
      </c>
      <c r="X19" s="127">
        <f>+Actuals!U169</f>
        <v>2203</v>
      </c>
      <c r="Y19" s="128">
        <f>+Actuals!V169</f>
        <v>1729.33</v>
      </c>
      <c r="Z19" s="127">
        <f>+Actuals!W169</f>
        <v>0</v>
      </c>
      <c r="AA19" s="128">
        <f>+Actuals!X169</f>
        <v>0.28999999999999998</v>
      </c>
      <c r="AB19" s="127">
        <f>+Actuals!Y169</f>
        <v>-140</v>
      </c>
      <c r="AC19" s="128">
        <f>+Actuals!Z169</f>
        <v>-1588.04</v>
      </c>
      <c r="AD19" s="127">
        <f>+Actuals!AA169</f>
        <v>484</v>
      </c>
      <c r="AE19" s="128">
        <f>+Actuals!AB169</f>
        <v>892.73</v>
      </c>
      <c r="AF19" s="127">
        <f>+Actuals!AC169</f>
        <v>0</v>
      </c>
      <c r="AG19" s="128">
        <f>+Actuals!AD169</f>
        <v>0</v>
      </c>
      <c r="AH19" s="127">
        <f>+Actuals!AE169</f>
        <v>0</v>
      </c>
      <c r="AI19" s="128">
        <f>+Actuals!AF169</f>
        <v>0</v>
      </c>
      <c r="AJ19" s="127">
        <v>0</v>
      </c>
      <c r="AK19" s="128">
        <v>0</v>
      </c>
      <c r="AL19" s="127">
        <v>0</v>
      </c>
      <c r="AM19" s="128">
        <v>0</v>
      </c>
      <c r="AN19" s="127">
        <v>500000</v>
      </c>
      <c r="AO19" s="128"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5"/>
        <v>0</v>
      </c>
      <c r="E20" s="38">
        <f t="shared" si="5"/>
        <v>-874736.80999999994</v>
      </c>
      <c r="F20" s="60">
        <f>'TIE-OUT'!F20+RECLASS!F20</f>
        <v>0</v>
      </c>
      <c r="G20" s="38">
        <f>'TIE-OUT'!G20+RECLASS!G20</f>
        <v>-874736.80999999994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7">
        <f>+Actuals!H130</f>
        <v>0</v>
      </c>
      <c r="L20" s="127">
        <f>+Actuals!I130</f>
        <v>0</v>
      </c>
      <c r="M20" s="128">
        <f>+Actuals!J130</f>
        <v>0</v>
      </c>
      <c r="N20" s="127">
        <f>+Actuals!K130</f>
        <v>0</v>
      </c>
      <c r="O20" s="128">
        <f>+Actuals!L130</f>
        <v>0</v>
      </c>
      <c r="P20" s="127">
        <f>+Actuals!M130</f>
        <v>0</v>
      </c>
      <c r="Q20" s="128">
        <f>+Actuals!N130</f>
        <v>0</v>
      </c>
      <c r="R20" s="127">
        <f>+Actuals!O130</f>
        <v>0</v>
      </c>
      <c r="S20" s="128">
        <f>+Actuals!P130</f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  <c r="AF20" s="127">
        <f>+Actuals!AC170</f>
        <v>0</v>
      </c>
      <c r="AG20" s="128">
        <f>+Actuals!AD170</f>
        <v>0</v>
      </c>
      <c r="AH20" s="127">
        <f>+Actuals!AE170</f>
        <v>0</v>
      </c>
      <c r="AI20" s="128">
        <f>+Actuals!AF170</f>
        <v>0</v>
      </c>
      <c r="AJ20" s="127">
        <f>+Actuals!AG170</f>
        <v>0</v>
      </c>
      <c r="AK20" s="128">
        <f>+Actuals!AH170</f>
        <v>0</v>
      </c>
      <c r="AL20" s="127">
        <f>+Actuals!AI170</f>
        <v>0</v>
      </c>
      <c r="AM20" s="128">
        <f>+Actuals!AJ170</f>
        <v>0</v>
      </c>
      <c r="AN20" s="127">
        <f>+Actuals!AK170</f>
        <v>0</v>
      </c>
      <c r="AO20" s="128">
        <f>+Actuals!AL170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5"/>
        <v>-18815314</v>
      </c>
      <c r="E21" s="38">
        <f t="shared" si="5"/>
        <v>-42663071</v>
      </c>
      <c r="F21" s="60">
        <f>'TIE-OUT'!F21+RECLASS!F21</f>
        <v>0</v>
      </c>
      <c r="G21" s="38">
        <f>'TIE-OUT'!G21+RECLASS!G21</f>
        <v>0</v>
      </c>
      <c r="H21" s="127">
        <f>+Actuals!E131</f>
        <v>-18815314</v>
      </c>
      <c r="I21" s="128">
        <f>+Actuals!F131</f>
        <v>-42663071</v>
      </c>
      <c r="J21" s="127">
        <f>+Actuals!G131</f>
        <v>489499</v>
      </c>
      <c r="K21" s="128">
        <f>+Actuals!H131</f>
        <v>1090332</v>
      </c>
      <c r="L21" s="127">
        <f>+Actuals!I131</f>
        <v>0</v>
      </c>
      <c r="M21" s="128">
        <f>+Actuals!J131</f>
        <v>0</v>
      </c>
      <c r="N21" s="127">
        <f>+Actuals!K131</f>
        <v>-46369</v>
      </c>
      <c r="O21" s="128">
        <f>+Actuals!L131</f>
        <v>-107582</v>
      </c>
      <c r="P21" s="127">
        <f>+Actuals!M131</f>
        <v>0</v>
      </c>
      <c r="Q21" s="128">
        <f>+Actuals!N131</f>
        <v>0</v>
      </c>
      <c r="R21" s="127">
        <f>+Actuals!O131</f>
        <v>-1671369</v>
      </c>
      <c r="S21" s="128">
        <f>+Actuals!P131</f>
        <v>-3786699</v>
      </c>
      <c r="T21" s="127">
        <f>+Actuals!Q131</f>
        <v>-1671369</v>
      </c>
      <c r="U21" s="128">
        <f>+Actuals!R131</f>
        <v>-3786699</v>
      </c>
      <c r="V21" s="127">
        <f>+Actuals!S131</f>
        <v>2899608</v>
      </c>
      <c r="W21" s="128">
        <f>+Actuals!T131</f>
        <v>6590648</v>
      </c>
      <c r="X21" s="127">
        <f>+Actuals!U171</f>
        <v>-2899608</v>
      </c>
      <c r="Y21" s="128">
        <f>+Actuals!V171</f>
        <v>-6590648</v>
      </c>
      <c r="Z21" s="127">
        <f>+Actuals!W171</f>
        <v>0</v>
      </c>
      <c r="AA21" s="128">
        <f>+Actuals!X171</f>
        <v>0</v>
      </c>
      <c r="AB21" s="127">
        <f>+Actuals!Y171</f>
        <v>2899608</v>
      </c>
      <c r="AC21" s="128">
        <f>+Actuals!Z171</f>
        <v>6590648</v>
      </c>
      <c r="AD21" s="127">
        <f>+Actuals!AA171</f>
        <v>0</v>
      </c>
      <c r="AE21" s="128">
        <f>+Actuals!AB171</f>
        <v>0</v>
      </c>
      <c r="AF21" s="127">
        <f>+Actuals!AC171</f>
        <v>0</v>
      </c>
      <c r="AG21" s="128">
        <f>+Actuals!AD171</f>
        <v>0</v>
      </c>
      <c r="AH21" s="127">
        <f>+Actuals!AE171</f>
        <v>0</v>
      </c>
      <c r="AI21" s="128">
        <f>+Actuals!AF171</f>
        <v>0</v>
      </c>
      <c r="AJ21" s="127">
        <f>+Actuals!AG171</f>
        <v>0</v>
      </c>
      <c r="AK21" s="128">
        <f>+Actuals!AH171</f>
        <v>0</v>
      </c>
      <c r="AL21" s="127">
        <f>+Actuals!AI171</f>
        <v>0</v>
      </c>
      <c r="AM21" s="128">
        <f>+Actuals!AJ171</f>
        <v>0</v>
      </c>
      <c r="AN21" s="127">
        <f>+Actuals!AK171</f>
        <v>0</v>
      </c>
      <c r="AO21" s="128">
        <f>+Actuals!AL171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+Actuals!K132</f>
        <v>0</v>
      </c>
      <c r="O22" s="128">
        <f>+Actuals!L132</f>
        <v>0</v>
      </c>
      <c r="P22" s="127">
        <f>+Actuals!M132</f>
        <v>0</v>
      </c>
      <c r="Q22" s="128">
        <f>+Actuals!N132</f>
        <v>0</v>
      </c>
      <c r="R22" s="127">
        <f>+Actuals!O132</f>
        <v>0</v>
      </c>
      <c r="S22" s="128">
        <f>+Actuals!P132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  <c r="AF22" s="127">
        <f>+Actuals!AC172</f>
        <v>0</v>
      </c>
      <c r="AG22" s="128">
        <f>+Actuals!AD172</f>
        <v>0</v>
      </c>
      <c r="AH22" s="127">
        <f>+Actuals!AE172</f>
        <v>0</v>
      </c>
      <c r="AI22" s="128">
        <f>+Actuals!AF172</f>
        <v>0</v>
      </c>
      <c r="AJ22" s="127">
        <f>+Actuals!AG172</f>
        <v>0</v>
      </c>
      <c r="AK22" s="128">
        <f>+Actuals!AH172</f>
        <v>0</v>
      </c>
      <c r="AL22" s="127">
        <f>+Actuals!AI172</f>
        <v>0</v>
      </c>
      <c r="AM22" s="128">
        <f>+Actuals!AJ172</f>
        <v>0</v>
      </c>
      <c r="AN22" s="127">
        <f>+Actuals!AK172</f>
        <v>0</v>
      </c>
      <c r="AO22" s="128">
        <f>+Actuals!AL172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5"/>
        <v>353716</v>
      </c>
      <c r="E23" s="38">
        <f t="shared" si="5"/>
        <v>575279.29200000002</v>
      </c>
      <c r="F23" s="81">
        <f>'TIE-OUT'!F23+RECLASS!F23</f>
        <v>0</v>
      </c>
      <c r="G23" s="82">
        <f>'TIE-OUT'!G23+RECLASS!G23</f>
        <v>0</v>
      </c>
      <c r="H23" s="127">
        <f>+Actuals!E133</f>
        <v>540180</v>
      </c>
      <c r="I23" s="129">
        <f>+Actuals!F133</f>
        <v>1224047.8799999999</v>
      </c>
      <c r="J23" s="127">
        <f>+Actuals!G133</f>
        <v>18158</v>
      </c>
      <c r="K23" s="129">
        <f>+Actuals!H133</f>
        <v>41146.03</v>
      </c>
      <c r="L23" s="127">
        <f>+Actuals!I133</f>
        <v>-5231</v>
      </c>
      <c r="M23" s="129">
        <f>+Actuals!J133</f>
        <v>-11853.45</v>
      </c>
      <c r="N23" s="127">
        <f>+Actuals!K133</f>
        <v>-258</v>
      </c>
      <c r="O23" s="129">
        <f>+Actuals!L133</f>
        <v>-584.62800000000004</v>
      </c>
      <c r="P23" s="127">
        <f>+Actuals!M133</f>
        <v>0</v>
      </c>
      <c r="Q23" s="129">
        <f>+Actuals!N133</f>
        <v>0</v>
      </c>
      <c r="R23" s="127">
        <f>+Actuals!O133</f>
        <v>229</v>
      </c>
      <c r="S23" s="129">
        <f>+Actuals!P133</f>
        <v>518.91399999999999</v>
      </c>
      <c r="T23" s="127">
        <f>+Actuals!Q133</f>
        <v>17</v>
      </c>
      <c r="U23" s="129">
        <f>+Actuals!R133</f>
        <v>38.521999999999998</v>
      </c>
      <c r="V23" s="127">
        <f>+Actuals!S133</f>
        <v>-552</v>
      </c>
      <c r="W23" s="129">
        <f>+Actuals!T133</f>
        <v>-1250.8320000000001</v>
      </c>
      <c r="X23" s="127">
        <f>+Actuals!U173</f>
        <v>230</v>
      </c>
      <c r="Y23" s="128">
        <f>+Actuals!V173</f>
        <v>521.17999999999995</v>
      </c>
      <c r="Z23" s="127">
        <f>+Actuals!W173</f>
        <v>0</v>
      </c>
      <c r="AA23" s="129">
        <f>+Actuals!X173</f>
        <v>0</v>
      </c>
      <c r="AB23" s="127">
        <f>+Actuals!Y173</f>
        <v>25</v>
      </c>
      <c r="AC23" s="129">
        <f>+Actuals!Z173</f>
        <v>56.65</v>
      </c>
      <c r="AD23" s="127">
        <f>+Actuals!AA173</f>
        <v>0</v>
      </c>
      <c r="AE23" s="129">
        <f>+Actuals!AB173</f>
        <v>0</v>
      </c>
      <c r="AF23" s="127">
        <f>+Actuals!AC173</f>
        <v>0</v>
      </c>
      <c r="AG23" s="129">
        <f>+Actuals!AD173</f>
        <v>0</v>
      </c>
      <c r="AH23" s="127">
        <f>+Actuals!AE173</f>
        <v>601</v>
      </c>
      <c r="AI23" s="129">
        <f>+Actuals!AF173</f>
        <v>1361.866</v>
      </c>
      <c r="AJ23" s="127">
        <v>-199683</v>
      </c>
      <c r="AK23" s="129">
        <v>-452482</v>
      </c>
      <c r="AL23" s="127">
        <v>0</v>
      </c>
      <c r="AM23" s="129">
        <v>0</v>
      </c>
      <c r="AN23" s="127">
        <v>0</v>
      </c>
      <c r="AO23" s="129">
        <v>-226240.84</v>
      </c>
    </row>
    <row r="24" spans="1:41" x14ac:dyDescent="0.2">
      <c r="A24" s="9"/>
      <c r="B24" s="7" t="s">
        <v>35</v>
      </c>
      <c r="C24" s="6"/>
      <c r="D24" s="61">
        <f t="shared" ref="D24:I24" si="6">SUM(D19:D23)</f>
        <v>-65172254</v>
      </c>
      <c r="E24" s="39">
        <f t="shared" si="6"/>
        <v>-146735868.55799997</v>
      </c>
      <c r="F24" s="61">
        <f t="shared" si="6"/>
        <v>0</v>
      </c>
      <c r="G24" s="39">
        <f t="shared" si="6"/>
        <v>-874736.80999999994</v>
      </c>
      <c r="H24" s="61">
        <f t="shared" si="6"/>
        <v>-65615835</v>
      </c>
      <c r="I24" s="39">
        <f t="shared" si="6"/>
        <v>-146141401.88</v>
      </c>
      <c r="J24" s="61">
        <f t="shared" ref="J24:Y24" si="7">SUM(J19:J23)</f>
        <v>1031659</v>
      </c>
      <c r="K24" s="39">
        <f t="shared" si="7"/>
        <v>2118384.33</v>
      </c>
      <c r="L24" s="61">
        <f t="shared" si="7"/>
        <v>-378809</v>
      </c>
      <c r="M24" s="39">
        <f t="shared" si="7"/>
        <v>-482910.27</v>
      </c>
      <c r="N24" s="61">
        <f t="shared" si="7"/>
        <v>-33394</v>
      </c>
      <c r="O24" s="39">
        <f t="shared" si="7"/>
        <v>-91002.627999999997</v>
      </c>
      <c r="P24" s="61">
        <f t="shared" si="7"/>
        <v>-894</v>
      </c>
      <c r="Q24" s="39">
        <f t="shared" si="7"/>
        <v>457324.54</v>
      </c>
      <c r="R24" s="61">
        <f t="shared" si="7"/>
        <v>-1691405</v>
      </c>
      <c r="S24" s="39">
        <f t="shared" si="7"/>
        <v>-3829971.2460000003</v>
      </c>
      <c r="T24" s="61">
        <f t="shared" si="7"/>
        <v>-1671352</v>
      </c>
      <c r="U24" s="39">
        <f t="shared" si="7"/>
        <v>-3785360.048</v>
      </c>
      <c r="V24" s="61">
        <f t="shared" si="7"/>
        <v>2884056</v>
      </c>
      <c r="W24" s="39">
        <f t="shared" si="7"/>
        <v>6569554.2879999997</v>
      </c>
      <c r="X24" s="61">
        <f t="shared" si="7"/>
        <v>-2897175</v>
      </c>
      <c r="Y24" s="39">
        <f t="shared" si="7"/>
        <v>-6588397.4900000002</v>
      </c>
      <c r="Z24" s="61">
        <f t="shared" ref="Z24:AE24" si="8">SUM(Z19:Z23)</f>
        <v>0</v>
      </c>
      <c r="AA24" s="39">
        <f t="shared" si="8"/>
        <v>0.28999999999999998</v>
      </c>
      <c r="AB24" s="61">
        <f t="shared" si="8"/>
        <v>2899493</v>
      </c>
      <c r="AC24" s="39">
        <f t="shared" si="8"/>
        <v>6589116.6100000003</v>
      </c>
      <c r="AD24" s="61">
        <f t="shared" si="8"/>
        <v>484</v>
      </c>
      <c r="AE24" s="39">
        <f t="shared" si="8"/>
        <v>892.73</v>
      </c>
      <c r="AF24" s="61">
        <f t="shared" ref="AF24:AK24" si="9">SUM(AF19:AF23)</f>
        <v>0</v>
      </c>
      <c r="AG24" s="39">
        <f t="shared" si="9"/>
        <v>0</v>
      </c>
      <c r="AH24" s="61">
        <f t="shared" si="9"/>
        <v>601</v>
      </c>
      <c r="AI24" s="39">
        <f t="shared" si="9"/>
        <v>1361.866</v>
      </c>
      <c r="AJ24" s="61">
        <f t="shared" si="9"/>
        <v>-199683</v>
      </c>
      <c r="AK24" s="39">
        <f t="shared" si="9"/>
        <v>-452482</v>
      </c>
      <c r="AL24" s="61">
        <f>SUM(AL19:AL23)</f>
        <v>0</v>
      </c>
      <c r="AM24" s="39">
        <f>SUM(AM19:AM23)</f>
        <v>0</v>
      </c>
      <c r="AN24" s="61">
        <f>SUM(AN19:AN23)</f>
        <v>500000</v>
      </c>
      <c r="AO24" s="39">
        <f>SUM(AO19:AO23)</f>
        <v>-226240.84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8901</v>
      </c>
      <c r="E27" s="38">
        <f>SUM(G27,I27,K27,M27,O27,Q27,S27,U27,W27,Y27,AA27,AC27,AE27,AG27,AI27,AK27,AM27,AO27)</f>
        <v>19849.23</v>
      </c>
      <c r="F27" s="64">
        <f>'TIE-OUT'!F27+RECLASS!F27</f>
        <v>0</v>
      </c>
      <c r="G27" s="68">
        <f>'TIE-OUT'!G27+RECLASS!G27</f>
        <v>0</v>
      </c>
      <c r="H27" s="127">
        <f>+Actuals!E134</f>
        <v>8901</v>
      </c>
      <c r="I27" s="128">
        <f>+Actuals!F134</f>
        <v>19849.23</v>
      </c>
      <c r="J27" s="127">
        <f>+Actuals!G134</f>
        <v>0</v>
      </c>
      <c r="K27" s="128">
        <f>+Actuals!H134</f>
        <v>0</v>
      </c>
      <c r="L27" s="127">
        <f>+Actuals!I134</f>
        <v>0</v>
      </c>
      <c r="M27" s="128">
        <f>+Actuals!J134</f>
        <v>0</v>
      </c>
      <c r="N27" s="127">
        <f>+Actuals!K134</f>
        <v>0</v>
      </c>
      <c r="O27" s="128">
        <f>+Actuals!L134</f>
        <v>0</v>
      </c>
      <c r="P27" s="127">
        <f>+Actuals!M134</f>
        <v>0</v>
      </c>
      <c r="Q27" s="128">
        <f>+Actuals!N134</f>
        <v>0</v>
      </c>
      <c r="R27" s="127">
        <f>+Actuals!O134</f>
        <v>0</v>
      </c>
      <c r="S27" s="128">
        <f>+Actuals!P134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  <c r="AF27" s="127">
        <f>+Actuals!AC174</f>
        <v>0</v>
      </c>
      <c r="AG27" s="128">
        <f>+Actuals!AD174</f>
        <v>0</v>
      </c>
      <c r="AH27" s="127">
        <f>+Actuals!AE174</f>
        <v>0</v>
      </c>
      <c r="AI27" s="128">
        <f>+Actuals!AF174</f>
        <v>0</v>
      </c>
      <c r="AJ27" s="127">
        <f>+Actuals!AG174</f>
        <v>0</v>
      </c>
      <c r="AK27" s="128">
        <f>+Actuals!AH174</f>
        <v>0</v>
      </c>
      <c r="AL27" s="127">
        <f>+Actuals!AI174</f>
        <v>0</v>
      </c>
      <c r="AM27" s="128">
        <f>+Actuals!AJ174</f>
        <v>0</v>
      </c>
      <c r="AN27" s="127">
        <f>+Actuals!AK174</f>
        <v>0</v>
      </c>
      <c r="AO27" s="128">
        <f>+Actuals!AL174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-18600</v>
      </c>
      <c r="E28" s="38">
        <f>SUM(G28,I28,K28,M28,O28,Q28,S28,U28,W28,Y28,AA28,AC28,AE28,AG28,AI28,AK28,AM28,AO28)</f>
        <v>-42180.15</v>
      </c>
      <c r="F28" s="81">
        <f>'TIE-OUT'!F28+RECLASS!F28</f>
        <v>0</v>
      </c>
      <c r="G28" s="82">
        <f>'TIE-OUT'!G28+RECLASS!G28</f>
        <v>0</v>
      </c>
      <c r="H28" s="127">
        <f>+Actuals!E135</f>
        <v>-18600</v>
      </c>
      <c r="I28" s="128">
        <f>+Actuals!F135</f>
        <v>-42180.15</v>
      </c>
      <c r="J28" s="127">
        <f>+Actuals!G135</f>
        <v>0</v>
      </c>
      <c r="K28" s="128">
        <f>+Actuals!H135</f>
        <v>0</v>
      </c>
      <c r="L28" s="127">
        <f>+Actuals!I135</f>
        <v>0</v>
      </c>
      <c r="M28" s="128">
        <f>+Actuals!J135</f>
        <v>0</v>
      </c>
      <c r="N28" s="127">
        <f>+Actuals!K135</f>
        <v>0</v>
      </c>
      <c r="O28" s="128">
        <f>+Actuals!L135</f>
        <v>0</v>
      </c>
      <c r="P28" s="127">
        <f>+Actuals!M135</f>
        <v>0</v>
      </c>
      <c r="Q28" s="128">
        <f>+Actuals!N135</f>
        <v>0</v>
      </c>
      <c r="R28" s="127">
        <f>+Actuals!O135</f>
        <v>0</v>
      </c>
      <c r="S28" s="128">
        <f>+Actuals!P135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  <c r="AF28" s="127">
        <f>+Actuals!AC175</f>
        <v>0</v>
      </c>
      <c r="AG28" s="128">
        <f>+Actuals!AD175</f>
        <v>0</v>
      </c>
      <c r="AH28" s="127">
        <f>+Actuals!AE175</f>
        <v>0</v>
      </c>
      <c r="AI28" s="128">
        <f>+Actuals!AF175</f>
        <v>0</v>
      </c>
      <c r="AJ28" s="127">
        <f>+Actuals!AG175</f>
        <v>0</v>
      </c>
      <c r="AK28" s="128">
        <f>+Actuals!AH175</f>
        <v>0</v>
      </c>
      <c r="AL28" s="127">
        <f>+Actuals!AI175</f>
        <v>0</v>
      </c>
      <c r="AM28" s="128">
        <f>+Actuals!AJ175</f>
        <v>0</v>
      </c>
      <c r="AN28" s="127">
        <f>+Actuals!AK175</f>
        <v>0</v>
      </c>
      <c r="AO28" s="128">
        <f>+Actuals!AL175</f>
        <v>0</v>
      </c>
    </row>
    <row r="29" spans="1:41" x14ac:dyDescent="0.2">
      <c r="A29" s="9"/>
      <c r="B29" s="7" t="s">
        <v>39</v>
      </c>
      <c r="C29" s="18"/>
      <c r="D29" s="61">
        <f t="shared" ref="D29:I29" si="10">SUM(D27:D28)</f>
        <v>-9699</v>
      </c>
      <c r="E29" s="39">
        <f t="shared" si="10"/>
        <v>-22330.920000000002</v>
      </c>
      <c r="F29" s="61">
        <f t="shared" si="10"/>
        <v>0</v>
      </c>
      <c r="G29" s="39">
        <f t="shared" si="10"/>
        <v>0</v>
      </c>
      <c r="H29" s="61">
        <f t="shared" si="10"/>
        <v>-9699</v>
      </c>
      <c r="I29" s="39">
        <f t="shared" si="10"/>
        <v>-22330.920000000002</v>
      </c>
      <c r="J29" s="61">
        <f t="shared" ref="J29:Y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ref="Z29:AE29" si="12">SUM(Z27:Z28)</f>
        <v>0</v>
      </c>
      <c r="AA29" s="39">
        <f t="shared" si="12"/>
        <v>0</v>
      </c>
      <c r="AB29" s="61">
        <f t="shared" si="12"/>
        <v>0</v>
      </c>
      <c r="AC29" s="39">
        <f t="shared" si="12"/>
        <v>0</v>
      </c>
      <c r="AD29" s="61">
        <f t="shared" si="12"/>
        <v>0</v>
      </c>
      <c r="AE29" s="39">
        <f t="shared" si="12"/>
        <v>0</v>
      </c>
      <c r="AF29" s="61">
        <f t="shared" ref="AF29:AK29" si="13">SUM(AF27:AF28)</f>
        <v>0</v>
      </c>
      <c r="AG29" s="39">
        <f t="shared" si="13"/>
        <v>0</v>
      </c>
      <c r="AH29" s="61">
        <f t="shared" si="13"/>
        <v>0</v>
      </c>
      <c r="AI29" s="39">
        <f t="shared" si="13"/>
        <v>0</v>
      </c>
      <c r="AJ29" s="61">
        <f t="shared" si="13"/>
        <v>0</v>
      </c>
      <c r="AK29" s="39">
        <f t="shared" si="13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4">SUM(F32,H32,J32,L32,N32,P32,R32,T32,V32,X32,Z32,AB32,AD32,AF32,AH32,AJ32,AL32,AN32)</f>
        <v>-35640</v>
      </c>
      <c r="E32" s="38">
        <f t="shared" si="14"/>
        <v>-81279.909999999742</v>
      </c>
      <c r="F32" s="64">
        <f>'TIE-OUT'!F32+RECLASS!F32</f>
        <v>0</v>
      </c>
      <c r="G32" s="68">
        <f>'TIE-OUT'!G32+RECLASS!G32</f>
        <v>0</v>
      </c>
      <c r="H32" s="127">
        <f>+Actuals!E136</f>
        <v>105792</v>
      </c>
      <c r="I32" s="128">
        <f>+Actuals!F136</f>
        <v>239724.67</v>
      </c>
      <c r="J32" s="127">
        <f>+Actuals!G136</f>
        <v>-138715</v>
      </c>
      <c r="K32" s="128">
        <f>+Actuals!H136</f>
        <v>-310897.61</v>
      </c>
      <c r="L32" s="127">
        <f>+Actuals!I136</f>
        <v>21442</v>
      </c>
      <c r="M32" s="128">
        <f>+Actuals!J136</f>
        <v>47729.89</v>
      </c>
      <c r="N32" s="127">
        <f>+Actuals!K136</f>
        <v>-41689</v>
      </c>
      <c r="O32" s="128">
        <f>+Actuals!L136</f>
        <v>-62514.272000000004</v>
      </c>
      <c r="P32" s="127">
        <f>+Actuals!M136</f>
        <v>-20905</v>
      </c>
      <c r="Q32" s="128">
        <f>+Actuals!N136</f>
        <v>-90770.559999999998</v>
      </c>
      <c r="R32" s="127">
        <f>+Actuals!O136</f>
        <v>29777</v>
      </c>
      <c r="S32" s="128">
        <f>+Actuals!P136</f>
        <v>79779.13</v>
      </c>
      <c r="T32" s="127">
        <f>+Actuals!Q136</f>
        <v>-213605</v>
      </c>
      <c r="U32" s="128">
        <f>+Actuals!R136</f>
        <v>-484548.54</v>
      </c>
      <c r="V32" s="127">
        <f>+Actuals!S136</f>
        <v>-2018</v>
      </c>
      <c r="W32" s="128">
        <f>+Actuals!T136</f>
        <v>-4572.7879999999996</v>
      </c>
      <c r="X32" s="127">
        <f>+Actuals!U176</f>
        <v>-10992</v>
      </c>
      <c r="Y32" s="128">
        <f>+Actuals!V176</f>
        <v>-24907.871999999999</v>
      </c>
      <c r="Z32" s="127">
        <f>+Actuals!W176</f>
        <v>31538</v>
      </c>
      <c r="AA32" s="128">
        <f>+Actuals!X176</f>
        <v>68034.53</v>
      </c>
      <c r="AB32" s="127">
        <f>+Actuals!Y176</f>
        <v>4714</v>
      </c>
      <c r="AC32" s="128">
        <f>+Actuals!Z176</f>
        <v>10681.924000000001</v>
      </c>
      <c r="AD32" s="127">
        <f>+Actuals!AA176</f>
        <v>-30</v>
      </c>
      <c r="AE32" s="128">
        <f>+Actuals!AB176</f>
        <v>-67.98</v>
      </c>
      <c r="AF32" s="127">
        <f>+Actuals!AC176</f>
        <v>0</v>
      </c>
      <c r="AG32" s="128">
        <f>+Actuals!AD176</f>
        <v>0</v>
      </c>
      <c r="AH32" s="127">
        <f>+Actuals!AE176</f>
        <v>-632</v>
      </c>
      <c r="AI32" s="128">
        <f>+Actuals!AF176</f>
        <v>-1432.1120000000001</v>
      </c>
      <c r="AJ32" s="127">
        <v>199683</v>
      </c>
      <c r="AK32" s="128">
        <v>452481.68</v>
      </c>
      <c r="AL32" s="127">
        <v>0</v>
      </c>
      <c r="AM32" s="128">
        <v>0</v>
      </c>
      <c r="AN32" s="127">
        <v>0</v>
      </c>
      <c r="AO32" s="128"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4"/>
        <v>-19237</v>
      </c>
      <c r="E33" s="38">
        <f t="shared" si="14"/>
        <v>-44195.33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0</v>
      </c>
      <c r="K33" s="128">
        <f>+Actuals!H137</f>
        <v>0</v>
      </c>
      <c r="L33" s="127">
        <f>+Actuals!I137</f>
        <v>0</v>
      </c>
      <c r="M33" s="128">
        <f>+Actuals!J137</f>
        <v>0</v>
      </c>
      <c r="N33" s="127">
        <f>+Actuals!K137</f>
        <v>0</v>
      </c>
      <c r="O33" s="128">
        <f>+Actuals!L137</f>
        <v>0</v>
      </c>
      <c r="P33" s="127">
        <f>+Actuals!M137</f>
        <v>0</v>
      </c>
      <c r="Q33" s="128">
        <f>+Actuals!N137</f>
        <v>0</v>
      </c>
      <c r="R33" s="127">
        <f>+Actuals!O137</f>
        <v>-1908</v>
      </c>
      <c r="S33" s="128">
        <f>+Actuals!P137</f>
        <v>-5784.87</v>
      </c>
      <c r="T33" s="127">
        <f>+Actuals!Q137</f>
        <v>0</v>
      </c>
      <c r="U33" s="128">
        <f>+Actuals!R137</f>
        <v>0</v>
      </c>
      <c r="V33" s="127">
        <f>+Actuals!S137</f>
        <v>0</v>
      </c>
      <c r="W33" s="128">
        <f>+Actuals!T137</f>
        <v>0</v>
      </c>
      <c r="X33" s="127">
        <f>+Actuals!U177</f>
        <v>-15040</v>
      </c>
      <c r="Y33" s="128">
        <f>+Actuals!V177</f>
        <v>-33403.839999999997</v>
      </c>
      <c r="Z33" s="127">
        <f>+Actuals!W177</f>
        <v>0</v>
      </c>
      <c r="AA33" s="128">
        <f>+Actuals!X177</f>
        <v>0</v>
      </c>
      <c r="AB33" s="127">
        <f>+Actuals!Y177</f>
        <v>-2283</v>
      </c>
      <c r="AC33" s="128">
        <f>+Actuals!Z177</f>
        <v>-5006.62</v>
      </c>
      <c r="AD33" s="127">
        <f>+Actuals!AA177</f>
        <v>0</v>
      </c>
      <c r="AE33" s="128">
        <f>+Actuals!AB177</f>
        <v>0</v>
      </c>
      <c r="AF33" s="127">
        <f>+Actuals!AC177</f>
        <v>-6</v>
      </c>
      <c r="AG33" s="128">
        <f>+Actuals!AD177</f>
        <v>0</v>
      </c>
      <c r="AH33" s="127">
        <f>+Actuals!AE177</f>
        <v>0</v>
      </c>
      <c r="AI33" s="128">
        <f>+Actuals!AF177</f>
        <v>0</v>
      </c>
      <c r="AJ33" s="127">
        <f>+Actuals!AG177</f>
        <v>0</v>
      </c>
      <c r="AK33" s="128">
        <f>+Actuals!AH177</f>
        <v>0</v>
      </c>
      <c r="AL33" s="127">
        <f>+Actuals!AI177</f>
        <v>0</v>
      </c>
      <c r="AM33" s="128">
        <f>+Actuals!AJ177</f>
        <v>0</v>
      </c>
      <c r="AN33" s="127">
        <f>+Actuals!AK177</f>
        <v>0</v>
      </c>
      <c r="AO33" s="128">
        <f>+Actuals!AL177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4"/>
        <v>1083</v>
      </c>
      <c r="E34" s="38">
        <f t="shared" si="14"/>
        <v>2322.9499999999998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0</v>
      </c>
      <c r="K34" s="128">
        <f>+Actuals!H138</f>
        <v>0</v>
      </c>
      <c r="L34" s="127">
        <f>+Actuals!I138</f>
        <v>0</v>
      </c>
      <c r="M34" s="128">
        <f>+Actuals!J138</f>
        <v>0</v>
      </c>
      <c r="N34" s="127">
        <f>+Actuals!K138</f>
        <v>0</v>
      </c>
      <c r="O34" s="128">
        <f>+Actuals!L138</f>
        <v>0</v>
      </c>
      <c r="P34" s="127">
        <f>+Actuals!M138</f>
        <v>0</v>
      </c>
      <c r="Q34" s="128">
        <f>+Actuals!N138</f>
        <v>0</v>
      </c>
      <c r="R34" s="127">
        <f>+Actuals!O138</f>
        <v>0</v>
      </c>
      <c r="S34" s="128">
        <f>+Actuals!P138</f>
        <v>0</v>
      </c>
      <c r="T34" s="127">
        <f>+Actuals!Q138</f>
        <v>0</v>
      </c>
      <c r="U34" s="128">
        <f>+Actuals!R138</f>
        <v>0</v>
      </c>
      <c r="V34" s="127">
        <f>+Actuals!S138</f>
        <v>1041</v>
      </c>
      <c r="W34" s="128">
        <f>+Actuals!T138</f>
        <v>2311.85</v>
      </c>
      <c r="X34" s="127">
        <f>+Actuals!U178</f>
        <v>5</v>
      </c>
      <c r="Y34" s="128">
        <f>+Actuals!V178</f>
        <v>11.1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  <c r="AF34" s="127">
        <f>+Actuals!AC178</f>
        <v>6</v>
      </c>
      <c r="AG34" s="128">
        <f>+Actuals!AD178</f>
        <v>0</v>
      </c>
      <c r="AH34" s="127">
        <f>+Actuals!AE178</f>
        <v>31</v>
      </c>
      <c r="AI34" s="128">
        <f>+Actuals!AF178</f>
        <v>0</v>
      </c>
      <c r="AJ34" s="127">
        <f>+Actuals!AG178</f>
        <v>0</v>
      </c>
      <c r="AK34" s="128">
        <f>+Actuals!AH178</f>
        <v>0</v>
      </c>
      <c r="AL34" s="127">
        <f>+Actuals!AI178</f>
        <v>0</v>
      </c>
      <c r="AM34" s="128">
        <f>+Actuals!AJ178</f>
        <v>0</v>
      </c>
      <c r="AN34" s="127">
        <f>+Actuals!AK178</f>
        <v>0</v>
      </c>
      <c r="AO34" s="128">
        <f>+Actuals!AL178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4"/>
        <v>-500000</v>
      </c>
      <c r="E35" s="38">
        <f t="shared" si="14"/>
        <v>-0.02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-0.01</v>
      </c>
      <c r="J35" s="127">
        <f>+Actuals!G139</f>
        <v>0</v>
      </c>
      <c r="K35" s="128">
        <f>+Actuals!H139</f>
        <v>0</v>
      </c>
      <c r="L35" s="127">
        <f>+Actuals!I139</f>
        <v>218793</v>
      </c>
      <c r="M35" s="128">
        <f>+Actuals!J139</f>
        <v>0</v>
      </c>
      <c r="N35" s="127">
        <f>+Actuals!K139</f>
        <v>-218793</v>
      </c>
      <c r="O35" s="128">
        <f>+Actuals!L139</f>
        <v>-0.01</v>
      </c>
      <c r="P35" s="127">
        <f>+Actuals!M139</f>
        <v>0</v>
      </c>
      <c r="Q35" s="128">
        <f>+Actuals!N139</f>
        <v>0</v>
      </c>
      <c r="R35" s="127">
        <f>+Actuals!O139</f>
        <v>0</v>
      </c>
      <c r="S35" s="128">
        <f>+Actuals!P139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  <c r="AF35" s="127">
        <f>+Actuals!AC179</f>
        <v>0</v>
      </c>
      <c r="AG35" s="128">
        <f>+Actuals!AD179</f>
        <v>0</v>
      </c>
      <c r="AH35" s="127">
        <f>+Actuals!AE179</f>
        <v>0</v>
      </c>
      <c r="AI35" s="128">
        <f>+Actuals!AF179</f>
        <v>0</v>
      </c>
      <c r="AJ35" s="127">
        <f>+Actuals!AG179</f>
        <v>0</v>
      </c>
      <c r="AK35" s="128">
        <f>+Actuals!AH179</f>
        <v>0</v>
      </c>
      <c r="AL35" s="127">
        <f>+Actuals!AI179</f>
        <v>0</v>
      </c>
      <c r="AM35" s="128">
        <f>+Actuals!AJ179</f>
        <v>0</v>
      </c>
      <c r="AN35" s="127">
        <v>-500000</v>
      </c>
      <c r="AO35" s="128">
        <f>+Actuals!AL179</f>
        <v>0</v>
      </c>
    </row>
    <row r="36" spans="1:41" x14ac:dyDescent="0.2">
      <c r="A36" s="9"/>
      <c r="B36" s="7" t="s">
        <v>45</v>
      </c>
      <c r="C36" s="6"/>
      <c r="D36" s="61">
        <f t="shared" ref="D36:I36" si="15">SUM(D32:D35)</f>
        <v>-553794</v>
      </c>
      <c r="E36" s="39">
        <f t="shared" si="15"/>
        <v>-123152.30999999975</v>
      </c>
      <c r="F36" s="61">
        <f t="shared" si="15"/>
        <v>0</v>
      </c>
      <c r="G36" s="39">
        <f t="shared" si="15"/>
        <v>0</v>
      </c>
      <c r="H36" s="61">
        <f t="shared" si="15"/>
        <v>105792</v>
      </c>
      <c r="I36" s="39">
        <f t="shared" si="15"/>
        <v>239724.66</v>
      </c>
      <c r="J36" s="61">
        <f t="shared" ref="J36:Y36" si="16">SUM(J32:J35)</f>
        <v>-138715</v>
      </c>
      <c r="K36" s="39">
        <f t="shared" si="16"/>
        <v>-310897.61</v>
      </c>
      <c r="L36" s="61">
        <f t="shared" si="16"/>
        <v>240235</v>
      </c>
      <c r="M36" s="39">
        <f t="shared" si="16"/>
        <v>47729.89</v>
      </c>
      <c r="N36" s="61">
        <f t="shared" si="16"/>
        <v>-260482</v>
      </c>
      <c r="O36" s="39">
        <f t="shared" si="16"/>
        <v>-62514.282000000007</v>
      </c>
      <c r="P36" s="61">
        <f t="shared" si="16"/>
        <v>-20905</v>
      </c>
      <c r="Q36" s="39">
        <f t="shared" si="16"/>
        <v>-90770.559999999998</v>
      </c>
      <c r="R36" s="61">
        <f t="shared" si="16"/>
        <v>27869</v>
      </c>
      <c r="S36" s="39">
        <f t="shared" si="16"/>
        <v>73994.260000000009</v>
      </c>
      <c r="T36" s="61">
        <f t="shared" si="16"/>
        <v>-213605</v>
      </c>
      <c r="U36" s="39">
        <f t="shared" si="16"/>
        <v>-484548.54</v>
      </c>
      <c r="V36" s="61">
        <f t="shared" si="16"/>
        <v>-977</v>
      </c>
      <c r="W36" s="39">
        <f t="shared" si="16"/>
        <v>-2260.9379999999996</v>
      </c>
      <c r="X36" s="61">
        <f t="shared" si="16"/>
        <v>-26027</v>
      </c>
      <c r="Y36" s="39">
        <f t="shared" si="16"/>
        <v>-58300.612000000001</v>
      </c>
      <c r="Z36" s="61">
        <f t="shared" ref="Z36:AE36" si="17">SUM(Z32:Z35)</f>
        <v>31538</v>
      </c>
      <c r="AA36" s="39">
        <f t="shared" si="17"/>
        <v>68034.53</v>
      </c>
      <c r="AB36" s="61">
        <f t="shared" si="17"/>
        <v>2431</v>
      </c>
      <c r="AC36" s="39">
        <f t="shared" si="17"/>
        <v>5675.304000000001</v>
      </c>
      <c r="AD36" s="61">
        <f t="shared" si="17"/>
        <v>-30</v>
      </c>
      <c r="AE36" s="39">
        <f t="shared" si="17"/>
        <v>-67.98</v>
      </c>
      <c r="AF36" s="61">
        <f t="shared" ref="AF36:AK36" si="18">SUM(AF32:AF35)</f>
        <v>0</v>
      </c>
      <c r="AG36" s="39">
        <f t="shared" si="18"/>
        <v>0</v>
      </c>
      <c r="AH36" s="61">
        <f t="shared" si="18"/>
        <v>-601</v>
      </c>
      <c r="AI36" s="39">
        <f t="shared" si="18"/>
        <v>-1432.1120000000001</v>
      </c>
      <c r="AJ36" s="61">
        <f t="shared" si="18"/>
        <v>199683</v>
      </c>
      <c r="AK36" s="39">
        <f t="shared" si="18"/>
        <v>452481.68</v>
      </c>
      <c r="AL36" s="61">
        <f>SUM(AL32:AL35)</f>
        <v>0</v>
      </c>
      <c r="AM36" s="39">
        <f>SUM(AM32:AM35)</f>
        <v>0</v>
      </c>
      <c r="AN36" s="61">
        <f>SUM(AN32:AN35)</f>
        <v>-500000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9">SUM(F39,H39,J39,L39,N39,P39,R39,T39,V39,X39,Z39,AB39,AD39,AF39,AH39,AJ39,AL39,AN39)</f>
        <v>117311</v>
      </c>
      <c r="E39" s="38">
        <f t="shared" si="19"/>
        <v>265241.75999999995</v>
      </c>
      <c r="F39" s="64">
        <f>'TIE-OUT'!F39+RECLASS!F39</f>
        <v>0</v>
      </c>
      <c r="G39" s="68">
        <f>'TIE-OUT'!G39+RECLASS!G39</f>
        <v>0</v>
      </c>
      <c r="H39" s="127">
        <f>+Actuals!E140</f>
        <v>13907</v>
      </c>
      <c r="I39" s="128">
        <f>+Actuals!F140</f>
        <v>31513.26</v>
      </c>
      <c r="J39" s="127">
        <f>+Actuals!G140</f>
        <v>12233</v>
      </c>
      <c r="K39" s="128">
        <f>+Actuals!H140</f>
        <v>27719.98</v>
      </c>
      <c r="L39" s="127">
        <f>+Actuals!I140</f>
        <v>64882</v>
      </c>
      <c r="M39" s="128">
        <f>+Actuals!J140</f>
        <v>147022.60999999999</v>
      </c>
      <c r="N39" s="127">
        <f>+Actuals!K140</f>
        <v>4474</v>
      </c>
      <c r="O39" s="128">
        <f>+Actuals!L140</f>
        <v>10138.08</v>
      </c>
      <c r="P39" s="127">
        <f>+Actuals!M140</f>
        <v>-8948</v>
      </c>
      <c r="Q39" s="128">
        <f>+Actuals!N140</f>
        <v>-20276.16</v>
      </c>
      <c r="R39" s="127">
        <f>+Actuals!O140</f>
        <v>0</v>
      </c>
      <c r="S39" s="128">
        <f>+Actuals!P140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+Actuals!U180</f>
        <v>-15000</v>
      </c>
      <c r="Y39" s="128">
        <f>+Actuals!V180</f>
        <v>-33990</v>
      </c>
      <c r="Z39" s="127">
        <f>+Actuals!W180</f>
        <v>15000</v>
      </c>
      <c r="AA39" s="128">
        <f>+Actuals!X180</f>
        <v>33405.03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  <c r="AF39" s="127">
        <f>+Actuals!AC180</f>
        <v>0</v>
      </c>
      <c r="AG39" s="128">
        <f>+Actuals!AD180</f>
        <v>0</v>
      </c>
      <c r="AH39" s="127">
        <f>+Actuals!AE180</f>
        <v>0</v>
      </c>
      <c r="AI39" s="128">
        <f>+Actuals!AF180</f>
        <v>0</v>
      </c>
      <c r="AJ39" s="127">
        <f>+Actuals!AG180</f>
        <v>0</v>
      </c>
      <c r="AK39" s="128">
        <f>+Actuals!AH180</f>
        <v>0</v>
      </c>
      <c r="AL39" s="127">
        <f>+Actuals!AI180</f>
        <v>0</v>
      </c>
      <c r="AM39" s="128">
        <f>+Actuals!AJ180</f>
        <v>0</v>
      </c>
      <c r="AN39" s="127">
        <v>30763</v>
      </c>
      <c r="AO39" s="128">
        <v>69708.960000000006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9"/>
        <v>11</v>
      </c>
      <c r="E40" s="38">
        <f t="shared" si="19"/>
        <v>24.929999999999836</v>
      </c>
      <c r="F40" s="60">
        <f>'TIE-OUT'!F40+RECLASS!F40</f>
        <v>0</v>
      </c>
      <c r="G40" s="38">
        <f>'TIE-OUT'!G40+RECLASS!G40</f>
        <v>0</v>
      </c>
      <c r="H40" s="127">
        <f>+Actuals!E141</f>
        <v>-871</v>
      </c>
      <c r="I40" s="128">
        <f>+Actuals!F141</f>
        <v>-1973.69</v>
      </c>
      <c r="J40" s="127">
        <f>+Actuals!G141</f>
        <v>882</v>
      </c>
      <c r="K40" s="128">
        <f>+Actuals!H141</f>
        <v>1998.62</v>
      </c>
      <c r="L40" s="127">
        <f>+Actuals!I141</f>
        <v>0</v>
      </c>
      <c r="M40" s="128">
        <f>+Actuals!J141</f>
        <v>0</v>
      </c>
      <c r="N40" s="127">
        <f>+Actuals!K141</f>
        <v>0</v>
      </c>
      <c r="O40" s="128">
        <f>+Actuals!L141</f>
        <v>0</v>
      </c>
      <c r="P40" s="127">
        <f>+Actuals!M141</f>
        <v>0</v>
      </c>
      <c r="Q40" s="128">
        <f>+Actuals!N141</f>
        <v>0</v>
      </c>
      <c r="R40" s="127">
        <f>+Actuals!O141</f>
        <v>0</v>
      </c>
      <c r="S40" s="128">
        <f>+Actuals!P141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+Actuals!U181</f>
        <v>0</v>
      </c>
      <c r="Y40" s="128">
        <f>+Actuals!V181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  <c r="AF40" s="127">
        <f>+Actuals!AC181</f>
        <v>0</v>
      </c>
      <c r="AG40" s="128">
        <f>+Actuals!AD181</f>
        <v>0</v>
      </c>
      <c r="AH40" s="127">
        <f>+Actuals!AE181</f>
        <v>0</v>
      </c>
      <c r="AI40" s="128">
        <f>+Actuals!AF181</f>
        <v>0</v>
      </c>
      <c r="AJ40" s="127">
        <f>+Actuals!AG181</f>
        <v>0</v>
      </c>
      <c r="AK40" s="128">
        <f>+Actuals!AH181</f>
        <v>0</v>
      </c>
      <c r="AL40" s="127">
        <f>+Actuals!AI181</f>
        <v>0</v>
      </c>
      <c r="AM40" s="128">
        <f>+Actuals!AJ181</f>
        <v>0</v>
      </c>
      <c r="AN40" s="127">
        <f>+Actuals!AK181</f>
        <v>0</v>
      </c>
      <c r="AO40" s="128">
        <f>+Actuals!AL181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+Actuals!K142</f>
        <v>0</v>
      </c>
      <c r="O41" s="128">
        <f>+Actuals!L142</f>
        <v>0</v>
      </c>
      <c r="P41" s="127">
        <f>+Actuals!M142</f>
        <v>0</v>
      </c>
      <c r="Q41" s="128">
        <f>+Actuals!N142</f>
        <v>0</v>
      </c>
      <c r="R41" s="127">
        <f>+Actuals!O142</f>
        <v>0</v>
      </c>
      <c r="S41" s="128">
        <f>+Actuals!P142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  <c r="AF41" s="127">
        <f>+Actuals!AC182</f>
        <v>0</v>
      </c>
      <c r="AG41" s="128">
        <f>+Actuals!AD182</f>
        <v>0</v>
      </c>
      <c r="AH41" s="127">
        <f>+Actuals!AE182</f>
        <v>0</v>
      </c>
      <c r="AI41" s="128">
        <f>+Actuals!AF182</f>
        <v>0</v>
      </c>
      <c r="AJ41" s="127">
        <f>+Actuals!AG182</f>
        <v>0</v>
      </c>
      <c r="AK41" s="128">
        <f>+Actuals!AH182</f>
        <v>0</v>
      </c>
      <c r="AL41" s="127">
        <f>+Actuals!AI182</f>
        <v>0</v>
      </c>
      <c r="AM41" s="128">
        <f>+Actuals!AJ182</f>
        <v>0</v>
      </c>
      <c r="AN41" s="127">
        <f>+Actuals!AK182</f>
        <v>0</v>
      </c>
      <c r="AO41" s="128">
        <f>+Actuals!AL182</f>
        <v>0</v>
      </c>
    </row>
    <row r="42" spans="1:41" x14ac:dyDescent="0.2">
      <c r="A42" s="9"/>
      <c r="B42" s="7"/>
      <c r="C42" s="53" t="s">
        <v>50</v>
      </c>
      <c r="D42" s="61">
        <f t="shared" ref="D42:I42" si="20">SUM(D40:D41)</f>
        <v>11</v>
      </c>
      <c r="E42" s="39">
        <f t="shared" si="20"/>
        <v>24.929999999999836</v>
      </c>
      <c r="F42" s="61">
        <f t="shared" si="20"/>
        <v>0</v>
      </c>
      <c r="G42" s="39">
        <f t="shared" si="20"/>
        <v>0</v>
      </c>
      <c r="H42" s="61">
        <f t="shared" si="20"/>
        <v>-871</v>
      </c>
      <c r="I42" s="39">
        <f t="shared" si="20"/>
        <v>-1973.69</v>
      </c>
      <c r="J42" s="61">
        <f t="shared" ref="J42:Y42" si="21">SUM(J40:J41)</f>
        <v>882</v>
      </c>
      <c r="K42" s="39">
        <f t="shared" si="21"/>
        <v>1998.62</v>
      </c>
      <c r="L42" s="61">
        <f t="shared" si="21"/>
        <v>0</v>
      </c>
      <c r="M42" s="39">
        <f t="shared" si="21"/>
        <v>0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0</v>
      </c>
      <c r="U42" s="39">
        <f t="shared" si="21"/>
        <v>0</v>
      </c>
      <c r="V42" s="61">
        <f t="shared" si="21"/>
        <v>0</v>
      </c>
      <c r="W42" s="39">
        <f t="shared" si="21"/>
        <v>0</v>
      </c>
      <c r="X42" s="61">
        <f t="shared" si="21"/>
        <v>0</v>
      </c>
      <c r="Y42" s="39">
        <f t="shared" si="21"/>
        <v>0</v>
      </c>
      <c r="Z42" s="61">
        <f t="shared" ref="Z42:AE42" si="22">SUM(Z40:Z41)</f>
        <v>0</v>
      </c>
      <c r="AA42" s="39">
        <f t="shared" si="22"/>
        <v>0</v>
      </c>
      <c r="AB42" s="61">
        <f t="shared" si="22"/>
        <v>0</v>
      </c>
      <c r="AC42" s="39">
        <f t="shared" si="22"/>
        <v>0</v>
      </c>
      <c r="AD42" s="61">
        <f t="shared" si="22"/>
        <v>0</v>
      </c>
      <c r="AE42" s="39">
        <f t="shared" si="22"/>
        <v>0</v>
      </c>
      <c r="AF42" s="61">
        <f t="shared" ref="AF42:AK42" si="23">SUM(AF40:AF41)</f>
        <v>0</v>
      </c>
      <c r="AG42" s="39">
        <f t="shared" si="23"/>
        <v>0</v>
      </c>
      <c r="AH42" s="61">
        <f t="shared" si="23"/>
        <v>0</v>
      </c>
      <c r="AI42" s="39">
        <f t="shared" si="23"/>
        <v>0</v>
      </c>
      <c r="AJ42" s="61">
        <f t="shared" si="23"/>
        <v>0</v>
      </c>
      <c r="AK42" s="39">
        <f t="shared" si="23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 t="shared" ref="D43:I43" si="24">D42+D39</f>
        <v>117322</v>
      </c>
      <c r="E43" s="39">
        <f t="shared" si="24"/>
        <v>265266.68999999994</v>
      </c>
      <c r="F43" s="61">
        <f t="shared" si="24"/>
        <v>0</v>
      </c>
      <c r="G43" s="39">
        <f t="shared" si="24"/>
        <v>0</v>
      </c>
      <c r="H43" s="61">
        <f t="shared" si="24"/>
        <v>13036</v>
      </c>
      <c r="I43" s="39">
        <f t="shared" si="24"/>
        <v>29539.57</v>
      </c>
      <c r="J43" s="61">
        <f t="shared" ref="J43:Y43" si="25">J42+J39</f>
        <v>13115</v>
      </c>
      <c r="K43" s="39">
        <f t="shared" si="25"/>
        <v>29718.6</v>
      </c>
      <c r="L43" s="61">
        <f t="shared" si="25"/>
        <v>64882</v>
      </c>
      <c r="M43" s="39">
        <f t="shared" si="25"/>
        <v>147022.60999999999</v>
      </c>
      <c r="N43" s="61">
        <f t="shared" si="25"/>
        <v>4474</v>
      </c>
      <c r="O43" s="39">
        <f t="shared" si="25"/>
        <v>10138.08</v>
      </c>
      <c r="P43" s="61">
        <f t="shared" si="25"/>
        <v>-8948</v>
      </c>
      <c r="Q43" s="39">
        <f t="shared" si="25"/>
        <v>-20276.16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si="25"/>
        <v>0</v>
      </c>
      <c r="W43" s="39">
        <f t="shared" si="25"/>
        <v>0</v>
      </c>
      <c r="X43" s="61">
        <f t="shared" si="25"/>
        <v>-15000</v>
      </c>
      <c r="Y43" s="39">
        <f t="shared" si="25"/>
        <v>-33990</v>
      </c>
      <c r="Z43" s="61">
        <f t="shared" ref="Z43:AE43" si="26">Z42+Z39</f>
        <v>15000</v>
      </c>
      <c r="AA43" s="39">
        <f t="shared" si="26"/>
        <v>33405.03</v>
      </c>
      <c r="AB43" s="61">
        <f t="shared" si="26"/>
        <v>0</v>
      </c>
      <c r="AC43" s="39">
        <f t="shared" si="26"/>
        <v>0</v>
      </c>
      <c r="AD43" s="61">
        <f t="shared" si="26"/>
        <v>0</v>
      </c>
      <c r="AE43" s="39">
        <f t="shared" si="26"/>
        <v>0</v>
      </c>
      <c r="AF43" s="61">
        <f t="shared" ref="AF43:AK43" si="27">AF42+AF39</f>
        <v>0</v>
      </c>
      <c r="AG43" s="39">
        <f t="shared" si="27"/>
        <v>0</v>
      </c>
      <c r="AH43" s="61">
        <f t="shared" si="27"/>
        <v>0</v>
      </c>
      <c r="AI43" s="39">
        <f t="shared" si="27"/>
        <v>0</v>
      </c>
      <c r="AJ43" s="61">
        <f t="shared" si="27"/>
        <v>0</v>
      </c>
      <c r="AK43" s="39">
        <f t="shared" si="27"/>
        <v>0</v>
      </c>
      <c r="AL43" s="61">
        <f>AL42+AL39</f>
        <v>0</v>
      </c>
      <c r="AM43" s="39">
        <f>AM42+AM39</f>
        <v>0</v>
      </c>
      <c r="AN43" s="61">
        <f>AN42+AN39</f>
        <v>30763</v>
      </c>
      <c r="AO43" s="39">
        <f>AO42+AO39</f>
        <v>69708.960000000006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+Actuals!K143</f>
        <v>0</v>
      </c>
      <c r="O45" s="128">
        <f>+Actuals!L143</f>
        <v>0</v>
      </c>
      <c r="P45" s="127">
        <f>+Actuals!M143</f>
        <v>0</v>
      </c>
      <c r="Q45" s="128">
        <f>+Actuals!N143</f>
        <v>0</v>
      </c>
      <c r="R45" s="127">
        <f>+Actuals!O143</f>
        <v>0</v>
      </c>
      <c r="S45" s="128">
        <f>+Actuals!P143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  <c r="AF45" s="127">
        <f>+Actuals!AC183</f>
        <v>0</v>
      </c>
      <c r="AG45" s="128">
        <f>+Actuals!AD183</f>
        <v>0</v>
      </c>
      <c r="AH45" s="127">
        <f>+Actuals!AE183</f>
        <v>0</v>
      </c>
      <c r="AI45" s="128">
        <f>+Actuals!AF183</f>
        <v>0</v>
      </c>
      <c r="AJ45" s="127">
        <f>+Actuals!AG183</f>
        <v>0</v>
      </c>
      <c r="AK45" s="128">
        <f>+Actuals!AH183</f>
        <v>0</v>
      </c>
      <c r="AL45" s="127">
        <f>+Actuals!AI183</f>
        <v>0</v>
      </c>
      <c r="AM45" s="128">
        <f>+Actuals!AJ183</f>
        <v>0</v>
      </c>
      <c r="AN45" s="127">
        <f>+Actuals!AK183</f>
        <v>0</v>
      </c>
      <c r="AO45" s="128">
        <f>+Actuals!AL183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+Actuals!K144</f>
        <v>0</v>
      </c>
      <c r="O47" s="128">
        <f>+Actuals!L144</f>
        <v>0</v>
      </c>
      <c r="P47" s="127">
        <f>+Actuals!M144</f>
        <v>0</v>
      </c>
      <c r="Q47" s="128">
        <f>+Actuals!N144</f>
        <v>0</v>
      </c>
      <c r="R47" s="127">
        <f>+Actuals!O144</f>
        <v>0</v>
      </c>
      <c r="S47" s="128">
        <f>+Actuals!P144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  <c r="AF47" s="127">
        <f>+Actuals!AC184</f>
        <v>0</v>
      </c>
      <c r="AG47" s="128">
        <f>+Actuals!AD184</f>
        <v>0</v>
      </c>
      <c r="AH47" s="127">
        <f>+Actuals!AE184</f>
        <v>0</v>
      </c>
      <c r="AI47" s="128">
        <f>+Actuals!AF184</f>
        <v>0</v>
      </c>
      <c r="AJ47" s="127">
        <f>+Actuals!AG184</f>
        <v>0</v>
      </c>
      <c r="AK47" s="128">
        <f>+Actuals!AH184</f>
        <v>0</v>
      </c>
      <c r="AL47" s="127">
        <f>+Actuals!AI184</f>
        <v>0</v>
      </c>
      <c r="AM47" s="128">
        <f>+Actuals!AJ184</f>
        <v>0</v>
      </c>
      <c r="AN47" s="127">
        <f>+Actuals!AK184</f>
        <v>0</v>
      </c>
      <c r="AO47" s="128">
        <f>+Actuals!AL184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8">SUM(F49,H49,J49,L49,N49,P49,R49,T49,V49,X49,Z49,AB49,AD49,AF49,AH49,AJ49,AL49,AN49)</f>
        <v>-400967</v>
      </c>
      <c r="E49" s="38">
        <f t="shared" si="28"/>
        <v>-908591.22399999993</v>
      </c>
      <c r="F49" s="60">
        <f>'TIE-OUT'!F49+RECLASS!F49</f>
        <v>0</v>
      </c>
      <c r="G49" s="38">
        <f>'TIE-OUT'!G49+RECLASS!G49</f>
        <v>0</v>
      </c>
      <c r="H49" s="127">
        <f>+Actuals!E145</f>
        <v>1454008</v>
      </c>
      <c r="I49" s="128">
        <f>+Actuals!F145</f>
        <v>3294782.128</v>
      </c>
      <c r="J49" s="127">
        <f>+Actuals!G145</f>
        <v>-1843374</v>
      </c>
      <c r="K49" s="128">
        <f>+Actuals!H145</f>
        <v>-4177085.4840000002</v>
      </c>
      <c r="L49" s="127">
        <f>+Actuals!I145</f>
        <v>-667412</v>
      </c>
      <c r="M49" s="128">
        <f>+Actuals!J145</f>
        <v>-1512355.5919999999</v>
      </c>
      <c r="N49" s="127">
        <f>+Actuals!K145</f>
        <v>236553</v>
      </c>
      <c r="O49" s="128">
        <f>+Actuals!L145</f>
        <v>536029.098</v>
      </c>
      <c r="P49" s="127">
        <f>+Actuals!M145</f>
        <v>30747</v>
      </c>
      <c r="Q49" s="128">
        <f>+Actuals!N145</f>
        <v>69672.702000000005</v>
      </c>
      <c r="R49" s="127">
        <f>+Actuals!O145</f>
        <v>-7961</v>
      </c>
      <c r="S49" s="128">
        <f>+Actuals!P145</f>
        <v>-18039.626</v>
      </c>
      <c r="T49" s="127">
        <f>+Actuals!Q145</f>
        <v>211392</v>
      </c>
      <c r="U49" s="128">
        <f>+Actuals!R145</f>
        <v>479014.272</v>
      </c>
      <c r="V49" s="127">
        <f>+Actuals!S145</f>
        <v>251136</v>
      </c>
      <c r="W49" s="128">
        <f>+Actuals!T145</f>
        <v>569074.17599999998</v>
      </c>
      <c r="X49" s="127">
        <f>+Actuals!U185</f>
        <v>-197625</v>
      </c>
      <c r="Y49" s="128">
        <f>+Actuals!V185</f>
        <v>-447818.25</v>
      </c>
      <c r="Z49" s="127">
        <f>+Actuals!W185</f>
        <v>-71573</v>
      </c>
      <c r="AA49" s="128">
        <f>+Actuals!X185</f>
        <v>-162184.41800000001</v>
      </c>
      <c r="AB49" s="127">
        <f>+Actuals!Y185</f>
        <v>233905</v>
      </c>
      <c r="AC49" s="128">
        <f>+Actuals!Z185</f>
        <v>530028.73</v>
      </c>
      <c r="AD49" s="127">
        <f>+Actuals!AA185</f>
        <v>0</v>
      </c>
      <c r="AE49" s="128">
        <f>+Actuals!AB185</f>
        <v>0</v>
      </c>
      <c r="AF49" s="127">
        <f>+Actuals!AC185</f>
        <v>0</v>
      </c>
      <c r="AG49" s="128">
        <f>+Actuals!AD185</f>
        <v>0</v>
      </c>
      <c r="AH49" s="127">
        <f>+Actuals!AE185</f>
        <v>0</v>
      </c>
      <c r="AI49" s="128">
        <f>+Actuals!AF185</f>
        <v>0</v>
      </c>
      <c r="AJ49" s="127">
        <f>+Actuals!AG185</f>
        <v>0</v>
      </c>
      <c r="AK49" s="128">
        <f>+Actuals!AH185</f>
        <v>0</v>
      </c>
      <c r="AL49" s="127">
        <f>+Actuals!AI185</f>
        <v>0</v>
      </c>
      <c r="AM49" s="128">
        <f>+Actuals!AJ185</f>
        <v>0</v>
      </c>
      <c r="AN49" s="127">
        <v>-30763</v>
      </c>
      <c r="AO49" s="128">
        <v>-69708.960000000006</v>
      </c>
    </row>
    <row r="50" spans="1:41" x14ac:dyDescent="0.2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8"/>
        <v>-353716</v>
      </c>
      <c r="E51" s="38">
        <f t="shared" si="28"/>
        <v>-820411.45200000005</v>
      </c>
      <c r="F51" s="60">
        <f>'TIE-OUT'!F51+RECLASS!F51</f>
        <v>0</v>
      </c>
      <c r="G51" s="38">
        <f>'TIE-OUT'!G51+RECLASS!G51</f>
        <v>-18891</v>
      </c>
      <c r="H51" s="127">
        <f>+Actuals!E146</f>
        <v>-540180</v>
      </c>
      <c r="I51" s="128">
        <f>+Actuals!F146</f>
        <v>-1224047.8799999999</v>
      </c>
      <c r="J51" s="127">
        <f>+Actuals!G146</f>
        <v>-18158</v>
      </c>
      <c r="K51" s="128">
        <f>+Actuals!H146</f>
        <v>-41146.03</v>
      </c>
      <c r="L51" s="127">
        <f>+Actuals!I146</f>
        <v>5231</v>
      </c>
      <c r="M51" s="128">
        <f>+Actuals!J146</f>
        <v>11853.45</v>
      </c>
      <c r="N51" s="127">
        <f>+Actuals!K146</f>
        <v>258</v>
      </c>
      <c r="O51" s="128">
        <f>+Actuals!L146</f>
        <v>584.62800000000004</v>
      </c>
      <c r="P51" s="127">
        <f>+Actuals!M146</f>
        <v>0</v>
      </c>
      <c r="Q51" s="128">
        <f>+Actuals!N146</f>
        <v>0</v>
      </c>
      <c r="R51" s="127">
        <f>+Actuals!O146</f>
        <v>-229</v>
      </c>
      <c r="S51" s="128">
        <f>+Actuals!P146</f>
        <v>-518.91399999999999</v>
      </c>
      <c r="T51" s="127">
        <f>+Actuals!Q146</f>
        <v>-17</v>
      </c>
      <c r="U51" s="128">
        <f>+Actuals!R146</f>
        <v>-38.521999999999998</v>
      </c>
      <c r="V51" s="127">
        <f>+Actuals!S146</f>
        <v>552</v>
      </c>
      <c r="W51" s="128">
        <f>+Actuals!T146</f>
        <v>1250.8320000000001</v>
      </c>
      <c r="X51" s="127">
        <f>+Actuals!U186</f>
        <v>-230</v>
      </c>
      <c r="Y51" s="128">
        <f>+Actuals!V186</f>
        <v>-521.17999999999995</v>
      </c>
      <c r="Z51" s="127">
        <f>+Actuals!W186</f>
        <v>0</v>
      </c>
      <c r="AA51" s="128">
        <f>+Actuals!X186</f>
        <v>0</v>
      </c>
      <c r="AB51" s="127">
        <f>+Actuals!Y186</f>
        <v>-25</v>
      </c>
      <c r="AC51" s="128">
        <f>+Actuals!Z186</f>
        <v>-56.65</v>
      </c>
      <c r="AD51" s="127">
        <f>+Actuals!AA186</f>
        <v>0</v>
      </c>
      <c r="AE51" s="128">
        <f>+Actuals!AB186</f>
        <v>0</v>
      </c>
      <c r="AF51" s="127">
        <f>+Actuals!AC186</f>
        <v>0</v>
      </c>
      <c r="AG51" s="128">
        <f>+Actuals!AD186</f>
        <v>0</v>
      </c>
      <c r="AH51" s="127">
        <f>+Actuals!AE186</f>
        <v>-601</v>
      </c>
      <c r="AI51" s="128">
        <f>+Actuals!AF186</f>
        <v>-1361.866</v>
      </c>
      <c r="AJ51" s="127">
        <v>199683</v>
      </c>
      <c r="AK51" s="128">
        <v>452481.68</v>
      </c>
      <c r="AL51" s="127">
        <v>0</v>
      </c>
      <c r="AM51" s="128">
        <v>0</v>
      </c>
      <c r="AN51" s="127">
        <v>0</v>
      </c>
      <c r="AO51" s="128"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-28604832</v>
      </c>
      <c r="E54" s="38">
        <f>SUM(G54,I54,K54,M54,O54,Q54,S54,U54,W54,Y54,AA54,AC54,AE54,AG54,AI54,AK54,AM54,AO54)</f>
        <v>-3156490.5999999996</v>
      </c>
      <c r="F54" s="64">
        <f>'TIE-OUT'!F54+RECLASS!F54</f>
        <v>0</v>
      </c>
      <c r="G54" s="68">
        <f>'TIE-OUT'!G54+RECLASS!G54</f>
        <v>-44824</v>
      </c>
      <c r="H54" s="127">
        <f>+Actuals!E147</f>
        <v>-21698185</v>
      </c>
      <c r="I54" s="128">
        <f>+Actuals!F147</f>
        <v>-1999784.65</v>
      </c>
      <c r="J54" s="127">
        <f>+Actuals!G147</f>
        <v>-5384737</v>
      </c>
      <c r="K54" s="128">
        <f>+Actuals!H147</f>
        <v>-1533870.19</v>
      </c>
      <c r="L54" s="127">
        <f>+Actuals!I147</f>
        <v>2613979</v>
      </c>
      <c r="M54" s="128">
        <f>+Actuals!J147</f>
        <v>415553.88</v>
      </c>
      <c r="N54" s="127">
        <f>+Actuals!K147</f>
        <v>-5294976</v>
      </c>
      <c r="O54" s="128">
        <f>+Actuals!L147</f>
        <v>-85062.23</v>
      </c>
      <c r="P54" s="127">
        <f>+Actuals!M147</f>
        <v>2195988</v>
      </c>
      <c r="Q54" s="128">
        <f>+Actuals!N147</f>
        <v>68495.09</v>
      </c>
      <c r="R54" s="127">
        <f>+Actuals!O147</f>
        <v>102814</v>
      </c>
      <c r="S54" s="128">
        <f>+Actuals!P147</f>
        <v>19027.04</v>
      </c>
      <c r="T54" s="127">
        <f>+Actuals!Q147</f>
        <v>1569</v>
      </c>
      <c r="U54" s="128">
        <f>+Actuals!R147</f>
        <v>-5115.9399999999996</v>
      </c>
      <c r="V54" s="127">
        <f>+Actuals!S147</f>
        <v>20206</v>
      </c>
      <c r="W54" s="128">
        <f>+Actuals!T147</f>
        <v>1772.43</v>
      </c>
      <c r="X54" s="127">
        <f>+Actuals!U187</f>
        <v>-33316</v>
      </c>
      <c r="Y54" s="128">
        <f>+Actuals!V187</f>
        <v>7317.97</v>
      </c>
      <c r="Z54" s="127">
        <f>+Actuals!W187</f>
        <v>0</v>
      </c>
      <c r="AA54" s="128">
        <f>+Actuals!X187</f>
        <v>-825.41</v>
      </c>
      <c r="AB54" s="127">
        <f>+Actuals!Y187</f>
        <v>-2431</v>
      </c>
      <c r="AC54" s="128">
        <f>+Actuals!Z187</f>
        <v>825.41</v>
      </c>
      <c r="AD54" s="127">
        <f>+Actuals!AA187</f>
        <v>-579370</v>
      </c>
      <c r="AE54" s="128">
        <f>+Actuals!AB187</f>
        <v>10232.14</v>
      </c>
      <c r="AF54" s="127">
        <f>+Actuals!AC187</f>
        <v>-787087</v>
      </c>
      <c r="AG54" s="128">
        <f>+Actuals!AD187</f>
        <v>-10232.14</v>
      </c>
      <c r="AH54" s="127">
        <f>+Actuals!AE187</f>
        <v>0</v>
      </c>
      <c r="AI54" s="128">
        <f>+Actuals!AF187</f>
        <v>0</v>
      </c>
      <c r="AJ54" s="127">
        <f>+Actuals!AG187</f>
        <v>0</v>
      </c>
      <c r="AK54" s="128">
        <f>+Actuals!AH187</f>
        <v>0</v>
      </c>
      <c r="AL54" s="127">
        <f>+Actuals!AI187</f>
        <v>0</v>
      </c>
      <c r="AM54" s="128">
        <f>+Actuals!AJ187</f>
        <v>0</v>
      </c>
      <c r="AN54" s="127">
        <v>240714</v>
      </c>
      <c r="AO54" s="128">
        <f>+Actuals!AL187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999813.00999999989</v>
      </c>
      <c r="F55" s="81">
        <f>'TIE-OUT'!F55+RECLASS!F55</f>
        <v>0</v>
      </c>
      <c r="G55" s="82">
        <f>'TIE-OUT'!G55+RECLASS!G55</f>
        <v>2117344</v>
      </c>
      <c r="H55" s="127">
        <f>+Actuals!E148</f>
        <v>0</v>
      </c>
      <c r="I55" s="128">
        <f>+Actuals!F148</f>
        <v>-11085.06</v>
      </c>
      <c r="J55" s="127">
        <f>+Actuals!G148</f>
        <v>0</v>
      </c>
      <c r="K55" s="128">
        <f>+Actuals!H148</f>
        <v>-1111557.54</v>
      </c>
      <c r="L55" s="127">
        <f>+Actuals!I148</f>
        <v>0</v>
      </c>
      <c r="M55" s="128">
        <f>+Actuals!J148</f>
        <v>0</v>
      </c>
      <c r="N55" s="127">
        <f>+Actuals!K148</f>
        <v>0</v>
      </c>
      <c r="O55" s="128">
        <f>+Actuals!L148</f>
        <v>0</v>
      </c>
      <c r="P55" s="127">
        <f>+Actuals!M148</f>
        <v>0</v>
      </c>
      <c r="Q55" s="128">
        <f>+Actuals!N148</f>
        <v>17475</v>
      </c>
      <c r="R55" s="127">
        <f>+Actuals!O148</f>
        <v>0</v>
      </c>
      <c r="S55" s="128">
        <f>+Actuals!P148</f>
        <v>-45725</v>
      </c>
      <c r="T55" s="127">
        <f>+Actuals!Q148</f>
        <v>0</v>
      </c>
      <c r="U55" s="128">
        <f>+Actuals!R148</f>
        <v>45973.98</v>
      </c>
      <c r="V55" s="127">
        <f>+Actuals!S148</f>
        <v>0</v>
      </c>
      <c r="W55" s="128">
        <f>+Actuals!T148</f>
        <v>-3298.37</v>
      </c>
      <c r="X55" s="127">
        <f>+Actuals!U188</f>
        <v>0</v>
      </c>
      <c r="Y55" s="128">
        <f>+Actuals!V188</f>
        <v>686</v>
      </c>
      <c r="Z55" s="127">
        <f>+Actuals!W188</f>
        <v>0</v>
      </c>
      <c r="AA55" s="128">
        <f>+Actuals!X188</f>
        <v>-10000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f>+Actuals!AB188</f>
        <v>0</v>
      </c>
      <c r="AF55" s="127">
        <f>+Actuals!AC188</f>
        <v>0</v>
      </c>
      <c r="AG55" s="128">
        <f>+Actuals!AD188</f>
        <v>0</v>
      </c>
      <c r="AH55" s="127">
        <f>+Actuals!AE188</f>
        <v>0</v>
      </c>
      <c r="AI55" s="128">
        <f>+Actuals!AF188</f>
        <v>0</v>
      </c>
      <c r="AJ55" s="127">
        <f>+Actuals!AG188</f>
        <v>0</v>
      </c>
      <c r="AK55" s="128">
        <f>+Actuals!AH188</f>
        <v>0</v>
      </c>
      <c r="AL55" s="127">
        <f>+Actuals!AI188</f>
        <v>0</v>
      </c>
      <c r="AM55" s="128">
        <f>+Actuals!AJ188</f>
        <v>0</v>
      </c>
      <c r="AN55" s="127">
        <f>+Actuals!AK188</f>
        <v>0</v>
      </c>
      <c r="AO55" s="128">
        <f>+Actuals!AL188</f>
        <v>0</v>
      </c>
    </row>
    <row r="56" spans="1:41" x14ac:dyDescent="0.2">
      <c r="A56" s="9"/>
      <c r="B56" s="7" t="s">
        <v>59</v>
      </c>
      <c r="C56" s="6"/>
      <c r="D56" s="61">
        <f t="shared" ref="D56:I56" si="29">SUM(D54:D55)</f>
        <v>-28604832</v>
      </c>
      <c r="E56" s="39">
        <f t="shared" si="29"/>
        <v>-2156677.59</v>
      </c>
      <c r="F56" s="61">
        <f t="shared" si="29"/>
        <v>0</v>
      </c>
      <c r="G56" s="39">
        <f t="shared" si="29"/>
        <v>2072520</v>
      </c>
      <c r="H56" s="61">
        <f t="shared" si="29"/>
        <v>-21698185</v>
      </c>
      <c r="I56" s="39">
        <f t="shared" si="29"/>
        <v>-2010869.71</v>
      </c>
      <c r="J56" s="61">
        <f t="shared" ref="J56:Y56" si="30">SUM(J54:J55)</f>
        <v>-5384737</v>
      </c>
      <c r="K56" s="39">
        <f t="shared" si="30"/>
        <v>-2645427.73</v>
      </c>
      <c r="L56" s="61">
        <f t="shared" si="30"/>
        <v>2613979</v>
      </c>
      <c r="M56" s="39">
        <f t="shared" si="30"/>
        <v>415553.88</v>
      </c>
      <c r="N56" s="61">
        <f t="shared" si="30"/>
        <v>-5294976</v>
      </c>
      <c r="O56" s="39">
        <f t="shared" si="30"/>
        <v>-85062.23</v>
      </c>
      <c r="P56" s="61">
        <f t="shared" si="30"/>
        <v>2195988</v>
      </c>
      <c r="Q56" s="39">
        <f t="shared" si="30"/>
        <v>85970.09</v>
      </c>
      <c r="R56" s="61">
        <f t="shared" si="30"/>
        <v>102814</v>
      </c>
      <c r="S56" s="39">
        <f t="shared" si="30"/>
        <v>-26697.96</v>
      </c>
      <c r="T56" s="61">
        <f t="shared" si="30"/>
        <v>1569</v>
      </c>
      <c r="U56" s="39">
        <f t="shared" si="30"/>
        <v>40858.04</v>
      </c>
      <c r="V56" s="61">
        <f t="shared" si="30"/>
        <v>20206</v>
      </c>
      <c r="W56" s="39">
        <f t="shared" si="30"/>
        <v>-1525.9399999999998</v>
      </c>
      <c r="X56" s="61">
        <f t="shared" si="30"/>
        <v>-33316</v>
      </c>
      <c r="Y56" s="39">
        <f t="shared" si="30"/>
        <v>8003.97</v>
      </c>
      <c r="Z56" s="61">
        <f t="shared" ref="Z56:AE56" si="31">SUM(Z54:Z55)</f>
        <v>0</v>
      </c>
      <c r="AA56" s="39">
        <f t="shared" si="31"/>
        <v>-10825.41</v>
      </c>
      <c r="AB56" s="61">
        <f t="shared" si="31"/>
        <v>-2431</v>
      </c>
      <c r="AC56" s="39">
        <f t="shared" si="31"/>
        <v>825.41</v>
      </c>
      <c r="AD56" s="61">
        <f t="shared" si="31"/>
        <v>-579370</v>
      </c>
      <c r="AE56" s="39">
        <f t="shared" si="31"/>
        <v>10232.14</v>
      </c>
      <c r="AF56" s="61">
        <f t="shared" ref="AF56:AK56" si="32">SUM(AF54:AF55)</f>
        <v>-787087</v>
      </c>
      <c r="AG56" s="39">
        <f t="shared" si="32"/>
        <v>-10232.14</v>
      </c>
      <c r="AH56" s="61">
        <f t="shared" si="32"/>
        <v>0</v>
      </c>
      <c r="AI56" s="39">
        <f t="shared" si="32"/>
        <v>0</v>
      </c>
      <c r="AJ56" s="61">
        <f t="shared" si="32"/>
        <v>0</v>
      </c>
      <c r="AK56" s="39">
        <f t="shared" si="32"/>
        <v>0</v>
      </c>
      <c r="AL56" s="61">
        <f>SUM(AL54:AL55)</f>
        <v>0</v>
      </c>
      <c r="AM56" s="39">
        <f>SUM(AM54:AM55)</f>
        <v>0</v>
      </c>
      <c r="AN56" s="61">
        <f>SUM(AN54:AN55)</f>
        <v>240714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-8137.5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-8137.5</v>
      </c>
      <c r="L59" s="127">
        <f>+Actuals!I149</f>
        <v>0</v>
      </c>
      <c r="M59" s="128">
        <f>+Actuals!J149</f>
        <v>0</v>
      </c>
      <c r="N59" s="127">
        <f>+Actuals!K149</f>
        <v>0</v>
      </c>
      <c r="O59" s="128">
        <f>+Actuals!L149</f>
        <v>0</v>
      </c>
      <c r="P59" s="127">
        <f>+Actuals!M149</f>
        <v>0</v>
      </c>
      <c r="Q59" s="128">
        <f>+Actuals!N149</f>
        <v>0</v>
      </c>
      <c r="R59" s="127">
        <f>+Actuals!O149</f>
        <v>0</v>
      </c>
      <c r="S59" s="128">
        <f>+Actuals!P149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  <c r="AF59" s="127">
        <f>+Actuals!AC189</f>
        <v>0</v>
      </c>
      <c r="AG59" s="128">
        <f>+Actuals!AD189</f>
        <v>0</v>
      </c>
      <c r="AH59" s="127">
        <f>+Actuals!AE189</f>
        <v>0</v>
      </c>
      <c r="AI59" s="128">
        <f>+Actuals!AF189</f>
        <v>0</v>
      </c>
      <c r="AJ59" s="127">
        <f>+Actuals!AG189</f>
        <v>0</v>
      </c>
      <c r="AK59" s="128">
        <f>+Actuals!AH189</f>
        <v>0</v>
      </c>
      <c r="AL59" s="127">
        <f>+Actuals!AI189</f>
        <v>0</v>
      </c>
      <c r="AM59" s="128">
        <f>+Actuals!AJ189</f>
        <v>0</v>
      </c>
      <c r="AN59" s="127">
        <f>+Actuals!AK189</f>
        <v>0</v>
      </c>
      <c r="AO59" s="128">
        <f>+Actuals!AL189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+Actuals!K150</f>
        <v>0</v>
      </c>
      <c r="O60" s="128">
        <f>+Actuals!L150</f>
        <v>0</v>
      </c>
      <c r="P60" s="127">
        <f>+Actuals!M150</f>
        <v>0</v>
      </c>
      <c r="Q60" s="128">
        <f>+Actuals!N150</f>
        <v>0</v>
      </c>
      <c r="R60" s="127">
        <f>+Actuals!O150</f>
        <v>0</v>
      </c>
      <c r="S60" s="128">
        <f>+Actuals!P150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  <c r="AF60" s="127">
        <f>+Actuals!AC190</f>
        <v>0</v>
      </c>
      <c r="AG60" s="128">
        <f>+Actuals!AD190</f>
        <v>0</v>
      </c>
      <c r="AH60" s="127">
        <f>+Actuals!AE190</f>
        <v>0</v>
      </c>
      <c r="AI60" s="128">
        <f>+Actuals!AF190</f>
        <v>0</v>
      </c>
      <c r="AJ60" s="127">
        <f>+Actuals!AG190</f>
        <v>0</v>
      </c>
      <c r="AK60" s="128">
        <f>+Actuals!AH190</f>
        <v>0</v>
      </c>
      <c r="AL60" s="127">
        <f>+Actuals!AI190</f>
        <v>0</v>
      </c>
      <c r="AM60" s="128">
        <f>+Actuals!AJ190</f>
        <v>0</v>
      </c>
      <c r="AN60" s="127">
        <f>+Actuals!AK190</f>
        <v>0</v>
      </c>
      <c r="AO60" s="128">
        <f>+Actuals!AL190</f>
        <v>0</v>
      </c>
    </row>
    <row r="61" spans="1:41" x14ac:dyDescent="0.2">
      <c r="A61" s="9"/>
      <c r="B61" s="62" t="s">
        <v>63</v>
      </c>
      <c r="C61" s="6"/>
      <c r="D61" s="61">
        <f t="shared" ref="D61:I61" si="33">SUM(D59:D60)</f>
        <v>0</v>
      </c>
      <c r="E61" s="39">
        <f t="shared" si="33"/>
        <v>-8137.5</v>
      </c>
      <c r="F61" s="61">
        <f t="shared" si="33"/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ref="J61:Y61" si="34">SUM(J59:J60)</f>
        <v>0</v>
      </c>
      <c r="K61" s="39">
        <f t="shared" si="34"/>
        <v>-8137.5</v>
      </c>
      <c r="L61" s="61">
        <f t="shared" si="34"/>
        <v>0</v>
      </c>
      <c r="M61" s="39">
        <f t="shared" si="34"/>
        <v>0</v>
      </c>
      <c r="N61" s="61">
        <f t="shared" si="34"/>
        <v>0</v>
      </c>
      <c r="O61" s="39">
        <f t="shared" si="34"/>
        <v>0</v>
      </c>
      <c r="P61" s="61">
        <f t="shared" si="34"/>
        <v>0</v>
      </c>
      <c r="Q61" s="39">
        <f t="shared" si="34"/>
        <v>0</v>
      </c>
      <c r="R61" s="61">
        <f t="shared" si="34"/>
        <v>0</v>
      </c>
      <c r="S61" s="39">
        <f t="shared" si="34"/>
        <v>0</v>
      </c>
      <c r="T61" s="61">
        <f t="shared" si="34"/>
        <v>0</v>
      </c>
      <c r="U61" s="39">
        <f t="shared" si="34"/>
        <v>0</v>
      </c>
      <c r="V61" s="61">
        <f t="shared" si="34"/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ref="Z61:AE61" si="35">SUM(Z59:Z60)</f>
        <v>0</v>
      </c>
      <c r="AA61" s="39">
        <f t="shared" si="35"/>
        <v>0</v>
      </c>
      <c r="AB61" s="61">
        <f t="shared" si="35"/>
        <v>0</v>
      </c>
      <c r="AC61" s="39">
        <f t="shared" si="35"/>
        <v>0</v>
      </c>
      <c r="AD61" s="61">
        <f t="shared" si="35"/>
        <v>0</v>
      </c>
      <c r="AE61" s="39">
        <f t="shared" si="35"/>
        <v>0</v>
      </c>
      <c r="AF61" s="61">
        <f t="shared" ref="AF61:AK61" si="36">SUM(AF59:AF60)</f>
        <v>0</v>
      </c>
      <c r="AG61" s="39">
        <f t="shared" si="36"/>
        <v>0</v>
      </c>
      <c r="AH61" s="61">
        <f t="shared" si="36"/>
        <v>0</v>
      </c>
      <c r="AI61" s="39">
        <f t="shared" si="36"/>
        <v>0</v>
      </c>
      <c r="AJ61" s="61">
        <f t="shared" si="36"/>
        <v>0</v>
      </c>
      <c r="AK61" s="39">
        <f t="shared" si="36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+Actuals!K151</f>
        <v>0</v>
      </c>
      <c r="O64" s="128">
        <f>+Actuals!L151</f>
        <v>0</v>
      </c>
      <c r="P64" s="127">
        <f>+Actuals!M151</f>
        <v>0</v>
      </c>
      <c r="Q64" s="128">
        <f>+Actuals!N151</f>
        <v>0</v>
      </c>
      <c r="R64" s="127">
        <f>+Actuals!O151</f>
        <v>0</v>
      </c>
      <c r="S64" s="128">
        <f>+Actuals!P151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  <c r="AF64" s="127">
        <f>+Actuals!AC191</f>
        <v>0</v>
      </c>
      <c r="AG64" s="128">
        <f>+Actuals!AD191</f>
        <v>0</v>
      </c>
      <c r="AH64" s="127">
        <f>+Actuals!AE191</f>
        <v>0</v>
      </c>
      <c r="AI64" s="128">
        <f>+Actuals!AF191</f>
        <v>0</v>
      </c>
      <c r="AJ64" s="127">
        <f>+Actuals!AG191</f>
        <v>0</v>
      </c>
      <c r="AK64" s="128">
        <f>+Actuals!AH191</f>
        <v>0</v>
      </c>
      <c r="AL64" s="127">
        <f>+Actuals!AI191</f>
        <v>0</v>
      </c>
      <c r="AM64" s="128">
        <f>+Actuals!AJ191</f>
        <v>0</v>
      </c>
      <c r="AN64" s="127">
        <f>+Actuals!AK191</f>
        <v>0</v>
      </c>
      <c r="AO64" s="128">
        <f>+Actuals!AL191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+Actuals!K152</f>
        <v>0</v>
      </c>
      <c r="O65" s="128">
        <f>+Actuals!L152</f>
        <v>0</v>
      </c>
      <c r="P65" s="127">
        <f>+Actuals!M152</f>
        <v>0</v>
      </c>
      <c r="Q65" s="128">
        <f>+Actuals!N152</f>
        <v>0</v>
      </c>
      <c r="R65" s="127">
        <f>+Actuals!O152</f>
        <v>0</v>
      </c>
      <c r="S65" s="128">
        <f>+Actuals!P152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  <c r="AF65" s="127">
        <f>+Actuals!AC192</f>
        <v>0</v>
      </c>
      <c r="AG65" s="128">
        <f>+Actuals!AD192</f>
        <v>0</v>
      </c>
      <c r="AH65" s="127">
        <f>+Actuals!AE192</f>
        <v>0</v>
      </c>
      <c r="AI65" s="128">
        <f>+Actuals!AF192</f>
        <v>0</v>
      </c>
      <c r="AJ65" s="127">
        <f>+Actuals!AG192</f>
        <v>0</v>
      </c>
      <c r="AK65" s="128">
        <f>+Actuals!AH192</f>
        <v>0</v>
      </c>
      <c r="AL65" s="127">
        <f>+Actuals!AI192</f>
        <v>0</v>
      </c>
      <c r="AM65" s="128">
        <f>+Actuals!AJ192</f>
        <v>0</v>
      </c>
      <c r="AN65" s="127">
        <f>+Actuals!AK192</f>
        <v>0</v>
      </c>
      <c r="AO65" s="128">
        <f>+Actuals!AL192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>SUM(F64:F65)</f>
        <v>0</v>
      </c>
      <c r="G66" s="39">
        <f>SUM(G64:G65)</f>
        <v>0</v>
      </c>
      <c r="H66" s="61">
        <f>SUM(H64:H65)</f>
        <v>0</v>
      </c>
      <c r="I66" s="39">
        <f>SUM(I64:I65)</f>
        <v>0</v>
      </c>
      <c r="J66" s="61">
        <f t="shared" ref="J66:Y66" si="37">SUM(J64:J65)</f>
        <v>0</v>
      </c>
      <c r="K66" s="39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si="37"/>
        <v>0</v>
      </c>
      <c r="W66" s="39">
        <f t="shared" si="37"/>
        <v>0</v>
      </c>
      <c r="X66" s="61">
        <f t="shared" si="37"/>
        <v>0</v>
      </c>
      <c r="Y66" s="39">
        <f t="shared" si="37"/>
        <v>0</v>
      </c>
      <c r="Z66" s="61">
        <f t="shared" ref="Z66:AE66" si="38">SUM(Z64:Z65)</f>
        <v>0</v>
      </c>
      <c r="AA66" s="39">
        <f t="shared" si="38"/>
        <v>0</v>
      </c>
      <c r="AB66" s="61">
        <f t="shared" si="38"/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1086087</v>
      </c>
      <c r="F70" s="64">
        <f>'TIE-OUT'!F70+RECLASS!F70</f>
        <v>0</v>
      </c>
      <c r="G70" s="68">
        <f>'TIE-OUT'!G70+RECLASS!G70</f>
        <v>1086087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+Actuals!K153</f>
        <v>0</v>
      </c>
      <c r="O70" s="128">
        <f>+Actuals!L153</f>
        <v>0</v>
      </c>
      <c r="P70" s="127">
        <f>+Actuals!M153</f>
        <v>0</v>
      </c>
      <c r="Q70" s="128">
        <f>+Actuals!N153</f>
        <v>0</v>
      </c>
      <c r="R70" s="127">
        <f>+Actuals!O153</f>
        <v>0</v>
      </c>
      <c r="S70" s="128">
        <f>+Actuals!P153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  <c r="AF70" s="127">
        <f>+Actuals!AC193</f>
        <v>0</v>
      </c>
      <c r="AG70" s="128">
        <f>+Actuals!AD193</f>
        <v>0</v>
      </c>
      <c r="AH70" s="127">
        <f>+Actuals!AE193</f>
        <v>0</v>
      </c>
      <c r="AI70" s="128">
        <f>+Actuals!AF193</f>
        <v>0</v>
      </c>
      <c r="AJ70" s="127">
        <f>+Actuals!AG193</f>
        <v>0</v>
      </c>
      <c r="AK70" s="128">
        <f>+Actuals!AH193</f>
        <v>0</v>
      </c>
      <c r="AL70" s="127">
        <f>+Actuals!AI193</f>
        <v>0</v>
      </c>
      <c r="AM70" s="128">
        <f>+Actuals!AJ193</f>
        <v>0</v>
      </c>
      <c r="AN70" s="127">
        <f>+Actuals!AK193</f>
        <v>0</v>
      </c>
      <c r="AO70" s="128">
        <f>+Actuals!AL193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-1513816.64</v>
      </c>
      <c r="F71" s="81">
        <f>'TIE-OUT'!F71+RECLASS!F71</f>
        <v>0</v>
      </c>
      <c r="G71" s="82">
        <f>'TIE-OUT'!G71+RECLASS!G71</f>
        <v>-1513816.64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+Actuals!K154</f>
        <v>0</v>
      </c>
      <c r="O71" s="128">
        <f>+Actuals!L154</f>
        <v>0</v>
      </c>
      <c r="P71" s="127">
        <f>+Actuals!M154</f>
        <v>0</v>
      </c>
      <c r="Q71" s="128">
        <f>+Actuals!N154</f>
        <v>0</v>
      </c>
      <c r="R71" s="127">
        <f>+Actuals!O154</f>
        <v>0</v>
      </c>
      <c r="S71" s="128">
        <f>+Actuals!P154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  <c r="AF71" s="127">
        <f>+Actuals!AC194</f>
        <v>0</v>
      </c>
      <c r="AG71" s="128">
        <f>+Actuals!AD194</f>
        <v>0</v>
      </c>
      <c r="AH71" s="127">
        <f>+Actuals!AE194</f>
        <v>0</v>
      </c>
      <c r="AI71" s="128">
        <f>+Actuals!AF194</f>
        <v>0</v>
      </c>
      <c r="AJ71" s="127">
        <f>+Actuals!AG194</f>
        <v>0</v>
      </c>
      <c r="AK71" s="128">
        <f>+Actuals!AH194</f>
        <v>0</v>
      </c>
      <c r="AL71" s="127">
        <f>+Actuals!AI194</f>
        <v>0</v>
      </c>
      <c r="AM71" s="128">
        <f>+Actuals!AJ194</f>
        <v>0</v>
      </c>
      <c r="AN71" s="127">
        <f>+Actuals!AK194</f>
        <v>0</v>
      </c>
      <c r="AO71" s="128">
        <f>+Actuals!AL194</f>
        <v>0</v>
      </c>
    </row>
    <row r="72" spans="1:41" x14ac:dyDescent="0.2">
      <c r="A72" s="9"/>
      <c r="B72" s="3"/>
      <c r="C72" s="55" t="s">
        <v>71</v>
      </c>
      <c r="D72" s="61">
        <f t="shared" ref="D72:I72" si="40">SUM(D70:D71)</f>
        <v>0</v>
      </c>
      <c r="E72" s="39">
        <f t="shared" si="40"/>
        <v>-427729.6399999999</v>
      </c>
      <c r="F72" s="61">
        <f t="shared" si="40"/>
        <v>0</v>
      </c>
      <c r="G72" s="39">
        <f t="shared" si="40"/>
        <v>-427729.6399999999</v>
      </c>
      <c r="H72" s="61">
        <f t="shared" si="40"/>
        <v>0</v>
      </c>
      <c r="I72" s="39">
        <f t="shared" si="40"/>
        <v>0</v>
      </c>
      <c r="J72" s="61">
        <f t="shared" ref="J72:Y72" si="41">SUM(J70:J71)</f>
        <v>0</v>
      </c>
      <c r="K72" s="39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si="41"/>
        <v>0</v>
      </c>
      <c r="W72" s="39">
        <f t="shared" si="41"/>
        <v>0</v>
      </c>
      <c r="X72" s="61">
        <f t="shared" si="41"/>
        <v>0</v>
      </c>
      <c r="Y72" s="39">
        <f t="shared" si="41"/>
        <v>0</v>
      </c>
      <c r="Z72" s="61">
        <f t="shared" ref="Z72:AE72" si="42">SUM(Z70:Z71)</f>
        <v>0</v>
      </c>
      <c r="AA72" s="39">
        <f t="shared" si="42"/>
        <v>0</v>
      </c>
      <c r="AB72" s="61">
        <f t="shared" si="42"/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44">SUM(F73,H73,J73,L73,N73,P73,R73,T73,V73,X73,Z73,AB73,AD73,AF73,AH73,AJ73,AL73,AN73)</f>
        <v>0</v>
      </c>
      <c r="E73" s="38">
        <f t="shared" ref="E73:E81" si="45">SUM(G73,I73,K73,M73,O73,Q73,S73,U73,W73,Y73,AA73,AC73,AE73,AG73,AI73,AK73,AM73,AO73)</f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+Actuals!K155</f>
        <v>0</v>
      </c>
      <c r="O73" s="128">
        <f>+Actuals!L155</f>
        <v>0</v>
      </c>
      <c r="P73" s="127">
        <f>+Actuals!M155</f>
        <v>0</v>
      </c>
      <c r="Q73" s="128">
        <f>+Actuals!N155</f>
        <v>0</v>
      </c>
      <c r="R73" s="127">
        <f>+Actuals!O155</f>
        <v>0</v>
      </c>
      <c r="S73" s="128">
        <f>+Actuals!P155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  <c r="AF73" s="127">
        <f>+Actuals!AC195</f>
        <v>0</v>
      </c>
      <c r="AG73" s="128">
        <f>+Actuals!AD195</f>
        <v>0</v>
      </c>
      <c r="AH73" s="127">
        <f>+Actuals!AE195</f>
        <v>0</v>
      </c>
      <c r="AI73" s="128">
        <f>+Actuals!AF195</f>
        <v>0</v>
      </c>
      <c r="AJ73" s="127">
        <f>+Actuals!AG195</f>
        <v>0</v>
      </c>
      <c r="AK73" s="128">
        <f>+Actuals!AH195</f>
        <v>0</v>
      </c>
      <c r="AL73" s="127">
        <f>+Actuals!AI195</f>
        <v>0</v>
      </c>
      <c r="AM73" s="128">
        <f>+Actuals!AJ195</f>
        <v>0</v>
      </c>
      <c r="AN73" s="127">
        <f>+Actuals!AK195</f>
        <v>0</v>
      </c>
      <c r="AO73" s="128">
        <f>+Actuals!AL195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44"/>
        <v>0</v>
      </c>
      <c r="E74" s="38">
        <f t="shared" si="45"/>
        <v>2342273</v>
      </c>
      <c r="F74" s="60">
        <f>'TIE-OUT'!F74+RECLASS!F74</f>
        <v>0</v>
      </c>
      <c r="G74" s="60">
        <f>'TIE-OUT'!G74+RECLASS!G74</f>
        <v>1139340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60">
        <f>+Actuals!H156</f>
        <v>0</v>
      </c>
      <c r="L74" s="127">
        <f>+Actuals!I156</f>
        <v>0</v>
      </c>
      <c r="M74" s="128">
        <f>+Actuals!J156+23000</f>
        <v>23000</v>
      </c>
      <c r="N74" s="127">
        <f>+Actuals!K156</f>
        <v>0</v>
      </c>
      <c r="O74" s="128">
        <f>+Actuals!L156</f>
        <v>0</v>
      </c>
      <c r="P74" s="127">
        <f>+Actuals!M156</f>
        <v>0</v>
      </c>
      <c r="Q74" s="128">
        <f>+Actuals!N156</f>
        <v>0</v>
      </c>
      <c r="R74" s="127">
        <f>+Actuals!O156</f>
        <v>0</v>
      </c>
      <c r="S74" s="128">
        <f>+Actuals!P156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60">
        <f>+Actuals!Z196+1179933</f>
        <v>1179933</v>
      </c>
      <c r="AD74" s="127">
        <f>+Actuals!AA196</f>
        <v>0</v>
      </c>
      <c r="AE74" s="128">
        <f>+Actuals!AB196</f>
        <v>0</v>
      </c>
      <c r="AF74" s="127">
        <f>+Actuals!AC196</f>
        <v>0</v>
      </c>
      <c r="AG74" s="128">
        <f>+Actuals!AD196</f>
        <v>0</v>
      </c>
      <c r="AH74" s="127">
        <f>+Actuals!AE196</f>
        <v>0</v>
      </c>
      <c r="AI74" s="128">
        <f>+Actuals!AF196</f>
        <v>0</v>
      </c>
      <c r="AJ74" s="127">
        <f>+Actuals!AG196</f>
        <v>0</v>
      </c>
      <c r="AK74" s="128">
        <f>+Actuals!AH196</f>
        <v>0</v>
      </c>
      <c r="AL74" s="127">
        <f>+Actuals!AI196</f>
        <v>0</v>
      </c>
      <c r="AM74" s="128">
        <f>+Actuals!AJ196</f>
        <v>0</v>
      </c>
      <c r="AN74" s="127">
        <f>+Actuals!AK196</f>
        <v>0</v>
      </c>
      <c r="AO74" s="128">
        <f>+Actuals!AL196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44"/>
        <v>0</v>
      </c>
      <c r="E75" s="38">
        <f t="shared" si="45"/>
        <v>106300</v>
      </c>
      <c r="F75" s="60">
        <f>'TIE-OUT'!F75+RECLASS!F75</f>
        <v>0</v>
      </c>
      <c r="G75" s="60">
        <f>'TIE-OUT'!G75+RECLASS!G75</f>
        <v>106300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+Actuals!K157</f>
        <v>0</v>
      </c>
      <c r="O75" s="128">
        <f>+Actuals!L157</f>
        <v>0</v>
      </c>
      <c r="P75" s="127">
        <f>+Actuals!M157</f>
        <v>0</v>
      </c>
      <c r="Q75" s="128">
        <f>+Actuals!N157</f>
        <v>0</v>
      </c>
      <c r="R75" s="127">
        <f>+Actuals!O157</f>
        <v>0</v>
      </c>
      <c r="S75" s="128">
        <f>+Actuals!P157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  <c r="AF75" s="127">
        <f>+Actuals!AC197</f>
        <v>0</v>
      </c>
      <c r="AG75" s="128">
        <f>+Actuals!AD197</f>
        <v>0</v>
      </c>
      <c r="AH75" s="127">
        <f>+Actuals!AE197</f>
        <v>0</v>
      </c>
      <c r="AI75" s="128">
        <f>+Actuals!AF197</f>
        <v>0</v>
      </c>
      <c r="AJ75" s="127">
        <f>+Actuals!AG197</f>
        <v>0</v>
      </c>
      <c r="AK75" s="128">
        <f>+Actuals!AH197</f>
        <v>0</v>
      </c>
      <c r="AL75" s="127">
        <f>+Actuals!AI197</f>
        <v>0</v>
      </c>
      <c r="AM75" s="128">
        <f>+Actuals!AJ197</f>
        <v>0</v>
      </c>
      <c r="AN75" s="127">
        <f>+Actuals!AK197</f>
        <v>0</v>
      </c>
      <c r="AO75" s="128">
        <f>+Actuals!AL197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44"/>
        <v>0</v>
      </c>
      <c r="E76" s="38">
        <f t="shared" si="45"/>
        <v>-10200.48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-10536.98</v>
      </c>
      <c r="J76" s="127">
        <f>+Actuals!G158</f>
        <v>0</v>
      </c>
      <c r="K76" s="128">
        <f>+Actuals!H158</f>
        <v>-18241.62</v>
      </c>
      <c r="L76" s="127">
        <f>+Actuals!I158</f>
        <v>0</v>
      </c>
      <c r="M76" s="128">
        <f>+Actuals!J158</f>
        <v>184.5</v>
      </c>
      <c r="N76" s="127">
        <f>+Actuals!K158</f>
        <v>0</v>
      </c>
      <c r="O76" s="128">
        <f>+Actuals!L158</f>
        <v>0</v>
      </c>
      <c r="P76" s="127">
        <f>+Actuals!M158</f>
        <v>0</v>
      </c>
      <c r="Q76" s="128">
        <f>+Actuals!N158</f>
        <v>18393.62</v>
      </c>
      <c r="R76" s="127">
        <f>+Actuals!O158</f>
        <v>0</v>
      </c>
      <c r="S76" s="128">
        <f>+Actuals!P158</f>
        <v>0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  <c r="AF76" s="127">
        <f>+Actuals!AC198</f>
        <v>0</v>
      </c>
      <c r="AG76" s="128">
        <f>+Actuals!AD198</f>
        <v>0</v>
      </c>
      <c r="AH76" s="127">
        <f>+Actuals!AE198</f>
        <v>0</v>
      </c>
      <c r="AI76" s="128">
        <f>+Actuals!AF198</f>
        <v>0</v>
      </c>
      <c r="AJ76" s="127">
        <f>+Actuals!AG198</f>
        <v>0</v>
      </c>
      <c r="AK76" s="128">
        <f>+Actuals!AH198</f>
        <v>0</v>
      </c>
      <c r="AL76" s="127">
        <f>+Actuals!AI198</f>
        <v>0</v>
      </c>
      <c r="AM76" s="128">
        <f>+Actuals!AJ198</f>
        <v>0</v>
      </c>
      <c r="AN76" s="127">
        <f>+Actuals!AK198</f>
        <v>0</v>
      </c>
      <c r="AO76" s="128">
        <f>+Actuals!AL198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44"/>
        <v>0</v>
      </c>
      <c r="E77" s="38">
        <f t="shared" si="45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+Actuals!K159</f>
        <v>0</v>
      </c>
      <c r="O77" s="128">
        <f>+Actuals!L159</f>
        <v>0</v>
      </c>
      <c r="P77" s="127">
        <f>+Actuals!M159</f>
        <v>0</v>
      </c>
      <c r="Q77" s="128">
        <f>+Actuals!N159</f>
        <v>0</v>
      </c>
      <c r="R77" s="127">
        <f>+Actuals!O159</f>
        <v>0</v>
      </c>
      <c r="S77" s="128">
        <f>+Actuals!P159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  <c r="AF77" s="127">
        <f>+Actuals!AC199</f>
        <v>0</v>
      </c>
      <c r="AG77" s="128">
        <f>+Actuals!AD199</f>
        <v>0</v>
      </c>
      <c r="AH77" s="127">
        <f>+Actuals!AE199</f>
        <v>0</v>
      </c>
      <c r="AI77" s="128">
        <f>+Actuals!AF199</f>
        <v>0</v>
      </c>
      <c r="AJ77" s="127">
        <f>+Actuals!AG199</f>
        <v>0</v>
      </c>
      <c r="AK77" s="128">
        <f>+Actuals!AH199</f>
        <v>0</v>
      </c>
      <c r="AL77" s="127">
        <f>+Actuals!AI199</f>
        <v>0</v>
      </c>
      <c r="AM77" s="128">
        <f>+Actuals!AJ199</f>
        <v>0</v>
      </c>
      <c r="AN77" s="127">
        <f>+Actuals!AK199</f>
        <v>0</v>
      </c>
      <c r="AO77" s="128">
        <f>+Actuals!AL199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44"/>
        <v>0</v>
      </c>
      <c r="E78" s="38">
        <f t="shared" si="45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+Actuals!K160</f>
        <v>0</v>
      </c>
      <c r="O78" s="128">
        <f>+Actuals!L160</f>
        <v>0</v>
      </c>
      <c r="P78" s="127">
        <f>+Actuals!M160</f>
        <v>0</v>
      </c>
      <c r="Q78" s="128">
        <f>+Actuals!N160</f>
        <v>0</v>
      </c>
      <c r="R78" s="127">
        <f>+Actuals!O160</f>
        <v>0</v>
      </c>
      <c r="S78" s="128">
        <f>+Actuals!P160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  <c r="AF78" s="127">
        <f>+Actuals!AC200</f>
        <v>0</v>
      </c>
      <c r="AG78" s="128">
        <f>+Actuals!AD200</f>
        <v>0</v>
      </c>
      <c r="AH78" s="127">
        <f>+Actuals!AE200</f>
        <v>0</v>
      </c>
      <c r="AI78" s="128">
        <f>+Actuals!AF200</f>
        <v>0</v>
      </c>
      <c r="AJ78" s="127">
        <f>+Actuals!AG200</f>
        <v>0</v>
      </c>
      <c r="AK78" s="128">
        <f>+Actuals!AH200</f>
        <v>0</v>
      </c>
      <c r="AL78" s="127">
        <f>+Actuals!AI200</f>
        <v>0</v>
      </c>
      <c r="AM78" s="128">
        <f>+Actuals!AJ200</f>
        <v>0</v>
      </c>
      <c r="AN78" s="127">
        <f>+Actuals!AK200</f>
        <v>0</v>
      </c>
      <c r="AO78" s="128">
        <f>+Actuals!AL200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44"/>
        <v>0</v>
      </c>
      <c r="E79" s="38">
        <f t="shared" si="45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+Actuals!K161</f>
        <v>0</v>
      </c>
      <c r="O79" s="128">
        <f>+Actuals!L161</f>
        <v>0</v>
      </c>
      <c r="P79" s="127">
        <f>+Actuals!M161</f>
        <v>0</v>
      </c>
      <c r="Q79" s="128">
        <f>+Actuals!N161</f>
        <v>0</v>
      </c>
      <c r="R79" s="127">
        <f>+Actuals!O161</f>
        <v>0</v>
      </c>
      <c r="S79" s="128">
        <f>+Actuals!P161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  <c r="AF79" s="127">
        <f>+Actuals!AC201</f>
        <v>0</v>
      </c>
      <c r="AG79" s="128">
        <f>+Actuals!AD201</f>
        <v>0</v>
      </c>
      <c r="AH79" s="127">
        <f>+Actuals!AE201</f>
        <v>0</v>
      </c>
      <c r="AI79" s="128">
        <f>+Actuals!AF201</f>
        <v>0</v>
      </c>
      <c r="AJ79" s="127">
        <f>+Actuals!AG201</f>
        <v>0</v>
      </c>
      <c r="AK79" s="128">
        <f>+Actuals!AH201</f>
        <v>0</v>
      </c>
      <c r="AL79" s="127">
        <f>+Actuals!AI201</f>
        <v>0</v>
      </c>
      <c r="AM79" s="128">
        <f>+Actuals!AJ201</f>
        <v>0</v>
      </c>
      <c r="AN79" s="127">
        <f>+Actuals!AK201</f>
        <v>0</v>
      </c>
      <c r="AO79" s="128">
        <f>+Actuals!AL201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44"/>
        <v>0</v>
      </c>
      <c r="E80" s="38">
        <f t="shared" si="45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+Actuals!K162</f>
        <v>0</v>
      </c>
      <c r="O80" s="128">
        <f>+Actuals!L162</f>
        <v>0</v>
      </c>
      <c r="P80" s="127">
        <f>+Actuals!M162</f>
        <v>0</v>
      </c>
      <c r="Q80" s="128">
        <f>+Actuals!N162</f>
        <v>0</v>
      </c>
      <c r="R80" s="127">
        <f>+Actuals!O162</f>
        <v>0</v>
      </c>
      <c r="S80" s="128">
        <f>+Actuals!P162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  <c r="AF80" s="127">
        <f>+Actuals!AC202</f>
        <v>0</v>
      </c>
      <c r="AG80" s="128">
        <f>+Actuals!AD202</f>
        <v>0</v>
      </c>
      <c r="AH80" s="127">
        <f>+Actuals!AE202</f>
        <v>0</v>
      </c>
      <c r="AI80" s="128">
        <f>+Actuals!AF202</f>
        <v>0</v>
      </c>
      <c r="AJ80" s="127">
        <f>+Actuals!AG202</f>
        <v>0</v>
      </c>
      <c r="AK80" s="128">
        <f>+Actuals!AH202</f>
        <v>0</v>
      </c>
      <c r="AL80" s="127">
        <f>+Actuals!AI202</f>
        <v>0</v>
      </c>
      <c r="AM80" s="128">
        <f>+Actuals!AJ202</f>
        <v>0</v>
      </c>
      <c r="AN80" s="127">
        <f>+Actuals!AK202</f>
        <v>0</v>
      </c>
      <c r="AO80" s="128">
        <f>+Actuals!AL202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44"/>
        <v>0</v>
      </c>
      <c r="E81" s="38">
        <f t="shared" si="45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7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0</v>
      </c>
      <c r="N81" s="127">
        <f>+Actuals!K163</f>
        <v>0</v>
      </c>
      <c r="O81" s="128">
        <f>+Actuals!L163</f>
        <v>0</v>
      </c>
      <c r="P81" s="127">
        <f>+Actuals!M163</f>
        <v>0</v>
      </c>
      <c r="Q81" s="128">
        <f>+Actuals!N163</f>
        <v>0</v>
      </c>
      <c r="R81" s="127">
        <f>+Actuals!O163</f>
        <v>0</v>
      </c>
      <c r="S81" s="128">
        <f>+Actuals!P163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  <c r="AF81" s="127">
        <f>+Actuals!AC203</f>
        <v>0</v>
      </c>
      <c r="AG81" s="128">
        <f>+Actuals!AD203</f>
        <v>0</v>
      </c>
      <c r="AH81" s="127">
        <f>+Actuals!AE203</f>
        <v>0</v>
      </c>
      <c r="AI81" s="128">
        <f>+Actuals!AF203</f>
        <v>0</v>
      </c>
      <c r="AJ81" s="127">
        <f>+Actuals!AG203</f>
        <v>0</v>
      </c>
      <c r="AK81" s="128">
        <f>+Actuals!AH203</f>
        <v>0</v>
      </c>
      <c r="AL81" s="127">
        <f>+Actuals!AI203</f>
        <v>0</v>
      </c>
      <c r="AM81" s="128">
        <f>+Actuals!AJ203</f>
        <v>0</v>
      </c>
      <c r="AN81" s="127">
        <f>+Actuals!AK203</f>
        <v>0</v>
      </c>
      <c r="AO81" s="128">
        <f>+Actuals!AL203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2687800.8660000227</v>
      </c>
      <c r="F82" s="92">
        <f>F16+F24+F29+F36+F43+F45+F47+F49</f>
        <v>0</v>
      </c>
      <c r="G82" s="93">
        <f>SUM(G72:G81)+G16+G24+G29+G36+G43+G45+G47+G49+G51+G56+G61+G66</f>
        <v>-5939079.8199999994</v>
      </c>
      <c r="H82" s="92">
        <f>H16+H24+H29+H36+H43+H45+H47+H49</f>
        <v>0</v>
      </c>
      <c r="I82" s="158">
        <f>SUM(I72:I81)+I16+I24+I29+I36+I43+I45+I47+I49+I51+I56+I61+I66</f>
        <v>7301816.2080000164</v>
      </c>
      <c r="J82" s="92">
        <f>J16+J24+J29+J36+J43+J45+J47+J49</f>
        <v>0</v>
      </c>
      <c r="K82" s="158">
        <f>SUM(K72:K81)+K16+K24+K29+K36+K43+K45+K47+K49+K51+K56+K61+K66</f>
        <v>-4250632.074</v>
      </c>
      <c r="L82" s="92">
        <f>L16+L24+L29+L36+L43+L45+L47+L49</f>
        <v>0</v>
      </c>
      <c r="M82" s="93">
        <f>SUM(M72:M81)+M16+M24+M29+M36+M43+M45+M47+M49+M51+M56+M61+M66</f>
        <v>1830540.4679999999</v>
      </c>
      <c r="N82" s="92">
        <f>N16+N24+N29+N36+N43+N45+N47+N49</f>
        <v>0</v>
      </c>
      <c r="O82" s="93">
        <f>SUM(O72:O81)+O16+O24+O29+O36+O43+O45+O47+O49+O51+O56+O61+O66</f>
        <v>1458165.176</v>
      </c>
      <c r="P82" s="92">
        <f>P16+P24+P29+P36+P43+P45+P47+P49</f>
        <v>0</v>
      </c>
      <c r="Q82" s="93">
        <f>SUM(Q72:Q81)+Q16+Q24+Q29+Q36+Q43+Q45+Q47+Q49+Q51+Q56+Q61+Q66</f>
        <v>729314.23199999984</v>
      </c>
      <c r="R82" s="92">
        <f>R16+R24+R29+R36+R43+R45+R47+R49</f>
        <v>0</v>
      </c>
      <c r="S82" s="93">
        <f>SUM(S72:S81)+S16+S24+S29+S36+S43+S45+S47+S49+S51+S56+S61+S66</f>
        <v>-14244.056000000099</v>
      </c>
      <c r="T82" s="92">
        <f>T16+T24+T29+T36+T43+T45+T47+T49</f>
        <v>0</v>
      </c>
      <c r="U82" s="93">
        <f>SUM(U72:U81)+U16+U24+U29+U36+U43+U45+U47+U49+U51+U56+U61+U66</f>
        <v>41653.041999999921</v>
      </c>
      <c r="V82" s="92">
        <f>V16+V24+V29+V36+V43+V45+V47+V49</f>
        <v>0</v>
      </c>
      <c r="W82" s="93">
        <f>SUM(W72:W81)+W16+W24+W29+W36+W43+W45+W47+W49+W51+W56+W61+W66</f>
        <v>18310.257999999572</v>
      </c>
      <c r="X82" s="92">
        <f>X16+X24+X29+X36+X43+X45+X47+X49</f>
        <v>0</v>
      </c>
      <c r="Y82" s="93">
        <f>SUM(Y72:Y81)+Y16+Y24+Y29+Y36+Y43+Y45+Y47+Y49+Y51+Y56+Y61+Y66</f>
        <v>15812.537999999382</v>
      </c>
      <c r="Z82" s="92">
        <f>Z16+Z24+Z29+Z36+Z43+Z45+Z47+Z49</f>
        <v>0</v>
      </c>
      <c r="AA82" s="93">
        <f>SUM(AA72:AA81)+AA16+AA24+AA29+AA36+AA43+AA45+AA47+AA49+AA51+AA56+AA61+AA66</f>
        <v>-12630.227999999999</v>
      </c>
      <c r="AB82" s="92">
        <f>AB16+AB24+AB29+AB36+AB43+AB45+AB47+AB49</f>
        <v>0</v>
      </c>
      <c r="AC82" s="93">
        <f>SUM(AC72:AC81)+AC16+AC24+AC29+AC36+AC43+AC45+AC47+AC49+AC51+AC56+AC61+AC66</f>
        <v>1184011.4040000003</v>
      </c>
      <c r="AD82" s="92">
        <f>AD16+AD24+AD29+AD36+AD43+AD45+AD47+AD49</f>
        <v>0</v>
      </c>
      <c r="AE82" s="93">
        <f>SUM(AE72:AE81)+AE16+AE24+AE29+AE36+AE43+AE45+AE47+AE49+AE51+AE56+AE61+AE66</f>
        <v>10187.449999999999</v>
      </c>
      <c r="AF82" s="92">
        <f>AF16+AF24+AF29+AF36+AF43+AF45+AF47+AF49</f>
        <v>0</v>
      </c>
      <c r="AG82" s="93">
        <f>SUM(AG72:AG81)+AG16+AG24+AG29+AG36+AG43+AG45+AG47+AG49+AG51+AG56+AG61+AG66</f>
        <v>89767.86</v>
      </c>
      <c r="AH82" s="92">
        <f>AH16+AH24+AH29+AH36+AH43+AH45+AH47+AH49</f>
        <v>0</v>
      </c>
      <c r="AI82" s="93">
        <f>SUM(AI72:AI81)+AI16+AI24+AI29+AI36+AI43+AI45+AI47+AI49+AI51+AI56+AI61+AI66</f>
        <v>-1432.1120000000001</v>
      </c>
      <c r="AJ82" s="92">
        <f>AJ16+AJ24+AJ29+AJ36+AJ43+AJ45+AJ47+AJ49</f>
        <v>0</v>
      </c>
      <c r="AK82" s="93">
        <f>SUM(AK72:AK81)+AK16+AK24+AK29+AK36+AK43+AK45+AK47+AK49+AK51+AK56+AK61+AK66</f>
        <v>452481.36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-226240.84000000003</v>
      </c>
    </row>
    <row r="83" spans="1:41" ht="13.5" thickTop="1" x14ac:dyDescent="0.2">
      <c r="A83" s="4"/>
      <c r="B83" s="3"/>
    </row>
    <row r="84" spans="1:41" x14ac:dyDescent="0.2">
      <c r="A84" s="4"/>
      <c r="B84" s="3"/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4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O187"/>
  <sheetViews>
    <sheetView zoomScale="75" workbookViewId="0">
      <pane xSplit="3" ySplit="9" topLeftCell="AH62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N89" sqref="AN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85219193</v>
      </c>
      <c r="E11" s="38">
        <f t="shared" si="0"/>
        <v>207567202.66999999</v>
      </c>
      <c r="F11" s="60">
        <f>'TIE-OUT'!H11+RECLASS!H11</f>
        <v>0</v>
      </c>
      <c r="G11" s="38">
        <f>'TIE-OUT'!I11+RECLASS!I11</f>
        <v>0</v>
      </c>
      <c r="H11" s="127">
        <f>+Actuals!E164</f>
        <v>85051560</v>
      </c>
      <c r="I11" s="128">
        <f>+Actuals!F164</f>
        <v>201168861.69999999</v>
      </c>
      <c r="J11" s="127">
        <f>+Actuals!G164</f>
        <v>-279996</v>
      </c>
      <c r="K11" s="147">
        <f>+Actuals!H164</f>
        <v>19125174.07</v>
      </c>
      <c r="L11" s="127">
        <f>+Actuals!I164</f>
        <v>-3918</v>
      </c>
      <c r="M11" s="128">
        <f>+Actuals!J164</f>
        <v>627343.05000000005</v>
      </c>
      <c r="N11" s="127">
        <f>+Actuals!K164</f>
        <v>0</v>
      </c>
      <c r="O11" s="128">
        <f>+Actuals!L164</f>
        <v>276260.31</v>
      </c>
      <c r="P11" s="127">
        <f>+Actuals!M164</f>
        <v>0</v>
      </c>
      <c r="Q11" s="128">
        <f>+Actuals!N164</f>
        <v>-74</v>
      </c>
      <c r="R11" s="127">
        <f>+Actuals!O164</f>
        <v>445466</v>
      </c>
      <c r="S11" s="128">
        <f>+Actuals!P164</f>
        <v>-13611673.25</v>
      </c>
      <c r="T11" s="127">
        <f>+Actuals!Q164</f>
        <v>0</v>
      </c>
      <c r="U11" s="128">
        <f>+Actuals!R164</f>
        <v>0</v>
      </c>
      <c r="V11" s="127">
        <f>+Actuals!S164</f>
        <v>0</v>
      </c>
      <c r="W11" s="128">
        <f>+Actuals!T164</f>
        <v>0</v>
      </c>
      <c r="X11" s="127">
        <f>+Actuals!U244</f>
        <v>0</v>
      </c>
      <c r="Y11" s="128">
        <f>+Actuals!V244</f>
        <v>-37521.300000000003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  <c r="AF11" s="127">
        <f>+Actuals!AC244</f>
        <v>6081</v>
      </c>
      <c r="AG11" s="128">
        <f>+Actuals!AD244</f>
        <v>24059.99</v>
      </c>
      <c r="AH11" s="127">
        <f>+Actuals!AE244</f>
        <v>0</v>
      </c>
      <c r="AI11" s="128">
        <f>+Actuals!AF244</f>
        <v>-5227.8999999999996</v>
      </c>
      <c r="AJ11" s="127">
        <f>+Actuals!AG244</f>
        <v>0</v>
      </c>
      <c r="AK11" s="128">
        <f>+Actuals!AH244</f>
        <v>0</v>
      </c>
      <c r="AL11" s="127">
        <f>+Actuals!AI244</f>
        <v>0</v>
      </c>
      <c r="AM11" s="128">
        <f>+Actuals!AJ244</f>
        <v>0</v>
      </c>
      <c r="AN11" s="127">
        <f>+Actuals!AK244</f>
        <v>0</v>
      </c>
      <c r="AO11" s="128">
        <f>+Actuals!AL244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-1670858.48</v>
      </c>
      <c r="F12" s="60">
        <f>'TIE-OUT'!H12+RECLASS!H12</f>
        <v>0</v>
      </c>
      <c r="G12" s="38">
        <f>'TIE-OUT'!I12+RECLASS!I12</f>
        <v>-1694562.08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60">
        <f>+Actuals!H165+310-10717.1+34110.7</f>
        <v>23703.599999999999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  <c r="AF12" s="127">
        <f>+Actuals!AC245</f>
        <v>0</v>
      </c>
      <c r="AG12" s="128">
        <f>+Actuals!AD245</f>
        <v>0</v>
      </c>
      <c r="AH12" s="127">
        <f>+Actuals!AE245</f>
        <v>0</v>
      </c>
      <c r="AI12" s="128">
        <f>+Actuals!AF245</f>
        <v>0</v>
      </c>
      <c r="AJ12" s="127">
        <f>+Actuals!AG245</f>
        <v>0</v>
      </c>
      <c r="AK12" s="128">
        <f>+Actuals!AH245</f>
        <v>0</v>
      </c>
      <c r="AL12" s="127">
        <f>+Actuals!AI245</f>
        <v>0</v>
      </c>
      <c r="AM12" s="128">
        <f>+Actuals!AJ245</f>
        <v>0</v>
      </c>
      <c r="AN12" s="127">
        <f>+Actuals!AK245</f>
        <v>0</v>
      </c>
      <c r="AO12" s="128">
        <f>+Actuals!AL245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48098747</v>
      </c>
      <c r="E13" s="38">
        <f t="shared" si="0"/>
        <v>110384760</v>
      </c>
      <c r="F13" s="60">
        <f>'TIE-OUT'!H13+RECLASS!H13</f>
        <v>0</v>
      </c>
      <c r="G13" s="38">
        <f>'TIE-OUT'!I13+RECLASS!I13</f>
        <v>0</v>
      </c>
      <c r="H13" s="127">
        <f>+Actuals!E166</f>
        <v>48098747</v>
      </c>
      <c r="I13" s="128">
        <f>+Actuals!F166</f>
        <v>110384760</v>
      </c>
      <c r="J13" s="127">
        <f>+Actuals!G166</f>
        <v>-77304</v>
      </c>
      <c r="K13" s="147">
        <f>+Actuals!H166</f>
        <v>-170702</v>
      </c>
      <c r="L13" s="127">
        <f>+Actuals!I166</f>
        <v>0</v>
      </c>
      <c r="M13" s="128">
        <f>+Actuals!J166</f>
        <v>0</v>
      </c>
      <c r="N13" s="127">
        <f>+Actuals!K166</f>
        <v>0</v>
      </c>
      <c r="O13" s="128">
        <f>+Actuals!L166</f>
        <v>0</v>
      </c>
      <c r="P13" s="127">
        <f>+Actuals!M166</f>
        <v>0</v>
      </c>
      <c r="Q13" s="128">
        <f>+Actuals!N166</f>
        <v>0</v>
      </c>
      <c r="R13" s="127">
        <f>+Actuals!O166</f>
        <v>384967</v>
      </c>
      <c r="S13" s="128">
        <f>+Actuals!P166</f>
        <v>843693</v>
      </c>
      <c r="T13" s="127">
        <f>+Actuals!Q166</f>
        <v>545699</v>
      </c>
      <c r="U13" s="128">
        <f>+Actuals!R166</f>
        <v>1199034</v>
      </c>
      <c r="V13" s="127">
        <f>+Actuals!S166</f>
        <v>-853362</v>
      </c>
      <c r="W13" s="128">
        <f>+Actuals!T166</f>
        <v>-1872025</v>
      </c>
      <c r="X13" s="127">
        <f>+Actuals!U246</f>
        <v>853362</v>
      </c>
      <c r="Y13" s="128">
        <f>+Actuals!V246</f>
        <v>1872025</v>
      </c>
      <c r="Z13" s="127">
        <f>+Actuals!W246</f>
        <v>0</v>
      </c>
      <c r="AA13" s="128">
        <f>+Actuals!X246</f>
        <v>0</v>
      </c>
      <c r="AB13" s="127">
        <f>+Actuals!Y246</f>
        <v>-853362</v>
      </c>
      <c r="AC13" s="128">
        <f>+Actuals!Z246</f>
        <v>-1872025</v>
      </c>
      <c r="AD13" s="127">
        <f>+Actuals!AA246</f>
        <v>0</v>
      </c>
      <c r="AE13" s="128">
        <f>+Actuals!AB246</f>
        <v>0</v>
      </c>
      <c r="AF13" s="127">
        <f>+Actuals!AC246</f>
        <v>0</v>
      </c>
      <c r="AG13" s="128">
        <f>+Actuals!AD246</f>
        <v>0</v>
      </c>
      <c r="AH13" s="127">
        <f>+Actuals!AE246</f>
        <v>0</v>
      </c>
      <c r="AI13" s="128">
        <f>+Actuals!AF246</f>
        <v>0</v>
      </c>
      <c r="AJ13" s="127">
        <f>+Actuals!AG246</f>
        <v>0</v>
      </c>
      <c r="AK13" s="128">
        <f>+Actuals!AH246</f>
        <v>0</v>
      </c>
      <c r="AL13" s="127">
        <f>+Actuals!AI246</f>
        <v>0</v>
      </c>
      <c r="AM13" s="128">
        <f>+Actuals!AJ246</f>
        <v>0</v>
      </c>
      <c r="AN13" s="127">
        <f>+Actuals!AK246</f>
        <v>0</v>
      </c>
      <c r="AO13" s="128">
        <f>+Actuals!AL246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  <c r="AF14" s="127">
        <f>+Actuals!AC247</f>
        <v>0</v>
      </c>
      <c r="AG14" s="128">
        <f>+Actuals!AD247</f>
        <v>0</v>
      </c>
      <c r="AH14" s="127">
        <f>+Actuals!AE247</f>
        <v>0</v>
      </c>
      <c r="AI14" s="128">
        <f>+Actuals!AF247</f>
        <v>0</v>
      </c>
      <c r="AJ14" s="127">
        <f>+Actuals!AG247</f>
        <v>0</v>
      </c>
      <c r="AK14" s="128">
        <f>+Actuals!AH247</f>
        <v>0</v>
      </c>
      <c r="AL14" s="127">
        <f>+Actuals!AI247</f>
        <v>0</v>
      </c>
      <c r="AM14" s="128">
        <f>+Actuals!AJ247</f>
        <v>0</v>
      </c>
      <c r="AN14" s="127">
        <f>+Actuals!AK247</f>
        <v>0</v>
      </c>
      <c r="AO14" s="128">
        <f>+Actuals!AL247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27">
        <f>+Actuals!E168</f>
        <v>0</v>
      </c>
      <c r="I15" s="128">
        <f>+Actuals!F168</f>
        <v>0</v>
      </c>
      <c r="J15" s="127">
        <f>+Actuals!G168</f>
        <v>0</v>
      </c>
      <c r="K15" s="147">
        <f>+Actuals!H168</f>
        <v>0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8">
        <f>+Actuals!N168</f>
        <v>0</v>
      </c>
      <c r="R15" s="127">
        <f>+Actuals!O168</f>
        <v>0</v>
      </c>
      <c r="S15" s="128">
        <f>+Actuals!P168</f>
        <v>0</v>
      </c>
      <c r="T15" s="127">
        <f>+Actuals!Q168</f>
        <v>0</v>
      </c>
      <c r="U15" s="128">
        <f>+Actuals!R168</f>
        <v>0</v>
      </c>
      <c r="V15" s="127">
        <f>+Actuals!S168</f>
        <v>0</v>
      </c>
      <c r="W15" s="128">
        <f>+Actuals!T168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  <c r="AF15" s="127">
        <f>+Actuals!AC248</f>
        <v>0</v>
      </c>
      <c r="AG15" s="128">
        <f>+Actuals!AD248</f>
        <v>0</v>
      </c>
      <c r="AH15" s="127">
        <f>+Actuals!AE248</f>
        <v>0</v>
      </c>
      <c r="AI15" s="128">
        <f>+Actuals!AF248</f>
        <v>0</v>
      </c>
      <c r="AJ15" s="127">
        <f>+Actuals!AG248</f>
        <v>0</v>
      </c>
      <c r="AK15" s="128">
        <f>+Actuals!AH248</f>
        <v>0</v>
      </c>
      <c r="AL15" s="127">
        <f>+Actuals!AI248</f>
        <v>0</v>
      </c>
      <c r="AM15" s="128">
        <f>+Actuals!AJ248</f>
        <v>0</v>
      </c>
      <c r="AN15" s="127">
        <f>+Actuals!AK248</f>
        <v>0</v>
      </c>
      <c r="AO15" s="128">
        <f>+Actuals!AL248</f>
        <v>0</v>
      </c>
    </row>
    <row r="16" spans="1:41" x14ac:dyDescent="0.2">
      <c r="A16" s="9"/>
      <c r="B16" s="7" t="s">
        <v>32</v>
      </c>
      <c r="C16" s="6"/>
      <c r="D16" s="61">
        <f t="shared" ref="D16:Y16" si="1">SUM(D11:D15)</f>
        <v>133317940</v>
      </c>
      <c r="E16" s="39">
        <f t="shared" si="1"/>
        <v>316281104.19</v>
      </c>
      <c r="F16" s="61">
        <f t="shared" si="1"/>
        <v>0</v>
      </c>
      <c r="G16" s="39">
        <f t="shared" si="1"/>
        <v>-1694562.08</v>
      </c>
      <c r="H16" s="61">
        <f t="shared" si="1"/>
        <v>133150307</v>
      </c>
      <c r="I16" s="39">
        <f t="shared" si="1"/>
        <v>311553621.69999999</v>
      </c>
      <c r="J16" s="61">
        <f t="shared" si="1"/>
        <v>-357300</v>
      </c>
      <c r="K16" s="148">
        <f t="shared" si="1"/>
        <v>18978175.670000002</v>
      </c>
      <c r="L16" s="61">
        <f t="shared" si="1"/>
        <v>-3918</v>
      </c>
      <c r="M16" s="39">
        <f t="shared" si="1"/>
        <v>627343.05000000005</v>
      </c>
      <c r="N16" s="61">
        <f t="shared" si="1"/>
        <v>0</v>
      </c>
      <c r="O16" s="39">
        <f t="shared" si="1"/>
        <v>276260.31</v>
      </c>
      <c r="P16" s="61">
        <f t="shared" si="1"/>
        <v>0</v>
      </c>
      <c r="Q16" s="39">
        <f t="shared" si="1"/>
        <v>-74</v>
      </c>
      <c r="R16" s="61">
        <f t="shared" si="1"/>
        <v>830433</v>
      </c>
      <c r="S16" s="39">
        <f t="shared" si="1"/>
        <v>-12767980.25</v>
      </c>
      <c r="T16" s="61">
        <f t="shared" si="1"/>
        <v>545699</v>
      </c>
      <c r="U16" s="39">
        <f t="shared" si="1"/>
        <v>1199034</v>
      </c>
      <c r="V16" s="61">
        <f t="shared" si="1"/>
        <v>-853362</v>
      </c>
      <c r="W16" s="39">
        <f t="shared" si="1"/>
        <v>-1872025</v>
      </c>
      <c r="X16" s="61">
        <f t="shared" si="1"/>
        <v>853362</v>
      </c>
      <c r="Y16" s="39">
        <f t="shared" si="1"/>
        <v>1834503.7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-853362</v>
      </c>
      <c r="AC16" s="39">
        <f t="shared" si="2"/>
        <v>-1872025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6081</v>
      </c>
      <c r="AG16" s="39">
        <f t="shared" si="3"/>
        <v>24059.99</v>
      </c>
      <c r="AH16" s="61">
        <f t="shared" si="3"/>
        <v>0</v>
      </c>
      <c r="AI16" s="39">
        <f t="shared" si="3"/>
        <v>-5227.8999999999996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-91658596</v>
      </c>
      <c r="E19" s="38">
        <f t="shared" si="4"/>
        <v>-214688413.23000002</v>
      </c>
      <c r="F19" s="64">
        <f>'TIE-OUT'!H19+RECLASS!H19</f>
        <v>0</v>
      </c>
      <c r="G19" s="68">
        <f>'TIE-OUT'!I19+RECLASS!I19</f>
        <v>0</v>
      </c>
      <c r="H19" s="127">
        <f>+Actuals!E169</f>
        <v>-97232704</v>
      </c>
      <c r="I19" s="128">
        <f>+Actuals!F169</f>
        <v>-223386900.94</v>
      </c>
      <c r="J19" s="127">
        <f>+Actuals!G169</f>
        <v>-702262</v>
      </c>
      <c r="K19" s="147">
        <f>+Actuals!H169</f>
        <v>-4216276.3600000003</v>
      </c>
      <c r="L19" s="127">
        <f>+Actuals!I169</f>
        <v>-141326</v>
      </c>
      <c r="M19" s="128">
        <f>+Actuals!J169</f>
        <v>-283178.55</v>
      </c>
      <c r="N19" s="127">
        <f>+Actuals!K169</f>
        <v>543109</v>
      </c>
      <c r="O19" s="128">
        <f>+Actuals!L169</f>
        <v>1303481.8600000001</v>
      </c>
      <c r="P19" s="127">
        <f>+Actuals!M169</f>
        <v>-1127</v>
      </c>
      <c r="Q19" s="128">
        <f>+Actuals!N169</f>
        <v>-2813.43</v>
      </c>
      <c r="R19" s="127">
        <f>+Actuals!O169</f>
        <v>5858506</v>
      </c>
      <c r="S19" s="128">
        <f>+Actuals!P169</f>
        <v>11859393.890000001</v>
      </c>
      <c r="T19" s="127">
        <f>+Actuals!Q169</f>
        <v>0</v>
      </c>
      <c r="U19" s="128">
        <f>+Actuals!R169</f>
        <v>0</v>
      </c>
      <c r="V19" s="127">
        <f>+Actuals!S169</f>
        <v>0</v>
      </c>
      <c r="W19" s="128">
        <f>+Actuals!T169</f>
        <v>0</v>
      </c>
      <c r="X19" s="127">
        <f>+Actuals!U249</f>
        <v>17306</v>
      </c>
      <c r="Y19" s="128">
        <f>+Actuals!V249</f>
        <v>38211.65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  <c r="AF19" s="127">
        <f>+Actuals!AC249</f>
        <v>-98</v>
      </c>
      <c r="AG19" s="128">
        <f>+Actuals!AD249</f>
        <v>-331.35</v>
      </c>
      <c r="AH19" s="127">
        <f>+Actuals!AE249</f>
        <v>0</v>
      </c>
      <c r="AI19" s="128">
        <f>+Actuals!AF249</f>
        <v>0</v>
      </c>
      <c r="AJ19" s="127">
        <f>+Actuals!AG249</f>
        <v>0</v>
      </c>
      <c r="AK19" s="128">
        <f>+Actuals!AH249</f>
        <v>0</v>
      </c>
      <c r="AL19" s="127">
        <f>+Actuals!AI249</f>
        <v>0</v>
      </c>
      <c r="AM19" s="128">
        <f>+Actuals!AJ249</f>
        <v>0</v>
      </c>
      <c r="AN19" s="127">
        <f>+Actuals!AK249</f>
        <v>0</v>
      </c>
      <c r="AO19" s="128">
        <f>+Actuals!AL249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-3291131.21</v>
      </c>
      <c r="F20" s="60">
        <f>'TIE-OUT'!H20+RECLASS!H20</f>
        <v>0</v>
      </c>
      <c r="G20" s="38">
        <f>'TIE-OUT'!I20+RECLASS!I20</f>
        <v>-3291131.21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47">
        <f>+Actuals!H170</f>
        <v>0</v>
      </c>
      <c r="L20" s="127">
        <f>+Actuals!I170</f>
        <v>0</v>
      </c>
      <c r="M20" s="128">
        <f>+Actuals!J170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  <c r="AF20" s="127">
        <f>+Actuals!AC250</f>
        <v>0</v>
      </c>
      <c r="AG20" s="128">
        <f>+Actuals!AD250</f>
        <v>0</v>
      </c>
      <c r="AH20" s="127">
        <f>+Actuals!AE250</f>
        <v>0</v>
      </c>
      <c r="AI20" s="128">
        <f>+Actuals!AF250</f>
        <v>0</v>
      </c>
      <c r="AJ20" s="127">
        <f>+Actuals!AG250</f>
        <v>0</v>
      </c>
      <c r="AK20" s="128">
        <f>+Actuals!AH250</f>
        <v>0</v>
      </c>
      <c r="AL20" s="127">
        <f>+Actuals!AI250</f>
        <v>0</v>
      </c>
      <c r="AM20" s="128">
        <f>+Actuals!AJ250</f>
        <v>0</v>
      </c>
      <c r="AN20" s="127">
        <f>+Actuals!AK250</f>
        <v>0</v>
      </c>
      <c r="AO20" s="128">
        <f>+Actuals!AL250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-40530677</v>
      </c>
      <c r="E21" s="38">
        <f t="shared" si="4"/>
        <v>-92564051</v>
      </c>
      <c r="F21" s="60">
        <f>'TIE-OUT'!H21+RECLASS!H21</f>
        <v>0</v>
      </c>
      <c r="G21" s="38">
        <f>'TIE-OUT'!I21+RECLASS!I21</f>
        <v>0</v>
      </c>
      <c r="H21" s="127">
        <f>+Actuals!E171</f>
        <v>-40530677</v>
      </c>
      <c r="I21" s="128">
        <f>+Actuals!F171</f>
        <v>-92564051</v>
      </c>
      <c r="J21" s="127">
        <f>+Actuals!G171</f>
        <v>0</v>
      </c>
      <c r="K21" s="147">
        <f>+Actuals!H171</f>
        <v>0</v>
      </c>
      <c r="L21" s="127">
        <f>+Actuals!I171</f>
        <v>0</v>
      </c>
      <c r="M21" s="128">
        <f>+Actuals!J171</f>
        <v>0</v>
      </c>
      <c r="N21" s="127">
        <f>+Actuals!K171</f>
        <v>0</v>
      </c>
      <c r="O21" s="128">
        <f>+Actuals!L171</f>
        <v>0</v>
      </c>
      <c r="P21" s="127">
        <f>+Actuals!M171</f>
        <v>0</v>
      </c>
      <c r="Q21" s="128">
        <f>+Actuals!N171</f>
        <v>0</v>
      </c>
      <c r="R21" s="127">
        <f>+Actuals!O171</f>
        <v>-384967</v>
      </c>
      <c r="S21" s="128">
        <f>+Actuals!P171</f>
        <v>-843693</v>
      </c>
      <c r="T21" s="127">
        <f>+Actuals!Q171</f>
        <v>-545699</v>
      </c>
      <c r="U21" s="128">
        <f>+Actuals!R171</f>
        <v>-1199034</v>
      </c>
      <c r="V21" s="127">
        <f>+Actuals!S171</f>
        <v>930666</v>
      </c>
      <c r="W21" s="128">
        <f>+Actuals!T171</f>
        <v>2042727</v>
      </c>
      <c r="X21" s="127">
        <f>+Actuals!U251</f>
        <v>-930666</v>
      </c>
      <c r="Y21" s="128">
        <f>+Actuals!V251</f>
        <v>-2042727</v>
      </c>
      <c r="Z21" s="127">
        <f>+Actuals!W251</f>
        <v>0</v>
      </c>
      <c r="AA21" s="128">
        <f>+Actuals!X251</f>
        <v>0</v>
      </c>
      <c r="AB21" s="127">
        <f>+Actuals!Y251</f>
        <v>930666</v>
      </c>
      <c r="AC21" s="128">
        <f>+Actuals!Z251</f>
        <v>2042727</v>
      </c>
      <c r="AD21" s="127">
        <f>+Actuals!AA251</f>
        <v>0</v>
      </c>
      <c r="AE21" s="128">
        <f>+Actuals!AB251</f>
        <v>0</v>
      </c>
      <c r="AF21" s="127">
        <f>+Actuals!AC251</f>
        <v>0</v>
      </c>
      <c r="AG21" s="128">
        <f>+Actuals!AD251</f>
        <v>0</v>
      </c>
      <c r="AH21" s="127">
        <f>+Actuals!AE251</f>
        <v>0</v>
      </c>
      <c r="AI21" s="128">
        <f>+Actuals!AF251</f>
        <v>0</v>
      </c>
      <c r="AJ21" s="127">
        <f>+Actuals!AG251</f>
        <v>0</v>
      </c>
      <c r="AK21" s="128">
        <f>+Actuals!AH251</f>
        <v>0</v>
      </c>
      <c r="AL21" s="127">
        <f>+Actuals!AI251</f>
        <v>0</v>
      </c>
      <c r="AM21" s="128">
        <f>+Actuals!AJ251</f>
        <v>0</v>
      </c>
      <c r="AN21" s="127">
        <f>+Actuals!AK251</f>
        <v>0</v>
      </c>
      <c r="AO21" s="128">
        <f>+Actuals!AL251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  <c r="AF22" s="127">
        <f>+Actuals!AC252</f>
        <v>0</v>
      </c>
      <c r="AG22" s="128">
        <f>+Actuals!AD252</f>
        <v>0</v>
      </c>
      <c r="AH22" s="127">
        <f>+Actuals!AE252</f>
        <v>0</v>
      </c>
      <c r="AI22" s="128">
        <f>+Actuals!AF252</f>
        <v>0</v>
      </c>
      <c r="AJ22" s="127">
        <f>+Actuals!AG252</f>
        <v>0</v>
      </c>
      <c r="AK22" s="128">
        <f>+Actuals!AH252</f>
        <v>0</v>
      </c>
      <c r="AL22" s="127">
        <f>+Actuals!AI252</f>
        <v>0</v>
      </c>
      <c r="AM22" s="128">
        <f>+Actuals!AJ252</f>
        <v>0</v>
      </c>
      <c r="AN22" s="127">
        <f>+Actuals!AK252</f>
        <v>0</v>
      </c>
      <c r="AO22" s="128">
        <f>+Actuals!AL252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309807</v>
      </c>
      <c r="E23" s="38">
        <f t="shared" si="4"/>
        <v>729595.46</v>
      </c>
      <c r="F23" s="81">
        <f>'TIE-OUT'!H23+RECLASS!H23</f>
        <v>0</v>
      </c>
      <c r="G23" s="82">
        <f>'TIE-OUT'!I23+RECLASS!I23</f>
        <v>0</v>
      </c>
      <c r="H23" s="127">
        <f>+Actuals!E173</f>
        <v>303533</v>
      </c>
      <c r="I23" s="128">
        <f>+Actuals!F173</f>
        <v>714820.22</v>
      </c>
      <c r="J23" s="127">
        <f>+Actuals!G173</f>
        <v>-2495</v>
      </c>
      <c r="K23" s="147">
        <f>+Actuals!H173</f>
        <v>-5875.7250000000004</v>
      </c>
      <c r="L23" s="127">
        <f>+Actuals!I173</f>
        <v>8769</v>
      </c>
      <c r="M23" s="128">
        <f>+Actuals!J173</f>
        <v>20650.965</v>
      </c>
      <c r="N23" s="127">
        <f>+Actuals!K173</f>
        <v>0</v>
      </c>
      <c r="O23" s="128">
        <f>+Actuals!L173</f>
        <v>0</v>
      </c>
      <c r="P23" s="127">
        <f>+Actuals!M173</f>
        <v>0</v>
      </c>
      <c r="Q23" s="128">
        <f>+Actuals!N173</f>
        <v>0</v>
      </c>
      <c r="R23" s="127">
        <f>+Actuals!O173</f>
        <v>0</v>
      </c>
      <c r="S23" s="128">
        <f>+Actuals!P173</f>
        <v>0</v>
      </c>
      <c r="T23" s="127">
        <f>+Actuals!Q173</f>
        <v>0</v>
      </c>
      <c r="U23" s="128">
        <f>+Actuals!R173</f>
        <v>0</v>
      </c>
      <c r="V23" s="127">
        <f>+Actuals!S173</f>
        <v>0</v>
      </c>
      <c r="W23" s="128">
        <f>+Actuals!T173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  <c r="AF23" s="127">
        <f>+Actuals!AC253</f>
        <v>0</v>
      </c>
      <c r="AG23" s="128">
        <f>+Actuals!AD253</f>
        <v>0</v>
      </c>
      <c r="AH23" s="127">
        <f>+Actuals!AE253</f>
        <v>0</v>
      </c>
      <c r="AI23" s="128">
        <f>+Actuals!AF253</f>
        <v>0</v>
      </c>
      <c r="AJ23" s="127">
        <f>+Actuals!AG253</f>
        <v>0</v>
      </c>
      <c r="AK23" s="128">
        <f>+Actuals!AH253</f>
        <v>0</v>
      </c>
      <c r="AL23" s="127">
        <f>+Actuals!AI253</f>
        <v>0</v>
      </c>
      <c r="AM23" s="128">
        <f>+Actuals!AJ253</f>
        <v>0</v>
      </c>
      <c r="AN23" s="127">
        <f>+Actuals!AK253</f>
        <v>0</v>
      </c>
      <c r="AO23" s="128">
        <f>+Actuals!AL253</f>
        <v>0</v>
      </c>
    </row>
    <row r="24" spans="1:41" x14ac:dyDescent="0.2">
      <c r="A24" s="9"/>
      <c r="B24" s="7" t="s">
        <v>35</v>
      </c>
      <c r="C24" s="6"/>
      <c r="D24" s="61">
        <f t="shared" ref="D24:Y24" si="5">SUM(D19:D23)</f>
        <v>-131879466</v>
      </c>
      <c r="E24" s="39">
        <f t="shared" si="5"/>
        <v>-309813999.98000008</v>
      </c>
      <c r="F24" s="61">
        <f t="shared" si="5"/>
        <v>0</v>
      </c>
      <c r="G24" s="39">
        <f t="shared" si="5"/>
        <v>-3291131.21</v>
      </c>
      <c r="H24" s="61">
        <f t="shared" si="5"/>
        <v>-137459848</v>
      </c>
      <c r="I24" s="39">
        <f t="shared" si="5"/>
        <v>-315236131.71999997</v>
      </c>
      <c r="J24" s="61">
        <f t="shared" si="5"/>
        <v>-704757</v>
      </c>
      <c r="K24" s="148">
        <f t="shared" si="5"/>
        <v>-4222152.085</v>
      </c>
      <c r="L24" s="61">
        <f t="shared" si="5"/>
        <v>-132557</v>
      </c>
      <c r="M24" s="39">
        <f t="shared" si="5"/>
        <v>-262527.58499999996</v>
      </c>
      <c r="N24" s="61">
        <f t="shared" si="5"/>
        <v>543109</v>
      </c>
      <c r="O24" s="39">
        <f t="shared" si="5"/>
        <v>1303481.8600000001</v>
      </c>
      <c r="P24" s="61">
        <f t="shared" si="5"/>
        <v>-1127</v>
      </c>
      <c r="Q24" s="39">
        <f t="shared" si="5"/>
        <v>-2813.43</v>
      </c>
      <c r="R24" s="61">
        <f t="shared" si="5"/>
        <v>5473539</v>
      </c>
      <c r="S24" s="39">
        <f t="shared" si="5"/>
        <v>11015700.890000001</v>
      </c>
      <c r="T24" s="61">
        <f t="shared" si="5"/>
        <v>-545699</v>
      </c>
      <c r="U24" s="39">
        <f t="shared" si="5"/>
        <v>-1199034</v>
      </c>
      <c r="V24" s="61">
        <f t="shared" si="5"/>
        <v>930666</v>
      </c>
      <c r="W24" s="39">
        <f t="shared" si="5"/>
        <v>2042727</v>
      </c>
      <c r="X24" s="61">
        <f t="shared" si="5"/>
        <v>-913360</v>
      </c>
      <c r="Y24" s="39">
        <f t="shared" si="5"/>
        <v>-2004515.35</v>
      </c>
      <c r="Z24" s="61">
        <f t="shared" ref="Z24:AE24" si="6">SUM(Z19:Z23)</f>
        <v>0</v>
      </c>
      <c r="AA24" s="39">
        <f t="shared" si="6"/>
        <v>0</v>
      </c>
      <c r="AB24" s="61">
        <f t="shared" si="6"/>
        <v>930666</v>
      </c>
      <c r="AC24" s="39">
        <f t="shared" si="6"/>
        <v>2042727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-98</v>
      </c>
      <c r="AG24" s="39">
        <f t="shared" si="7"/>
        <v>-331.35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-27001</v>
      </c>
      <c r="E27" s="38">
        <f>SUM(G27,I27,K27,M27,O27,Q27,S27,U27,W27,Y27,AA27,AC27,AE27,AG27,AI27,AK27,AM27,AO27)</f>
        <v>-62507.23</v>
      </c>
      <c r="F27" s="64">
        <f>'TIE-OUT'!H27+RECLASS!H27</f>
        <v>0</v>
      </c>
      <c r="G27" s="68">
        <f>'TIE-OUT'!I27+RECLASS!I27</f>
        <v>0</v>
      </c>
      <c r="H27" s="127">
        <f>+Actuals!E174</f>
        <v>0</v>
      </c>
      <c r="I27" s="128">
        <f>+Actuals!F174</f>
        <v>0</v>
      </c>
      <c r="J27" s="127">
        <f>+Actuals!G174</f>
        <v>0</v>
      </c>
      <c r="K27" s="147">
        <f>+Actuals!H174</f>
        <v>0</v>
      </c>
      <c r="L27" s="127">
        <f>+Actuals!I174</f>
        <v>-27001</v>
      </c>
      <c r="M27" s="128">
        <f>+Actuals!J174</f>
        <v>-62507.23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  <c r="AF27" s="127">
        <f>+Actuals!AC254</f>
        <v>0</v>
      </c>
      <c r="AG27" s="128">
        <f>+Actuals!AD254</f>
        <v>0</v>
      </c>
      <c r="AH27" s="127">
        <f>+Actuals!AE254</f>
        <v>0</v>
      </c>
      <c r="AI27" s="128">
        <f>+Actuals!AF254</f>
        <v>0</v>
      </c>
      <c r="AJ27" s="127">
        <f>+Actuals!AG254</f>
        <v>0</v>
      </c>
      <c r="AK27" s="128">
        <f>+Actuals!AH254</f>
        <v>0</v>
      </c>
      <c r="AL27" s="127">
        <f>+Actuals!AI254</f>
        <v>0</v>
      </c>
      <c r="AM27" s="128">
        <f>+Actuals!AJ254</f>
        <v>0</v>
      </c>
      <c r="AN27" s="127">
        <f>+Actuals!AK254</f>
        <v>0</v>
      </c>
      <c r="AO27" s="128">
        <f>+Actuals!AL254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-3076342</v>
      </c>
      <c r="E28" s="38">
        <f>SUM(G28,I28,K28,M28,O28,Q28,S28,U28,W28,Y28,AA28,AC28,AE28,AG28,AI28,AK28,AM28,AO28)</f>
        <v>-6935034.3099999996</v>
      </c>
      <c r="F28" s="81">
        <f>'TIE-OUT'!H28+RECLASS!H28</f>
        <v>0</v>
      </c>
      <c r="G28" s="82">
        <f>'TIE-OUT'!I28+RECLASS!I28</f>
        <v>0</v>
      </c>
      <c r="H28" s="127">
        <f>+Actuals!E175</f>
        <v>-3090333</v>
      </c>
      <c r="I28" s="128">
        <f>+Actuals!F175</f>
        <v>-6966533.8799999999</v>
      </c>
      <c r="J28" s="127">
        <f>+Actuals!G175</f>
        <v>13991</v>
      </c>
      <c r="K28" s="147">
        <f>+Actuals!H175</f>
        <v>31499.57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  <c r="AF28" s="127">
        <f>+Actuals!AC255</f>
        <v>0</v>
      </c>
      <c r="AG28" s="128">
        <f>+Actuals!AD255</f>
        <v>0</v>
      </c>
      <c r="AH28" s="127">
        <f>+Actuals!AE255</f>
        <v>0</v>
      </c>
      <c r="AI28" s="128">
        <f>+Actuals!AF255</f>
        <v>0</v>
      </c>
      <c r="AJ28" s="127">
        <f>+Actuals!AG255</f>
        <v>0</v>
      </c>
      <c r="AK28" s="128">
        <f>+Actuals!AH255</f>
        <v>0</v>
      </c>
      <c r="AL28" s="127">
        <f>+Actuals!AI255</f>
        <v>0</v>
      </c>
      <c r="AM28" s="128">
        <f>+Actuals!AJ255</f>
        <v>0</v>
      </c>
      <c r="AN28" s="127">
        <f>+Actuals!AK255</f>
        <v>0</v>
      </c>
      <c r="AO28" s="128">
        <f>+Actuals!AL255</f>
        <v>0</v>
      </c>
    </row>
    <row r="29" spans="1:41" x14ac:dyDescent="0.2">
      <c r="A29" s="9"/>
      <c r="B29" s="7" t="s">
        <v>39</v>
      </c>
      <c r="C29" s="18"/>
      <c r="D29" s="61">
        <f t="shared" ref="D29:Y29" si="8">SUM(D27:D28)</f>
        <v>-3103343</v>
      </c>
      <c r="E29" s="39">
        <f t="shared" si="8"/>
        <v>-6997541.54</v>
      </c>
      <c r="F29" s="61">
        <f t="shared" si="8"/>
        <v>0</v>
      </c>
      <c r="G29" s="39">
        <f t="shared" si="8"/>
        <v>0</v>
      </c>
      <c r="H29" s="61">
        <f t="shared" si="8"/>
        <v>-3090333</v>
      </c>
      <c r="I29" s="39">
        <f t="shared" si="8"/>
        <v>-6966533.8799999999</v>
      </c>
      <c r="J29" s="61">
        <f t="shared" si="8"/>
        <v>13991</v>
      </c>
      <c r="K29" s="148">
        <f t="shared" si="8"/>
        <v>31499.57</v>
      </c>
      <c r="L29" s="61">
        <f t="shared" si="8"/>
        <v>-27001</v>
      </c>
      <c r="M29" s="39">
        <f t="shared" si="8"/>
        <v>-62507.23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388226</v>
      </c>
      <c r="E32" s="38">
        <f t="shared" si="11"/>
        <v>914272.8949999999</v>
      </c>
      <c r="F32" s="64">
        <f>'TIE-OUT'!H32+RECLASS!H32</f>
        <v>0</v>
      </c>
      <c r="G32" s="68">
        <f>'TIE-OUT'!I32+RECLASS!I32</f>
        <v>0</v>
      </c>
      <c r="H32" s="127">
        <f>+Actuals!E176</f>
        <v>214361</v>
      </c>
      <c r="I32" s="128">
        <f>+Actuals!F176</f>
        <v>504820.15</v>
      </c>
      <c r="J32" s="127">
        <f>+Actuals!G176</f>
        <v>-240869</v>
      </c>
      <c r="K32" s="147">
        <f>+Actuals!H176</f>
        <v>-563906.49199999997</v>
      </c>
      <c r="L32" s="127">
        <f>+Actuals!I176</f>
        <v>246722</v>
      </c>
      <c r="M32" s="128">
        <f>+Actuals!J176</f>
        <v>557871.04200000002</v>
      </c>
      <c r="N32" s="127">
        <f>+Actuals!K176</f>
        <v>142143</v>
      </c>
      <c r="O32" s="128">
        <f>+Actuals!L176</f>
        <v>542266.951</v>
      </c>
      <c r="P32" s="127">
        <f>+Actuals!M176</f>
        <v>1127</v>
      </c>
      <c r="Q32" s="128">
        <f>+Actuals!N176</f>
        <v>1189825.4339999999</v>
      </c>
      <c r="R32" s="127">
        <f>+Actuals!O176</f>
        <v>26958</v>
      </c>
      <c r="S32" s="128">
        <f>+Actuals!P176</f>
        <v>-1311385.51</v>
      </c>
      <c r="T32" s="127">
        <f>+Actuals!Q176</f>
        <v>0</v>
      </c>
      <c r="U32" s="128">
        <f>+Actuals!R176</f>
        <v>0</v>
      </c>
      <c r="V32" s="127">
        <f>+Actuals!S176</f>
        <v>0</v>
      </c>
      <c r="W32" s="128">
        <f>+Actuals!T176</f>
        <v>0</v>
      </c>
      <c r="X32" s="127">
        <f>+Actuals!U256</f>
        <v>0</v>
      </c>
      <c r="Y32" s="128">
        <f>+Actuals!V256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  <c r="AF32" s="127">
        <f>+Actuals!AC256</f>
        <v>0</v>
      </c>
      <c r="AG32" s="128">
        <f>+Actuals!AD256</f>
        <v>0</v>
      </c>
      <c r="AH32" s="127">
        <f>+Actuals!AE256</f>
        <v>0</v>
      </c>
      <c r="AI32" s="128">
        <f>+Actuals!AF256</f>
        <v>0</v>
      </c>
      <c r="AJ32" s="127">
        <f>+Actuals!AG256</f>
        <v>0</v>
      </c>
      <c r="AK32" s="128">
        <f>+Actuals!AH256</f>
        <v>0</v>
      </c>
      <c r="AL32" s="127">
        <f>+Actuals!AI256</f>
        <v>0</v>
      </c>
      <c r="AM32" s="128">
        <f>+Actuals!AJ256</f>
        <v>0</v>
      </c>
      <c r="AN32" s="127">
        <v>-2216</v>
      </c>
      <c r="AO32" s="128">
        <v>-5218.68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-201207</v>
      </c>
      <c r="E33" s="38">
        <f t="shared" si="11"/>
        <v>-469944.86000000004</v>
      </c>
      <c r="F33" s="60">
        <f>'TIE-OUT'!H33+RECLASS!H33</f>
        <v>0</v>
      </c>
      <c r="G33" s="38">
        <f>'TIE-OUT'!I33+RECLASS!I33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-54530</v>
      </c>
      <c r="K33" s="147">
        <f>+Actuals!H177</f>
        <v>-121627.77</v>
      </c>
      <c r="L33" s="127">
        <f>+Actuals!I177</f>
        <v>-65324</v>
      </c>
      <c r="M33" s="128">
        <f>+Actuals!J177</f>
        <v>-148053.85999999999</v>
      </c>
      <c r="N33" s="127">
        <f>+Actuals!K177</f>
        <v>-81351</v>
      </c>
      <c r="O33" s="128">
        <f>+Actuals!L177</f>
        <v>-200258.79</v>
      </c>
      <c r="P33" s="127">
        <f>+Actuals!M177</f>
        <v>0</v>
      </c>
      <c r="Q33" s="128">
        <f>+Actuals!N177</f>
        <v>0</v>
      </c>
      <c r="R33" s="127">
        <f>+Actuals!O177</f>
        <v>-2</v>
      </c>
      <c r="S33" s="128">
        <f>+Actuals!P177</f>
        <v>-4.4400000000000004</v>
      </c>
      <c r="T33" s="127">
        <f>+Actuals!Q177</f>
        <v>0</v>
      </c>
      <c r="U33" s="128">
        <f>+Actuals!R177</f>
        <v>0</v>
      </c>
      <c r="V33" s="127">
        <f>+Actuals!S177</f>
        <v>0</v>
      </c>
      <c r="W33" s="128">
        <f>+Actuals!T177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  <c r="AF33" s="127">
        <f>+Actuals!AC257</f>
        <v>0</v>
      </c>
      <c r="AG33" s="128">
        <f>+Actuals!AD257</f>
        <v>0</v>
      </c>
      <c r="AH33" s="127">
        <f>+Actuals!AE257</f>
        <v>0</v>
      </c>
      <c r="AI33" s="128">
        <f>+Actuals!AF257</f>
        <v>0</v>
      </c>
      <c r="AJ33" s="127">
        <f>+Actuals!AG257</f>
        <v>0</v>
      </c>
      <c r="AK33" s="128">
        <f>+Actuals!AH257</f>
        <v>0</v>
      </c>
      <c r="AL33" s="127">
        <f>+Actuals!AI257</f>
        <v>0</v>
      </c>
      <c r="AM33" s="128">
        <f>+Actuals!AJ257</f>
        <v>0</v>
      </c>
      <c r="AN33" s="127">
        <f>+Actuals!AK257</f>
        <v>0</v>
      </c>
      <c r="AO33" s="128">
        <f>+Actuals!AL257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134795</v>
      </c>
      <c r="E34" s="38">
        <f t="shared" si="11"/>
        <v>294426.44999999995</v>
      </c>
      <c r="F34" s="60">
        <f>'TIE-OUT'!H34+RECLASS!H34</f>
        <v>0</v>
      </c>
      <c r="G34" s="38">
        <f>'TIE-OUT'!I34+RECLASS!I34</f>
        <v>0</v>
      </c>
      <c r="H34" s="127">
        <f>+Actuals!E178</f>
        <v>0</v>
      </c>
      <c r="I34" s="128">
        <f>+Actuals!F178</f>
        <v>0</v>
      </c>
      <c r="J34" s="127">
        <f>+Actuals!G178</f>
        <v>117646</v>
      </c>
      <c r="K34" s="147">
        <f>+Actuals!H178</f>
        <v>256659.93</v>
      </c>
      <c r="L34" s="127">
        <f>+Actuals!I178</f>
        <v>6264</v>
      </c>
      <c r="M34" s="128">
        <f>+Actuals!J178</f>
        <v>14006.31</v>
      </c>
      <c r="N34" s="127">
        <f>+Actuals!K178</f>
        <v>5556</v>
      </c>
      <c r="O34" s="128">
        <f>+Actuals!L178</f>
        <v>12435.55</v>
      </c>
      <c r="P34" s="127">
        <f>+Actuals!M178</f>
        <v>0</v>
      </c>
      <c r="Q34" s="128">
        <f>+Actuals!N178</f>
        <v>0</v>
      </c>
      <c r="R34" s="127">
        <f>+Actuals!O178</f>
        <v>5329</v>
      </c>
      <c r="S34" s="128">
        <f>+Actuals!P178</f>
        <v>11324.66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  <c r="AF34" s="127">
        <f>+Actuals!AC258</f>
        <v>0</v>
      </c>
      <c r="AG34" s="128">
        <f>+Actuals!AD258</f>
        <v>0</v>
      </c>
      <c r="AH34" s="127">
        <f>+Actuals!AE258</f>
        <v>0</v>
      </c>
      <c r="AI34" s="128">
        <f>+Actuals!AF258</f>
        <v>0</v>
      </c>
      <c r="AJ34" s="127">
        <f>+Actuals!AG258</f>
        <v>0</v>
      </c>
      <c r="AK34" s="128">
        <f>+Actuals!AH258</f>
        <v>0</v>
      </c>
      <c r="AL34" s="127">
        <f>+Actuals!AI258</f>
        <v>0</v>
      </c>
      <c r="AM34" s="128">
        <f>+Actuals!AJ258</f>
        <v>0</v>
      </c>
      <c r="AN34" s="127">
        <f>+Actuals!AK258</f>
        <v>0</v>
      </c>
      <c r="AO34" s="128">
        <f>+Actuals!AL258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500000</v>
      </c>
      <c r="E35" s="38">
        <f t="shared" si="11"/>
        <v>1177499.99</v>
      </c>
      <c r="F35" s="81">
        <f>'TIE-OUT'!H35+RECLASS!H35</f>
        <v>0</v>
      </c>
      <c r="G35" s="82">
        <f>'TIE-OUT'!I35+RECLASS!I35</f>
        <v>0</v>
      </c>
      <c r="H35" s="127">
        <f>+Actuals!E179</f>
        <v>-499999</v>
      </c>
      <c r="I35" s="128">
        <f>+Actuals!F179</f>
        <v>-0.01</v>
      </c>
      <c r="J35" s="127">
        <f>+Actuals!G179</f>
        <v>1</v>
      </c>
      <c r="K35" s="147">
        <f>+Actuals!H179</f>
        <v>0</v>
      </c>
      <c r="L35" s="127">
        <f>+Actuals!I179</f>
        <v>999998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1177500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  <c r="AF35" s="127">
        <f>+Actuals!AC259</f>
        <v>0</v>
      </c>
      <c r="AG35" s="128">
        <f>+Actuals!AD259</f>
        <v>0</v>
      </c>
      <c r="AH35" s="127">
        <f>+Actuals!AE259</f>
        <v>0</v>
      </c>
      <c r="AI35" s="128">
        <f>+Actuals!AF259</f>
        <v>0</v>
      </c>
      <c r="AJ35" s="127">
        <f>+Actuals!AG259</f>
        <v>0</v>
      </c>
      <c r="AK35" s="128">
        <f>+Actuals!AH259</f>
        <v>0</v>
      </c>
      <c r="AL35" s="127">
        <f>+Actuals!AI259</f>
        <v>0</v>
      </c>
      <c r="AM35" s="128">
        <f>+Actuals!AJ259</f>
        <v>0</v>
      </c>
      <c r="AN35" s="127">
        <f>+Actuals!AK259</f>
        <v>0</v>
      </c>
      <c r="AO35" s="128">
        <f>+Actuals!AL259</f>
        <v>0</v>
      </c>
    </row>
    <row r="36" spans="1:41" x14ac:dyDescent="0.2">
      <c r="A36" s="9"/>
      <c r="B36" s="7" t="s">
        <v>45</v>
      </c>
      <c r="C36" s="6"/>
      <c r="D36" s="61">
        <f t="shared" ref="D36:Y36" si="12">SUM(D32:D35)</f>
        <v>821814</v>
      </c>
      <c r="E36" s="39">
        <f t="shared" si="12"/>
        <v>1916254.4749999999</v>
      </c>
      <c r="F36" s="61">
        <f t="shared" si="12"/>
        <v>0</v>
      </c>
      <c r="G36" s="39">
        <f t="shared" si="12"/>
        <v>0</v>
      </c>
      <c r="H36" s="61">
        <f t="shared" si="12"/>
        <v>-285638</v>
      </c>
      <c r="I36" s="39">
        <f t="shared" si="12"/>
        <v>504820.14</v>
      </c>
      <c r="J36" s="61">
        <f t="shared" si="12"/>
        <v>-177752</v>
      </c>
      <c r="K36" s="148">
        <f t="shared" si="12"/>
        <v>-428874.33199999999</v>
      </c>
      <c r="L36" s="61">
        <f t="shared" si="12"/>
        <v>1187660</v>
      </c>
      <c r="M36" s="39">
        <f t="shared" si="12"/>
        <v>423823.49200000003</v>
      </c>
      <c r="N36" s="61">
        <f t="shared" si="12"/>
        <v>66348</v>
      </c>
      <c r="O36" s="39">
        <f t="shared" si="12"/>
        <v>354443.71099999995</v>
      </c>
      <c r="P36" s="61">
        <f t="shared" si="12"/>
        <v>1127</v>
      </c>
      <c r="Q36" s="39">
        <f t="shared" si="12"/>
        <v>1189825.4339999999</v>
      </c>
      <c r="R36" s="61">
        <f t="shared" si="12"/>
        <v>32285</v>
      </c>
      <c r="S36" s="39">
        <f t="shared" si="12"/>
        <v>-122565.29000000004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-2216</v>
      </c>
      <c r="AO36" s="39">
        <f>SUM(AO32:AO35)</f>
        <v>-5218.68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0</v>
      </c>
      <c r="E39" s="38">
        <f t="shared" si="15"/>
        <v>0</v>
      </c>
      <c r="F39" s="64">
        <f>'TIE-OUT'!H39+RECLASS!H39</f>
        <v>0</v>
      </c>
      <c r="G39" s="68">
        <f>'TIE-OUT'!I39+RECLASS!I39</f>
        <v>0</v>
      </c>
      <c r="H39" s="127">
        <f>+Actuals!E180</f>
        <v>499972</v>
      </c>
      <c r="I39" s="128">
        <f>+Actuals!F180</f>
        <v>1299894.75</v>
      </c>
      <c r="J39" s="127">
        <f>+Actuals!G180</f>
        <v>0</v>
      </c>
      <c r="K39" s="147">
        <f>+Actuals!H180</f>
        <v>0</v>
      </c>
      <c r="L39" s="127">
        <f>+Actuals!I180</f>
        <v>-499972</v>
      </c>
      <c r="M39" s="128">
        <f>+Actuals!J180</f>
        <v>-1299894.75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  <c r="AF39" s="127">
        <f>+Actuals!AC260</f>
        <v>0</v>
      </c>
      <c r="AG39" s="128">
        <f>+Actuals!AD260</f>
        <v>0</v>
      </c>
      <c r="AH39" s="127">
        <f>+Actuals!AE260</f>
        <v>0</v>
      </c>
      <c r="AI39" s="128">
        <f>+Actuals!AF260</f>
        <v>0</v>
      </c>
      <c r="AJ39" s="127">
        <f>+Actuals!AG260</f>
        <v>0</v>
      </c>
      <c r="AK39" s="128">
        <f>+Actuals!AH260</f>
        <v>0</v>
      </c>
      <c r="AL39" s="127">
        <f>+Actuals!AI260</f>
        <v>0</v>
      </c>
      <c r="AM39" s="128">
        <f>+Actuals!AJ260</f>
        <v>0</v>
      </c>
      <c r="AN39" s="127">
        <f>+Actuals!AK260</f>
        <v>0</v>
      </c>
      <c r="AO39" s="128">
        <f>+Actuals!AL260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'TIE-OUT'!H40+RECLASS!H40</f>
        <v>0</v>
      </c>
      <c r="G40" s="38">
        <f>'TIE-OUT'!I40+RECLASS!I40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0</v>
      </c>
      <c r="M40" s="128">
        <f>+Actuals!J181</f>
        <v>0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  <c r="AF40" s="127">
        <f>+Actuals!AC261</f>
        <v>0</v>
      </c>
      <c r="AG40" s="128">
        <f>+Actuals!AD261</f>
        <v>0</v>
      </c>
      <c r="AH40" s="127">
        <f>+Actuals!AE261</f>
        <v>0</v>
      </c>
      <c r="AI40" s="128">
        <f>+Actuals!AF261</f>
        <v>0</v>
      </c>
      <c r="AJ40" s="127">
        <f>+Actuals!AG261</f>
        <v>0</v>
      </c>
      <c r="AK40" s="128">
        <f>+Actuals!AH261</f>
        <v>0</v>
      </c>
      <c r="AL40" s="127">
        <f>+Actuals!AI261</f>
        <v>0</v>
      </c>
      <c r="AM40" s="128">
        <f>+Actuals!AJ261</f>
        <v>0</v>
      </c>
      <c r="AN40" s="127">
        <f>+Actuals!AK261</f>
        <v>0</v>
      </c>
      <c r="AO40" s="128">
        <f>+Actuals!AL261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'TIE-OUT'!H41+RECLASS!H41</f>
        <v>0</v>
      </c>
      <c r="G41" s="82">
        <f>'TIE-OUT'!I41+RECLASS!I41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  <c r="AF41" s="127">
        <f>+Actuals!AC262</f>
        <v>0</v>
      </c>
      <c r="AG41" s="128">
        <f>+Actuals!AD262</f>
        <v>0</v>
      </c>
      <c r="AH41" s="127">
        <f>+Actuals!AE262</f>
        <v>0</v>
      </c>
      <c r="AI41" s="128">
        <f>+Actuals!AF262</f>
        <v>0</v>
      </c>
      <c r="AJ41" s="127">
        <f>+Actuals!AG262</f>
        <v>0</v>
      </c>
      <c r="AK41" s="128">
        <f>+Actuals!AH262</f>
        <v>0</v>
      </c>
      <c r="AL41" s="127">
        <f>+Actuals!AI262</f>
        <v>0</v>
      </c>
      <c r="AM41" s="128">
        <f>+Actuals!AJ262</f>
        <v>0</v>
      </c>
      <c r="AN41" s="127">
        <f>+Actuals!AK262</f>
        <v>0</v>
      </c>
      <c r="AO41" s="128">
        <f>+Actuals!AL262</f>
        <v>0</v>
      </c>
    </row>
    <row r="42" spans="1:41" x14ac:dyDescent="0.2">
      <c r="A42" s="9"/>
      <c r="B42" s="7"/>
      <c r="C42" s="53" t="s">
        <v>50</v>
      </c>
      <c r="D42" s="61">
        <f t="shared" ref="D42:Y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 t="shared" ref="D43:Y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499972</v>
      </c>
      <c r="I43" s="39">
        <f t="shared" si="19"/>
        <v>1299894.75</v>
      </c>
      <c r="J43" s="61">
        <f t="shared" si="19"/>
        <v>0</v>
      </c>
      <c r="K43" s="148">
        <f t="shared" si="19"/>
        <v>0</v>
      </c>
      <c r="L43" s="61">
        <f t="shared" si="19"/>
        <v>-499972</v>
      </c>
      <c r="M43" s="39">
        <f t="shared" si="19"/>
        <v>-1299894.75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'TIE-OUT'!H45+RECLASS!H45</f>
        <v>0</v>
      </c>
      <c r="G45" s="68">
        <f>'TIE-OUT'!I45+RECLASS!I45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  <c r="AF45" s="127">
        <f>+Actuals!AC263</f>
        <v>0</v>
      </c>
      <c r="AG45" s="128">
        <f>+Actuals!AD263</f>
        <v>0</v>
      </c>
      <c r="AH45" s="127">
        <f>+Actuals!AE263</f>
        <v>0</v>
      </c>
      <c r="AI45" s="128">
        <f>+Actuals!AF263</f>
        <v>0</v>
      </c>
      <c r="AJ45" s="127">
        <f>+Actuals!AG263</f>
        <v>0</v>
      </c>
      <c r="AK45" s="128">
        <f>+Actuals!AH263</f>
        <v>0</v>
      </c>
      <c r="AL45" s="127">
        <f>+Actuals!AI263</f>
        <v>0</v>
      </c>
      <c r="AM45" s="128">
        <f>+Actuals!AJ263</f>
        <v>0</v>
      </c>
      <c r="AN45" s="127">
        <f>+Actuals!AK263</f>
        <v>0</v>
      </c>
      <c r="AO45" s="128">
        <f>+Actuals!AL263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'TIE-OUT'!H47+RECLASS!H47</f>
        <v>0</v>
      </c>
      <c r="G47" s="38">
        <f>'TIE-OUT'!I47+RECLASS!I47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  <c r="AF47" s="127">
        <f>+Actuals!AC264</f>
        <v>0</v>
      </c>
      <c r="AG47" s="128">
        <f>+Actuals!AD264</f>
        <v>0</v>
      </c>
      <c r="AH47" s="127">
        <f>+Actuals!AE264</f>
        <v>0</v>
      </c>
      <c r="AI47" s="128">
        <f>+Actuals!AF264</f>
        <v>0</v>
      </c>
      <c r="AJ47" s="127">
        <f>+Actuals!AG264</f>
        <v>0</v>
      </c>
      <c r="AK47" s="128">
        <f>+Actuals!AH264</f>
        <v>0</v>
      </c>
      <c r="AL47" s="127">
        <f>+Actuals!AI264</f>
        <v>0</v>
      </c>
      <c r="AM47" s="128">
        <f>+Actuals!AJ264</f>
        <v>0</v>
      </c>
      <c r="AN47" s="127">
        <f>+Actuals!AK264</f>
        <v>0</v>
      </c>
      <c r="AO47" s="128">
        <f>+Actuals!AL264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843055</v>
      </c>
      <c r="E49" s="38">
        <f t="shared" si="22"/>
        <v>1985394.5249999994</v>
      </c>
      <c r="F49" s="60">
        <f>'TIE-OUT'!H49+RECLASS!H49</f>
        <v>0</v>
      </c>
      <c r="G49" s="38">
        <f>'TIE-OUT'!I49+RECLASS!I49</f>
        <v>0</v>
      </c>
      <c r="H49" s="127">
        <f>+Actuals!E185</f>
        <v>7185540</v>
      </c>
      <c r="I49" s="128">
        <f>+Actuals!F185</f>
        <v>16921946.699999999</v>
      </c>
      <c r="J49" s="127">
        <f>+Actuals!G185</f>
        <v>1225818</v>
      </c>
      <c r="K49" s="147">
        <f>+Actuals!H185</f>
        <v>2886801.39</v>
      </c>
      <c r="L49" s="127">
        <f>+Actuals!I185</f>
        <v>-524212</v>
      </c>
      <c r="M49" s="128">
        <f>+Actuals!J185</f>
        <v>-1234519.26</v>
      </c>
      <c r="N49" s="127">
        <f>+Actuals!K185</f>
        <v>-609457</v>
      </c>
      <c r="O49" s="128">
        <f>+Actuals!L185</f>
        <v>-1435271.2350000001</v>
      </c>
      <c r="P49" s="127">
        <f>+Actuals!M185</f>
        <v>0</v>
      </c>
      <c r="Q49" s="128">
        <f>+Actuals!N185</f>
        <v>0</v>
      </c>
      <c r="R49" s="127">
        <f>+Actuals!O185</f>
        <v>-6336257</v>
      </c>
      <c r="S49" s="128">
        <f>+Actuals!P185</f>
        <v>-14921885.234999999</v>
      </c>
      <c r="T49" s="127">
        <f>+Actuals!Q185</f>
        <v>0</v>
      </c>
      <c r="U49" s="128">
        <f>+Actuals!R185</f>
        <v>0</v>
      </c>
      <c r="V49" s="127">
        <f>+Actuals!S185</f>
        <v>-77304</v>
      </c>
      <c r="W49" s="128">
        <f>+Actuals!T185</f>
        <v>-182050.92</v>
      </c>
      <c r="X49" s="127">
        <f>+Actuals!U265</f>
        <v>59998</v>
      </c>
      <c r="Y49" s="128">
        <f>+Actuals!V265</f>
        <v>141295.29</v>
      </c>
      <c r="Z49" s="127">
        <f>+Actuals!W265</f>
        <v>0</v>
      </c>
      <c r="AA49" s="128">
        <f>+Actuals!X265</f>
        <v>0</v>
      </c>
      <c r="AB49" s="127">
        <f>+Actuals!Y265</f>
        <v>-77304</v>
      </c>
      <c r="AC49" s="128">
        <f>+Actuals!Z265</f>
        <v>-182050.92</v>
      </c>
      <c r="AD49" s="127">
        <f>+Actuals!AA265</f>
        <v>0</v>
      </c>
      <c r="AE49" s="128">
        <f>+Actuals!AB265</f>
        <v>0</v>
      </c>
      <c r="AF49" s="127">
        <f>+Actuals!AC265</f>
        <v>-5983</v>
      </c>
      <c r="AG49" s="128">
        <f>+Actuals!AD265</f>
        <v>-14089.965</v>
      </c>
      <c r="AH49" s="127">
        <f>+Actuals!AE265</f>
        <v>0</v>
      </c>
      <c r="AI49" s="128">
        <f>+Actuals!AF265</f>
        <v>0</v>
      </c>
      <c r="AJ49" s="127">
        <f>+Actuals!AG265</f>
        <v>0</v>
      </c>
      <c r="AK49" s="128">
        <f>+Actuals!AH265</f>
        <v>0</v>
      </c>
      <c r="AL49" s="127">
        <f>+Actuals!AI265</f>
        <v>0</v>
      </c>
      <c r="AM49" s="128">
        <f>+Actuals!AJ265</f>
        <v>0</v>
      </c>
      <c r="AN49" s="127">
        <v>2216</v>
      </c>
      <c r="AO49" s="128">
        <v>5218.68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-397034</v>
      </c>
      <c r="E51" s="38">
        <f t="shared" si="22"/>
        <v>-729666.14</v>
      </c>
      <c r="F51" s="60">
        <f>'TIE-OUT'!H51+RECLASS!H51</f>
        <v>0</v>
      </c>
      <c r="G51" s="38">
        <f>'TIE-OUT'!I51+RECLASS!I51</f>
        <v>0</v>
      </c>
      <c r="H51" s="127">
        <f>+Actuals!E186</f>
        <v>-303533</v>
      </c>
      <c r="I51" s="128">
        <f>+Actuals!F186</f>
        <v>-714820.22</v>
      </c>
      <c r="J51" s="127">
        <f>+Actuals!G186</f>
        <v>2495</v>
      </c>
      <c r="K51" s="147">
        <f>+Actuals!H186</f>
        <v>5875.7250000000004</v>
      </c>
      <c r="L51" s="127">
        <f>+Actuals!I186</f>
        <v>-8799</v>
      </c>
      <c r="M51" s="128">
        <f>+Actuals!J186</f>
        <v>-20721.645</v>
      </c>
      <c r="N51" s="127">
        <f>+Actuals!K186</f>
        <v>0</v>
      </c>
      <c r="O51" s="128">
        <f>+Actuals!L186</f>
        <v>0</v>
      </c>
      <c r="P51" s="127">
        <f>+Actuals!M186</f>
        <v>0</v>
      </c>
      <c r="Q51" s="128">
        <f>+Actuals!N186</f>
        <v>0</v>
      </c>
      <c r="R51" s="127">
        <f>+Actuals!O186</f>
        <v>-87197</v>
      </c>
      <c r="S51" s="128">
        <f>+Actuals!P186</f>
        <v>0</v>
      </c>
      <c r="T51" s="127">
        <f>+Actuals!Q186</f>
        <v>0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  <c r="AF51" s="127">
        <f>+Actuals!AC266</f>
        <v>0</v>
      </c>
      <c r="AG51" s="128">
        <f>+Actuals!AD266</f>
        <v>0</v>
      </c>
      <c r="AH51" s="127">
        <f>+Actuals!AE266</f>
        <v>0</v>
      </c>
      <c r="AI51" s="128">
        <f>+Actuals!AF266</f>
        <v>0</v>
      </c>
      <c r="AJ51" s="127">
        <f>+Actuals!AG266</f>
        <v>0</v>
      </c>
      <c r="AK51" s="128">
        <f>+Actuals!AH266</f>
        <v>0</v>
      </c>
      <c r="AL51" s="127">
        <f>+Actuals!AI266</f>
        <v>0</v>
      </c>
      <c r="AM51" s="128">
        <f>+Actuals!AJ266</f>
        <v>0</v>
      </c>
      <c r="AN51" s="127">
        <f>+Actuals!AK266</f>
        <v>0</v>
      </c>
      <c r="AO51" s="128">
        <f>+Actuals!AL266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-27577363</v>
      </c>
      <c r="E54" s="38">
        <f>SUM(G54,I54,K54,M54,O54,Q54,S54,U54,W54,Y54,AA54,AC54,AE54,AG54,AI54,AK54,AM54,AO54)</f>
        <v>-602463.67000000004</v>
      </c>
      <c r="F54" s="64">
        <f>'TIE-OUT'!H54+RECLASS!H54</f>
        <v>0</v>
      </c>
      <c r="G54" s="68">
        <f>'TIE-OUT'!I54+RECLASS!I54</f>
        <v>0</v>
      </c>
      <c r="H54" s="127">
        <f>+Actuals!E187</f>
        <v>-26801603</v>
      </c>
      <c r="I54" s="128">
        <f>+Actuals!F187</f>
        <v>-623460.05000000005</v>
      </c>
      <c r="J54" s="127">
        <f>+Actuals!G187</f>
        <v>-2259004</v>
      </c>
      <c r="K54" s="147">
        <f>+Actuals!H187</f>
        <v>-126882.25</v>
      </c>
      <c r="L54" s="127">
        <f>+Actuals!I187</f>
        <v>1518915</v>
      </c>
      <c r="M54" s="128">
        <f>+Actuals!J187</f>
        <v>15225.4</v>
      </c>
      <c r="N54" s="127">
        <f>+Actuals!K187</f>
        <v>-37788</v>
      </c>
      <c r="O54" s="128">
        <f>+Actuals!L187</f>
        <v>-462.36</v>
      </c>
      <c r="P54" s="127">
        <f>+Actuals!M187</f>
        <v>-99</v>
      </c>
      <c r="Q54" s="128">
        <f>+Actuals!N187</f>
        <v>-2.15</v>
      </c>
      <c r="R54" s="127">
        <f>+Actuals!O187</f>
        <v>0</v>
      </c>
      <c r="S54" s="128">
        <f>+Actuals!P187</f>
        <v>0</v>
      </c>
      <c r="T54" s="127">
        <f>+Actuals!Q187</f>
        <v>0</v>
      </c>
      <c r="U54" s="128">
        <f>+Actuals!R187</f>
        <v>0</v>
      </c>
      <c r="V54" s="127">
        <f>+Actuals!S187</f>
        <v>0</v>
      </c>
      <c r="W54" s="128">
        <f>+Actuals!T187</f>
        <v>0</v>
      </c>
      <c r="X54" s="127">
        <f>+Actuals!U267</f>
        <v>0</v>
      </c>
      <c r="Y54" s="128">
        <f>+Actuals!V267+99955</f>
        <v>99955</v>
      </c>
      <c r="Z54" s="127">
        <f>+Actuals!W267</f>
        <v>0</v>
      </c>
      <c r="AA54" s="206">
        <v>99955</v>
      </c>
      <c r="AB54" s="127">
        <f>+Actuals!Y267</f>
        <v>0</v>
      </c>
      <c r="AC54" s="127">
        <f>+Actuals!Z267</f>
        <v>0</v>
      </c>
      <c r="AD54" s="127">
        <f>+Actuals!AA267</f>
        <v>0</v>
      </c>
      <c r="AE54" s="128">
        <f>+Actuals!AB267</f>
        <v>0</v>
      </c>
      <c r="AF54" s="127">
        <f>+Actuals!AC267</f>
        <v>0</v>
      </c>
      <c r="AG54" s="128">
        <f>+Actuals!AD267</f>
        <v>-66792.259999999995</v>
      </c>
      <c r="AH54" s="127">
        <f>+Actuals!AE267</f>
        <v>0</v>
      </c>
      <c r="AI54" s="128">
        <f>+Actuals!AF267</f>
        <v>0</v>
      </c>
      <c r="AJ54" s="127">
        <f>+Actuals!AG267</f>
        <v>0</v>
      </c>
      <c r="AK54" s="128">
        <f>+Actuals!AH267</f>
        <v>0</v>
      </c>
      <c r="AL54" s="127">
        <f>+Actuals!AI267</f>
        <v>0</v>
      </c>
      <c r="AM54" s="128">
        <f>+Actuals!AJ267</f>
        <v>0</v>
      </c>
      <c r="AN54" s="127">
        <v>2216</v>
      </c>
      <c r="AO54" s="128">
        <f>+Actuals!AL267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-2640939.2300000004</v>
      </c>
      <c r="F55" s="81">
        <f>'TIE-OUT'!H55+RECLASS!H55</f>
        <v>0</v>
      </c>
      <c r="G55" s="82">
        <f>'TIE-OUT'!I55+RECLASS!I55</f>
        <v>643108.63</v>
      </c>
      <c r="H55" s="127">
        <f>+Actuals!E188</f>
        <v>0</v>
      </c>
      <c r="I55" s="128">
        <f>+Actuals!F188</f>
        <v>-3499026.12</v>
      </c>
      <c r="J55" s="127">
        <f>+Actuals!G188</f>
        <v>0</v>
      </c>
      <c r="K55" s="147">
        <f>+Actuals!H188</f>
        <v>208173.31</v>
      </c>
      <c r="L55" s="127">
        <f>+Actuals!I188</f>
        <v>0</v>
      </c>
      <c r="M55" s="128">
        <f>+Actuals!J188</f>
        <v>-4606.45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11411.4</v>
      </c>
      <c r="R55" s="127">
        <f>+Actuals!O188</f>
        <v>0</v>
      </c>
      <c r="S55" s="128">
        <f>+Actuals!P188</f>
        <v>0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+Actuals!U268</f>
        <v>0</v>
      </c>
      <c r="Y55" s="128">
        <f>+Actuals!V268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  <c r="AF55" s="127">
        <f>+Actuals!AC268</f>
        <v>0</v>
      </c>
      <c r="AG55" s="128">
        <f>+Actuals!AD268</f>
        <v>0</v>
      </c>
      <c r="AH55" s="127">
        <f>+Actuals!AE268</f>
        <v>0</v>
      </c>
      <c r="AI55" s="128">
        <f>+Actuals!AF268</f>
        <v>0</v>
      </c>
      <c r="AJ55" s="127">
        <f>+Actuals!AG268</f>
        <v>0</v>
      </c>
      <c r="AK55" s="128">
        <f>+Actuals!AH268</f>
        <v>0</v>
      </c>
      <c r="AL55" s="127">
        <f>+Actuals!AI268</f>
        <v>0</v>
      </c>
      <c r="AM55" s="128">
        <f>+Actuals!AJ268</f>
        <v>0</v>
      </c>
      <c r="AN55" s="127">
        <f>+Actuals!AK268</f>
        <v>0</v>
      </c>
      <c r="AO55" s="128">
        <f>+Actuals!AL268</f>
        <v>0</v>
      </c>
    </row>
    <row r="56" spans="1:41" x14ac:dyDescent="0.2">
      <c r="A56" s="9"/>
      <c r="B56" s="7" t="s">
        <v>59</v>
      </c>
      <c r="C56" s="6"/>
      <c r="D56" s="61">
        <f t="shared" ref="D56:Y56" si="23">SUM(D54:D55)</f>
        <v>-27577363</v>
      </c>
      <c r="E56" s="39">
        <f t="shared" si="23"/>
        <v>-3243402.9000000004</v>
      </c>
      <c r="F56" s="61">
        <f t="shared" si="23"/>
        <v>0</v>
      </c>
      <c r="G56" s="39">
        <f t="shared" si="23"/>
        <v>643108.63</v>
      </c>
      <c r="H56" s="61">
        <f t="shared" si="23"/>
        <v>-26801603</v>
      </c>
      <c r="I56" s="39">
        <f t="shared" si="23"/>
        <v>-4122486.17</v>
      </c>
      <c r="J56" s="61">
        <f t="shared" si="23"/>
        <v>-2259004</v>
      </c>
      <c r="K56" s="148">
        <f t="shared" si="23"/>
        <v>81291.06</v>
      </c>
      <c r="L56" s="61">
        <f t="shared" si="23"/>
        <v>1518915</v>
      </c>
      <c r="M56" s="39">
        <f t="shared" si="23"/>
        <v>10618.95</v>
      </c>
      <c r="N56" s="61">
        <f t="shared" si="23"/>
        <v>-37788</v>
      </c>
      <c r="O56" s="39">
        <f t="shared" si="23"/>
        <v>-462.36</v>
      </c>
      <c r="P56" s="61">
        <f t="shared" si="23"/>
        <v>-99</v>
      </c>
      <c r="Q56" s="39">
        <f t="shared" si="23"/>
        <v>11409.25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99955</v>
      </c>
      <c r="Z56" s="61">
        <f t="shared" ref="Z56:AE56" si="24">SUM(Z54:Z55)</f>
        <v>0</v>
      </c>
      <c r="AA56" s="39">
        <f t="shared" si="24"/>
        <v>99955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-66792.259999999995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2216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0</v>
      </c>
      <c r="F59" s="64">
        <f>'TIE-OUT'!H59+RECLASS!H59</f>
        <v>0</v>
      </c>
      <c r="G59" s="68">
        <f>'TIE-OUT'!I59+RECLASS!I59</f>
        <v>0</v>
      </c>
      <c r="H59" s="127">
        <f>+Actuals!E189</f>
        <v>0</v>
      </c>
      <c r="I59" s="128">
        <f>+Actuals!F189</f>
        <v>0</v>
      </c>
      <c r="J59" s="127">
        <f>+Actuals!G189</f>
        <v>0</v>
      </c>
      <c r="K59" s="147">
        <f>+Actuals!H189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  <c r="AF59" s="127">
        <f>+Actuals!AC269</f>
        <v>0</v>
      </c>
      <c r="AG59" s="128">
        <f>+Actuals!AD269</f>
        <v>0</v>
      </c>
      <c r="AH59" s="127">
        <f>+Actuals!AE269</f>
        <v>0</v>
      </c>
      <c r="AI59" s="128">
        <f>+Actuals!AF269</f>
        <v>0</v>
      </c>
      <c r="AJ59" s="127">
        <f>+Actuals!AG269</f>
        <v>0</v>
      </c>
      <c r="AK59" s="128">
        <f>+Actuals!AH269</f>
        <v>0</v>
      </c>
      <c r="AL59" s="127">
        <f>+Actuals!AI269</f>
        <v>0</v>
      </c>
      <c r="AM59" s="128">
        <f>+Actuals!AJ269</f>
        <v>0</v>
      </c>
      <c r="AN59" s="127">
        <f>+Actuals!AK269</f>
        <v>0</v>
      </c>
      <c r="AO59" s="128">
        <f>+Actuals!AL269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'TIE-OUT'!H60+RECLASS!H60</f>
        <v>0</v>
      </c>
      <c r="G60" s="82">
        <f>'TIE-OUT'!I60+RECLASS!I60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  <c r="AF60" s="127">
        <f>+Actuals!AC270</f>
        <v>0</v>
      </c>
      <c r="AG60" s="128">
        <f>+Actuals!AD270</f>
        <v>0</v>
      </c>
      <c r="AH60" s="127">
        <f>+Actuals!AE270</f>
        <v>0</v>
      </c>
      <c r="AI60" s="128">
        <f>+Actuals!AF270</f>
        <v>0</v>
      </c>
      <c r="AJ60" s="127">
        <f>+Actuals!AG270</f>
        <v>0</v>
      </c>
      <c r="AK60" s="128">
        <f>+Actuals!AH270</f>
        <v>0</v>
      </c>
      <c r="AL60" s="127">
        <f>+Actuals!AI270</f>
        <v>0</v>
      </c>
      <c r="AM60" s="128">
        <f>+Actuals!AJ270</f>
        <v>0</v>
      </c>
      <c r="AN60" s="127">
        <f>+Actuals!AK270</f>
        <v>0</v>
      </c>
      <c r="AO60" s="128">
        <f>+Actuals!AL270</f>
        <v>0</v>
      </c>
    </row>
    <row r="61" spans="1:41" x14ac:dyDescent="0.2">
      <c r="A61" s="9"/>
      <c r="B61" s="62" t="s">
        <v>63</v>
      </c>
      <c r="C61" s="6"/>
      <c r="D61" s="61">
        <f t="shared" ref="D61:Y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48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'TIE-OUT'!H64+RECLASS!H64</f>
        <v>0</v>
      </c>
      <c r="G64" s="68">
        <f>'TIE-OUT'!I64+RECLASS!I64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  <c r="AF64" s="127">
        <f>+Actuals!AC271</f>
        <v>0</v>
      </c>
      <c r="AG64" s="128">
        <f>+Actuals!AD271</f>
        <v>0</v>
      </c>
      <c r="AH64" s="127">
        <f>+Actuals!AE271</f>
        <v>0</v>
      </c>
      <c r="AI64" s="128">
        <f>+Actuals!AF271</f>
        <v>0</v>
      </c>
      <c r="AJ64" s="127">
        <f>+Actuals!AG271</f>
        <v>0</v>
      </c>
      <c r="AK64" s="128">
        <f>+Actuals!AH271</f>
        <v>0</v>
      </c>
      <c r="AL64" s="127">
        <f>+Actuals!AI271</f>
        <v>0</v>
      </c>
      <c r="AM64" s="128">
        <f>+Actuals!AJ271</f>
        <v>0</v>
      </c>
      <c r="AN64" s="127">
        <f>+Actuals!AK271</f>
        <v>0</v>
      </c>
      <c r="AO64" s="128">
        <f>+Actuals!AL271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'TIE-OUT'!H65+RECLASS!H65</f>
        <v>0</v>
      </c>
      <c r="G65" s="82">
        <f>'TIE-OUT'!I65+RECLASS!I65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  <c r="AF65" s="127">
        <f>+Actuals!AC272</f>
        <v>0</v>
      </c>
      <c r="AG65" s="128">
        <f>+Actuals!AD272</f>
        <v>0</v>
      </c>
      <c r="AH65" s="127">
        <f>+Actuals!AE272</f>
        <v>0</v>
      </c>
      <c r="AI65" s="128">
        <f>+Actuals!AF272</f>
        <v>0</v>
      </c>
      <c r="AJ65" s="127">
        <f>+Actuals!AG272</f>
        <v>0</v>
      </c>
      <c r="AK65" s="128">
        <f>+Actuals!AH272</f>
        <v>0</v>
      </c>
      <c r="AL65" s="127">
        <f>+Actuals!AI272</f>
        <v>0</v>
      </c>
      <c r="AM65" s="128">
        <f>+Actuals!AJ272</f>
        <v>0</v>
      </c>
      <c r="AN65" s="127">
        <f>+Actuals!AK272</f>
        <v>0</v>
      </c>
      <c r="AO65" s="128">
        <f>+Actuals!AL272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 t="shared" ref="F66:Y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48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2978874.85</v>
      </c>
      <c r="F70" s="64">
        <f>'TIE-OUT'!H70+RECLASS!H70</f>
        <v>0</v>
      </c>
      <c r="G70" s="68">
        <f>'TIE-OUT'!I70+RECLASS!I70</f>
        <v>2978874.85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7"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  <c r="AF70" s="127">
        <f>+Actuals!AC273</f>
        <v>0</v>
      </c>
      <c r="AG70" s="128">
        <f>+Actuals!AD273</f>
        <v>0</v>
      </c>
      <c r="AH70" s="127">
        <f>+Actuals!AE273</f>
        <v>0</v>
      </c>
      <c r="AI70" s="128">
        <f>+Actuals!AF273</f>
        <v>0</v>
      </c>
      <c r="AJ70" s="127">
        <f>+Actuals!AG273</f>
        <v>0</v>
      </c>
      <c r="AK70" s="128">
        <f>+Actuals!AH273</f>
        <v>0</v>
      </c>
      <c r="AL70" s="127">
        <f>+Actuals!AI273</f>
        <v>0</v>
      </c>
      <c r="AM70" s="128">
        <f>+Actuals!AJ273</f>
        <v>0</v>
      </c>
      <c r="AN70" s="127">
        <f>+Actuals!AK273</f>
        <v>0</v>
      </c>
      <c r="AO70" s="128">
        <f>+Actuals!AL273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196194.06</v>
      </c>
      <c r="F71" s="81">
        <f>'TIE-OUT'!H71+RECLASS!H71</f>
        <v>0</v>
      </c>
      <c r="G71" s="82">
        <f>'TIE-OUT'!I71+RECLASS!I71</f>
        <v>196194.06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  <c r="AF71" s="127">
        <f>+Actuals!AC274</f>
        <v>0</v>
      </c>
      <c r="AG71" s="128">
        <f>+Actuals!AD274</f>
        <v>0</v>
      </c>
      <c r="AH71" s="127">
        <f>+Actuals!AE274</f>
        <v>0</v>
      </c>
      <c r="AI71" s="128">
        <f>+Actuals!AF274</f>
        <v>0</v>
      </c>
      <c r="AJ71" s="127">
        <f>+Actuals!AG274</f>
        <v>0</v>
      </c>
      <c r="AK71" s="128">
        <f>+Actuals!AH274</f>
        <v>0</v>
      </c>
      <c r="AL71" s="127">
        <f>+Actuals!AI274</f>
        <v>0</v>
      </c>
      <c r="AM71" s="128">
        <f>+Actuals!AJ274</f>
        <v>0</v>
      </c>
      <c r="AN71" s="127">
        <f>+Actuals!AK274</f>
        <v>0</v>
      </c>
      <c r="AO71" s="128">
        <f>+Actuals!AL274</f>
        <v>0</v>
      </c>
    </row>
    <row r="72" spans="1:41" x14ac:dyDescent="0.2">
      <c r="A72" s="9"/>
      <c r="B72" s="3"/>
      <c r="C72" s="55" t="s">
        <v>71</v>
      </c>
      <c r="D72" s="61">
        <f t="shared" ref="D72:Y72" si="32">SUM(D70:D71)</f>
        <v>0</v>
      </c>
      <c r="E72" s="39">
        <f t="shared" si="32"/>
        <v>3175068.91</v>
      </c>
      <c r="F72" s="61">
        <f t="shared" si="32"/>
        <v>0</v>
      </c>
      <c r="G72" s="39">
        <f t="shared" si="32"/>
        <v>3175068.91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48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'TIE-OUT'!H73+RECLASS!H73</f>
        <v>0</v>
      </c>
      <c r="G73" s="60">
        <f>'TIE-OUT'!I73+RECLASS!I73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  <c r="AF73" s="127">
        <f>+Actuals!AC275</f>
        <v>0</v>
      </c>
      <c r="AG73" s="128">
        <f>+Actuals!AD275</f>
        <v>0</v>
      </c>
      <c r="AH73" s="127">
        <f>+Actuals!AE275</f>
        <v>0</v>
      </c>
      <c r="AI73" s="128">
        <f>+Actuals!AF275</f>
        <v>0</v>
      </c>
      <c r="AJ73" s="127">
        <f>+Actuals!AG275</f>
        <v>0</v>
      </c>
      <c r="AK73" s="128">
        <f>+Actuals!AH275</f>
        <v>0</v>
      </c>
      <c r="AL73" s="127">
        <f>+Actuals!AI275</f>
        <v>0</v>
      </c>
      <c r="AM73" s="128">
        <f>+Actuals!AJ275</f>
        <v>0</v>
      </c>
      <c r="AN73" s="127">
        <f>+Actuals!AK275</f>
        <v>0</v>
      </c>
      <c r="AO73" s="128">
        <f>+Actuals!AL275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-3062891.35</v>
      </c>
      <c r="F74" s="60">
        <f>'TIE-OUT'!H74+RECLASS!H74</f>
        <v>0</v>
      </c>
      <c r="G74" s="60">
        <f>'TIE-OUT'!I74+RECLASS!I74</f>
        <v>-2994798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7">
        <f>+Actuals!H196</f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57">
        <f>-22431.85-45661.5</f>
        <v>-68093.350000000006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  <c r="AF74" s="127">
        <f>+Actuals!AC276</f>
        <v>0</v>
      </c>
      <c r="AG74" s="128">
        <f>+Actuals!AD276</f>
        <v>0</v>
      </c>
      <c r="AH74" s="127">
        <f>+Actuals!AE276</f>
        <v>0</v>
      </c>
      <c r="AI74" s="128">
        <f>+Actuals!AF276</f>
        <v>0</v>
      </c>
      <c r="AJ74" s="127">
        <f>+Actuals!AG276</f>
        <v>0</v>
      </c>
      <c r="AK74" s="128">
        <f>+Actuals!AH276</f>
        <v>0</v>
      </c>
      <c r="AL74" s="127">
        <f>+Actuals!AI276</f>
        <v>0</v>
      </c>
      <c r="AM74" s="128">
        <f>+Actuals!AJ276</f>
        <v>0</v>
      </c>
      <c r="AN74" s="127">
        <f>+Actuals!AK276</f>
        <v>0</v>
      </c>
      <c r="AO74" s="128">
        <f>+Actuals!AL276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667700</v>
      </c>
      <c r="F75" s="60">
        <f>'TIE-OUT'!H75+RECLASS!H75</f>
        <v>0</v>
      </c>
      <c r="G75" s="60">
        <f>'TIE-OUT'!I75+RECLASS!I75</f>
        <v>667700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  <c r="AF75" s="127">
        <f>+Actuals!AC277</f>
        <v>0</v>
      </c>
      <c r="AG75" s="128">
        <f>+Actuals!AD277</f>
        <v>0</v>
      </c>
      <c r="AH75" s="127">
        <f>+Actuals!AE277</f>
        <v>0</v>
      </c>
      <c r="AI75" s="128">
        <f>+Actuals!AF277</f>
        <v>0</v>
      </c>
      <c r="AJ75" s="127">
        <f>+Actuals!AG277</f>
        <v>0</v>
      </c>
      <c r="AK75" s="128">
        <f>+Actuals!AH277</f>
        <v>0</v>
      </c>
      <c r="AL75" s="127">
        <f>+Actuals!AI277</f>
        <v>0</v>
      </c>
      <c r="AM75" s="128">
        <f>+Actuals!AJ277</f>
        <v>0</v>
      </c>
      <c r="AN75" s="127">
        <f>+Actuals!AK277</f>
        <v>0</v>
      </c>
      <c r="AO75" s="128">
        <f>+Actuals!AL277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-283837.52</v>
      </c>
      <c r="F76" s="60">
        <f>'TIE-OUT'!H76+RECLASS!H76</f>
        <v>0</v>
      </c>
      <c r="G76" s="60">
        <f>'TIE-OUT'!I76+RECLASS!I76</f>
        <v>0</v>
      </c>
      <c r="H76" s="127">
        <f>+Actuals!E198</f>
        <v>0</v>
      </c>
      <c r="I76" s="128">
        <f>+Actuals!F198</f>
        <v>-7453.19</v>
      </c>
      <c r="J76" s="127">
        <f>+Actuals!G198</f>
        <v>0</v>
      </c>
      <c r="K76" s="147">
        <f>+Actuals!H198</f>
        <v>-276384.33</v>
      </c>
      <c r="L76" s="127">
        <f>+Actuals!I198</f>
        <v>0</v>
      </c>
      <c r="M76" s="128">
        <f>+Actuals!J198</f>
        <v>0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  <c r="AF76" s="127">
        <f>+Actuals!AC278</f>
        <v>0</v>
      </c>
      <c r="AG76" s="128">
        <f>+Actuals!AD278</f>
        <v>0</v>
      </c>
      <c r="AH76" s="127">
        <f>+Actuals!AE278</f>
        <v>0</v>
      </c>
      <c r="AI76" s="128">
        <f>+Actuals!AF278</f>
        <v>0</v>
      </c>
      <c r="AJ76" s="127">
        <f>+Actuals!AG278</f>
        <v>0</v>
      </c>
      <c r="AK76" s="128">
        <f>+Actuals!AH278</f>
        <v>0</v>
      </c>
      <c r="AL76" s="127">
        <f>+Actuals!AI278</f>
        <v>0</v>
      </c>
      <c r="AM76" s="128">
        <f>+Actuals!AJ278</f>
        <v>0</v>
      </c>
      <c r="AN76" s="127">
        <f>+Actuals!AK278</f>
        <v>0</v>
      </c>
      <c r="AO76" s="128">
        <f>+Actuals!AL278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-3226809</v>
      </c>
      <c r="F77" s="60">
        <f>'TIE-OUT'!H77+RECLASS!H77</f>
        <v>0</v>
      </c>
      <c r="G77" s="60">
        <f>'TIE-OUT'!I77+RECLASS!I77</f>
        <v>-3226809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  <c r="AF77" s="127">
        <f>+Actuals!AC279</f>
        <v>0</v>
      </c>
      <c r="AG77" s="128">
        <f>+Actuals!AD279</f>
        <v>0</v>
      </c>
      <c r="AH77" s="127">
        <f>+Actuals!AE279</f>
        <v>0</v>
      </c>
      <c r="AI77" s="128">
        <f>+Actuals!AF279</f>
        <v>0</v>
      </c>
      <c r="AJ77" s="127">
        <f>+Actuals!AG279</f>
        <v>0</v>
      </c>
      <c r="AK77" s="128">
        <f>+Actuals!AH279</f>
        <v>0</v>
      </c>
      <c r="AL77" s="127">
        <f>+Actuals!AI279</f>
        <v>0</v>
      </c>
      <c r="AM77" s="128">
        <f>+Actuals!AJ279</f>
        <v>0</v>
      </c>
      <c r="AN77" s="127">
        <f>+Actuals!AK279</f>
        <v>0</v>
      </c>
      <c r="AO77" s="128">
        <f>+Actuals!AL279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'TIE-OUT'!H78+RECLASS!H78</f>
        <v>0</v>
      </c>
      <c r="G78" s="60">
        <f>'TIE-OUT'!I78+RECLASS!I78</f>
        <v>0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  <c r="AF78" s="127">
        <f>+Actuals!AC280</f>
        <v>0</v>
      </c>
      <c r="AG78" s="128">
        <f>+Actuals!AD280</f>
        <v>0</v>
      </c>
      <c r="AH78" s="127">
        <f>+Actuals!AE280</f>
        <v>0</v>
      </c>
      <c r="AI78" s="128">
        <f>+Actuals!AF280</f>
        <v>0</v>
      </c>
      <c r="AJ78" s="127">
        <f>+Actuals!AG280</f>
        <v>0</v>
      </c>
      <c r="AK78" s="128">
        <f>+Actuals!AH280</f>
        <v>0</v>
      </c>
      <c r="AL78" s="127">
        <f>+Actuals!AI280</f>
        <v>0</v>
      </c>
      <c r="AM78" s="128">
        <f>+Actuals!AJ280</f>
        <v>0</v>
      </c>
      <c r="AN78" s="127">
        <f>+Actuals!AK280</f>
        <v>0</v>
      </c>
      <c r="AO78" s="128">
        <f>+Actuals!AL280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'TIE-OUT'!H79+RECLASS!H79</f>
        <v>0</v>
      </c>
      <c r="G79" s="60">
        <f>'TIE-OUT'!I79+RECLASS!I79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  <c r="AF79" s="127">
        <f>+Actuals!AC281</f>
        <v>0</v>
      </c>
      <c r="AG79" s="128">
        <f>+Actuals!AD281</f>
        <v>0</v>
      </c>
      <c r="AH79" s="127">
        <f>+Actuals!AE281</f>
        <v>0</v>
      </c>
      <c r="AI79" s="128">
        <f>+Actuals!AF281</f>
        <v>0</v>
      </c>
      <c r="AJ79" s="127">
        <f>+Actuals!AG281</f>
        <v>0</v>
      </c>
      <c r="AK79" s="128">
        <f>+Actuals!AH281</f>
        <v>0</v>
      </c>
      <c r="AL79" s="127">
        <f>+Actuals!AI281</f>
        <v>0</v>
      </c>
      <c r="AM79" s="128">
        <f>+Actuals!AJ281</f>
        <v>0</v>
      </c>
      <c r="AN79" s="127">
        <f>+Actuals!AK281</f>
        <v>0</v>
      </c>
      <c r="AO79" s="128">
        <f>+Actuals!AL281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'TIE-OUT'!H80+RECLASS!H80</f>
        <v>0</v>
      </c>
      <c r="G80" s="60">
        <f>'TIE-OUT'!I80+RECLASS!I80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  <c r="AF80" s="127">
        <f>+Actuals!AC282</f>
        <v>0</v>
      </c>
      <c r="AG80" s="128">
        <f>+Actuals!AD282</f>
        <v>0</v>
      </c>
      <c r="AH80" s="127">
        <f>+Actuals!AE282</f>
        <v>0</v>
      </c>
      <c r="AI80" s="128">
        <f>+Actuals!AF282</f>
        <v>0</v>
      </c>
      <c r="AJ80" s="127">
        <f>+Actuals!AG282</f>
        <v>0</v>
      </c>
      <c r="AK80" s="128">
        <f>+Actuals!AH282</f>
        <v>0</v>
      </c>
      <c r="AL80" s="127">
        <f>+Actuals!AI282</f>
        <v>0</v>
      </c>
      <c r="AM80" s="128">
        <f>+Actuals!AJ282</f>
        <v>0</v>
      </c>
      <c r="AN80" s="127">
        <f>+Actuals!AK282</f>
        <v>0</v>
      </c>
      <c r="AO80" s="128">
        <f>+Actuals!AL282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849655.87</v>
      </c>
      <c r="F81" s="60">
        <f>'TIE-OUT'!H81+RECLASS!H81</f>
        <v>0</v>
      </c>
      <c r="G81" s="60">
        <f>'TIE-OUT'!I81+RECLASS!I81</f>
        <v>0</v>
      </c>
      <c r="H81" s="127">
        <f>+Actuals!E203</f>
        <v>0</v>
      </c>
      <c r="I81" s="128">
        <f>+Actuals!F203</f>
        <v>787515.44</v>
      </c>
      <c r="J81" s="127">
        <f>+Actuals!G203</f>
        <v>0</v>
      </c>
      <c r="K81" s="147">
        <f>+Actuals!H203</f>
        <v>62140.43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  <c r="AF81" s="127">
        <f>+Actuals!AC283</f>
        <v>0</v>
      </c>
      <c r="AG81" s="128">
        <f>+Actuals!AD283</f>
        <v>0</v>
      </c>
      <c r="AH81" s="127">
        <f>+Actuals!AE283</f>
        <v>0</v>
      </c>
      <c r="AI81" s="128">
        <f>+Actuals!AF283</f>
        <v>0</v>
      </c>
      <c r="AJ81" s="127">
        <f>+Actuals!AG283</f>
        <v>0</v>
      </c>
      <c r="AK81" s="128">
        <f>+Actuals!AH283</f>
        <v>0</v>
      </c>
      <c r="AL81" s="127">
        <f>+Actuals!AI283</f>
        <v>0</v>
      </c>
      <c r="AM81" s="128">
        <f>+Actuals!AJ283</f>
        <v>0</v>
      </c>
      <c r="AN81" s="127">
        <f>+Actuals!AK283</f>
        <v>0</v>
      </c>
      <c r="AO81" s="128">
        <f>+Actuals!AL283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-2482970.4600000558</v>
      </c>
      <c r="F82" s="92">
        <f>F16+F24+F29+F36+F43+F45+F47+F49</f>
        <v>0</v>
      </c>
      <c r="G82" s="93">
        <f>SUM(G72:G81)+G16+G24+G29+G36+G43+G45+G47+G49+G51+G56+G61+G66</f>
        <v>-6721422.75</v>
      </c>
      <c r="H82" s="92">
        <f>H16+H24+H29+H36+H43+H45+H47+H49</f>
        <v>0</v>
      </c>
      <c r="I82" s="93">
        <f>SUM(I72:I81)+I16+I24+I29+I36+I43+I45+I47+I49+I51+I56+I61+I66</f>
        <v>4020373.5500000203</v>
      </c>
      <c r="J82" s="92">
        <f>J16+J24+J29+J36+J43+J45+J47+J49</f>
        <v>0</v>
      </c>
      <c r="K82" s="158">
        <f>SUM(K72:K81)+K16+K24+K29+K36+K43+K45+K47+K49+K51+K56+K61+K66</f>
        <v>17118373.098000001</v>
      </c>
      <c r="L82" s="92">
        <f>L16+L24+L29+L36+L43+L45+L47+L49</f>
        <v>0</v>
      </c>
      <c r="M82" s="93">
        <f>SUM(M72:M81)+M16+M24+M29+M36+M43+M45+M47+M49+M51+M56+M61+M66</f>
        <v>-1818384.9779999999</v>
      </c>
      <c r="N82" s="92">
        <f>N16+N24+N29+N36+N43+N45+N47+N49</f>
        <v>0</v>
      </c>
      <c r="O82" s="93">
        <f>SUM(O72:O81)+O16+O24+O29+O36+O43+O45+O47+O49+O51+O56+O61+O66</f>
        <v>498452.28599999996</v>
      </c>
      <c r="P82" s="92">
        <f>P16+P24+P29+P36+P43+P45+P47+P49</f>
        <v>0</v>
      </c>
      <c r="Q82" s="93">
        <f>SUM(Q72:Q81)+Q16+Q24+Q29+Q36+Q43+Q45+Q47+Q49+Q51+Q56+Q61+Q66</f>
        <v>1130253.9039999999</v>
      </c>
      <c r="R82" s="92">
        <f>R16+R24+R29+R36+R43+R45+R47+R49</f>
        <v>0</v>
      </c>
      <c r="S82" s="93">
        <f>SUM(S72:S81)+S16+S24+S29+S36+S43+S45+S47+S49+S51+S56+S61+S66</f>
        <v>-16796729.884999998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-11348.920000000013</v>
      </c>
      <c r="X82" s="92">
        <f>X16+X24+X29+X36+X43+X45+X47+X49</f>
        <v>0</v>
      </c>
      <c r="Y82" s="93">
        <f>SUM(Y72:Y81)+Y16+Y24+Y29+Y36+Y43+Y45+Y47+Y49+Y51+Y56+Y61+Y66</f>
        <v>71238.639999999868</v>
      </c>
      <c r="Z82" s="92">
        <f>Z16+Z24+Z29+Z36+Z43+Z45+Z47+Z49</f>
        <v>0</v>
      </c>
      <c r="AA82" s="93">
        <f>SUM(AA72:AA81)+AA16+AA24+AA29+AA36+AA43+AA45+AA47+AA49+AA51+AA56+AA61+AA66</f>
        <v>99955</v>
      </c>
      <c r="AB82" s="92">
        <f>AB16+AB24+AB29+AB36+AB43+AB45+AB47+AB49</f>
        <v>0</v>
      </c>
      <c r="AC82" s="93">
        <f>SUM(AC72:AC81)+AC16+AC24+AC29+AC36+AC43+AC45+AC47+AC49+AC51+AC56+AC61+AC66</f>
        <v>-11348.920000000013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-57153.584999999992</v>
      </c>
      <c r="AH82" s="92">
        <f>AH16+AH24+AH29+AH36+AH43+AH45+AH47+AH49</f>
        <v>0</v>
      </c>
      <c r="AI82" s="93">
        <f>SUM(AI72:AI81)+AI16+AI24+AI29+AI36+AI43+AI45+AI47+AI49+AI51+AI56+AI61+AI66</f>
        <v>-5227.8999999999996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</row>
    <row r="85" spans="1:41" x14ac:dyDescent="0.2">
      <c r="A85" s="4" t="s">
        <v>172</v>
      </c>
      <c r="B85" s="3"/>
      <c r="F85" s="31"/>
      <c r="G85" s="31"/>
      <c r="H85" s="31"/>
      <c r="I85" s="31"/>
      <c r="K85"/>
      <c r="L85" s="45"/>
    </row>
    <row r="86" spans="1:41" s="3" customFormat="1" x14ac:dyDescent="0.2">
      <c r="A86" s="172"/>
      <c r="C86" s="10" t="s">
        <v>175</v>
      </c>
      <c r="D86" s="173">
        <f t="shared" ref="D86:E88" si="37">SUM(F86,H86,J86,L86,N86,P86,R86,T86,V86,X86,Z86,AB86,AD86)</f>
        <v>0</v>
      </c>
      <c r="E86" s="173">
        <f t="shared" si="37"/>
        <v>-199187.04</v>
      </c>
      <c r="F86" s="173">
        <f>'TIE-OUT'!H86+RECLASS!H86</f>
        <v>0</v>
      </c>
      <c r="G86" s="173">
        <f>'TIE-OUT'!I86+RECLASS!I86</f>
        <v>812.96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  <c r="N86" s="173">
        <v>0</v>
      </c>
      <c r="O86" s="173">
        <v>-200000</v>
      </c>
      <c r="P86" s="173">
        <v>0</v>
      </c>
      <c r="Q86" s="173">
        <v>0</v>
      </c>
      <c r="R86" s="173">
        <v>0</v>
      </c>
      <c r="S86" s="173">
        <v>0</v>
      </c>
      <c r="T86" s="173">
        <v>0</v>
      </c>
      <c r="U86" s="173">
        <v>0</v>
      </c>
      <c r="V86" s="173">
        <v>0</v>
      </c>
      <c r="W86" s="173">
        <v>0</v>
      </c>
      <c r="X86" s="173">
        <v>0</v>
      </c>
      <c r="Y86" s="173">
        <v>0</v>
      </c>
      <c r="Z86" s="173">
        <v>0</v>
      </c>
      <c r="AA86" s="173">
        <v>0</v>
      </c>
      <c r="AB86" s="173">
        <v>0</v>
      </c>
      <c r="AC86" s="173">
        <v>0</v>
      </c>
      <c r="AD86" s="173">
        <v>0</v>
      </c>
      <c r="AE86" s="173">
        <v>0</v>
      </c>
      <c r="AF86" s="173">
        <v>0</v>
      </c>
      <c r="AG86" s="173">
        <v>0</v>
      </c>
      <c r="AH86" s="173">
        <v>0</v>
      </c>
      <c r="AI86" s="173">
        <v>0</v>
      </c>
      <c r="AJ86" s="173">
        <v>0</v>
      </c>
      <c r="AK86" s="173">
        <v>0</v>
      </c>
      <c r="AL86" s="173">
        <v>0</v>
      </c>
      <c r="AM86" s="173">
        <v>0</v>
      </c>
      <c r="AN86" s="173">
        <v>0</v>
      </c>
      <c r="AO86" s="173">
        <v>0</v>
      </c>
    </row>
    <row r="87" spans="1:41" s="3" customFormat="1" x14ac:dyDescent="0.2">
      <c r="A87" s="172"/>
      <c r="C87" s="10" t="s">
        <v>73</v>
      </c>
      <c r="D87" s="174">
        <f t="shared" si="37"/>
        <v>0</v>
      </c>
      <c r="E87" s="174">
        <f t="shared" si="37"/>
        <v>0</v>
      </c>
      <c r="F87" s="174">
        <f>'TIE-OUT'!H87+RECLASS!H87</f>
        <v>0</v>
      </c>
      <c r="G87" s="174">
        <f>'TIE-OUT'!I87+RECLASS!I87</f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v>0</v>
      </c>
      <c r="T87" s="174">
        <v>0</v>
      </c>
      <c r="U87" s="174">
        <v>0</v>
      </c>
      <c r="V87" s="174">
        <v>0</v>
      </c>
      <c r="W87" s="174">
        <v>0</v>
      </c>
      <c r="X87" s="174">
        <v>0</v>
      </c>
      <c r="Y87" s="174">
        <v>0</v>
      </c>
      <c r="Z87" s="174">
        <v>0</v>
      </c>
      <c r="AA87" s="174">
        <v>0</v>
      </c>
      <c r="AB87" s="174">
        <v>0</v>
      </c>
      <c r="AC87" s="174">
        <v>0</v>
      </c>
      <c r="AD87" s="174">
        <v>0</v>
      </c>
      <c r="AE87" s="174">
        <v>0</v>
      </c>
      <c r="AF87" s="174">
        <v>0</v>
      </c>
      <c r="AG87" s="174">
        <v>0</v>
      </c>
      <c r="AH87" s="174">
        <v>0</v>
      </c>
      <c r="AI87" s="174">
        <v>0</v>
      </c>
      <c r="AJ87" s="174">
        <v>0</v>
      </c>
      <c r="AK87" s="174">
        <v>0</v>
      </c>
      <c r="AL87" s="174">
        <v>0</v>
      </c>
      <c r="AM87" s="174">
        <v>0</v>
      </c>
      <c r="AN87" s="174">
        <v>0</v>
      </c>
      <c r="AO87" s="174">
        <v>0</v>
      </c>
    </row>
    <row r="88" spans="1:41" s="3" customFormat="1" x14ac:dyDescent="0.2">
      <c r="A88" s="172"/>
      <c r="C88" s="10" t="s">
        <v>74</v>
      </c>
      <c r="D88" s="175">
        <f t="shared" si="37"/>
        <v>0</v>
      </c>
      <c r="E88" s="175">
        <f t="shared" si="37"/>
        <v>0</v>
      </c>
      <c r="F88" s="175">
        <f>'TIE-OUT'!H88+RECLASS!H88</f>
        <v>0</v>
      </c>
      <c r="G88" s="175">
        <f>'TIE-OUT'!I88+RECLASS!I88</f>
        <v>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0</v>
      </c>
      <c r="R88" s="175">
        <v>0</v>
      </c>
      <c r="S88" s="175">
        <v>0</v>
      </c>
      <c r="T88" s="175">
        <v>0</v>
      </c>
      <c r="U88" s="175">
        <v>0</v>
      </c>
      <c r="V88" s="175">
        <v>0</v>
      </c>
      <c r="W88" s="175">
        <v>0</v>
      </c>
      <c r="X88" s="175">
        <v>0</v>
      </c>
      <c r="Y88" s="175">
        <v>0</v>
      </c>
      <c r="Z88" s="175">
        <v>0</v>
      </c>
      <c r="AA88" s="175">
        <v>0</v>
      </c>
      <c r="AB88" s="175">
        <v>0</v>
      </c>
      <c r="AC88" s="175">
        <v>0</v>
      </c>
      <c r="AD88" s="175">
        <v>0</v>
      </c>
      <c r="AE88" s="175">
        <v>0</v>
      </c>
      <c r="AF88" s="175">
        <v>0</v>
      </c>
      <c r="AG88" s="175">
        <v>0</v>
      </c>
      <c r="AH88" s="175">
        <v>0</v>
      </c>
      <c r="AI88" s="175">
        <v>0</v>
      </c>
      <c r="AJ88" s="175">
        <v>0</v>
      </c>
      <c r="AK88" s="175">
        <v>0</v>
      </c>
      <c r="AL88" s="175">
        <v>0</v>
      </c>
      <c r="AM88" s="175">
        <v>0</v>
      </c>
      <c r="AN88" s="175">
        <v>0</v>
      </c>
      <c r="AO88" s="175">
        <v>0</v>
      </c>
    </row>
    <row r="89" spans="1:41" s="143" customFormat="1" ht="20.25" customHeight="1" x14ac:dyDescent="0.2">
      <c r="A89" s="186"/>
      <c r="B89" s="187"/>
      <c r="C89" s="185" t="s">
        <v>178</v>
      </c>
      <c r="D89" s="188">
        <f>SUM(D86:D88)</f>
        <v>0</v>
      </c>
      <c r="E89" s="188">
        <f t="shared" ref="E89:M89" si="38">SUM(E86:E88)</f>
        <v>-199187.04</v>
      </c>
      <c r="F89" s="188">
        <f t="shared" si="38"/>
        <v>0</v>
      </c>
      <c r="G89" s="188">
        <f t="shared" si="38"/>
        <v>812.96</v>
      </c>
      <c r="H89" s="188">
        <f t="shared" si="38"/>
        <v>0</v>
      </c>
      <c r="I89" s="188">
        <f t="shared" si="38"/>
        <v>0</v>
      </c>
      <c r="J89" s="188">
        <f t="shared" si="38"/>
        <v>0</v>
      </c>
      <c r="K89" s="188">
        <f t="shared" si="38"/>
        <v>0</v>
      </c>
      <c r="L89" s="188">
        <f t="shared" si="38"/>
        <v>0</v>
      </c>
      <c r="M89" s="188">
        <f t="shared" si="38"/>
        <v>0</v>
      </c>
      <c r="N89" s="188">
        <f t="shared" ref="N89:AE89" si="39">SUM(N86:N88)</f>
        <v>0</v>
      </c>
      <c r="O89" s="188">
        <f t="shared" si="39"/>
        <v>-200000</v>
      </c>
      <c r="P89" s="188">
        <f t="shared" si="39"/>
        <v>0</v>
      </c>
      <c r="Q89" s="188">
        <f t="shared" si="39"/>
        <v>0</v>
      </c>
      <c r="R89" s="188">
        <f t="shared" si="39"/>
        <v>0</v>
      </c>
      <c r="S89" s="188">
        <f t="shared" si="39"/>
        <v>0</v>
      </c>
      <c r="T89" s="188">
        <f t="shared" si="39"/>
        <v>0</v>
      </c>
      <c r="U89" s="188">
        <f t="shared" si="39"/>
        <v>0</v>
      </c>
      <c r="V89" s="188">
        <f t="shared" si="39"/>
        <v>0</v>
      </c>
      <c r="W89" s="188">
        <f t="shared" si="39"/>
        <v>0</v>
      </c>
      <c r="X89" s="188">
        <f t="shared" si="39"/>
        <v>0</v>
      </c>
      <c r="Y89" s="188">
        <f t="shared" si="39"/>
        <v>0</v>
      </c>
      <c r="Z89" s="188">
        <f t="shared" si="39"/>
        <v>0</v>
      </c>
      <c r="AA89" s="188">
        <f t="shared" si="39"/>
        <v>0</v>
      </c>
      <c r="AB89" s="188">
        <f t="shared" si="39"/>
        <v>0</v>
      </c>
      <c r="AC89" s="188">
        <f t="shared" si="39"/>
        <v>0</v>
      </c>
      <c r="AD89" s="188">
        <f t="shared" si="39"/>
        <v>0</v>
      </c>
      <c r="AE89" s="188">
        <f t="shared" si="39"/>
        <v>0</v>
      </c>
      <c r="AF89" s="188">
        <f t="shared" ref="AF89:AK89" si="40">SUM(AF86:AF88)</f>
        <v>0</v>
      </c>
      <c r="AG89" s="188">
        <f t="shared" si="40"/>
        <v>0</v>
      </c>
      <c r="AH89" s="188">
        <f t="shared" si="40"/>
        <v>0</v>
      </c>
      <c r="AI89" s="188">
        <f t="shared" si="40"/>
        <v>0</v>
      </c>
      <c r="AJ89" s="188">
        <f t="shared" si="40"/>
        <v>0</v>
      </c>
      <c r="AK89" s="188">
        <f t="shared" si="40"/>
        <v>0</v>
      </c>
      <c r="AL89" s="188">
        <f>SUM(AL86:AL88)</f>
        <v>0</v>
      </c>
      <c r="AM89" s="188">
        <f>SUM(AM86:AM88)</f>
        <v>0</v>
      </c>
      <c r="AN89" s="188">
        <f>SUM(AN86:AN88)</f>
        <v>0</v>
      </c>
      <c r="AO89" s="188">
        <f>SUM(AO86:AO88)</f>
        <v>0</v>
      </c>
    </row>
    <row r="90" spans="1:41" x14ac:dyDescent="0.2">
      <c r="A90" s="4"/>
      <c r="B90" s="3"/>
      <c r="F90" s="31"/>
      <c r="G90" s="31"/>
      <c r="H90" s="31"/>
      <c r="I90" s="31"/>
      <c r="K90"/>
    </row>
    <row r="91" spans="1:41" s="143" customFormat="1" ht="20.25" customHeight="1" x14ac:dyDescent="0.2">
      <c r="A91" s="186"/>
      <c r="B91" s="187"/>
      <c r="C91" s="185" t="s">
        <v>181</v>
      </c>
      <c r="D91" s="188">
        <f>+D82+D89</f>
        <v>0</v>
      </c>
      <c r="E91" s="188">
        <f t="shared" ref="E91:M91" si="41">+E82+E89</f>
        <v>-2682157.5000000559</v>
      </c>
      <c r="F91" s="188">
        <f t="shared" si="41"/>
        <v>0</v>
      </c>
      <c r="G91" s="188">
        <f t="shared" si="41"/>
        <v>-6720609.79</v>
      </c>
      <c r="H91" s="188">
        <f t="shared" si="41"/>
        <v>0</v>
      </c>
      <c r="I91" s="188">
        <f t="shared" si="41"/>
        <v>4020373.5500000203</v>
      </c>
      <c r="J91" s="188">
        <f t="shared" si="41"/>
        <v>0</v>
      </c>
      <c r="K91" s="188">
        <f t="shared" si="41"/>
        <v>17118373.098000001</v>
      </c>
      <c r="L91" s="188">
        <f t="shared" si="41"/>
        <v>0</v>
      </c>
      <c r="M91" s="188">
        <f t="shared" si="41"/>
        <v>-1818384.9779999999</v>
      </c>
      <c r="N91" s="188">
        <f t="shared" ref="N91:AE91" si="42">+N82+N89</f>
        <v>0</v>
      </c>
      <c r="O91" s="188">
        <f t="shared" si="42"/>
        <v>298452.28599999996</v>
      </c>
      <c r="P91" s="188">
        <f t="shared" si="42"/>
        <v>0</v>
      </c>
      <c r="Q91" s="188">
        <f t="shared" si="42"/>
        <v>1130253.9039999999</v>
      </c>
      <c r="R91" s="188">
        <f t="shared" si="42"/>
        <v>0</v>
      </c>
      <c r="S91" s="188">
        <f t="shared" si="42"/>
        <v>-16796729.884999998</v>
      </c>
      <c r="T91" s="188">
        <f t="shared" si="42"/>
        <v>0</v>
      </c>
      <c r="U91" s="188">
        <f t="shared" si="42"/>
        <v>0</v>
      </c>
      <c r="V91" s="188">
        <f t="shared" si="42"/>
        <v>0</v>
      </c>
      <c r="W91" s="188">
        <f t="shared" si="42"/>
        <v>-11348.920000000013</v>
      </c>
      <c r="X91" s="188">
        <f t="shared" si="42"/>
        <v>0</v>
      </c>
      <c r="Y91" s="188">
        <f t="shared" si="42"/>
        <v>71238.639999999868</v>
      </c>
      <c r="Z91" s="188">
        <f t="shared" si="42"/>
        <v>0</v>
      </c>
      <c r="AA91" s="188">
        <f t="shared" si="42"/>
        <v>99955</v>
      </c>
      <c r="AB91" s="188">
        <f t="shared" si="42"/>
        <v>0</v>
      </c>
      <c r="AC91" s="188">
        <f t="shared" si="42"/>
        <v>-11348.920000000013</v>
      </c>
      <c r="AD91" s="188">
        <f t="shared" si="42"/>
        <v>0</v>
      </c>
      <c r="AE91" s="188">
        <f t="shared" si="42"/>
        <v>0</v>
      </c>
      <c r="AF91" s="188">
        <f t="shared" ref="AF91:AK91" si="43">+AF82+AF89</f>
        <v>0</v>
      </c>
      <c r="AG91" s="188">
        <f t="shared" si="43"/>
        <v>-57153.584999999992</v>
      </c>
      <c r="AH91" s="188">
        <f t="shared" si="43"/>
        <v>0</v>
      </c>
      <c r="AI91" s="188">
        <f t="shared" si="43"/>
        <v>-5227.8999999999996</v>
      </c>
      <c r="AJ91" s="188">
        <f t="shared" si="43"/>
        <v>0</v>
      </c>
      <c r="AK91" s="188">
        <f t="shared" si="43"/>
        <v>0</v>
      </c>
      <c r="AL91" s="188">
        <f>+AL82+AL89</f>
        <v>0</v>
      </c>
      <c r="AM91" s="188">
        <f>+AM82+AM89</f>
        <v>0</v>
      </c>
      <c r="AN91" s="188">
        <f>+AN82+AN89</f>
        <v>0</v>
      </c>
      <c r="AO91" s="188">
        <f>+AO82+AO89</f>
        <v>0</v>
      </c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O175"/>
  <sheetViews>
    <sheetView zoomScale="75" workbookViewId="0">
      <pane xSplit="3" ySplit="9" topLeftCell="D10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  <col min="81" max="98" width="0" hidden="1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8540664</v>
      </c>
      <c r="E11" s="38">
        <f t="shared" si="0"/>
        <v>20328942.759999998</v>
      </c>
      <c r="F11" s="58">
        <f>'TIE-OUT'!J11+RECLASS!J11</f>
        <v>0</v>
      </c>
      <c r="G11" s="15">
        <f>'TIE-OUT'!K11+RECLASS!K11</f>
        <v>0</v>
      </c>
      <c r="H11" s="127">
        <f>+Actuals!E44</f>
        <v>8530497</v>
      </c>
      <c r="I11" s="128">
        <f>+Actuals!F44</f>
        <v>20291918.389999997</v>
      </c>
      <c r="J11" s="127">
        <f>+Actuals!G44</f>
        <v>-98192</v>
      </c>
      <c r="K11" s="147">
        <f>+Actuals!H44</f>
        <v>-212815.14</v>
      </c>
      <c r="L11" s="127">
        <f>+Actuals!I44</f>
        <v>89333</v>
      </c>
      <c r="M11" s="128">
        <f>+Actuals!J44</f>
        <v>206332.13</v>
      </c>
      <c r="N11" s="127">
        <f>+Actuals!K44</f>
        <v>-297102</v>
      </c>
      <c r="O11" s="128">
        <f>+Actuals!L44</f>
        <v>-721957.86</v>
      </c>
      <c r="P11" s="127">
        <f>+Actuals!M44</f>
        <v>0</v>
      </c>
      <c r="Q11" s="128">
        <f>+Actuals!N44</f>
        <v>0</v>
      </c>
      <c r="R11" s="127">
        <f>+Actuals!O44</f>
        <v>0</v>
      </c>
      <c r="S11" s="128">
        <f>+Actuals!P44</f>
        <v>1239.98</v>
      </c>
      <c r="T11" s="127">
        <f>+Actuals!Q44</f>
        <v>297102</v>
      </c>
      <c r="U11" s="128">
        <f>+Actuals!R44</f>
        <v>721957.86</v>
      </c>
      <c r="V11" s="127">
        <f>+Actuals!S44</f>
        <v>0</v>
      </c>
      <c r="W11" s="128">
        <f>+Actuals!T44</f>
        <v>-1492.4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19026</v>
      </c>
      <c r="AC11" s="128">
        <f>+Actuals!Z44</f>
        <v>43759.8</v>
      </c>
      <c r="AD11" s="127">
        <f>+Actuals!AA44</f>
        <v>0</v>
      </c>
      <c r="AE11" s="128">
        <f>+Actuals!AB44</f>
        <v>0</v>
      </c>
      <c r="AF11" s="127">
        <f>+Actuals!AC44</f>
        <v>0</v>
      </c>
      <c r="AG11" s="128">
        <f>+Actuals!AD44</f>
        <v>0</v>
      </c>
      <c r="AH11" s="127">
        <f>+Actuals!AE44</f>
        <v>0</v>
      </c>
      <c r="AI11" s="128">
        <f>+Actuals!AF44</f>
        <v>0</v>
      </c>
      <c r="AJ11" s="127">
        <f>+Actuals!AG44</f>
        <v>0</v>
      </c>
      <c r="AK11" s="128">
        <f>+Actuals!AH44</f>
        <v>0</v>
      </c>
      <c r="AL11" s="127">
        <f>+Actuals!AI44</f>
        <v>0</v>
      </c>
      <c r="AM11" s="128">
        <f>+Actuals!AJ44</f>
        <v>0</v>
      </c>
      <c r="AN11" s="127">
        <f>+Actuals!AK44</f>
        <v>0</v>
      </c>
      <c r="AO11" s="128">
        <f>+Actuals!AL44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19314.579999999998</v>
      </c>
      <c r="F12" s="58">
        <f>'TIE-OUT'!J12+RECLASS!J12</f>
        <v>0</v>
      </c>
      <c r="G12" s="15">
        <f>'TIE-OUT'!K12+RECLASS!K12</f>
        <v>14751.38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60">
        <f>+Actuals!H45+4563.2</f>
        <v>4563.2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  <c r="AF12" s="127">
        <f>+Actuals!AC45</f>
        <v>0</v>
      </c>
      <c r="AG12" s="128">
        <f>+Actuals!AD45</f>
        <v>0</v>
      </c>
      <c r="AH12" s="127">
        <f>+Actuals!AE45</f>
        <v>0</v>
      </c>
      <c r="AI12" s="128">
        <f>+Actuals!AF45</f>
        <v>0</v>
      </c>
      <c r="AJ12" s="127">
        <f>+Actuals!AG45</f>
        <v>0</v>
      </c>
      <c r="AK12" s="128">
        <f>+Actuals!AH45</f>
        <v>0</v>
      </c>
      <c r="AL12" s="127">
        <f>+Actuals!AI45</f>
        <v>0</v>
      </c>
      <c r="AM12" s="128">
        <f>+Actuals!AJ45</f>
        <v>0</v>
      </c>
      <c r="AN12" s="127">
        <f>+Actuals!AK45</f>
        <v>0</v>
      </c>
      <c r="AO12" s="128">
        <f>+Actuals!AL45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  <c r="AF13" s="127">
        <f>+Actuals!AC46</f>
        <v>0</v>
      </c>
      <c r="AG13" s="128">
        <f>+Actuals!AD46</f>
        <v>0</v>
      </c>
      <c r="AH13" s="127">
        <f>+Actuals!AE46</f>
        <v>0</v>
      </c>
      <c r="AI13" s="128">
        <f>+Actuals!AF46</f>
        <v>0</v>
      </c>
      <c r="AJ13" s="127">
        <f>+Actuals!AG46</f>
        <v>0</v>
      </c>
      <c r="AK13" s="128">
        <f>+Actuals!AH46</f>
        <v>0</v>
      </c>
      <c r="AL13" s="127">
        <f>+Actuals!AI46</f>
        <v>0</v>
      </c>
      <c r="AM13" s="128">
        <f>+Actuals!AJ46</f>
        <v>0</v>
      </c>
      <c r="AN13" s="127">
        <f>+Actuals!AK46</f>
        <v>0</v>
      </c>
      <c r="AO13" s="128">
        <f>+Actuals!AL46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  <c r="AF14" s="127">
        <f>+Actuals!AC47</f>
        <v>0</v>
      </c>
      <c r="AG14" s="128">
        <f>+Actuals!AD47</f>
        <v>0</v>
      </c>
      <c r="AH14" s="127">
        <f>+Actuals!AE47</f>
        <v>0</v>
      </c>
      <c r="AI14" s="128">
        <f>+Actuals!AF47</f>
        <v>0</v>
      </c>
      <c r="AJ14" s="127">
        <f>+Actuals!AG47</f>
        <v>0</v>
      </c>
      <c r="AK14" s="128">
        <f>+Actuals!AH47</f>
        <v>0</v>
      </c>
      <c r="AL14" s="127">
        <f>+Actuals!AI47</f>
        <v>0</v>
      </c>
      <c r="AM14" s="128">
        <f>+Actuals!AJ47</f>
        <v>0</v>
      </c>
      <c r="AN14" s="127">
        <f>+Actuals!AK47</f>
        <v>0</v>
      </c>
      <c r="AO14" s="128">
        <f>+Actuals!AL47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  <c r="AF15" s="127">
        <f>+Actuals!AC48</f>
        <v>0</v>
      </c>
      <c r="AG15" s="128">
        <f>+Actuals!AD48</f>
        <v>0</v>
      </c>
      <c r="AH15" s="127">
        <f>+Actuals!AE48</f>
        <v>0</v>
      </c>
      <c r="AI15" s="128">
        <f>+Actuals!AF48</f>
        <v>0</v>
      </c>
      <c r="AJ15" s="127">
        <f>+Actuals!AG48</f>
        <v>0</v>
      </c>
      <c r="AK15" s="128">
        <f>+Actuals!AH48</f>
        <v>0</v>
      </c>
      <c r="AL15" s="127">
        <f>+Actuals!AI48</f>
        <v>0</v>
      </c>
      <c r="AM15" s="128">
        <f>+Actuals!AJ48</f>
        <v>0</v>
      </c>
      <c r="AN15" s="127">
        <f>+Actuals!AK48</f>
        <v>0</v>
      </c>
      <c r="AO15" s="128">
        <f>+Actuals!AL48</f>
        <v>0</v>
      </c>
    </row>
    <row r="16" spans="1:41" x14ac:dyDescent="0.2">
      <c r="A16" s="9"/>
      <c r="B16" s="7" t="s">
        <v>32</v>
      </c>
      <c r="C16" s="6"/>
      <c r="D16" s="61">
        <f>SUM(D11:D15)</f>
        <v>8540664</v>
      </c>
      <c r="E16" s="39">
        <f>SUM(E11:E15)</f>
        <v>20348257.339999996</v>
      </c>
      <c r="F16" s="59">
        <f t="shared" ref="F16:Y16" si="1">SUM(F11:F15)</f>
        <v>0</v>
      </c>
      <c r="G16" s="23">
        <f t="shared" si="1"/>
        <v>14751.38</v>
      </c>
      <c r="H16" s="61">
        <f t="shared" si="1"/>
        <v>8530497</v>
      </c>
      <c r="I16" s="39">
        <f t="shared" si="1"/>
        <v>20291918.389999997</v>
      </c>
      <c r="J16" s="61">
        <f t="shared" si="1"/>
        <v>-98192</v>
      </c>
      <c r="K16" s="148">
        <f t="shared" si="1"/>
        <v>-208251.94</v>
      </c>
      <c r="L16" s="61">
        <f t="shared" si="1"/>
        <v>89333</v>
      </c>
      <c r="M16" s="39">
        <f t="shared" si="1"/>
        <v>206332.13</v>
      </c>
      <c r="N16" s="61">
        <f t="shared" si="1"/>
        <v>-297102</v>
      </c>
      <c r="O16" s="39">
        <f t="shared" si="1"/>
        <v>-721957.86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1239.98</v>
      </c>
      <c r="T16" s="61">
        <f t="shared" si="1"/>
        <v>297102</v>
      </c>
      <c r="U16" s="39">
        <f t="shared" si="1"/>
        <v>721957.86</v>
      </c>
      <c r="V16" s="61">
        <f t="shared" si="1"/>
        <v>0</v>
      </c>
      <c r="W16" s="39">
        <f t="shared" si="1"/>
        <v>-1492.4</v>
      </c>
      <c r="X16" s="61">
        <f t="shared" si="1"/>
        <v>0</v>
      </c>
      <c r="Y16" s="39">
        <f t="shared" si="1"/>
        <v>0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19026</v>
      </c>
      <c r="AC16" s="39">
        <f t="shared" si="2"/>
        <v>43759.8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-939754</v>
      </c>
      <c r="E19" s="38">
        <f t="shared" si="4"/>
        <v>-2183142.54</v>
      </c>
      <c r="F19" s="84">
        <f>'TIE-OUT'!J19+RECLASS!J19</f>
        <v>0</v>
      </c>
      <c r="G19" s="85">
        <f>'TIE-OUT'!K19+RECLASS!K19</f>
        <v>0</v>
      </c>
      <c r="H19" s="127">
        <f>+Actuals!E49</f>
        <v>-583400</v>
      </c>
      <c r="I19" s="128">
        <f>+Actuals!F49</f>
        <v>-1342296.35</v>
      </c>
      <c r="J19" s="127">
        <f>+Actuals!G49+8777</f>
        <v>-358025</v>
      </c>
      <c r="K19" s="147">
        <f>+Actuals!H49+19789</f>
        <v>-845078.54</v>
      </c>
      <c r="L19" s="127">
        <f>+Actuals!I49</f>
        <v>-843</v>
      </c>
      <c r="M19" s="128">
        <f>+Actuals!J49</f>
        <v>-2075.4899999999998</v>
      </c>
      <c r="N19" s="127">
        <f>+Actuals!K49</f>
        <v>154</v>
      </c>
      <c r="O19" s="128">
        <f>+Actuals!L49</f>
        <v>354.2</v>
      </c>
      <c r="P19" s="127">
        <f>+Actuals!M49</f>
        <v>0</v>
      </c>
      <c r="Q19" s="128">
        <f>+Actuals!N49</f>
        <v>390.18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135.46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2360</v>
      </c>
      <c r="AA19" s="128">
        <f>+Actuals!X49</f>
        <v>5428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  <c r="AF19" s="127">
        <f>+Actuals!AC49</f>
        <v>0</v>
      </c>
      <c r="AG19" s="128">
        <f>+Actuals!AD49</f>
        <v>0</v>
      </c>
      <c r="AH19" s="127">
        <f>+Actuals!AE49</f>
        <v>0</v>
      </c>
      <c r="AI19" s="128">
        <f>+Actuals!AF49</f>
        <v>0</v>
      </c>
      <c r="AJ19" s="127">
        <f>+Actuals!AG49</f>
        <v>0</v>
      </c>
      <c r="AK19" s="128">
        <f>+Actuals!AH49</f>
        <v>0</v>
      </c>
      <c r="AL19" s="127">
        <f>+Actuals!AI49</f>
        <v>0</v>
      </c>
      <c r="AM19" s="128">
        <f>+Actuals!AJ49</f>
        <v>0</v>
      </c>
      <c r="AN19" s="127">
        <f>+Actuals!AK49</f>
        <v>0</v>
      </c>
      <c r="AO19" s="128">
        <f>+Actuals!AL49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2188.84</v>
      </c>
      <c r="F20" s="58">
        <f>'TIE-OUT'!J20+RECLASS!J20</f>
        <v>0</v>
      </c>
      <c r="G20" s="15">
        <f>'TIE-OUT'!K20+RECLASS!K20</f>
        <v>2188.84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  <c r="AF20" s="127">
        <f>+Actuals!AC50</f>
        <v>0</v>
      </c>
      <c r="AG20" s="128">
        <f>+Actuals!AD50</f>
        <v>0</v>
      </c>
      <c r="AH20" s="127">
        <f>+Actuals!AE50</f>
        <v>0</v>
      </c>
      <c r="AI20" s="128">
        <f>+Actuals!AF50</f>
        <v>0</v>
      </c>
      <c r="AJ20" s="127">
        <f>+Actuals!AG50</f>
        <v>0</v>
      </c>
      <c r="AK20" s="128">
        <f>+Actuals!AH50</f>
        <v>0</v>
      </c>
      <c r="AL20" s="127">
        <f>+Actuals!AI50</f>
        <v>0</v>
      </c>
      <c r="AM20" s="128">
        <f>+Actuals!AJ50</f>
        <v>0</v>
      </c>
      <c r="AN20" s="127">
        <f>+Actuals!AK50</f>
        <v>0</v>
      </c>
      <c r="AO20" s="128">
        <f>+Actuals!AL50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  <c r="AF21" s="127">
        <f>+Actuals!AC51</f>
        <v>0</v>
      </c>
      <c r="AG21" s="128">
        <f>+Actuals!AD51</f>
        <v>0</v>
      </c>
      <c r="AH21" s="127">
        <f>+Actuals!AE51</f>
        <v>0</v>
      </c>
      <c r="AI21" s="128">
        <f>+Actuals!AF51</f>
        <v>0</v>
      </c>
      <c r="AJ21" s="127">
        <f>+Actuals!AG51</f>
        <v>0</v>
      </c>
      <c r="AK21" s="128">
        <f>+Actuals!AH51</f>
        <v>0</v>
      </c>
      <c r="AL21" s="127">
        <f>+Actuals!AI51</f>
        <v>0</v>
      </c>
      <c r="AM21" s="128">
        <f>+Actuals!AJ51</f>
        <v>0</v>
      </c>
      <c r="AN21" s="127">
        <f>+Actuals!AK51</f>
        <v>0</v>
      </c>
      <c r="AO21" s="128">
        <f>+Actuals!AL51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  <c r="AF22" s="127">
        <f>+Actuals!AC52</f>
        <v>0</v>
      </c>
      <c r="AG22" s="128">
        <f>+Actuals!AD52</f>
        <v>0</v>
      </c>
      <c r="AH22" s="127">
        <f>+Actuals!AE52</f>
        <v>0</v>
      </c>
      <c r="AI22" s="128">
        <f>+Actuals!AF52</f>
        <v>0</v>
      </c>
      <c r="AJ22" s="127">
        <f>+Actuals!AG52</f>
        <v>0</v>
      </c>
      <c r="AK22" s="128">
        <f>+Actuals!AH52</f>
        <v>0</v>
      </c>
      <c r="AL22" s="127">
        <f>+Actuals!AI52</f>
        <v>0</v>
      </c>
      <c r="AM22" s="128">
        <f>+Actuals!AJ52</f>
        <v>0</v>
      </c>
      <c r="AN22" s="127">
        <f>+Actuals!AK52</f>
        <v>0</v>
      </c>
      <c r="AO22" s="128">
        <f>+Actuals!AL52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29643</v>
      </c>
      <c r="E23" s="38">
        <f t="shared" si="4"/>
        <v>67271.51999999999</v>
      </c>
      <c r="F23" s="98">
        <f>'TIE-OUT'!J23+RECLASS!J23</f>
        <v>0</v>
      </c>
      <c r="G23" s="99">
        <f>'TIE-OUT'!K23+RECLASS!K23</f>
        <v>0</v>
      </c>
      <c r="H23" s="127">
        <f>+Actuals!E53</f>
        <v>0</v>
      </c>
      <c r="I23" s="128">
        <f>+Actuals!F53</f>
        <v>0</v>
      </c>
      <c r="J23" s="127">
        <f>+Actuals!G53</f>
        <v>29643</v>
      </c>
      <c r="K23" s="147">
        <f>+Actuals!H53</f>
        <v>66834.59</v>
      </c>
      <c r="L23" s="127">
        <f>+Actuals!I53</f>
        <v>0</v>
      </c>
      <c r="M23" s="128">
        <f>+Actuals!J53</f>
        <v>0</v>
      </c>
      <c r="N23" s="127">
        <f>+Actuals!K53</f>
        <v>0</v>
      </c>
      <c r="O23" s="128">
        <f>+Actuals!L53</f>
        <v>0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+Actuals!P53+463</f>
        <v>436.93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  <c r="AF23" s="127">
        <f>+Actuals!AC53</f>
        <v>0</v>
      </c>
      <c r="AG23" s="128">
        <f>+Actuals!AD53</f>
        <v>0</v>
      </c>
      <c r="AH23" s="127">
        <f>+Actuals!AE53</f>
        <v>0</v>
      </c>
      <c r="AI23" s="128">
        <f>+Actuals!AF53</f>
        <v>0</v>
      </c>
      <c r="AJ23" s="127">
        <f>+Actuals!AG53</f>
        <v>0</v>
      </c>
      <c r="AK23" s="128">
        <f>+Actuals!AH53</f>
        <v>0</v>
      </c>
      <c r="AL23" s="127">
        <f>+Actuals!AI53</f>
        <v>0</v>
      </c>
      <c r="AM23" s="128">
        <f>+Actuals!AJ53</f>
        <v>0</v>
      </c>
      <c r="AN23" s="127">
        <f>+Actuals!AK53</f>
        <v>0</v>
      </c>
      <c r="AO23" s="128">
        <f>+Actuals!AL53</f>
        <v>0</v>
      </c>
    </row>
    <row r="24" spans="1:41" x14ac:dyDescent="0.2">
      <c r="A24" s="9"/>
      <c r="B24" s="7" t="s">
        <v>35</v>
      </c>
      <c r="C24" s="6"/>
      <c r="D24" s="61">
        <f>SUM(D19:D23)</f>
        <v>-910111</v>
      </c>
      <c r="E24" s="39">
        <f>SUM(E19:E23)</f>
        <v>-2113682.1800000002</v>
      </c>
      <c r="F24" s="59">
        <f t="shared" ref="F24:Y24" si="5">SUM(F19:F23)</f>
        <v>0</v>
      </c>
      <c r="G24" s="23">
        <f t="shared" si="5"/>
        <v>2188.84</v>
      </c>
      <c r="H24" s="61">
        <f t="shared" si="5"/>
        <v>-583400</v>
      </c>
      <c r="I24" s="39">
        <f t="shared" si="5"/>
        <v>-1342296.35</v>
      </c>
      <c r="J24" s="61">
        <f t="shared" si="5"/>
        <v>-328382</v>
      </c>
      <c r="K24" s="148">
        <f t="shared" si="5"/>
        <v>-778243.95000000007</v>
      </c>
      <c r="L24" s="61">
        <f t="shared" si="5"/>
        <v>-843</v>
      </c>
      <c r="M24" s="39">
        <f t="shared" si="5"/>
        <v>-2075.4899999999998</v>
      </c>
      <c r="N24" s="61">
        <f t="shared" si="5"/>
        <v>154</v>
      </c>
      <c r="O24" s="39">
        <f t="shared" si="5"/>
        <v>354.2</v>
      </c>
      <c r="P24" s="61">
        <f t="shared" si="5"/>
        <v>0</v>
      </c>
      <c r="Q24" s="39">
        <f t="shared" si="5"/>
        <v>390.18</v>
      </c>
      <c r="R24" s="61">
        <f t="shared" si="5"/>
        <v>0</v>
      </c>
      <c r="S24" s="39">
        <f t="shared" si="5"/>
        <v>436.93</v>
      </c>
      <c r="T24" s="61">
        <f t="shared" si="5"/>
        <v>0</v>
      </c>
      <c r="U24" s="39">
        <f t="shared" si="5"/>
        <v>135.46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ref="Z24:AE24" si="6">SUM(Z19:Z23)</f>
        <v>2360</v>
      </c>
      <c r="AA24" s="39">
        <f t="shared" si="6"/>
        <v>5428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3209792</v>
      </c>
      <c r="E27" s="38">
        <f>SUM(G27,I27,K27,M27,O27,Q27,S27,U27,W27,Y27,AA27,AC27,AE27,AG27,AI27,AK27,AM27,AO27)</f>
        <v>7225555.830000001</v>
      </c>
      <c r="F27" s="84">
        <f>'TIE-OUT'!J27+RECLASS!J27</f>
        <v>0</v>
      </c>
      <c r="G27" s="85">
        <f>'TIE-OUT'!K27+RECLASS!K27</f>
        <v>0</v>
      </c>
      <c r="H27" s="127">
        <f>+Actuals!E54+27187</f>
        <v>3992712</v>
      </c>
      <c r="I27" s="128">
        <f>+Actuals!F54+54374</f>
        <v>8804010.3499999996</v>
      </c>
      <c r="J27" s="127">
        <f>+Actuals!G54-19849</f>
        <v>-212916</v>
      </c>
      <c r="K27" s="147">
        <f>+Actuals!H54-37478</f>
        <v>-324694.62</v>
      </c>
      <c r="L27" s="127">
        <f>+Actuals!I54</f>
        <v>-38420</v>
      </c>
      <c r="M27" s="128">
        <f>+Actuals!J54</f>
        <v>-87060.74</v>
      </c>
      <c r="N27" s="127">
        <f>+Actuals!K54</f>
        <v>3120</v>
      </c>
      <c r="O27" s="128">
        <f>+Actuals!L54</f>
        <v>7152.3</v>
      </c>
      <c r="P27" s="127">
        <f>+Actuals!M54</f>
        <v>-286224</v>
      </c>
      <c r="Q27" s="128">
        <f>+Actuals!N54</f>
        <v>-646938.46</v>
      </c>
      <c r="R27" s="127">
        <f>+Actuals!O54</f>
        <v>126026</v>
      </c>
      <c r="S27" s="128">
        <f>+Actuals!P54</f>
        <v>276607.63</v>
      </c>
      <c r="T27" s="127">
        <f>+Actuals!Q54</f>
        <v>-82237</v>
      </c>
      <c r="U27" s="128">
        <f>+Actuals!R54</f>
        <v>-140547.6</v>
      </c>
      <c r="V27" s="127">
        <f>+Actuals!S54</f>
        <v>-292269</v>
      </c>
      <c r="W27" s="128">
        <f>+Actuals!T54</f>
        <v>-662988.79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0.84</v>
      </c>
      <c r="AB27" s="127">
        <f>+Actuals!Y54</f>
        <v>-3127</v>
      </c>
      <c r="AC27" s="128">
        <f>+Actuals!Z54</f>
        <v>-7055.42</v>
      </c>
      <c r="AD27" s="127">
        <f>+Actuals!AA54</f>
        <v>3127</v>
      </c>
      <c r="AE27" s="128">
        <f>+Actuals!AB54</f>
        <v>7070.34</v>
      </c>
      <c r="AF27" s="127">
        <f>+Actuals!AC54</f>
        <v>0</v>
      </c>
      <c r="AG27" s="128">
        <f>+Actuals!AD54</f>
        <v>0</v>
      </c>
      <c r="AH27" s="127">
        <f>+Actuals!AE54</f>
        <v>0</v>
      </c>
      <c r="AI27" s="128">
        <f>+Actuals!AF54</f>
        <v>0</v>
      </c>
      <c r="AJ27" s="127">
        <f>+Actuals!AG54</f>
        <v>0</v>
      </c>
      <c r="AK27" s="128">
        <f>+Actuals!AH54</f>
        <v>0</v>
      </c>
      <c r="AL27" s="127">
        <f>+Actuals!AI54</f>
        <v>0</v>
      </c>
      <c r="AM27" s="128">
        <f>+Actuals!AJ54</f>
        <v>0</v>
      </c>
      <c r="AN27" s="127">
        <f>+Actuals!AK54</f>
        <v>0</v>
      </c>
      <c r="AO27" s="128">
        <f>+Actuals!AL54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-11381875</v>
      </c>
      <c r="E28" s="38">
        <f>SUM(G28,I28,K28,M28,O28,Q28,S28,U28,W28,Y28,AA28,AC28,AE28,AG28,AI28,AK28,AM28,AO28)</f>
        <v>-25635177.670000006</v>
      </c>
      <c r="F28" s="98">
        <f>'TIE-OUT'!J28+RECLASS!J28</f>
        <v>0</v>
      </c>
      <c r="G28" s="99">
        <f>'TIE-OUT'!K28+RECLASS!K28</f>
        <v>0</v>
      </c>
      <c r="H28" s="127">
        <f>+Actuals!E55-27187</f>
        <v>-12149240</v>
      </c>
      <c r="I28" s="128">
        <f>+Actuals!F55-54374</f>
        <v>-27262464.780000001</v>
      </c>
      <c r="J28" s="127">
        <f>+Actuals!G55+11671-8777</f>
        <v>235372</v>
      </c>
      <c r="K28" s="147">
        <f>+Actuals!H55+18611-19789</f>
        <v>426958</v>
      </c>
      <c r="L28" s="127">
        <f>+Actuals!I55</f>
        <v>3503</v>
      </c>
      <c r="M28" s="128">
        <f>+Actuals!J55</f>
        <v>66808.88</v>
      </c>
      <c r="N28" s="127">
        <f>+Actuals!K55</f>
        <v>1570</v>
      </c>
      <c r="O28" s="128">
        <f>+Actuals!L55</f>
        <v>3024.8</v>
      </c>
      <c r="P28" s="127">
        <f>+Actuals!M55</f>
        <v>343958</v>
      </c>
      <c r="Q28" s="128">
        <f>+Actuals!N55</f>
        <v>770424.13</v>
      </c>
      <c r="R28" s="127">
        <f>+Actuals!O55</f>
        <v>-188450</v>
      </c>
      <c r="S28" s="128">
        <f>+Actuals!P55-463</f>
        <v>-472169.8</v>
      </c>
      <c r="T28" s="127">
        <f>+Actuals!Q55</f>
        <v>82301</v>
      </c>
      <c r="U28" s="128">
        <f>+Actuals!R55</f>
        <v>140685.32999999999</v>
      </c>
      <c r="V28" s="127">
        <f>+Actuals!S55</f>
        <v>292238</v>
      </c>
      <c r="W28" s="128">
        <f>+Actuals!T55</f>
        <v>662871.98</v>
      </c>
      <c r="X28" s="127">
        <f>+Actuals!U55</f>
        <v>0</v>
      </c>
      <c r="Y28" s="128">
        <f>+Actuals!V55</f>
        <v>54.86</v>
      </c>
      <c r="Z28" s="127">
        <f>+Actuals!W55</f>
        <v>0</v>
      </c>
      <c r="AA28" s="128">
        <f>+Actuals!X55</f>
        <v>-0.84</v>
      </c>
      <c r="AB28" s="127">
        <f>+Actuals!Y55</f>
        <v>-3127</v>
      </c>
      <c r="AC28" s="128">
        <f>+Actuals!Z55</f>
        <v>-7133.23</v>
      </c>
      <c r="AD28" s="127">
        <f>+Actuals!AA55</f>
        <v>0</v>
      </c>
      <c r="AE28" s="128">
        <f>+Actuals!AB55</f>
        <v>0</v>
      </c>
      <c r="AF28" s="127">
        <f>+Actuals!AC55</f>
        <v>0</v>
      </c>
      <c r="AG28" s="128">
        <f>+Actuals!AD55+35763</f>
        <v>35763</v>
      </c>
      <c r="AH28" s="127">
        <f>+Actuals!AE55</f>
        <v>0</v>
      </c>
      <c r="AI28" s="128">
        <f>+Actuals!AF55</f>
        <v>0</v>
      </c>
      <c r="AJ28" s="127">
        <f>+Actuals!AG55</f>
        <v>0</v>
      </c>
      <c r="AK28" s="128">
        <f>+Actuals!AH55</f>
        <v>0</v>
      </c>
      <c r="AL28" s="127">
        <f>+Actuals!AI55</f>
        <v>0</v>
      </c>
      <c r="AM28" s="128">
        <f>+Actuals!AJ55</f>
        <v>0</v>
      </c>
      <c r="AN28" s="127">
        <f>+Actuals!AK55</f>
        <v>0</v>
      </c>
      <c r="AO28" s="128">
        <f>+Actuals!AL55</f>
        <v>0</v>
      </c>
    </row>
    <row r="29" spans="1:41" x14ac:dyDescent="0.2">
      <c r="A29" s="9"/>
      <c r="B29" s="7" t="s">
        <v>39</v>
      </c>
      <c r="C29" s="18"/>
      <c r="D29" s="61">
        <f>SUM(D27:D28)</f>
        <v>-8172083</v>
      </c>
      <c r="E29" s="39">
        <f>SUM(E27:E28)</f>
        <v>-18409621.840000004</v>
      </c>
      <c r="F29" s="59">
        <f t="shared" ref="F29:Y29" si="8">SUM(F27:F28)</f>
        <v>0</v>
      </c>
      <c r="G29" s="23">
        <f t="shared" si="8"/>
        <v>0</v>
      </c>
      <c r="H29" s="61">
        <f t="shared" si="8"/>
        <v>-8156528</v>
      </c>
      <c r="I29" s="39">
        <f t="shared" si="8"/>
        <v>-18458454.43</v>
      </c>
      <c r="J29" s="61">
        <f t="shared" si="8"/>
        <v>22456</v>
      </c>
      <c r="K29" s="148">
        <f t="shared" si="8"/>
        <v>102263.38</v>
      </c>
      <c r="L29" s="61">
        <f t="shared" si="8"/>
        <v>-34917</v>
      </c>
      <c r="M29" s="39">
        <f t="shared" si="8"/>
        <v>-20251.86</v>
      </c>
      <c r="N29" s="61">
        <f t="shared" si="8"/>
        <v>4690</v>
      </c>
      <c r="O29" s="39">
        <f t="shared" si="8"/>
        <v>10177.1</v>
      </c>
      <c r="P29" s="61">
        <f t="shared" si="8"/>
        <v>57734</v>
      </c>
      <c r="Q29" s="39">
        <f t="shared" si="8"/>
        <v>123485.67000000004</v>
      </c>
      <c r="R29" s="61">
        <f t="shared" si="8"/>
        <v>-62424</v>
      </c>
      <c r="S29" s="39">
        <f t="shared" si="8"/>
        <v>-195562.16999999998</v>
      </c>
      <c r="T29" s="61">
        <f t="shared" si="8"/>
        <v>64</v>
      </c>
      <c r="U29" s="39">
        <f t="shared" si="8"/>
        <v>137.72999999998137</v>
      </c>
      <c r="V29" s="61">
        <f t="shared" si="8"/>
        <v>-31</v>
      </c>
      <c r="W29" s="39">
        <f t="shared" si="8"/>
        <v>-116.81000000005588</v>
      </c>
      <c r="X29" s="61">
        <f t="shared" si="8"/>
        <v>0</v>
      </c>
      <c r="Y29" s="39">
        <f t="shared" si="8"/>
        <v>54.86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-6254</v>
      </c>
      <c r="AC29" s="39">
        <f t="shared" si="9"/>
        <v>-14188.65</v>
      </c>
      <c r="AD29" s="61">
        <f t="shared" si="9"/>
        <v>3127</v>
      </c>
      <c r="AE29" s="39">
        <f t="shared" si="9"/>
        <v>7070.34</v>
      </c>
      <c r="AF29" s="61">
        <f t="shared" ref="AF29:AK29" si="10">SUM(AF27:AF28)</f>
        <v>0</v>
      </c>
      <c r="AG29" s="39">
        <f t="shared" si="10"/>
        <v>35763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97465</v>
      </c>
      <c r="E32" s="38">
        <f t="shared" si="11"/>
        <v>229530.07500000001</v>
      </c>
      <c r="F32" s="84">
        <f>'TIE-OUT'!J32+RECLASS!J32</f>
        <v>0</v>
      </c>
      <c r="G32" s="85">
        <f>'TIE-OUT'!K32+RECLASS!K32</f>
        <v>0</v>
      </c>
      <c r="H32" s="127">
        <f>+Actuals!E56</f>
        <v>0</v>
      </c>
      <c r="I32" s="128">
        <f>+Actuals!F56</f>
        <v>0</v>
      </c>
      <c r="J32" s="127">
        <f>+Actuals!G56</f>
        <v>-25192</v>
      </c>
      <c r="K32" s="147">
        <f>+Actuals!H56</f>
        <v>-59327.16</v>
      </c>
      <c r="L32" s="127">
        <f>+Actuals!I56</f>
        <v>103000</v>
      </c>
      <c r="M32" s="128">
        <f>+Actuals!J56</f>
        <v>232761.19200000001</v>
      </c>
      <c r="N32" s="127">
        <f>+Actuals!K56</f>
        <v>0</v>
      </c>
      <c r="O32" s="128">
        <f>+Actuals!L56</f>
        <v>2801.0880000000002</v>
      </c>
      <c r="P32" s="127">
        <f>+Actuals!M56</f>
        <v>0</v>
      </c>
      <c r="Q32" s="128">
        <f>+Actuals!N56</f>
        <v>27154.991999999998</v>
      </c>
      <c r="R32" s="127">
        <f>+Actuals!O56</f>
        <v>0</v>
      </c>
      <c r="S32" s="128">
        <f>+Actuals!P56</f>
        <v>22097.472000000002</v>
      </c>
      <c r="T32" s="127">
        <f>+Actuals!Q56</f>
        <v>-625</v>
      </c>
      <c r="U32" s="128">
        <f>+Actuals!R56</f>
        <v>-43721.618999999999</v>
      </c>
      <c r="V32" s="127">
        <f>+Actuals!S56</f>
        <v>676</v>
      </c>
      <c r="W32" s="128">
        <f>+Actuals!T56</f>
        <v>1591.98</v>
      </c>
      <c r="X32" s="127">
        <f>+Actuals!U56</f>
        <v>0</v>
      </c>
      <c r="Y32" s="128">
        <f>+Actuals!V56</f>
        <v>0</v>
      </c>
      <c r="Z32" s="127">
        <f>+Actuals!W56</f>
        <v>-55211</v>
      </c>
      <c r="AA32" s="128">
        <f>+Actuals!X56</f>
        <v>-130021.905</v>
      </c>
      <c r="AB32" s="127">
        <f>+Actuals!Y56</f>
        <v>74817</v>
      </c>
      <c r="AC32" s="128">
        <f>+Actuals!Z56</f>
        <v>176194.035</v>
      </c>
      <c r="AD32" s="127">
        <f>+Actuals!AA56</f>
        <v>0</v>
      </c>
      <c r="AE32" s="128">
        <f>+Actuals!AB56</f>
        <v>0</v>
      </c>
      <c r="AF32" s="127">
        <f>+Actuals!AC56</f>
        <v>0</v>
      </c>
      <c r="AG32" s="128">
        <f>+Actuals!AD56</f>
        <v>0</v>
      </c>
      <c r="AH32" s="127">
        <f>+Actuals!AE56</f>
        <v>0</v>
      </c>
      <c r="AI32" s="128">
        <f>+Actuals!AF56</f>
        <v>0</v>
      </c>
      <c r="AJ32" s="127">
        <f>+Actuals!AG56</f>
        <v>0</v>
      </c>
      <c r="AK32" s="128">
        <f>+Actuals!AH56</f>
        <v>0</v>
      </c>
      <c r="AL32" s="127">
        <f>+Actuals!AI56</f>
        <v>0</v>
      </c>
      <c r="AM32" s="128">
        <f>+Actuals!AJ56</f>
        <v>0</v>
      </c>
      <c r="AN32" s="127">
        <f>+Actuals!AK56</f>
        <v>0</v>
      </c>
      <c r="AO32" s="128">
        <f>+Actuals!AL56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58">
        <f>'TIE-OUT'!J33+RECLASS!J33</f>
        <v>0</v>
      </c>
      <c r="G33" s="15">
        <f>'TIE-OUT'!K33+RECLASS!K33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  <c r="AF33" s="127">
        <f>+Actuals!AC57</f>
        <v>0</v>
      </c>
      <c r="AG33" s="128">
        <f>+Actuals!AD57</f>
        <v>0</v>
      </c>
      <c r="AH33" s="127">
        <f>+Actuals!AE57</f>
        <v>0</v>
      </c>
      <c r="AI33" s="128">
        <f>+Actuals!AF57</f>
        <v>0</v>
      </c>
      <c r="AJ33" s="127">
        <f>+Actuals!AG57</f>
        <v>0</v>
      </c>
      <c r="AK33" s="128">
        <f>+Actuals!AH57</f>
        <v>0</v>
      </c>
      <c r="AL33" s="127">
        <f>+Actuals!AI57</f>
        <v>0</v>
      </c>
      <c r="AM33" s="128">
        <f>+Actuals!AJ57</f>
        <v>0</v>
      </c>
      <c r="AN33" s="127">
        <f>+Actuals!AK57</f>
        <v>0</v>
      </c>
      <c r="AO33" s="128">
        <f>+Actuals!AL57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  <c r="AF34" s="127">
        <f>+Actuals!AC58</f>
        <v>0</v>
      </c>
      <c r="AG34" s="128">
        <f>+Actuals!AD58</f>
        <v>0</v>
      </c>
      <c r="AH34" s="127">
        <f>+Actuals!AE58</f>
        <v>0</v>
      </c>
      <c r="AI34" s="128">
        <f>+Actuals!AF58</f>
        <v>0</v>
      </c>
      <c r="AJ34" s="127">
        <f>+Actuals!AG58</f>
        <v>0</v>
      </c>
      <c r="AK34" s="128">
        <f>+Actuals!AH58</f>
        <v>0</v>
      </c>
      <c r="AL34" s="127">
        <f>+Actuals!AI58</f>
        <v>0</v>
      </c>
      <c r="AM34" s="128">
        <f>+Actuals!AJ58</f>
        <v>0</v>
      </c>
      <c r="AN34" s="127">
        <f>+Actuals!AK58</f>
        <v>0</v>
      </c>
      <c r="AO34" s="128">
        <f>+Actuals!AL58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  <c r="AF35" s="127">
        <f>+Actuals!AC59</f>
        <v>0</v>
      </c>
      <c r="AG35" s="128">
        <f>+Actuals!AD59</f>
        <v>0</v>
      </c>
      <c r="AH35" s="127">
        <f>+Actuals!AE59</f>
        <v>0</v>
      </c>
      <c r="AI35" s="128">
        <f>+Actuals!AF59</f>
        <v>0</v>
      </c>
      <c r="AJ35" s="127">
        <f>+Actuals!AG59</f>
        <v>0</v>
      </c>
      <c r="AK35" s="128">
        <f>+Actuals!AH59</f>
        <v>0</v>
      </c>
      <c r="AL35" s="127">
        <f>+Actuals!AI59</f>
        <v>0</v>
      </c>
      <c r="AM35" s="128">
        <f>+Actuals!AJ59</f>
        <v>0</v>
      </c>
      <c r="AN35" s="127">
        <f>+Actuals!AK59</f>
        <v>0</v>
      </c>
      <c r="AO35" s="128">
        <f>+Actuals!AL59</f>
        <v>0</v>
      </c>
    </row>
    <row r="36" spans="1:41" x14ac:dyDescent="0.2">
      <c r="A36" s="9"/>
      <c r="B36" s="7" t="s">
        <v>45</v>
      </c>
      <c r="C36" s="6"/>
      <c r="D36" s="61">
        <f>SUM(D32:D35)</f>
        <v>97465</v>
      </c>
      <c r="E36" s="39">
        <f>SUM(E32:E35)</f>
        <v>229530.07500000001</v>
      </c>
      <c r="F36" s="59">
        <f t="shared" ref="F36:Y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-25192</v>
      </c>
      <c r="K36" s="148">
        <f t="shared" si="12"/>
        <v>-59327.16</v>
      </c>
      <c r="L36" s="61">
        <f t="shared" si="12"/>
        <v>103000</v>
      </c>
      <c r="M36" s="39">
        <f t="shared" si="12"/>
        <v>232761.19200000001</v>
      </c>
      <c r="N36" s="61">
        <f t="shared" si="12"/>
        <v>0</v>
      </c>
      <c r="O36" s="39">
        <f t="shared" si="12"/>
        <v>2801.0880000000002</v>
      </c>
      <c r="P36" s="61">
        <f t="shared" si="12"/>
        <v>0</v>
      </c>
      <c r="Q36" s="39">
        <f t="shared" si="12"/>
        <v>27154.991999999998</v>
      </c>
      <c r="R36" s="61">
        <f t="shared" si="12"/>
        <v>0</v>
      </c>
      <c r="S36" s="39">
        <f t="shared" si="12"/>
        <v>22097.472000000002</v>
      </c>
      <c r="T36" s="61">
        <f t="shared" si="12"/>
        <v>-625</v>
      </c>
      <c r="U36" s="39">
        <f t="shared" si="12"/>
        <v>-43721.618999999999</v>
      </c>
      <c r="V36" s="61">
        <f t="shared" si="12"/>
        <v>676</v>
      </c>
      <c r="W36" s="39">
        <f t="shared" si="12"/>
        <v>1591.98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-55211</v>
      </c>
      <c r="AA36" s="39">
        <f t="shared" si="13"/>
        <v>-130021.905</v>
      </c>
      <c r="AB36" s="61">
        <f t="shared" si="13"/>
        <v>74817</v>
      </c>
      <c r="AC36" s="39">
        <f t="shared" si="13"/>
        <v>176194.035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997496</v>
      </c>
      <c r="E39" s="38">
        <f t="shared" si="15"/>
        <v>2344115.6</v>
      </c>
      <c r="F39" s="84">
        <f>'TIE-OUT'!J39+RECLASS!J39</f>
        <v>0</v>
      </c>
      <c r="G39" s="85">
        <f>'TIE-OUT'!K39+RECLASS!K39</f>
        <v>0</v>
      </c>
      <c r="H39" s="127">
        <f>+Actuals!E60</f>
        <v>0</v>
      </c>
      <c r="I39" s="128">
        <f>+Actuals!F60</f>
        <v>0</v>
      </c>
      <c r="J39" s="127">
        <f>+Actuals!G60</f>
        <v>997496</v>
      </c>
      <c r="K39" s="147">
        <f>+Actuals!H60</f>
        <v>2344115.6</v>
      </c>
      <c r="L39" s="127">
        <f>+Actuals!I60</f>
        <v>0</v>
      </c>
      <c r="M39" s="128">
        <f>+Actuals!J60</f>
        <v>0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  <c r="AF39" s="127">
        <f>+Actuals!AC60</f>
        <v>0</v>
      </c>
      <c r="AG39" s="128">
        <f>+Actuals!AD60</f>
        <v>0</v>
      </c>
      <c r="AH39" s="127">
        <f>+Actuals!AE60</f>
        <v>0</v>
      </c>
      <c r="AI39" s="128">
        <f>+Actuals!AF60</f>
        <v>0</v>
      </c>
      <c r="AJ39" s="127">
        <f>+Actuals!AG60</f>
        <v>0</v>
      </c>
      <c r="AK39" s="128">
        <f>+Actuals!AH60</f>
        <v>0</v>
      </c>
      <c r="AL39" s="127">
        <f>+Actuals!AI60</f>
        <v>0</v>
      </c>
      <c r="AM39" s="128">
        <f>+Actuals!AJ60</f>
        <v>0</v>
      </c>
      <c r="AN39" s="127">
        <f>+Actuals!AK60</f>
        <v>0</v>
      </c>
      <c r="AO39" s="128">
        <f>+Actuals!AL60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-596064</v>
      </c>
      <c r="E40" s="38">
        <f t="shared" si="15"/>
        <v>-1400750.4000000001</v>
      </c>
      <c r="F40" s="58">
        <f>'TIE-OUT'!J40+RECLASS!J40</f>
        <v>0</v>
      </c>
      <c r="G40" s="15">
        <f>'TIE-OUT'!K40+RECLASS!K40</f>
        <v>0</v>
      </c>
      <c r="H40" s="127">
        <f>+Actuals!E61</f>
        <v>0</v>
      </c>
      <c r="I40" s="128">
        <f>+Actuals!F61</f>
        <v>0</v>
      </c>
      <c r="J40" s="127">
        <f>+Actuals!G61</f>
        <v>-596031</v>
      </c>
      <c r="K40" s="147">
        <f>+Actuals!H61</f>
        <v>-1400672.85</v>
      </c>
      <c r="L40" s="127">
        <f>+Actuals!I61</f>
        <v>0</v>
      </c>
      <c r="M40" s="128">
        <f>+Actuals!J61</f>
        <v>0</v>
      </c>
      <c r="N40" s="127">
        <f>+Actuals!K61</f>
        <v>0</v>
      </c>
      <c r="O40" s="128">
        <f>+Actuals!L61</f>
        <v>0</v>
      </c>
      <c r="P40" s="127">
        <f>+Actuals!M61</f>
        <v>0</v>
      </c>
      <c r="Q40" s="128">
        <f>+Actuals!N61</f>
        <v>0</v>
      </c>
      <c r="R40" s="127">
        <f>+Actuals!O61</f>
        <v>0</v>
      </c>
      <c r="S40" s="128">
        <f>+Actuals!P61</f>
        <v>0</v>
      </c>
      <c r="T40" s="127">
        <f>+Actuals!Q61</f>
        <v>-33</v>
      </c>
      <c r="U40" s="128">
        <f>+Actuals!R61</f>
        <v>-77.55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  <c r="AF40" s="127">
        <f>+Actuals!AC61</f>
        <v>0</v>
      </c>
      <c r="AG40" s="128">
        <f>+Actuals!AD61</f>
        <v>0</v>
      </c>
      <c r="AH40" s="127">
        <f>+Actuals!AE61</f>
        <v>0</v>
      </c>
      <c r="AI40" s="128">
        <f>+Actuals!AF61</f>
        <v>0</v>
      </c>
      <c r="AJ40" s="127">
        <f>+Actuals!AG61</f>
        <v>0</v>
      </c>
      <c r="AK40" s="128">
        <f>+Actuals!AH61</f>
        <v>0</v>
      </c>
      <c r="AL40" s="127">
        <f>+Actuals!AI61</f>
        <v>0</v>
      </c>
      <c r="AM40" s="128">
        <f>+Actuals!AJ61</f>
        <v>0</v>
      </c>
      <c r="AN40" s="127">
        <f>+Actuals!AK61</f>
        <v>0</v>
      </c>
      <c r="AO40" s="128">
        <f>+Actuals!AL61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  <c r="AF41" s="127">
        <f>+Actuals!AC62</f>
        <v>0</v>
      </c>
      <c r="AG41" s="128">
        <f>+Actuals!AD62</f>
        <v>0</v>
      </c>
      <c r="AH41" s="127">
        <f>+Actuals!AE62</f>
        <v>0</v>
      </c>
      <c r="AI41" s="128">
        <f>+Actuals!AF62</f>
        <v>0</v>
      </c>
      <c r="AJ41" s="127">
        <f>+Actuals!AG62</f>
        <v>0</v>
      </c>
      <c r="AK41" s="128">
        <f>+Actuals!AH62</f>
        <v>0</v>
      </c>
      <c r="AL41" s="127">
        <f>+Actuals!AI62</f>
        <v>0</v>
      </c>
      <c r="AM41" s="128">
        <f>+Actuals!AJ62</f>
        <v>0</v>
      </c>
      <c r="AN41" s="127">
        <f>+Actuals!AK62</f>
        <v>0</v>
      </c>
      <c r="AO41" s="128">
        <f>+Actuals!AL62</f>
        <v>0</v>
      </c>
    </row>
    <row r="42" spans="1:41" x14ac:dyDescent="0.2">
      <c r="A42" s="9"/>
      <c r="B42" s="7"/>
      <c r="C42" s="53" t="s">
        <v>50</v>
      </c>
      <c r="D42" s="61">
        <f>SUM(D40:D41)</f>
        <v>-596064</v>
      </c>
      <c r="E42" s="39">
        <f>SUM(E40:E41)</f>
        <v>-1400750.4000000001</v>
      </c>
      <c r="F42" s="59">
        <f t="shared" ref="F42:Y42" si="16">SUM(F40:F41)</f>
        <v>0</v>
      </c>
      <c r="G42" s="23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-596031</v>
      </c>
      <c r="K42" s="148">
        <f t="shared" si="16"/>
        <v>-1400672.85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-33</v>
      </c>
      <c r="U42" s="39">
        <f t="shared" si="16"/>
        <v>-77.55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>D42+D39</f>
        <v>401432</v>
      </c>
      <c r="E43" s="39">
        <f>E42+E39</f>
        <v>943365.2</v>
      </c>
      <c r="F43" s="59">
        <f t="shared" ref="F43:Y43" si="19">F42+F39</f>
        <v>0</v>
      </c>
      <c r="G43" s="23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401465</v>
      </c>
      <c r="K43" s="148">
        <f t="shared" si="19"/>
        <v>943442.75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-33</v>
      </c>
      <c r="U43" s="39">
        <f t="shared" si="19"/>
        <v>-77.55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20900</v>
      </c>
      <c r="E45" s="38">
        <f>SUM(G45,I45,K45,M45,O45,Q45,S45,U45,W45,Y45,AA45,AC45,AE45,AG45,AI45,AK45,AM45,AO45)</f>
        <v>35728.140000000014</v>
      </c>
      <c r="F45" s="84">
        <f>'TIE-OUT'!J45+RECLASS!J45</f>
        <v>0</v>
      </c>
      <c r="G45" s="85">
        <f>'TIE-OUT'!K45+RECLASS!K45</f>
        <v>0</v>
      </c>
      <c r="H45" s="127">
        <f>+Actuals!E63</f>
        <v>0</v>
      </c>
      <c r="I45" s="128">
        <f>+Actuals!F63</f>
        <v>0</v>
      </c>
      <c r="J45" s="127">
        <f>+Actuals!G63</f>
        <v>20900</v>
      </c>
      <c r="K45" s="147">
        <f>+Actuals!H63</f>
        <v>40337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82301</v>
      </c>
      <c r="S45" s="128">
        <f>+Actuals!P63</f>
        <v>136074.79</v>
      </c>
      <c r="T45" s="127">
        <f>+Actuals!Q63</f>
        <v>-82301</v>
      </c>
      <c r="U45" s="128">
        <f>+Actuals!R63</f>
        <v>-140685.32999999999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0.84</v>
      </c>
      <c r="AB45" s="127">
        <f>+Actuals!Y63</f>
        <v>0</v>
      </c>
      <c r="AC45" s="128">
        <f>+Actuals!Z63</f>
        <v>0.84</v>
      </c>
      <c r="AD45" s="127">
        <f>+Actuals!AA63</f>
        <v>0</v>
      </c>
      <c r="AE45" s="128">
        <f>+Actuals!AB63</f>
        <v>0</v>
      </c>
      <c r="AF45" s="127">
        <f>+Actuals!AC63</f>
        <v>0</v>
      </c>
      <c r="AG45" s="128">
        <f>+Actuals!AD63</f>
        <v>0</v>
      </c>
      <c r="AH45" s="127">
        <f>+Actuals!AE63</f>
        <v>0</v>
      </c>
      <c r="AI45" s="128">
        <f>+Actuals!AF63</f>
        <v>0</v>
      </c>
      <c r="AJ45" s="127">
        <f>+Actuals!AG63</f>
        <v>0</v>
      </c>
      <c r="AK45" s="128">
        <f>+Actuals!AH63</f>
        <v>0</v>
      </c>
      <c r="AL45" s="127">
        <f>+Actuals!AI63</f>
        <v>0</v>
      </c>
      <c r="AM45" s="128">
        <f>+Actuals!AJ63</f>
        <v>0</v>
      </c>
      <c r="AN45" s="127">
        <f>+Actuals!AK63</f>
        <v>0</v>
      </c>
      <c r="AO45" s="128">
        <f>+Actuals!AL63</f>
        <v>0</v>
      </c>
    </row>
    <row r="46" spans="1:4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58">
        <f>'TIE-OUT'!J47+RECLASS!J47</f>
        <v>0</v>
      </c>
      <c r="G47" s="15">
        <f>'TIE-OUT'!K47+RECLASS!K47</f>
        <v>0</v>
      </c>
      <c r="H47" s="127">
        <f>+Actuals!E64</f>
        <v>0</v>
      </c>
      <c r="I47" s="128">
        <f>+Actuals!F64</f>
        <v>0</v>
      </c>
      <c r="J47" s="127">
        <f>+Actuals!G64</f>
        <v>89334</v>
      </c>
      <c r="K47" s="147">
        <f>+Actuals!H64</f>
        <v>209934.9</v>
      </c>
      <c r="L47" s="127">
        <f>+Actuals!I64</f>
        <v>-89334</v>
      </c>
      <c r="M47" s="128">
        <f>+Actuals!J64</f>
        <v>-209934.9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  <c r="AF47" s="127">
        <f>+Actuals!AC64</f>
        <v>0</v>
      </c>
      <c r="AG47" s="128">
        <f>+Actuals!AD64</f>
        <v>0</v>
      </c>
      <c r="AH47" s="127">
        <f>+Actuals!AE64</f>
        <v>0</v>
      </c>
      <c r="AI47" s="128">
        <f>+Actuals!AF64</f>
        <v>0</v>
      </c>
      <c r="AJ47" s="127">
        <f>+Actuals!AG64</f>
        <v>0</v>
      </c>
      <c r="AK47" s="128">
        <f>+Actuals!AH64</f>
        <v>0</v>
      </c>
      <c r="AL47" s="127">
        <f>+Actuals!AI64</f>
        <v>0</v>
      </c>
      <c r="AM47" s="128">
        <f>+Actuals!AJ64</f>
        <v>0</v>
      </c>
      <c r="AN47" s="127">
        <f>+Actuals!AK64</f>
        <v>0</v>
      </c>
      <c r="AO47" s="128">
        <f>+Actuals!AL64</f>
        <v>0</v>
      </c>
    </row>
    <row r="48" spans="1:4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13555</v>
      </c>
      <c r="E49" s="38">
        <f t="shared" si="22"/>
        <v>31922.019999999953</v>
      </c>
      <c r="F49" s="58">
        <f>'TIE-OUT'!J49+RECLASS!J49</f>
        <v>0</v>
      </c>
      <c r="G49" s="15">
        <f>'TIE-OUT'!K49+RECLASS!K49</f>
        <v>0</v>
      </c>
      <c r="H49" s="127">
        <f>+Actuals!E65</f>
        <v>209431</v>
      </c>
      <c r="I49" s="128">
        <f>+Actuals!F65</f>
        <v>493210.005</v>
      </c>
      <c r="J49" s="127">
        <f>+Actuals!G65</f>
        <v>-90567</v>
      </c>
      <c r="K49" s="147">
        <f>+Actuals!H65</f>
        <v>-213285.29</v>
      </c>
      <c r="L49" s="127">
        <f>+Actuals!I65</f>
        <v>-67239</v>
      </c>
      <c r="M49" s="128">
        <f>+Actuals!J65</f>
        <v>-158347.845</v>
      </c>
      <c r="N49" s="127">
        <f>+Actuals!K65</f>
        <v>292258</v>
      </c>
      <c r="O49" s="128">
        <f>+Actuals!L65</f>
        <v>688267.59</v>
      </c>
      <c r="P49" s="127">
        <f>+Actuals!M65</f>
        <v>-57734</v>
      </c>
      <c r="Q49" s="128">
        <f>+Actuals!N65</f>
        <v>-135963.57</v>
      </c>
      <c r="R49" s="127">
        <f>+Actuals!O65</f>
        <v>-19877</v>
      </c>
      <c r="S49" s="128">
        <f>+Actuals!P65</f>
        <v>-46810.334999999999</v>
      </c>
      <c r="T49" s="127">
        <f>+Actuals!Q65</f>
        <v>-214207</v>
      </c>
      <c r="U49" s="128">
        <f>+Actuals!R65</f>
        <v>-504457.48499999999</v>
      </c>
      <c r="V49" s="127">
        <f>+Actuals!S65</f>
        <v>-645</v>
      </c>
      <c r="W49" s="128">
        <f>+Actuals!T65</f>
        <v>-1518.9749999999999</v>
      </c>
      <c r="X49" s="127">
        <f>+Actuals!U65</f>
        <v>0</v>
      </c>
      <c r="Y49" s="128">
        <f>+Actuals!V65</f>
        <v>0</v>
      </c>
      <c r="Z49" s="127">
        <f>+Actuals!W65</f>
        <v>52851</v>
      </c>
      <c r="AA49" s="128">
        <f>+Actuals!X65</f>
        <v>124464.105</v>
      </c>
      <c r="AB49" s="127">
        <f>+Actuals!Y65</f>
        <v>-87589</v>
      </c>
      <c r="AC49" s="128">
        <f>+Actuals!Z65</f>
        <v>-206272.095</v>
      </c>
      <c r="AD49" s="127">
        <f>+Actuals!AA65</f>
        <v>-3127</v>
      </c>
      <c r="AE49" s="128">
        <f>+Actuals!AB65</f>
        <v>-7364.085</v>
      </c>
      <c r="AF49" s="127">
        <f>+Actuals!AC65</f>
        <v>0</v>
      </c>
      <c r="AG49" s="128">
        <f>+Actuals!AD65</f>
        <v>0</v>
      </c>
      <c r="AH49" s="127">
        <f>+Actuals!AE65</f>
        <v>0</v>
      </c>
      <c r="AI49" s="128">
        <f>+Actuals!AF65</f>
        <v>0</v>
      </c>
      <c r="AJ49" s="127">
        <f>+Actuals!AG65</f>
        <v>0</v>
      </c>
      <c r="AK49" s="128">
        <f>+Actuals!AH65</f>
        <v>0</v>
      </c>
      <c r="AL49" s="127">
        <f>+Actuals!AI65</f>
        <v>0</v>
      </c>
      <c r="AM49" s="128">
        <f>+Actuals!AJ65</f>
        <v>0</v>
      </c>
      <c r="AN49" s="127">
        <f>+Actuals!AK65</f>
        <v>0</v>
      </c>
      <c r="AO49" s="128">
        <f>+Actuals!AL65</f>
        <v>0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-38420</v>
      </c>
      <c r="E51" s="38">
        <f t="shared" si="22"/>
        <v>-87136.51999999999</v>
      </c>
      <c r="F51" s="58">
        <f>'TIE-OUT'!J51+RECLASS!J51</f>
        <v>0</v>
      </c>
      <c r="G51" s="15">
        <f>'TIE-OUT'!K51+RECLASS!K51</f>
        <v>0</v>
      </c>
      <c r="H51" s="127">
        <f>+Actuals!E66</f>
        <v>0</v>
      </c>
      <c r="I51" s="128">
        <f>+Actuals!F66</f>
        <v>0</v>
      </c>
      <c r="J51" s="127">
        <f>+Actuals!G66-8777</f>
        <v>-38420</v>
      </c>
      <c r="K51" s="147">
        <f>+Actuals!H66-19789</f>
        <v>-86623.59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+Actuals!P66-463</f>
        <v>-436.93</v>
      </c>
      <c r="T51" s="127">
        <f>+Actuals!Q66</f>
        <v>0</v>
      </c>
      <c r="U51" s="128">
        <v>-76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  <c r="AF51" s="127">
        <f>+Actuals!AC66</f>
        <v>0</v>
      </c>
      <c r="AG51" s="128">
        <f>+Actuals!AD66</f>
        <v>0</v>
      </c>
      <c r="AH51" s="127">
        <f>+Actuals!AE66</f>
        <v>0</v>
      </c>
      <c r="AI51" s="128">
        <f>+Actuals!AF66</f>
        <v>0</v>
      </c>
      <c r="AJ51" s="127">
        <f>+Actuals!AG66</f>
        <v>0</v>
      </c>
      <c r="AK51" s="128">
        <f>+Actuals!AH66</f>
        <v>0</v>
      </c>
      <c r="AL51" s="127">
        <f>+Actuals!AI66</f>
        <v>0</v>
      </c>
      <c r="AM51" s="128">
        <f>+Actuals!AJ66</f>
        <v>0</v>
      </c>
      <c r="AN51" s="127">
        <f>+Actuals!AK66</f>
        <v>0</v>
      </c>
      <c r="AO51" s="128">
        <f>+Actuals!AL66</f>
        <v>0</v>
      </c>
    </row>
    <row r="52" spans="1:41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-11444</v>
      </c>
      <c r="E54" s="38">
        <f>SUM(G54,I54,K54,M54,O54,Q54,S54,U54,W54,Y54,AA54,AC54,AE54,AG54,AI54,AK54,AM54,AO54)</f>
        <v>29294.05</v>
      </c>
      <c r="F54" s="84">
        <f>'TIE-OUT'!J54+RECLASS!J54</f>
        <v>0</v>
      </c>
      <c r="G54" s="85">
        <f>'TIE-OUT'!K54+RECLASS!K54</f>
        <v>0</v>
      </c>
      <c r="H54" s="127">
        <f>+Actuals!E67</f>
        <v>0</v>
      </c>
      <c r="I54" s="128">
        <f>+Actuals!F67</f>
        <v>29925.17</v>
      </c>
      <c r="J54" s="127">
        <f>+Actuals!G67</f>
        <v>0</v>
      </c>
      <c r="K54" s="147">
        <f>+Actuals!H67</f>
        <v>-287.8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-11444</v>
      </c>
      <c r="AE54" s="128">
        <f>+Actuals!AB67</f>
        <v>-343.32</v>
      </c>
      <c r="AF54" s="127">
        <f>+Actuals!AC67</f>
        <v>0</v>
      </c>
      <c r="AG54" s="128">
        <f>+Actuals!AD67</f>
        <v>0</v>
      </c>
      <c r="AH54" s="127">
        <f>+Actuals!AE67</f>
        <v>0</v>
      </c>
      <c r="AI54" s="128">
        <f>+Actuals!AF67</f>
        <v>0</v>
      </c>
      <c r="AJ54" s="127">
        <f>+Actuals!AG67</f>
        <v>0</v>
      </c>
      <c r="AK54" s="128">
        <f>+Actuals!AH67</f>
        <v>0</v>
      </c>
      <c r="AL54" s="127">
        <f>+Actuals!AI67</f>
        <v>0</v>
      </c>
      <c r="AM54" s="128">
        <f>+Actuals!AJ67</f>
        <v>0</v>
      </c>
      <c r="AN54" s="127">
        <f>+Actuals!AK67</f>
        <v>0</v>
      </c>
      <c r="AO54" s="128">
        <f>+Actuals!AL67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0</v>
      </c>
      <c r="F55" s="98">
        <f>'TIE-OUT'!J55+RECLASS!J55</f>
        <v>0</v>
      </c>
      <c r="G55" s="99">
        <f>'TIE-OUT'!K55+RECLASS!K55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  <c r="AF55" s="127">
        <f>+Actuals!AC68</f>
        <v>0</v>
      </c>
      <c r="AG55" s="128">
        <f>+Actuals!AD68</f>
        <v>0</v>
      </c>
      <c r="AH55" s="127">
        <f>+Actuals!AE68</f>
        <v>0</v>
      </c>
      <c r="AI55" s="128">
        <f>+Actuals!AF68</f>
        <v>0</v>
      </c>
      <c r="AJ55" s="127">
        <f>+Actuals!AG68</f>
        <v>0</v>
      </c>
      <c r="AK55" s="128">
        <f>+Actuals!AH68</f>
        <v>0</v>
      </c>
      <c r="AL55" s="127">
        <f>+Actuals!AI68</f>
        <v>0</v>
      </c>
      <c r="AM55" s="128">
        <f>+Actuals!AJ68</f>
        <v>0</v>
      </c>
      <c r="AN55" s="127">
        <f>+Actuals!AK68</f>
        <v>0</v>
      </c>
      <c r="AO55" s="128">
        <f>+Actuals!AL68</f>
        <v>0</v>
      </c>
    </row>
    <row r="56" spans="1:41" x14ac:dyDescent="0.2">
      <c r="A56" s="9"/>
      <c r="B56" s="7" t="s">
        <v>59</v>
      </c>
      <c r="C56" s="6"/>
      <c r="D56" s="61">
        <f>SUM(D54:D55)</f>
        <v>-11444</v>
      </c>
      <c r="E56" s="39">
        <f>SUM(E54:E55)</f>
        <v>29294.05</v>
      </c>
      <c r="F56" s="59">
        <f t="shared" ref="F56:Y56" si="23">SUM(F54:F55)</f>
        <v>0</v>
      </c>
      <c r="G56" s="23">
        <f t="shared" si="23"/>
        <v>0</v>
      </c>
      <c r="H56" s="61">
        <f t="shared" si="23"/>
        <v>0</v>
      </c>
      <c r="I56" s="39">
        <f t="shared" si="23"/>
        <v>29925.17</v>
      </c>
      <c r="J56" s="61">
        <f t="shared" si="23"/>
        <v>0</v>
      </c>
      <c r="K56" s="148">
        <f t="shared" si="23"/>
        <v>-287.8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ref="Z56:AE56" si="24">SUM(Z54:Z55)</f>
        <v>0</v>
      </c>
      <c r="AA56" s="39">
        <f t="shared" si="24"/>
        <v>0</v>
      </c>
      <c r="AB56" s="61">
        <f t="shared" si="24"/>
        <v>0</v>
      </c>
      <c r="AC56" s="39">
        <f t="shared" si="24"/>
        <v>0</v>
      </c>
      <c r="AD56" s="61">
        <f t="shared" si="24"/>
        <v>-11444</v>
      </c>
      <c r="AE56" s="39">
        <f t="shared" si="24"/>
        <v>-343.32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3034645</v>
      </c>
      <c r="E59" s="38">
        <f>SUM(G59,I59,K59,M59,O59,Q59,S59,U59,W59,Y59,AA59,AC59,AE59,AG59,AI59,AK59,AM59,AO59)</f>
        <v>58367.839999999997</v>
      </c>
      <c r="F59" s="84">
        <f>'TIE-OUT'!J59+RECLASS!J59</f>
        <v>0</v>
      </c>
      <c r="G59" s="85">
        <f>'TIE-OUT'!K59+RECLASS!K59</f>
        <v>0</v>
      </c>
      <c r="H59" s="127">
        <f>+Actuals!E69</f>
        <v>3021382</v>
      </c>
      <c r="I59" s="128">
        <f>+Actuals!F69</f>
        <v>107024.23</v>
      </c>
      <c r="J59" s="127">
        <f>+Actuals!G69</f>
        <v>-57059</v>
      </c>
      <c r="K59" s="147">
        <f>+Actuals!H69</f>
        <v>-3531.04</v>
      </c>
      <c r="L59" s="127">
        <f>+Actuals!I69</f>
        <v>50296</v>
      </c>
      <c r="M59" s="128">
        <f>+Actuals!J69</f>
        <v>0</v>
      </c>
      <c r="N59" s="127">
        <f>+Actuals!K69</f>
        <v>3120</v>
      </c>
      <c r="O59" s="128">
        <f>+Actuals!L69</f>
        <v>0</v>
      </c>
      <c r="P59" s="127">
        <f>+Actuals!M69</f>
        <v>0</v>
      </c>
      <c r="Q59" s="128">
        <f>+Actuals!N69</f>
        <v>-20065.349999999999</v>
      </c>
      <c r="R59" s="127">
        <f>+Actuals!O69</f>
        <v>0</v>
      </c>
      <c r="S59" s="128">
        <f>+Actuals!P69</f>
        <v>0</v>
      </c>
      <c r="T59" s="127">
        <f>+Actuals!Q69</f>
        <v>625</v>
      </c>
      <c r="U59" s="128">
        <f>+Actuals!R69</f>
        <v>-25060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16281</v>
      </c>
      <c r="AC59" s="128">
        <f>+Actuals!Z69</f>
        <v>0</v>
      </c>
      <c r="AD59" s="127">
        <f>+Actuals!AA69</f>
        <v>0</v>
      </c>
      <c r="AE59" s="128">
        <f>+Actuals!AB69</f>
        <v>0</v>
      </c>
      <c r="AF59" s="127">
        <f>+Actuals!AC69</f>
        <v>0</v>
      </c>
      <c r="AG59" s="128">
        <f>+Actuals!AD69</f>
        <v>0</v>
      </c>
      <c r="AH59" s="127">
        <f>+Actuals!AE69</f>
        <v>0</v>
      </c>
      <c r="AI59" s="128">
        <f>+Actuals!AF69</f>
        <v>0</v>
      </c>
      <c r="AJ59" s="127">
        <f>+Actuals!AG69</f>
        <v>0</v>
      </c>
      <c r="AK59" s="128">
        <f>+Actuals!AH69</f>
        <v>0</v>
      </c>
      <c r="AL59" s="127">
        <f>+Actuals!AI69</f>
        <v>0</v>
      </c>
      <c r="AM59" s="128">
        <f>+Actuals!AJ69</f>
        <v>0</v>
      </c>
      <c r="AN59" s="127">
        <f>+Actuals!AK69</f>
        <v>0</v>
      </c>
      <c r="AO59" s="128">
        <f>+Actuals!AL69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98">
        <f>'TIE-OUT'!J60+RECLASS!J60</f>
        <v>0</v>
      </c>
      <c r="G60" s="99">
        <f>'TIE-OUT'!K60+RECLASS!K60</f>
        <v>0</v>
      </c>
      <c r="H60" s="127">
        <f>+Actuals!E70</f>
        <v>0</v>
      </c>
      <c r="I60" s="128">
        <f>+Actuals!F70</f>
        <v>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  <c r="AF60" s="127">
        <f>+Actuals!AC70</f>
        <v>0</v>
      </c>
      <c r="AG60" s="128">
        <f>+Actuals!AD70</f>
        <v>0</v>
      </c>
      <c r="AH60" s="127">
        <f>+Actuals!AE70</f>
        <v>0</v>
      </c>
      <c r="AI60" s="128">
        <f>+Actuals!AF70</f>
        <v>0</v>
      </c>
      <c r="AJ60" s="127">
        <f>+Actuals!AG70</f>
        <v>0</v>
      </c>
      <c r="AK60" s="128">
        <f>+Actuals!AH70</f>
        <v>0</v>
      </c>
      <c r="AL60" s="127">
        <f>+Actuals!AI70</f>
        <v>0</v>
      </c>
      <c r="AM60" s="128">
        <f>+Actuals!AJ70</f>
        <v>0</v>
      </c>
      <c r="AN60" s="127">
        <f>+Actuals!AK70</f>
        <v>0</v>
      </c>
      <c r="AO60" s="128">
        <f>+Actuals!AL70</f>
        <v>0</v>
      </c>
    </row>
    <row r="61" spans="1:41" x14ac:dyDescent="0.2">
      <c r="A61" s="9"/>
      <c r="B61" s="62" t="s">
        <v>63</v>
      </c>
      <c r="C61" s="6"/>
      <c r="D61" s="61">
        <f>SUM(D59:D60)</f>
        <v>3034645</v>
      </c>
      <c r="E61" s="39">
        <f>SUM(E59:E60)</f>
        <v>58367.839999999997</v>
      </c>
      <c r="F61" s="59">
        <f t="shared" ref="F61:Y61" si="26">SUM(F59:F60)</f>
        <v>0</v>
      </c>
      <c r="G61" s="23">
        <f t="shared" si="26"/>
        <v>0</v>
      </c>
      <c r="H61" s="61">
        <f t="shared" si="26"/>
        <v>3021382</v>
      </c>
      <c r="I61" s="39">
        <f t="shared" si="26"/>
        <v>107024.23</v>
      </c>
      <c r="J61" s="61">
        <f t="shared" si="26"/>
        <v>-57059</v>
      </c>
      <c r="K61" s="148">
        <f t="shared" si="26"/>
        <v>-3531.04</v>
      </c>
      <c r="L61" s="61">
        <f t="shared" si="26"/>
        <v>50296</v>
      </c>
      <c r="M61" s="39">
        <f t="shared" si="26"/>
        <v>0</v>
      </c>
      <c r="N61" s="61">
        <f t="shared" si="26"/>
        <v>3120</v>
      </c>
      <c r="O61" s="39">
        <f t="shared" si="26"/>
        <v>0</v>
      </c>
      <c r="P61" s="61">
        <f t="shared" si="26"/>
        <v>0</v>
      </c>
      <c r="Q61" s="39">
        <f t="shared" si="26"/>
        <v>-20065.349999999999</v>
      </c>
      <c r="R61" s="61">
        <f t="shared" si="26"/>
        <v>0</v>
      </c>
      <c r="S61" s="39">
        <f t="shared" si="26"/>
        <v>0</v>
      </c>
      <c r="T61" s="61">
        <f t="shared" si="26"/>
        <v>625</v>
      </c>
      <c r="U61" s="39">
        <f t="shared" si="26"/>
        <v>-25060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16281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-22171519</v>
      </c>
      <c r="E64" s="38">
        <f>SUM(G64,I64,K64,M64,O64,Q64,S64,U64,W64,Y64,AA64,AC64,AE64,AG64,AI64,AK64,AM64,AO64)</f>
        <v>-2470573.3600000003</v>
      </c>
      <c r="F64" s="84">
        <f>'TIE-OUT'!J64+RECLASS!J64</f>
        <v>0</v>
      </c>
      <c r="G64" s="85">
        <f>'TIE-OUT'!K64+RECLASS!K64</f>
        <v>0</v>
      </c>
      <c r="H64" s="127">
        <f>+Actuals!E71</f>
        <v>-14155711</v>
      </c>
      <c r="I64" s="128">
        <f>+Actuals!F71</f>
        <v>-2252204.7000000002</v>
      </c>
      <c r="J64" s="127">
        <f>+Actuals!G71</f>
        <v>-8175472</v>
      </c>
      <c r="K64" s="147">
        <f>+Actuals!H71</f>
        <v>-234335.06</v>
      </c>
      <c r="L64" s="127">
        <f>+Actuals!I71</f>
        <v>0</v>
      </c>
      <c r="M64" s="128">
        <f>+Actuals!J71</f>
        <v>-0.01</v>
      </c>
      <c r="N64" s="127">
        <f>+Actuals!K71</f>
        <v>0</v>
      </c>
      <c r="O64" s="128">
        <f>+Actuals!L71</f>
        <v>0.01</v>
      </c>
      <c r="P64" s="127">
        <f>+Actuals!M71</f>
        <v>0</v>
      </c>
      <c r="Q64" s="128">
        <f>+Actuals!N71</f>
        <v>0</v>
      </c>
      <c r="R64" s="127">
        <f>+Actuals!O71</f>
        <v>0</v>
      </c>
      <c r="S64" s="128">
        <f>+Actuals!P71</f>
        <v>969284.32</v>
      </c>
      <c r="T64" s="127">
        <f>+Actuals!Q71</f>
        <v>0</v>
      </c>
      <c r="U64" s="128">
        <f>+Actuals!R71</f>
        <v>-969284.32</v>
      </c>
      <c r="V64" s="127">
        <f>+Actuals!S71</f>
        <v>159664</v>
      </c>
      <c r="W64" s="128">
        <f>+Actuals!T71</f>
        <v>15966.39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0.01</v>
      </c>
      <c r="AD64" s="127">
        <f>+Actuals!AA71</f>
        <v>0</v>
      </c>
      <c r="AE64" s="128">
        <f>+Actuals!AB71</f>
        <v>0</v>
      </c>
      <c r="AF64" s="127">
        <f>+Actuals!AC71</f>
        <v>0</v>
      </c>
      <c r="AG64" s="128">
        <f>+Actuals!AD71</f>
        <v>0</v>
      </c>
      <c r="AH64" s="127">
        <f>+Actuals!AE71</f>
        <v>0</v>
      </c>
      <c r="AI64" s="128">
        <f>+Actuals!AF71</f>
        <v>0</v>
      </c>
      <c r="AJ64" s="127">
        <f>+Actuals!AG71</f>
        <v>0</v>
      </c>
      <c r="AK64" s="128">
        <f>+Actuals!AH71</f>
        <v>0</v>
      </c>
      <c r="AL64" s="127">
        <f>+Actuals!AI71</f>
        <v>0</v>
      </c>
      <c r="AM64" s="128">
        <f>+Actuals!AJ71</f>
        <v>0</v>
      </c>
      <c r="AN64" s="127">
        <f>+Actuals!AK71</f>
        <v>0</v>
      </c>
      <c r="AO64" s="128">
        <f>+Actuals!AL71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22202788</v>
      </c>
      <c r="E65" s="38">
        <f>SUM(G65,I65,K65,M65,O65,Q65,S65,U65,W65,Y65,AA65,AC65,AE65,AG65,AI65,AK65,AM65,AO65)</f>
        <v>2300573.36</v>
      </c>
      <c r="F65" s="98">
        <f>'TIE-OUT'!J65+RECLASS!J65</f>
        <v>0</v>
      </c>
      <c r="G65" s="99">
        <f>'TIE-OUT'!K65+RECLASS!K65</f>
        <v>0</v>
      </c>
      <c r="H65" s="127">
        <f>+Actuals!E72+1028765</f>
        <v>14146690</v>
      </c>
      <c r="I65" s="128">
        <f>+Actuals!F72+450000</f>
        <v>2251533.0099999998</v>
      </c>
      <c r="J65" s="127">
        <f>+Actuals!G72</f>
        <v>8215762</v>
      </c>
      <c r="K65" s="147">
        <f>+Actuals!H72-170000</f>
        <v>65006.75</v>
      </c>
      <c r="L65" s="127">
        <f>+Actuals!I72</f>
        <v>0</v>
      </c>
      <c r="M65" s="128">
        <f>+Actuals!J72</f>
        <v>0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0</v>
      </c>
      <c r="R65" s="127">
        <f>+Actuals!O72</f>
        <v>0</v>
      </c>
      <c r="S65" s="128">
        <f>+Actuals!P72</f>
        <v>-969284.32</v>
      </c>
      <c r="T65" s="127">
        <f>+Actuals!Q72</f>
        <v>0</v>
      </c>
      <c r="U65" s="128">
        <f>+Actuals!R72</f>
        <v>969284.32</v>
      </c>
      <c r="V65" s="127">
        <f>+Actuals!S72</f>
        <v>-159664</v>
      </c>
      <c r="W65" s="128">
        <f>+Actuals!T72</f>
        <v>-15966.4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  <c r="AF65" s="127">
        <f>+Actuals!AC72</f>
        <v>0</v>
      </c>
      <c r="AG65" s="128">
        <f>+Actuals!AD72</f>
        <v>0</v>
      </c>
      <c r="AH65" s="127">
        <f>+Actuals!AE72</f>
        <v>0</v>
      </c>
      <c r="AI65" s="128">
        <f>+Actuals!AF72</f>
        <v>0</v>
      </c>
      <c r="AJ65" s="127">
        <f>+Actuals!AG72</f>
        <v>0</v>
      </c>
      <c r="AK65" s="128">
        <f>+Actuals!AH72</f>
        <v>0</v>
      </c>
      <c r="AL65" s="127">
        <f>+Actuals!AI72</f>
        <v>0</v>
      </c>
      <c r="AM65" s="128">
        <f>+Actuals!AJ72</f>
        <v>0</v>
      </c>
      <c r="AN65" s="127">
        <f>+Actuals!AK72</f>
        <v>0</v>
      </c>
      <c r="AO65" s="128">
        <f>+Actuals!AL72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31269</v>
      </c>
      <c r="E66" s="39">
        <f>SUM(G66,I66,K66,M66,O66,Q66,S66,U66,W66,Y66,AA66,AC66,AE66,AG66,AI66)</f>
        <v>-170000.00000000041</v>
      </c>
      <c r="F66" s="59">
        <f t="shared" ref="F66:Y66" si="29">SUM(F64:F65)</f>
        <v>0</v>
      </c>
      <c r="G66" s="23">
        <f t="shared" si="29"/>
        <v>0</v>
      </c>
      <c r="H66" s="61">
        <f t="shared" si="29"/>
        <v>-9021</v>
      </c>
      <c r="I66" s="39">
        <f t="shared" si="29"/>
        <v>-671.69000000040978</v>
      </c>
      <c r="J66" s="61">
        <f t="shared" si="29"/>
        <v>40290</v>
      </c>
      <c r="K66" s="148">
        <f t="shared" si="29"/>
        <v>-169328.31</v>
      </c>
      <c r="L66" s="61">
        <f t="shared" si="29"/>
        <v>0</v>
      </c>
      <c r="M66" s="39">
        <f t="shared" si="29"/>
        <v>-0.01</v>
      </c>
      <c r="N66" s="61">
        <f t="shared" si="29"/>
        <v>0</v>
      </c>
      <c r="O66" s="39">
        <f t="shared" si="29"/>
        <v>0.01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-1.0000000000218279E-2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0.01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0</v>
      </c>
      <c r="F70" s="84">
        <f>'TIE-OUT'!J70+RECLASS!J70</f>
        <v>0</v>
      </c>
      <c r="G70" s="85">
        <f>'TIE-OUT'!K70+RECLASS!K70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  <c r="AF70" s="127">
        <f>+Actuals!AC73</f>
        <v>0</v>
      </c>
      <c r="AG70" s="128">
        <f>+Actuals!AD73</f>
        <v>0</v>
      </c>
      <c r="AH70" s="127">
        <f>+Actuals!AE73</f>
        <v>0</v>
      </c>
      <c r="AI70" s="128">
        <f>+Actuals!AF73</f>
        <v>0</v>
      </c>
      <c r="AJ70" s="127">
        <f>+Actuals!AG73</f>
        <v>0</v>
      </c>
      <c r="AK70" s="128">
        <f>+Actuals!AH73</f>
        <v>0</v>
      </c>
      <c r="AL70" s="127">
        <f>+Actuals!AI73</f>
        <v>0</v>
      </c>
      <c r="AM70" s="128">
        <f>+Actuals!AJ73</f>
        <v>0</v>
      </c>
      <c r="AN70" s="127">
        <f>+Actuals!AK73</f>
        <v>0</v>
      </c>
      <c r="AO70" s="128">
        <f>+Actuals!AL73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0</v>
      </c>
      <c r="F71" s="98">
        <f>'TIE-OUT'!J71+RECLASS!J71</f>
        <v>0</v>
      </c>
      <c r="G71" s="99">
        <f>'TIE-OUT'!K71+RECLASS!K71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  <c r="AF71" s="127">
        <f>+Actuals!AC74</f>
        <v>0</v>
      </c>
      <c r="AG71" s="128">
        <f>+Actuals!AD74</f>
        <v>0</v>
      </c>
      <c r="AH71" s="127">
        <f>+Actuals!AE74</f>
        <v>0</v>
      </c>
      <c r="AI71" s="128">
        <f>+Actuals!AF74</f>
        <v>0</v>
      </c>
      <c r="AJ71" s="127">
        <f>+Actuals!AG74</f>
        <v>0</v>
      </c>
      <c r="AK71" s="128">
        <f>+Actuals!AH74</f>
        <v>0</v>
      </c>
      <c r="AL71" s="127">
        <f>+Actuals!AI74</f>
        <v>0</v>
      </c>
      <c r="AM71" s="128">
        <f>+Actuals!AJ74</f>
        <v>0</v>
      </c>
      <c r="AN71" s="127">
        <f>+Actuals!AK74</f>
        <v>0</v>
      </c>
      <c r="AO71" s="128">
        <f>+Actuals!AL74</f>
        <v>0</v>
      </c>
    </row>
    <row r="72" spans="1:41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0</v>
      </c>
      <c r="F72" s="59">
        <f t="shared" ref="F72:Y72" si="32">SUM(F70:F71)</f>
        <v>0</v>
      </c>
      <c r="G72" s="23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48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58">
        <f>'TIE-OUT'!J73+RECLASS!J73</f>
        <v>0</v>
      </c>
      <c r="G73" s="58">
        <f>'TIE-OUT'!K73+RECLASS!K73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  <c r="AF73" s="127">
        <f>+Actuals!AC75</f>
        <v>0</v>
      </c>
      <c r="AG73" s="128">
        <f>+Actuals!AD75</f>
        <v>0</v>
      </c>
      <c r="AH73" s="127">
        <f>+Actuals!AE75</f>
        <v>0</v>
      </c>
      <c r="AI73" s="128">
        <f>+Actuals!AF75</f>
        <v>0</v>
      </c>
      <c r="AJ73" s="127">
        <f>+Actuals!AG75</f>
        <v>0</v>
      </c>
      <c r="AK73" s="128">
        <f>+Actuals!AH75</f>
        <v>0</v>
      </c>
      <c r="AL73" s="127">
        <f>+Actuals!AI75</f>
        <v>0</v>
      </c>
      <c r="AM73" s="128">
        <f>+Actuals!AJ75</f>
        <v>0</v>
      </c>
      <c r="AN73" s="127">
        <f>+Actuals!AK75</f>
        <v>0</v>
      </c>
      <c r="AO73" s="128">
        <f>+Actuals!AL75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0</v>
      </c>
      <c r="F74" s="58">
        <f>'TIE-OUT'!J74+RECLASS!J74</f>
        <v>0</v>
      </c>
      <c r="G74" s="58">
        <f>'TIE-OUT'!K74+RECLASS!K74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  <c r="AF74" s="127">
        <f>+Actuals!AC76</f>
        <v>0</v>
      </c>
      <c r="AG74" s="128">
        <f>+Actuals!AD76</f>
        <v>0</v>
      </c>
      <c r="AH74" s="127">
        <f>+Actuals!AE76</f>
        <v>0</v>
      </c>
      <c r="AI74" s="128">
        <f>+Actuals!AF76</f>
        <v>0</v>
      </c>
      <c r="AJ74" s="127">
        <f>+Actuals!AG76</f>
        <v>0</v>
      </c>
      <c r="AK74" s="128">
        <f>+Actuals!AH76</f>
        <v>0</v>
      </c>
      <c r="AL74" s="127">
        <f>+Actuals!AI76</f>
        <v>0</v>
      </c>
      <c r="AM74" s="128">
        <f>+Actuals!AJ76</f>
        <v>0</v>
      </c>
      <c r="AN74" s="127">
        <f>+Actuals!AK76</f>
        <v>0</v>
      </c>
      <c r="AO74" s="128">
        <f>+Actuals!AL76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0</v>
      </c>
      <c r="F75" s="58">
        <f>'TIE-OUT'!J75+RECLASS!J75</f>
        <v>0</v>
      </c>
      <c r="G75" s="58">
        <f>'TIE-OUT'!K75+RECLASS!K75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  <c r="AF75" s="127">
        <f>+Actuals!AC77</f>
        <v>0</v>
      </c>
      <c r="AG75" s="128">
        <f>+Actuals!AD77</f>
        <v>0</v>
      </c>
      <c r="AH75" s="127">
        <f>+Actuals!AE77</f>
        <v>0</v>
      </c>
      <c r="AI75" s="128">
        <f>+Actuals!AF77</f>
        <v>0</v>
      </c>
      <c r="AJ75" s="127">
        <f>+Actuals!AG77</f>
        <v>0</v>
      </c>
      <c r="AK75" s="128">
        <f>+Actuals!AH77</f>
        <v>0</v>
      </c>
      <c r="AL75" s="127">
        <f>+Actuals!AI77</f>
        <v>0</v>
      </c>
      <c r="AM75" s="128">
        <f>+Actuals!AJ77</f>
        <v>0</v>
      </c>
      <c r="AN75" s="127">
        <f>+Actuals!AK77</f>
        <v>0</v>
      </c>
      <c r="AO75" s="128">
        <f>+Actuals!AL77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0</v>
      </c>
      <c r="F76" s="58">
        <f>'TIE-OUT'!J76+RECLASS!J76</f>
        <v>0</v>
      </c>
      <c r="G76" s="58">
        <f>'TIE-OUT'!K76+RECLASS!K76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  <c r="AF76" s="127">
        <f>+Actuals!AC78</f>
        <v>0</v>
      </c>
      <c r="AG76" s="128">
        <f>+Actuals!AD78</f>
        <v>0</v>
      </c>
      <c r="AH76" s="127">
        <f>+Actuals!AE78</f>
        <v>0</v>
      </c>
      <c r="AI76" s="128">
        <f>+Actuals!AF78</f>
        <v>0</v>
      </c>
      <c r="AJ76" s="127">
        <f>+Actuals!AG78</f>
        <v>0</v>
      </c>
      <c r="AK76" s="128">
        <f>+Actuals!AH78</f>
        <v>0</v>
      </c>
      <c r="AL76" s="127">
        <f>+Actuals!AI78</f>
        <v>0</v>
      </c>
      <c r="AM76" s="128">
        <f>+Actuals!AJ78</f>
        <v>0</v>
      </c>
      <c r="AN76" s="127">
        <f>+Actuals!AK78</f>
        <v>0</v>
      </c>
      <c r="AO76" s="128">
        <f>+Actuals!AL78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58">
        <f>'TIE-OUT'!J77+RECLASS!J77</f>
        <v>0</v>
      </c>
      <c r="G77" s="58">
        <f>'TIE-OUT'!K77+RECLASS!K77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  <c r="AF77" s="127">
        <f>+Actuals!AC79</f>
        <v>0</v>
      </c>
      <c r="AG77" s="128">
        <f>+Actuals!AD79</f>
        <v>0</v>
      </c>
      <c r="AH77" s="127">
        <f>+Actuals!AE79</f>
        <v>0</v>
      </c>
      <c r="AI77" s="128">
        <f>+Actuals!AF79</f>
        <v>0</v>
      </c>
      <c r="AJ77" s="127">
        <f>+Actuals!AG79</f>
        <v>0</v>
      </c>
      <c r="AK77" s="128">
        <f>+Actuals!AH79</f>
        <v>0</v>
      </c>
      <c r="AL77" s="127">
        <f>+Actuals!AI79</f>
        <v>0</v>
      </c>
      <c r="AM77" s="128">
        <f>+Actuals!AJ79</f>
        <v>0</v>
      </c>
      <c r="AN77" s="127">
        <f>+Actuals!AK79</f>
        <v>0</v>
      </c>
      <c r="AO77" s="128">
        <f>+Actuals!AL79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58">
        <f>'TIE-OUT'!J78+RECLASS!J78</f>
        <v>0</v>
      </c>
      <c r="G78" s="58">
        <f>'TIE-OUT'!K78+RECLASS!K78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  <c r="AF78" s="127">
        <f>+Actuals!AC80</f>
        <v>0</v>
      </c>
      <c r="AG78" s="128">
        <f>+Actuals!AD80</f>
        <v>0</v>
      </c>
      <c r="AH78" s="127">
        <f>+Actuals!AE80</f>
        <v>0</v>
      </c>
      <c r="AI78" s="128">
        <f>+Actuals!AF80</f>
        <v>0</v>
      </c>
      <c r="AJ78" s="127">
        <f>+Actuals!AG80</f>
        <v>0</v>
      </c>
      <c r="AK78" s="128">
        <f>+Actuals!AH80</f>
        <v>0</v>
      </c>
      <c r="AL78" s="127">
        <f>+Actuals!AI80</f>
        <v>0</v>
      </c>
      <c r="AM78" s="128">
        <f>+Actuals!AJ80</f>
        <v>0</v>
      </c>
      <c r="AN78" s="127">
        <f>+Actuals!AK80</f>
        <v>0</v>
      </c>
      <c r="AO78" s="128">
        <f>+Actuals!AL80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58">
        <f>'TIE-OUT'!J79+RECLASS!J79</f>
        <v>0</v>
      </c>
      <c r="G79" s="58">
        <f>'TIE-OUT'!K79+RECLASS!K79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  <c r="AF79" s="127">
        <f>+Actuals!AC81</f>
        <v>0</v>
      </c>
      <c r="AG79" s="128">
        <f>+Actuals!AD81</f>
        <v>0</v>
      </c>
      <c r="AH79" s="127">
        <f>+Actuals!AE81</f>
        <v>0</v>
      </c>
      <c r="AI79" s="128">
        <f>+Actuals!AF81</f>
        <v>0</v>
      </c>
      <c r="AJ79" s="127">
        <f>+Actuals!AG81</f>
        <v>0</v>
      </c>
      <c r="AK79" s="128">
        <f>+Actuals!AH81</f>
        <v>0</v>
      </c>
      <c r="AL79" s="127">
        <f>+Actuals!AI81</f>
        <v>0</v>
      </c>
      <c r="AM79" s="128">
        <f>+Actuals!AJ81</f>
        <v>0</v>
      </c>
      <c r="AN79" s="127">
        <f>+Actuals!AK81</f>
        <v>0</v>
      </c>
      <c r="AO79" s="128">
        <f>+Actuals!AL81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58">
        <f>'TIE-OUT'!J80+RECLASS!J80</f>
        <v>0</v>
      </c>
      <c r="G80" s="58">
        <f>'TIE-OUT'!K80+RECLASS!K80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  <c r="AF80" s="127">
        <f>+Actuals!AC82</f>
        <v>0</v>
      </c>
      <c r="AG80" s="128">
        <f>+Actuals!AD82</f>
        <v>0</v>
      </c>
      <c r="AH80" s="127">
        <f>+Actuals!AE82</f>
        <v>0</v>
      </c>
      <c r="AI80" s="128">
        <f>+Actuals!AF82</f>
        <v>0</v>
      </c>
      <c r="AJ80" s="127">
        <f>+Actuals!AG82</f>
        <v>0</v>
      </c>
      <c r="AK80" s="128">
        <f>+Actuals!AH82</f>
        <v>0</v>
      </c>
      <c r="AL80" s="127">
        <f>+Actuals!AI82</f>
        <v>0</v>
      </c>
      <c r="AM80" s="128">
        <f>+Actuals!AJ82</f>
        <v>0</v>
      </c>
      <c r="AN80" s="127">
        <f>+Actuals!AK82</f>
        <v>0</v>
      </c>
      <c r="AO80" s="128">
        <f>+Actuals!AL82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35"/>
        <v>-31269</v>
      </c>
      <c r="E81" s="38">
        <f t="shared" si="36"/>
        <v>170000</v>
      </c>
      <c r="F81" s="58">
        <f>'TIE-OUT'!J81+RECLASS!J81</f>
        <v>0</v>
      </c>
      <c r="G81" s="58">
        <f>'TIE-OUT'!K81+RECLASS!K81</f>
        <v>0</v>
      </c>
      <c r="H81" s="127">
        <f>+Actuals!E83</f>
        <v>0</v>
      </c>
      <c r="I81" s="128">
        <v>170000</v>
      </c>
      <c r="J81" s="127">
        <f>+Actuals!G83-31269</f>
        <v>-31269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  <c r="AF81" s="127">
        <f>+Actuals!AC83</f>
        <v>0</v>
      </c>
      <c r="AG81" s="128">
        <f>+Actuals!AD83</f>
        <v>0</v>
      </c>
      <c r="AH81" s="127">
        <f>+Actuals!AE83</f>
        <v>0</v>
      </c>
      <c r="AI81" s="128">
        <f>+Actuals!AF83</f>
        <v>0</v>
      </c>
      <c r="AJ81" s="127">
        <f>+Actuals!AG83</f>
        <v>0</v>
      </c>
      <c r="AK81" s="128">
        <f>+Actuals!AH83</f>
        <v>0</v>
      </c>
      <c r="AL81" s="127">
        <f>+Actuals!AI83</f>
        <v>0</v>
      </c>
      <c r="AM81" s="128">
        <f>+Actuals!AJ83</f>
        <v>0</v>
      </c>
      <c r="AN81" s="127">
        <f>+Actuals!AK83</f>
        <v>0</v>
      </c>
      <c r="AO81" s="128">
        <f>+Actuals!AL83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-8178</v>
      </c>
      <c r="E82" s="93">
        <f>SUM(E72:E81)+E16+E24+E29+E36+E43+E45+E47+E49+E51+E56+E61+E66</f>
        <v>1066024.1249999925</v>
      </c>
      <c r="F82" s="92">
        <f>F16+F24+F29+F36+F43+F45+F47+F49</f>
        <v>0</v>
      </c>
      <c r="G82" s="93">
        <f>SUM(G72:G81)+G16+G24+G29+G36+G43+G45+G47+G49+G51+G56+G61+G66</f>
        <v>16940.22</v>
      </c>
      <c r="H82" s="92">
        <f>H16+H24+H29+H36+H43+H45+H47+H49</f>
        <v>0</v>
      </c>
      <c r="I82" s="93">
        <f>SUM(I72:I81)+I16+I24+I29+I36+I43+I45+I47+I49+I51+I56+I61+I66</f>
        <v>1290655.3249999951</v>
      </c>
      <c r="J82" s="92">
        <f>J16+J24+J29+J36+J43+J45+J47+J49</f>
        <v>-8178</v>
      </c>
      <c r="K82" s="112">
        <f>SUM(K72:K81)+K16+K24+K29+K36+K43+K45+K47+K49+K51+K56+K61+K66</f>
        <v>-222901.05000000016</v>
      </c>
      <c r="L82" s="92">
        <f>L16+L24+L29+L36+L43+L45+L47+L49</f>
        <v>0</v>
      </c>
      <c r="M82" s="93">
        <f>SUM(M72:M81)+M16+M24+M29+M36+M43+M45+M47+M49+M51+M56+M61+M66</f>
        <v>48483.21700000007</v>
      </c>
      <c r="N82" s="92">
        <f>N16+N24+N29+N36+N43+N45+N47+N49</f>
        <v>0</v>
      </c>
      <c r="O82" s="93">
        <f>SUM(O72:O81)+O16+O24+O29+O36+O43+O45+O47+O49+O51+O56+O61+O66</f>
        <v>-20357.872000000101</v>
      </c>
      <c r="P82" s="92">
        <f>P16+P24+P29+P36+P43+P45+P47+P49</f>
        <v>0</v>
      </c>
      <c r="Q82" s="93">
        <f>SUM(Q72:Q81)+Q16+Q24+Q29+Q36+Q43+Q45+Q47+Q49+Q51+Q56+Q61+Q66</f>
        <v>-4998.0779999999722</v>
      </c>
      <c r="R82" s="92">
        <f>R16+R24+R29+R36+R43+R45+R47+R49</f>
        <v>0</v>
      </c>
      <c r="S82" s="93">
        <f>SUM(S72:S81)+S16+S24+S29+S36+S43+S45+S47+S49+S51+S56+S61+S66</f>
        <v>-82960.262999999948</v>
      </c>
      <c r="T82" s="92">
        <f>T16+T24+T29+T36+T43+T45+T47+T49</f>
        <v>0</v>
      </c>
      <c r="U82" s="93">
        <f>SUM(U72:U81)+U16+U24+U29+U36+U43+U45+U47+U49+U51+U56+U61+U66</f>
        <v>8153.0659999999916</v>
      </c>
      <c r="V82" s="92">
        <f>V16+V24+V29+V36+V43+V45+V47+V49</f>
        <v>0</v>
      </c>
      <c r="W82" s="93">
        <f>SUM(W72:W81)+W16+W24+W29+W36+W43+W45+W47+W49+W51+W56+W61+W66</f>
        <v>-1536.2150000000561</v>
      </c>
      <c r="X82" s="92">
        <f>X16+X24+X29+X36+X43+X45+X47+X49</f>
        <v>0</v>
      </c>
      <c r="Y82" s="93">
        <f>SUM(Y72:Y81)+Y16+Y24+Y29+Y36+Y43+Y45+Y47+Y49+Y51+Y56+Y61+Y66</f>
        <v>54.86</v>
      </c>
      <c r="Z82" s="92">
        <f>Z16+Z24+Z29+Z36+Z43+Z45+Z47+Z49</f>
        <v>0</v>
      </c>
      <c r="AA82" s="93">
        <f>SUM(AA72:AA81)+AA16+AA24+AA29+AA36+AA43+AA45+AA47+AA49+AA51+AA56+AA61+AA66</f>
        <v>-128.9600000000064</v>
      </c>
      <c r="AB82" s="92">
        <f>AB16+AB24+AB29+AB36+AB43+AB45+AB47+AB49</f>
        <v>0</v>
      </c>
      <c r="AC82" s="93">
        <f>SUM(AC72:AC81)+AC16+AC24+AC29+AC36+AC43+AC45+AC47+AC49+AC51+AC56+AC61+AC66</f>
        <v>-506.06000000000699</v>
      </c>
      <c r="AD82" s="92">
        <f>AD16+AD24+AD29+AD36+AD43+AD45+AD47+AD49</f>
        <v>0</v>
      </c>
      <c r="AE82" s="93">
        <f>SUM(AE72:AE81)+AE16+AE24+AE29+AE36+AE43+AE45+AE47+AE49+AE51+AE56+AE61+AE66</f>
        <v>-637.06499999999983</v>
      </c>
      <c r="AF82" s="92">
        <f>AF16+AF24+AF29+AF36+AF43+AF45+AF47+AF49</f>
        <v>0</v>
      </c>
      <c r="AG82" s="93">
        <f>SUM(AG72:AG81)+AG16+AG24+AG29+AG36+AG43+AG45+AG47+AG49+AG51+AG56+AG61+AG66</f>
        <v>35763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  <c r="I84" s="45"/>
      <c r="K84" s="149"/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4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U187"/>
  <sheetViews>
    <sheetView zoomScale="75" workbookViewId="0">
      <pane xSplit="3" ySplit="9" topLeftCell="D10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27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93753776</v>
      </c>
      <c r="E11" s="38">
        <f t="shared" si="0"/>
        <v>227872085.43999997</v>
      </c>
      <c r="F11" s="60">
        <f>('TIE-OUT'!J11+'TIE-OUT'!H11)+(RECLASS!J11+RECLASS!H11)</f>
        <v>0</v>
      </c>
      <c r="G11" s="38">
        <f>('TIE-OUT'!K11+'TIE-OUT'!I11)+(RECLASS!K11+RECLASS!I11)</f>
        <v>0</v>
      </c>
      <c r="H11" s="60">
        <f>'EAST-EGM-GL'!H11+'EAST-LRC-GL'!H11</f>
        <v>93582057</v>
      </c>
      <c r="I11" s="38">
        <f>'EAST-EGM-GL'!I11+'EAST-LRC-GL'!I11</f>
        <v>221460780.08999997</v>
      </c>
      <c r="J11" s="60">
        <f>'EAST-EGM-GL'!J11+'EAST-LRC-GL'!J11</f>
        <v>-378188</v>
      </c>
      <c r="K11" s="38">
        <f>'EAST-EGM-GL'!K11+'EAST-LRC-GL'!K11</f>
        <v>18912358.93</v>
      </c>
      <c r="L11" s="60">
        <f>'EAST-EGM-GL'!L11+'EAST-LRC-GL'!L11</f>
        <v>85415</v>
      </c>
      <c r="M11" s="38">
        <f>'EAST-EGM-GL'!M11+'EAST-LRC-GL'!M11</f>
        <v>833675.18</v>
      </c>
      <c r="N11" s="60">
        <f>'EAST-EGM-GL'!N11+'EAST-LRC-GL'!N11</f>
        <v>-297102</v>
      </c>
      <c r="O11" s="38">
        <f>'EAST-EGM-GL'!O11+'EAST-LRC-GL'!O11</f>
        <v>-445697.55</v>
      </c>
      <c r="P11" s="60">
        <f>'EAST-EGM-GL'!P11+'EAST-LRC-GL'!P11</f>
        <v>0</v>
      </c>
      <c r="Q11" s="38">
        <f>'EAST-EGM-GL'!Q11+'EAST-LRC-GL'!Q11</f>
        <v>-74</v>
      </c>
      <c r="R11" s="60">
        <f>'EAST-EGM-GL'!R11+'EAST-LRC-GL'!R11</f>
        <v>445466</v>
      </c>
      <c r="S11" s="38">
        <f>'EAST-EGM-GL'!S11+'EAST-LRC-GL'!S11</f>
        <v>-13610433.27</v>
      </c>
      <c r="T11" s="60">
        <f>'EAST-EGM-GL'!T11+'EAST-LRC-GL'!T11</f>
        <v>297102</v>
      </c>
      <c r="U11" s="38">
        <f>'EAST-EGM-GL'!U11+'EAST-LRC-GL'!U11</f>
        <v>721957.86</v>
      </c>
      <c r="V11" s="60">
        <f>'EAST-EGM-GL'!V11+'EAST-LRC-GL'!V11</f>
        <v>0</v>
      </c>
      <c r="W11" s="38">
        <f>'EAST-EGM-GL'!W11+'EAST-LRC-GL'!W11</f>
        <v>-1492.4</v>
      </c>
      <c r="X11" s="60">
        <f>'EAST-EGM-GL'!X11+'EAST-LRC-GL'!X11</f>
        <v>0</v>
      </c>
      <c r="Y11" s="38">
        <f>'EAST-EGM-GL'!Y11+'EAST-LRC-GL'!Y11</f>
        <v>-37521.300000000003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19026</v>
      </c>
      <c r="AC11" s="38">
        <f>'EAST-EGM-GL'!AC11+'EAST-LRC-GL'!AC11</f>
        <v>43759.8</v>
      </c>
      <c r="AD11" s="60">
        <f>'EAST-EGM-GL'!AD11+'EAST-LRC-GL'!AD11</f>
        <v>0</v>
      </c>
      <c r="AE11" s="38">
        <f>'EAST-EGM-GL'!AE11+'EAST-LRC-GL'!AE11</f>
        <v>0</v>
      </c>
      <c r="AF11" s="60">
        <f>'EAST-EGM-GL'!AH11+'EAST-LRC-GL'!AH11</f>
        <v>0</v>
      </c>
      <c r="AG11" s="38">
        <f>'EAST-EGM-GL'!AI11+'EAST-LRC-GL'!AI11</f>
        <v>-5227.8999999999996</v>
      </c>
      <c r="AH11" s="60">
        <f>'EAST-EGM-GL'!AL11+'EAST-LRC-GL'!AL11</f>
        <v>0</v>
      </c>
      <c r="AI11" s="38">
        <f>'EAST-EGM-GL'!AM11+'EAST-LRC-GL'!AM11</f>
        <v>0</v>
      </c>
      <c r="AJ11" s="60">
        <f>'EAST-EGM-GL'!AP11+'EAST-LRC-GL'!AP11</f>
        <v>0</v>
      </c>
      <c r="AK11" s="38">
        <f>'EAST-EGM-GL'!AQ11+'EAST-LRC-GL'!AQ11</f>
        <v>0</v>
      </c>
      <c r="AL11" s="60">
        <f>'EAST-EGM-GL'!AR11+'EAST-LRC-GL'!AR11</f>
        <v>0</v>
      </c>
      <c r="AM11" s="38">
        <f>'EAST-EGM-GL'!AS11+'EAST-LRC-GL'!AS11</f>
        <v>0</v>
      </c>
      <c r="AN11" s="60">
        <f>'EAST-EGM-GL'!AT11+'EAST-LRC-GL'!AT11</f>
        <v>0</v>
      </c>
      <c r="AO11" s="38">
        <f>'EAST-EGM-GL'!AU11+'EAST-LRC-GL'!AU11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-1651543.9000000001</v>
      </c>
      <c r="F12" s="60">
        <f>('TIE-OUT'!J12+'TIE-OUT'!H12)+(RECLASS!J12+RECLASS!H12)</f>
        <v>0</v>
      </c>
      <c r="G12" s="38">
        <f>('TIE-OUT'!K12+'TIE-OUT'!I12)+(RECLASS!K12+RECLASS!I12)</f>
        <v>-1679810.7000000002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28266.799999999999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  <c r="AF12" s="60">
        <f>'EAST-EGM-GL'!AH12+'EAST-LRC-GL'!AH12</f>
        <v>0</v>
      </c>
      <c r="AG12" s="38">
        <f>'EAST-EGM-GL'!AI12+'EAST-LRC-GL'!AI12</f>
        <v>0</v>
      </c>
      <c r="AH12" s="60">
        <f>'EAST-EGM-GL'!AL12+'EAST-LRC-GL'!AL12</f>
        <v>0</v>
      </c>
      <c r="AI12" s="38">
        <f>'EAST-EGM-GL'!AM12+'EAST-LRC-GL'!AM12</f>
        <v>0</v>
      </c>
      <c r="AJ12" s="60">
        <f>'EAST-EGM-GL'!AP12+'EAST-LRC-GL'!AP12</f>
        <v>0</v>
      </c>
      <c r="AK12" s="38">
        <f>'EAST-EGM-GL'!AQ12+'EAST-LRC-GL'!AQ12</f>
        <v>0</v>
      </c>
      <c r="AL12" s="60">
        <f>'EAST-EGM-GL'!AR12+'EAST-LRC-GL'!AR12</f>
        <v>0</v>
      </c>
      <c r="AM12" s="38">
        <f>'EAST-EGM-GL'!AS12+'EAST-LRC-GL'!AS12</f>
        <v>0</v>
      </c>
      <c r="AN12" s="60">
        <f>'EAST-EGM-GL'!AT12+'EAST-LRC-GL'!AT12</f>
        <v>0</v>
      </c>
      <c r="AO12" s="38">
        <f>'EAST-EGM-GL'!AU12+'EAST-LRC-GL'!AU12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48098747</v>
      </c>
      <c r="E13" s="38">
        <f t="shared" si="0"/>
        <v>110384760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48098747</v>
      </c>
      <c r="I13" s="38">
        <f>'EAST-EGM-GL'!I13+'EAST-LRC-GL'!I13</f>
        <v>110384760</v>
      </c>
      <c r="J13" s="60">
        <f>'EAST-EGM-GL'!J13+'EAST-LRC-GL'!J13</f>
        <v>-77304</v>
      </c>
      <c r="K13" s="38">
        <f>'EAST-EGM-GL'!K13+'EAST-LRC-GL'!K13</f>
        <v>-170702</v>
      </c>
      <c r="L13" s="60">
        <f>'EAST-EGM-GL'!L13+'EAST-LRC-GL'!L13</f>
        <v>0</v>
      </c>
      <c r="M13" s="38">
        <f>'EAST-EGM-GL'!M13+'EAST-LRC-GL'!M13</f>
        <v>0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384967</v>
      </c>
      <c r="S13" s="38">
        <f>'EAST-EGM-GL'!S13+'EAST-LRC-GL'!S13</f>
        <v>843693</v>
      </c>
      <c r="T13" s="60">
        <f>'EAST-EGM-GL'!T13+'EAST-LRC-GL'!T13</f>
        <v>545699</v>
      </c>
      <c r="U13" s="38">
        <f>'EAST-EGM-GL'!U13+'EAST-LRC-GL'!U13</f>
        <v>1199034</v>
      </c>
      <c r="V13" s="60">
        <f>'EAST-EGM-GL'!V13+'EAST-LRC-GL'!V13</f>
        <v>-853362</v>
      </c>
      <c r="W13" s="38">
        <f>'EAST-EGM-GL'!W13+'EAST-LRC-GL'!W13</f>
        <v>-1872025</v>
      </c>
      <c r="X13" s="60">
        <f>'EAST-EGM-GL'!X13+'EAST-LRC-GL'!X13</f>
        <v>853362</v>
      </c>
      <c r="Y13" s="38">
        <f>'EAST-EGM-GL'!Y13+'EAST-LRC-GL'!Y13</f>
        <v>1872025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-853362</v>
      </c>
      <c r="AC13" s="38">
        <f>'EAST-EGM-GL'!AC13+'EAST-LRC-GL'!AC13</f>
        <v>-1872025</v>
      </c>
      <c r="AD13" s="60">
        <f>'EAST-EGM-GL'!AD13+'EAST-LRC-GL'!AD13</f>
        <v>0</v>
      </c>
      <c r="AE13" s="38">
        <f>'EAST-EGM-GL'!AE13+'EAST-LRC-GL'!AE13</f>
        <v>0</v>
      </c>
      <c r="AF13" s="60">
        <f>'EAST-EGM-GL'!AH13+'EAST-LRC-GL'!AH13</f>
        <v>0</v>
      </c>
      <c r="AG13" s="38">
        <f>'EAST-EGM-GL'!AI13+'EAST-LRC-GL'!AI13</f>
        <v>0</v>
      </c>
      <c r="AH13" s="60">
        <f>'EAST-EGM-GL'!AL13+'EAST-LRC-GL'!AL13</f>
        <v>0</v>
      </c>
      <c r="AI13" s="38">
        <f>'EAST-EGM-GL'!AM13+'EAST-LRC-GL'!AM13</f>
        <v>0</v>
      </c>
      <c r="AJ13" s="60">
        <f>'EAST-EGM-GL'!AP13+'EAST-LRC-GL'!AP13</f>
        <v>0</v>
      </c>
      <c r="AK13" s="38">
        <f>'EAST-EGM-GL'!AQ13+'EAST-LRC-GL'!AQ13</f>
        <v>0</v>
      </c>
      <c r="AL13" s="60">
        <f>'EAST-EGM-GL'!AR13+'EAST-LRC-GL'!AR13</f>
        <v>0</v>
      </c>
      <c r="AM13" s="38">
        <f>'EAST-EGM-GL'!AS13+'EAST-LRC-GL'!AS13</f>
        <v>0</v>
      </c>
      <c r="AN13" s="60">
        <f>'EAST-EGM-GL'!AT13+'EAST-LRC-GL'!AT13</f>
        <v>0</v>
      </c>
      <c r="AO13" s="38">
        <f>'EAST-EGM-GL'!AU13+'EAST-LRC-GL'!AU13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  <c r="AF14" s="60">
        <f>'EAST-EGM-GL'!AH14+'EAST-LRC-GL'!AH14</f>
        <v>0</v>
      </c>
      <c r="AG14" s="38">
        <f>'EAST-EGM-GL'!AI14+'EAST-LRC-GL'!AI14</f>
        <v>0</v>
      </c>
      <c r="AH14" s="60">
        <f>'EAST-EGM-GL'!AL14+'EAST-LRC-GL'!AL14</f>
        <v>0</v>
      </c>
      <c r="AI14" s="38">
        <f>'EAST-EGM-GL'!AM14+'EAST-LRC-GL'!AM14</f>
        <v>0</v>
      </c>
      <c r="AJ14" s="60">
        <f>'EAST-EGM-GL'!AP14+'EAST-LRC-GL'!AP14</f>
        <v>0</v>
      </c>
      <c r="AK14" s="38">
        <f>'EAST-EGM-GL'!AQ14+'EAST-LRC-GL'!AQ14</f>
        <v>0</v>
      </c>
      <c r="AL14" s="60">
        <f>'EAST-EGM-GL'!AR14+'EAST-LRC-GL'!AR14</f>
        <v>0</v>
      </c>
      <c r="AM14" s="38">
        <f>'EAST-EGM-GL'!AS14+'EAST-LRC-GL'!AS14</f>
        <v>0</v>
      </c>
      <c r="AN14" s="60">
        <f>'EAST-EGM-GL'!AT14+'EAST-LRC-GL'!AT14</f>
        <v>0</v>
      </c>
      <c r="AO14" s="38">
        <f>'EAST-EGM-GL'!AU14+'EAST-LRC-GL'!AU14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('TIE-OUT'!J15+'TIE-OUT'!H15)+(RECLASS!J15+RECLASS!H15)</f>
        <v>0</v>
      </c>
      <c r="G15" s="82">
        <f>('TIE-OUT'!K15+'TIE-OUT'!I15)+(RECLASS!K15+RECLASS!I15)</f>
        <v>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  <c r="AF15" s="60">
        <f>'EAST-EGM-GL'!AH15+'EAST-LRC-GL'!AH15</f>
        <v>0</v>
      </c>
      <c r="AG15" s="38">
        <f>'EAST-EGM-GL'!AI15+'EAST-LRC-GL'!AI15</f>
        <v>0</v>
      </c>
      <c r="AH15" s="60">
        <f>'EAST-EGM-GL'!AL15+'EAST-LRC-GL'!AL15</f>
        <v>0</v>
      </c>
      <c r="AI15" s="38">
        <f>'EAST-EGM-GL'!AM15+'EAST-LRC-GL'!AM15</f>
        <v>0</v>
      </c>
      <c r="AJ15" s="60">
        <f>'EAST-EGM-GL'!AP15+'EAST-LRC-GL'!AP15</f>
        <v>0</v>
      </c>
      <c r="AK15" s="38">
        <f>'EAST-EGM-GL'!AQ15+'EAST-LRC-GL'!AQ15</f>
        <v>0</v>
      </c>
      <c r="AL15" s="60">
        <f>'EAST-EGM-GL'!AR15+'EAST-LRC-GL'!AR15</f>
        <v>0</v>
      </c>
      <c r="AM15" s="38">
        <f>'EAST-EGM-GL'!AS15+'EAST-LRC-GL'!AS15</f>
        <v>0</v>
      </c>
      <c r="AN15" s="60">
        <f>'EAST-EGM-GL'!AT15+'EAST-LRC-GL'!AT15</f>
        <v>0</v>
      </c>
      <c r="AO15" s="38">
        <f>'EAST-EGM-GL'!AU15+'EAST-LRC-GL'!AU15</f>
        <v>0</v>
      </c>
    </row>
    <row r="16" spans="1:41" x14ac:dyDescent="0.2">
      <c r="A16" s="9"/>
      <c r="B16" s="7" t="s">
        <v>32</v>
      </c>
      <c r="C16" s="6"/>
      <c r="D16" s="61">
        <f>SUM(D11:D15)</f>
        <v>141852523</v>
      </c>
      <c r="E16" s="39">
        <f>SUM(E11:E15)</f>
        <v>336605301.53999996</v>
      </c>
      <c r="F16" s="61">
        <f t="shared" ref="F16:Y16" si="1">SUM(F11:F15)</f>
        <v>0</v>
      </c>
      <c r="G16" s="39">
        <f t="shared" si="1"/>
        <v>-1679810.7000000002</v>
      </c>
      <c r="H16" s="61">
        <f t="shared" si="1"/>
        <v>141680804</v>
      </c>
      <c r="I16" s="39">
        <f t="shared" si="1"/>
        <v>331845540.08999997</v>
      </c>
      <c r="J16" s="61">
        <f t="shared" si="1"/>
        <v>-455492</v>
      </c>
      <c r="K16" s="39">
        <f t="shared" si="1"/>
        <v>18769923.73</v>
      </c>
      <c r="L16" s="61">
        <f t="shared" si="1"/>
        <v>85415</v>
      </c>
      <c r="M16" s="39">
        <f t="shared" si="1"/>
        <v>833675.18</v>
      </c>
      <c r="N16" s="61">
        <f t="shared" si="1"/>
        <v>-297102</v>
      </c>
      <c r="O16" s="39">
        <f t="shared" si="1"/>
        <v>-445697.55</v>
      </c>
      <c r="P16" s="61">
        <f t="shared" si="1"/>
        <v>0</v>
      </c>
      <c r="Q16" s="39">
        <f t="shared" si="1"/>
        <v>-74</v>
      </c>
      <c r="R16" s="61">
        <f t="shared" si="1"/>
        <v>830433</v>
      </c>
      <c r="S16" s="39">
        <f t="shared" si="1"/>
        <v>-12766740.27</v>
      </c>
      <c r="T16" s="61">
        <f t="shared" si="1"/>
        <v>842801</v>
      </c>
      <c r="U16" s="39">
        <f t="shared" si="1"/>
        <v>1920991.8599999999</v>
      </c>
      <c r="V16" s="61">
        <f t="shared" si="1"/>
        <v>-853362</v>
      </c>
      <c r="W16" s="39">
        <f t="shared" si="1"/>
        <v>-1873517.4</v>
      </c>
      <c r="X16" s="61">
        <f t="shared" si="1"/>
        <v>853362</v>
      </c>
      <c r="Y16" s="39">
        <f t="shared" si="1"/>
        <v>1834503.7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-834336</v>
      </c>
      <c r="AC16" s="39">
        <f t="shared" si="2"/>
        <v>-1828265.2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-5227.8999999999996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-92598252</v>
      </c>
      <c r="E19" s="38">
        <f t="shared" si="4"/>
        <v>-216871224.41999996</v>
      </c>
      <c r="F19" s="64">
        <f>('TIE-OUT'!J19+'TIE-OUT'!H19)+(RECLASS!J19+RECLASS!H19)</f>
        <v>0</v>
      </c>
      <c r="G19" s="68">
        <f>('TIE-OUT'!K19+'TIE-OUT'!I19)+(RECLASS!K19+RECLASS!I19)</f>
        <v>0</v>
      </c>
      <c r="H19" s="60">
        <f>'EAST-EGM-GL'!H19+'EAST-LRC-GL'!H19</f>
        <v>-97816104</v>
      </c>
      <c r="I19" s="38">
        <f>'EAST-EGM-GL'!I19+'EAST-LRC-GL'!I19</f>
        <v>-224729197.28999999</v>
      </c>
      <c r="J19" s="60">
        <f>'EAST-EGM-GL'!J19+'EAST-LRC-GL'!J19</f>
        <v>-1060287</v>
      </c>
      <c r="K19" s="38">
        <f>'EAST-EGM-GL'!K19+'EAST-LRC-GL'!K19</f>
        <v>-5061354.9000000004</v>
      </c>
      <c r="L19" s="60">
        <f>'EAST-EGM-GL'!L19+'EAST-LRC-GL'!L19</f>
        <v>-142169</v>
      </c>
      <c r="M19" s="38">
        <f>'EAST-EGM-GL'!M19+'EAST-LRC-GL'!M19</f>
        <v>-285254.03999999998</v>
      </c>
      <c r="N19" s="60">
        <f>'EAST-EGM-GL'!N19+'EAST-LRC-GL'!N19</f>
        <v>543263</v>
      </c>
      <c r="O19" s="38">
        <f>'EAST-EGM-GL'!O19+'EAST-LRC-GL'!O19</f>
        <v>1303836.06</v>
      </c>
      <c r="P19" s="60">
        <f>'EAST-EGM-GL'!P19+'EAST-LRC-GL'!P19</f>
        <v>-1127</v>
      </c>
      <c r="Q19" s="38">
        <f>'EAST-EGM-GL'!Q19+'EAST-LRC-GL'!Q19</f>
        <v>-2423.25</v>
      </c>
      <c r="R19" s="60">
        <f>'EAST-EGM-GL'!R19+'EAST-LRC-GL'!R19</f>
        <v>5858506</v>
      </c>
      <c r="S19" s="38">
        <f>'EAST-EGM-GL'!S19+'EAST-LRC-GL'!S19</f>
        <v>11859393.890000001</v>
      </c>
      <c r="T19" s="60">
        <f>'EAST-EGM-GL'!T19+'EAST-LRC-GL'!T19</f>
        <v>0</v>
      </c>
      <c r="U19" s="38">
        <f>'EAST-EGM-GL'!U19+'EAST-LRC-GL'!U19</f>
        <v>135.46</v>
      </c>
      <c r="V19" s="60">
        <f>'EAST-EGM-GL'!V19+'EAST-LRC-GL'!V19</f>
        <v>0</v>
      </c>
      <c r="W19" s="38">
        <f>'EAST-EGM-GL'!W19+'EAST-LRC-GL'!W19</f>
        <v>0</v>
      </c>
      <c r="X19" s="60">
        <f>'EAST-EGM-GL'!X19+'EAST-LRC-GL'!X19</f>
        <v>17306</v>
      </c>
      <c r="Y19" s="38">
        <f>'EAST-EGM-GL'!Y19+'EAST-LRC-GL'!Y19</f>
        <v>38211.65</v>
      </c>
      <c r="Z19" s="60">
        <f>'EAST-EGM-GL'!Z19+'EAST-LRC-GL'!Z19</f>
        <v>2360</v>
      </c>
      <c r="AA19" s="38">
        <f>'EAST-EGM-GL'!AA19+'EAST-LRC-GL'!AA19</f>
        <v>5428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  <c r="AF19" s="60">
        <f>'EAST-EGM-GL'!AH19+'EAST-LRC-GL'!AH19</f>
        <v>0</v>
      </c>
      <c r="AG19" s="38">
        <f>'EAST-EGM-GL'!AI19+'EAST-LRC-GL'!AI19</f>
        <v>0</v>
      </c>
      <c r="AH19" s="60">
        <f>'EAST-EGM-GL'!AL19+'EAST-LRC-GL'!AL19</f>
        <v>0</v>
      </c>
      <c r="AI19" s="38">
        <f>'EAST-EGM-GL'!AM19+'EAST-LRC-GL'!AM19</f>
        <v>0</v>
      </c>
      <c r="AJ19" s="60">
        <f>'EAST-EGM-GL'!AP19+'EAST-LRC-GL'!AP19</f>
        <v>0</v>
      </c>
      <c r="AK19" s="38">
        <f>'EAST-EGM-GL'!AQ19+'EAST-LRC-GL'!AQ19</f>
        <v>0</v>
      </c>
      <c r="AL19" s="60">
        <f>'EAST-EGM-GL'!AR19+'EAST-LRC-GL'!AR19</f>
        <v>0</v>
      </c>
      <c r="AM19" s="38">
        <f>'EAST-EGM-GL'!AS19+'EAST-LRC-GL'!AS19</f>
        <v>0</v>
      </c>
      <c r="AN19" s="60">
        <f>'EAST-EGM-GL'!AT19+'EAST-LRC-GL'!AT19</f>
        <v>0</v>
      </c>
      <c r="AO19" s="38">
        <f>'EAST-EGM-GL'!AU19+'EAST-LRC-GL'!AU19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-3288942.37</v>
      </c>
      <c r="F20" s="60">
        <f>('TIE-OUT'!J20+'TIE-OUT'!H20)+(RECLASS!J20+RECLASS!H20)</f>
        <v>0</v>
      </c>
      <c r="G20" s="38">
        <f>('TIE-OUT'!K20+'TIE-OUT'!I20)+(RECLASS!K20+RECLASS!I20)</f>
        <v>-3288942.37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  <c r="AF20" s="60">
        <f>'EAST-EGM-GL'!AH20+'EAST-LRC-GL'!AH20</f>
        <v>0</v>
      </c>
      <c r="AG20" s="38">
        <f>'EAST-EGM-GL'!AI20+'EAST-LRC-GL'!AI20</f>
        <v>0</v>
      </c>
      <c r="AH20" s="60">
        <f>'EAST-EGM-GL'!AL20+'EAST-LRC-GL'!AL20</f>
        <v>0</v>
      </c>
      <c r="AI20" s="38">
        <f>'EAST-EGM-GL'!AM20+'EAST-LRC-GL'!AM20</f>
        <v>0</v>
      </c>
      <c r="AJ20" s="60">
        <f>'EAST-EGM-GL'!AP20+'EAST-LRC-GL'!AP20</f>
        <v>0</v>
      </c>
      <c r="AK20" s="38">
        <f>'EAST-EGM-GL'!AQ20+'EAST-LRC-GL'!AQ20</f>
        <v>0</v>
      </c>
      <c r="AL20" s="60">
        <f>'EAST-EGM-GL'!AR20+'EAST-LRC-GL'!AR20</f>
        <v>0</v>
      </c>
      <c r="AM20" s="38">
        <f>'EAST-EGM-GL'!AS20+'EAST-LRC-GL'!AS20</f>
        <v>0</v>
      </c>
      <c r="AN20" s="60">
        <f>'EAST-EGM-GL'!AT20+'EAST-LRC-GL'!AT20</f>
        <v>0</v>
      </c>
      <c r="AO20" s="38">
        <f>'EAST-EGM-GL'!AU20+'EAST-LRC-GL'!AU20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-40530677</v>
      </c>
      <c r="E21" s="38">
        <f t="shared" si="4"/>
        <v>-92564051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-40530677</v>
      </c>
      <c r="I21" s="38">
        <f>'EAST-EGM-GL'!I21+'EAST-LRC-GL'!I21</f>
        <v>-92564051</v>
      </c>
      <c r="J21" s="60">
        <f>'EAST-EGM-GL'!J21+'EAST-LRC-GL'!J21</f>
        <v>0</v>
      </c>
      <c r="K21" s="38">
        <f>'EAST-EGM-GL'!K21+'EAST-LRC-GL'!K21</f>
        <v>0</v>
      </c>
      <c r="L21" s="60">
        <f>'EAST-EGM-GL'!L21+'EAST-LRC-GL'!L21</f>
        <v>0</v>
      </c>
      <c r="M21" s="38">
        <f>'EAST-EGM-GL'!M21+'EAST-LRC-GL'!M21</f>
        <v>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-384967</v>
      </c>
      <c r="S21" s="38">
        <f>'EAST-EGM-GL'!S21+'EAST-LRC-GL'!S21</f>
        <v>-843693</v>
      </c>
      <c r="T21" s="60">
        <f>'EAST-EGM-GL'!T21+'EAST-LRC-GL'!T21</f>
        <v>-545699</v>
      </c>
      <c r="U21" s="38">
        <f>'EAST-EGM-GL'!U21+'EAST-LRC-GL'!U21</f>
        <v>-1199034</v>
      </c>
      <c r="V21" s="60">
        <f>'EAST-EGM-GL'!V21+'EAST-LRC-GL'!V21</f>
        <v>930666</v>
      </c>
      <c r="W21" s="38">
        <f>'EAST-EGM-GL'!W21+'EAST-LRC-GL'!W21</f>
        <v>2042727</v>
      </c>
      <c r="X21" s="60">
        <f>'EAST-EGM-GL'!X21+'EAST-LRC-GL'!X21</f>
        <v>-930666</v>
      </c>
      <c r="Y21" s="38">
        <f>'EAST-EGM-GL'!Y21+'EAST-LRC-GL'!Y21</f>
        <v>-2042727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930666</v>
      </c>
      <c r="AC21" s="38">
        <f>'EAST-EGM-GL'!AC21+'EAST-LRC-GL'!AC21</f>
        <v>2042727</v>
      </c>
      <c r="AD21" s="60">
        <f>'EAST-EGM-GL'!AD21+'EAST-LRC-GL'!AD21</f>
        <v>0</v>
      </c>
      <c r="AE21" s="38">
        <f>'EAST-EGM-GL'!AE21+'EAST-LRC-GL'!AE21</f>
        <v>0</v>
      </c>
      <c r="AF21" s="60">
        <f>'EAST-EGM-GL'!AH21+'EAST-LRC-GL'!AH21</f>
        <v>0</v>
      </c>
      <c r="AG21" s="38">
        <f>'EAST-EGM-GL'!AI21+'EAST-LRC-GL'!AI21</f>
        <v>0</v>
      </c>
      <c r="AH21" s="60">
        <f>'EAST-EGM-GL'!AL21+'EAST-LRC-GL'!AL21</f>
        <v>0</v>
      </c>
      <c r="AI21" s="38">
        <f>'EAST-EGM-GL'!AM21+'EAST-LRC-GL'!AM21</f>
        <v>0</v>
      </c>
      <c r="AJ21" s="60">
        <f>'EAST-EGM-GL'!AP21+'EAST-LRC-GL'!AP21</f>
        <v>0</v>
      </c>
      <c r="AK21" s="38">
        <f>'EAST-EGM-GL'!AQ21+'EAST-LRC-GL'!AQ21</f>
        <v>0</v>
      </c>
      <c r="AL21" s="60">
        <f>'EAST-EGM-GL'!AR21+'EAST-LRC-GL'!AR21</f>
        <v>0</v>
      </c>
      <c r="AM21" s="38">
        <f>'EAST-EGM-GL'!AS21+'EAST-LRC-GL'!AS21</f>
        <v>0</v>
      </c>
      <c r="AN21" s="60">
        <f>'EAST-EGM-GL'!AT21+'EAST-LRC-GL'!AT21</f>
        <v>0</v>
      </c>
      <c r="AO21" s="38">
        <f>'EAST-EGM-GL'!AU21+'EAST-LRC-GL'!AU21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  <c r="AF22" s="60">
        <f>'EAST-EGM-GL'!AH22+'EAST-LRC-GL'!AH22</f>
        <v>0</v>
      </c>
      <c r="AG22" s="38">
        <f>'EAST-EGM-GL'!AI22+'EAST-LRC-GL'!AI22</f>
        <v>0</v>
      </c>
      <c r="AH22" s="60">
        <f>'EAST-EGM-GL'!AL22+'EAST-LRC-GL'!AL22</f>
        <v>0</v>
      </c>
      <c r="AI22" s="38">
        <f>'EAST-EGM-GL'!AM22+'EAST-LRC-GL'!AM22</f>
        <v>0</v>
      </c>
      <c r="AJ22" s="60">
        <f>'EAST-EGM-GL'!AP22+'EAST-LRC-GL'!AP22</f>
        <v>0</v>
      </c>
      <c r="AK22" s="38">
        <f>'EAST-EGM-GL'!AQ22+'EAST-LRC-GL'!AQ22</f>
        <v>0</v>
      </c>
      <c r="AL22" s="60">
        <f>'EAST-EGM-GL'!AR22+'EAST-LRC-GL'!AR22</f>
        <v>0</v>
      </c>
      <c r="AM22" s="38">
        <f>'EAST-EGM-GL'!AS22+'EAST-LRC-GL'!AS22</f>
        <v>0</v>
      </c>
      <c r="AN22" s="60">
        <f>'EAST-EGM-GL'!AT22+'EAST-LRC-GL'!AT22</f>
        <v>0</v>
      </c>
      <c r="AO22" s="38">
        <f>'EAST-EGM-GL'!AU22+'EAST-LRC-GL'!AU22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339450</v>
      </c>
      <c r="E23" s="38">
        <f t="shared" si="4"/>
        <v>796866.98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303533</v>
      </c>
      <c r="I23" s="38">
        <f>'EAST-EGM-GL'!I23+'EAST-LRC-GL'!I23</f>
        <v>714820.22</v>
      </c>
      <c r="J23" s="60">
        <f>'EAST-EGM-GL'!J23+'EAST-LRC-GL'!J23</f>
        <v>27148</v>
      </c>
      <c r="K23" s="38">
        <f>'EAST-EGM-GL'!K23+'EAST-LRC-GL'!K23</f>
        <v>60958.864999999998</v>
      </c>
      <c r="L23" s="60">
        <f>'EAST-EGM-GL'!L23+'EAST-LRC-GL'!L23</f>
        <v>8769</v>
      </c>
      <c r="M23" s="38">
        <f>'EAST-EGM-GL'!M23+'EAST-LRC-GL'!M23</f>
        <v>20650.965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0</v>
      </c>
      <c r="R23" s="60">
        <f>'EAST-EGM-GL'!R23+'EAST-LRC-GL'!R23</f>
        <v>0</v>
      </c>
      <c r="S23" s="38">
        <f>'EAST-EGM-GL'!S23+'EAST-LRC-GL'!S23</f>
        <v>436.93</v>
      </c>
      <c r="T23" s="60">
        <f>'EAST-EGM-GL'!T23+'EAST-LRC-GL'!T23</f>
        <v>0</v>
      </c>
      <c r="U23" s="38">
        <f>'EAST-EGM-GL'!U23+'EAST-LRC-GL'!U23</f>
        <v>0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  <c r="AF23" s="60">
        <f>'EAST-EGM-GL'!AH23+'EAST-LRC-GL'!AH23</f>
        <v>0</v>
      </c>
      <c r="AG23" s="38">
        <f>'EAST-EGM-GL'!AI23+'EAST-LRC-GL'!AI23</f>
        <v>0</v>
      </c>
      <c r="AH23" s="60">
        <f>'EAST-EGM-GL'!AL23+'EAST-LRC-GL'!AL23</f>
        <v>0</v>
      </c>
      <c r="AI23" s="38">
        <f>'EAST-EGM-GL'!AM23+'EAST-LRC-GL'!AM23</f>
        <v>0</v>
      </c>
      <c r="AJ23" s="60">
        <f>'EAST-EGM-GL'!AP23+'EAST-LRC-GL'!AP23</f>
        <v>0</v>
      </c>
      <c r="AK23" s="38">
        <f>'EAST-EGM-GL'!AQ23+'EAST-LRC-GL'!AQ23</f>
        <v>0</v>
      </c>
      <c r="AL23" s="60">
        <f>'EAST-EGM-GL'!AR23+'EAST-LRC-GL'!AR23</f>
        <v>0</v>
      </c>
      <c r="AM23" s="38">
        <f>'EAST-EGM-GL'!AS23+'EAST-LRC-GL'!AS23</f>
        <v>0</v>
      </c>
      <c r="AN23" s="60">
        <f>'EAST-EGM-GL'!AT23+'EAST-LRC-GL'!AT23</f>
        <v>0</v>
      </c>
      <c r="AO23" s="38">
        <f>'EAST-EGM-GL'!AU23+'EAST-LRC-GL'!AU23</f>
        <v>0</v>
      </c>
    </row>
    <row r="24" spans="1:41" x14ac:dyDescent="0.2">
      <c r="A24" s="9"/>
      <c r="B24" s="7" t="s">
        <v>35</v>
      </c>
      <c r="C24" s="6"/>
      <c r="D24" s="61">
        <f>SUM(D19:D23)</f>
        <v>-132789479</v>
      </c>
      <c r="E24" s="39">
        <f>SUM(E19:E23)</f>
        <v>-311927350.80999994</v>
      </c>
      <c r="F24" s="61">
        <f t="shared" ref="F24:Y24" si="5">SUM(F19:F23)</f>
        <v>0</v>
      </c>
      <c r="G24" s="39">
        <f t="shared" si="5"/>
        <v>-3288942.37</v>
      </c>
      <c r="H24" s="61">
        <f t="shared" si="5"/>
        <v>-138043248</v>
      </c>
      <c r="I24" s="39">
        <f t="shared" si="5"/>
        <v>-316578428.06999993</v>
      </c>
      <c r="J24" s="61">
        <f t="shared" si="5"/>
        <v>-1033139</v>
      </c>
      <c r="K24" s="39">
        <f t="shared" si="5"/>
        <v>-5000396.0350000001</v>
      </c>
      <c r="L24" s="61">
        <f t="shared" si="5"/>
        <v>-133400</v>
      </c>
      <c r="M24" s="39">
        <f t="shared" si="5"/>
        <v>-264603.07499999995</v>
      </c>
      <c r="N24" s="61">
        <f t="shared" si="5"/>
        <v>543263</v>
      </c>
      <c r="O24" s="39">
        <f t="shared" si="5"/>
        <v>1303836.06</v>
      </c>
      <c r="P24" s="61">
        <f t="shared" si="5"/>
        <v>-1127</v>
      </c>
      <c r="Q24" s="39">
        <f t="shared" si="5"/>
        <v>-2423.25</v>
      </c>
      <c r="R24" s="61">
        <f t="shared" si="5"/>
        <v>5473539</v>
      </c>
      <c r="S24" s="39">
        <f t="shared" si="5"/>
        <v>11016137.82</v>
      </c>
      <c r="T24" s="61">
        <f t="shared" si="5"/>
        <v>-545699</v>
      </c>
      <c r="U24" s="39">
        <f t="shared" si="5"/>
        <v>-1198898.54</v>
      </c>
      <c r="V24" s="61">
        <f t="shared" si="5"/>
        <v>930666</v>
      </c>
      <c r="W24" s="39">
        <f t="shared" si="5"/>
        <v>2042727</v>
      </c>
      <c r="X24" s="61">
        <f t="shared" si="5"/>
        <v>-913360</v>
      </c>
      <c r="Y24" s="39">
        <f t="shared" si="5"/>
        <v>-2004515.35</v>
      </c>
      <c r="Z24" s="61">
        <f t="shared" ref="Z24:AE24" si="6">SUM(Z19:Z23)</f>
        <v>2360</v>
      </c>
      <c r="AA24" s="39">
        <f t="shared" si="6"/>
        <v>5428</v>
      </c>
      <c r="AB24" s="61">
        <f t="shared" si="6"/>
        <v>930666</v>
      </c>
      <c r="AC24" s="39">
        <f t="shared" si="6"/>
        <v>2042727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3182791</v>
      </c>
      <c r="E27" s="38">
        <f>SUM(G27,I27,K27,M27,O27,Q27,S27,U27,W27,Y27,AA27,AC27,AE27,AG27,AI27,AK27,AM27,AO27)</f>
        <v>7163048.6000000006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3992712</v>
      </c>
      <c r="I27" s="38">
        <f>'EAST-EGM-GL'!I27+'EAST-LRC-GL'!I27</f>
        <v>8804010.3499999996</v>
      </c>
      <c r="J27" s="60">
        <f>'EAST-EGM-GL'!J27+'EAST-LRC-GL'!J27</f>
        <v>-212916</v>
      </c>
      <c r="K27" s="38">
        <f>'EAST-EGM-GL'!K27+'EAST-LRC-GL'!K27</f>
        <v>-324694.62</v>
      </c>
      <c r="L27" s="60">
        <f>'EAST-EGM-GL'!L27+'EAST-LRC-GL'!L27</f>
        <v>-65421</v>
      </c>
      <c r="M27" s="38">
        <f>'EAST-EGM-GL'!M27+'EAST-LRC-GL'!M27</f>
        <v>-149567.97</v>
      </c>
      <c r="N27" s="60">
        <f>'EAST-EGM-GL'!N27+'EAST-LRC-GL'!N27</f>
        <v>3120</v>
      </c>
      <c r="O27" s="38">
        <f>'EAST-EGM-GL'!O27+'EAST-LRC-GL'!O27</f>
        <v>7152.3</v>
      </c>
      <c r="P27" s="60">
        <f>'EAST-EGM-GL'!P27+'EAST-LRC-GL'!P27</f>
        <v>-286224</v>
      </c>
      <c r="Q27" s="38">
        <f>'EAST-EGM-GL'!Q27+'EAST-LRC-GL'!Q27</f>
        <v>-646938.46</v>
      </c>
      <c r="R27" s="60">
        <f>'EAST-EGM-GL'!R27+'EAST-LRC-GL'!R27</f>
        <v>126026</v>
      </c>
      <c r="S27" s="38">
        <f>'EAST-EGM-GL'!S27+'EAST-LRC-GL'!S27</f>
        <v>276607.63</v>
      </c>
      <c r="T27" s="60">
        <f>'EAST-EGM-GL'!T27+'EAST-LRC-GL'!T27</f>
        <v>-82237</v>
      </c>
      <c r="U27" s="38">
        <f>'EAST-EGM-GL'!U27+'EAST-LRC-GL'!U27</f>
        <v>-140547.6</v>
      </c>
      <c r="V27" s="60">
        <f>'EAST-EGM-GL'!V27+'EAST-LRC-GL'!V27</f>
        <v>-292269</v>
      </c>
      <c r="W27" s="38">
        <f>'EAST-EGM-GL'!W27+'EAST-LRC-GL'!W27</f>
        <v>-662988.79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0.84</v>
      </c>
      <c r="AB27" s="60">
        <f>'EAST-EGM-GL'!AB27+'EAST-LRC-GL'!AB27</f>
        <v>-3127</v>
      </c>
      <c r="AC27" s="38">
        <f>'EAST-EGM-GL'!AC27+'EAST-LRC-GL'!AC27</f>
        <v>-7055.42</v>
      </c>
      <c r="AD27" s="60">
        <f>'EAST-EGM-GL'!AD27+'EAST-LRC-GL'!AD27</f>
        <v>3127</v>
      </c>
      <c r="AE27" s="38">
        <f>'EAST-EGM-GL'!AE27+'EAST-LRC-GL'!AE27</f>
        <v>7070.34</v>
      </c>
      <c r="AF27" s="60">
        <f>'EAST-EGM-GL'!AH27+'EAST-LRC-GL'!AH27</f>
        <v>0</v>
      </c>
      <c r="AG27" s="38">
        <f>'EAST-EGM-GL'!AI27+'EAST-LRC-GL'!AI27</f>
        <v>0</v>
      </c>
      <c r="AH27" s="60">
        <f>'EAST-EGM-GL'!AL27+'EAST-LRC-GL'!AL27</f>
        <v>0</v>
      </c>
      <c r="AI27" s="38">
        <f>'EAST-EGM-GL'!AM27+'EAST-LRC-GL'!AM27</f>
        <v>0</v>
      </c>
      <c r="AJ27" s="60">
        <f>'EAST-EGM-GL'!AP27+'EAST-LRC-GL'!AP27</f>
        <v>0</v>
      </c>
      <c r="AK27" s="38">
        <f>'EAST-EGM-GL'!AQ27+'EAST-LRC-GL'!AQ27</f>
        <v>0</v>
      </c>
      <c r="AL27" s="60">
        <f>'EAST-EGM-GL'!AR27+'EAST-LRC-GL'!AR27</f>
        <v>0</v>
      </c>
      <c r="AM27" s="38">
        <f>'EAST-EGM-GL'!AS27+'EAST-LRC-GL'!AS27</f>
        <v>0</v>
      </c>
      <c r="AN27" s="60">
        <f>'EAST-EGM-GL'!AT27+'EAST-LRC-GL'!AT27</f>
        <v>0</v>
      </c>
      <c r="AO27" s="38">
        <f>'EAST-EGM-GL'!AU27+'EAST-LRC-GL'!AU27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-14458217</v>
      </c>
      <c r="E28" s="38">
        <f>SUM(G28,I28,K28,M28,O28,Q28,S28,U28,W28,Y28,AA28,AC28,AE28,AG28,AI28,AK28,AM28,AO28)</f>
        <v>-32605974.980000008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-15239573</v>
      </c>
      <c r="I28" s="38">
        <f>'EAST-EGM-GL'!I28+'EAST-LRC-GL'!I28</f>
        <v>-34228998.660000004</v>
      </c>
      <c r="J28" s="60">
        <f>'EAST-EGM-GL'!J28+'EAST-LRC-GL'!J28</f>
        <v>249363</v>
      </c>
      <c r="K28" s="38">
        <f>'EAST-EGM-GL'!K28+'EAST-LRC-GL'!K28</f>
        <v>458457.57</v>
      </c>
      <c r="L28" s="60">
        <f>'EAST-EGM-GL'!L28+'EAST-LRC-GL'!L28</f>
        <v>3503</v>
      </c>
      <c r="M28" s="38">
        <f>'EAST-EGM-GL'!M28+'EAST-LRC-GL'!M28</f>
        <v>66808.88</v>
      </c>
      <c r="N28" s="60">
        <f>'EAST-EGM-GL'!N28+'EAST-LRC-GL'!N28</f>
        <v>1570</v>
      </c>
      <c r="O28" s="38">
        <f>'EAST-EGM-GL'!O28+'EAST-LRC-GL'!O28</f>
        <v>3024.8</v>
      </c>
      <c r="P28" s="60">
        <f>'EAST-EGM-GL'!P28+'EAST-LRC-GL'!P28</f>
        <v>343958</v>
      </c>
      <c r="Q28" s="38">
        <f>'EAST-EGM-GL'!Q28+'EAST-LRC-GL'!Q28</f>
        <v>770424.13</v>
      </c>
      <c r="R28" s="60">
        <f>'EAST-EGM-GL'!R28+'EAST-LRC-GL'!R28</f>
        <v>-188450</v>
      </c>
      <c r="S28" s="38">
        <f>'EAST-EGM-GL'!S28+'EAST-LRC-GL'!S28</f>
        <v>-472169.8</v>
      </c>
      <c r="T28" s="60">
        <f>'EAST-EGM-GL'!T28+'EAST-LRC-GL'!T28</f>
        <v>82301</v>
      </c>
      <c r="U28" s="38">
        <f>'EAST-EGM-GL'!U28+'EAST-LRC-GL'!U28</f>
        <v>140685.32999999999</v>
      </c>
      <c r="V28" s="60">
        <f>'EAST-EGM-GL'!V28+'EAST-LRC-GL'!V28</f>
        <v>292238</v>
      </c>
      <c r="W28" s="38">
        <f>'EAST-EGM-GL'!W28+'EAST-LRC-GL'!W28</f>
        <v>662871.98</v>
      </c>
      <c r="X28" s="60">
        <f>'EAST-EGM-GL'!X28+'EAST-LRC-GL'!X28</f>
        <v>0</v>
      </c>
      <c r="Y28" s="38">
        <f>'EAST-EGM-GL'!Y28+'EAST-LRC-GL'!Y28</f>
        <v>54.86</v>
      </c>
      <c r="Z28" s="60">
        <f>'EAST-EGM-GL'!Z28+'EAST-LRC-GL'!Z28</f>
        <v>0</v>
      </c>
      <c r="AA28" s="38">
        <f>'EAST-EGM-GL'!AA28+'EAST-LRC-GL'!AA28</f>
        <v>-0.84</v>
      </c>
      <c r="AB28" s="60">
        <f>'EAST-EGM-GL'!AB28+'EAST-LRC-GL'!AB28</f>
        <v>-3127</v>
      </c>
      <c r="AC28" s="38">
        <f>'EAST-EGM-GL'!AC28+'EAST-LRC-GL'!AC28</f>
        <v>-7133.23</v>
      </c>
      <c r="AD28" s="60">
        <f>'EAST-EGM-GL'!AD28+'EAST-LRC-GL'!AD28</f>
        <v>0</v>
      </c>
      <c r="AE28" s="38">
        <f>'EAST-EGM-GL'!AE28+'EAST-LRC-GL'!AE28</f>
        <v>0</v>
      </c>
      <c r="AF28" s="60">
        <f>'EAST-EGM-GL'!AH28+'EAST-LRC-GL'!AH28</f>
        <v>0</v>
      </c>
      <c r="AG28" s="38">
        <f>'EAST-EGM-GL'!AI28+'EAST-LRC-GL'!AI28</f>
        <v>0</v>
      </c>
      <c r="AH28" s="60">
        <f>'EAST-EGM-GL'!AL28+'EAST-LRC-GL'!AL28</f>
        <v>0</v>
      </c>
      <c r="AI28" s="38">
        <f>'EAST-EGM-GL'!AM28+'EAST-LRC-GL'!AM28</f>
        <v>0</v>
      </c>
      <c r="AJ28" s="60">
        <f>'EAST-EGM-GL'!AP28+'EAST-LRC-GL'!AP28</f>
        <v>0</v>
      </c>
      <c r="AK28" s="38">
        <f>'EAST-EGM-GL'!AQ28+'EAST-LRC-GL'!AQ28</f>
        <v>0</v>
      </c>
      <c r="AL28" s="60">
        <f>'EAST-EGM-GL'!AR28+'EAST-LRC-GL'!AR28</f>
        <v>0</v>
      </c>
      <c r="AM28" s="38">
        <f>'EAST-EGM-GL'!AS28+'EAST-LRC-GL'!AS28</f>
        <v>0</v>
      </c>
      <c r="AN28" s="60">
        <f>'EAST-EGM-GL'!AT28+'EAST-LRC-GL'!AT28</f>
        <v>0</v>
      </c>
      <c r="AO28" s="38">
        <f>'EAST-EGM-GL'!AU28+'EAST-LRC-GL'!AU28</f>
        <v>0</v>
      </c>
    </row>
    <row r="29" spans="1:41" x14ac:dyDescent="0.2">
      <c r="A29" s="9"/>
      <c r="B29" s="7" t="s">
        <v>39</v>
      </c>
      <c r="C29" s="18"/>
      <c r="D29" s="61">
        <f>SUM(D27:D28)</f>
        <v>-11275426</v>
      </c>
      <c r="E29" s="39">
        <f>SUM(E27:E28)</f>
        <v>-25442926.380000006</v>
      </c>
      <c r="F29" s="61">
        <f t="shared" ref="F29:Y29" si="8">SUM(F27:F28)</f>
        <v>0</v>
      </c>
      <c r="G29" s="39">
        <f t="shared" si="8"/>
        <v>0</v>
      </c>
      <c r="H29" s="61">
        <f t="shared" si="8"/>
        <v>-11246861</v>
      </c>
      <c r="I29" s="39">
        <f t="shared" si="8"/>
        <v>-25424988.310000002</v>
      </c>
      <c r="J29" s="61">
        <f t="shared" si="8"/>
        <v>36447</v>
      </c>
      <c r="K29" s="39">
        <f t="shared" si="8"/>
        <v>133762.95000000001</v>
      </c>
      <c r="L29" s="61">
        <f t="shared" si="8"/>
        <v>-61918</v>
      </c>
      <c r="M29" s="39">
        <f t="shared" si="8"/>
        <v>-82759.09</v>
      </c>
      <c r="N29" s="61">
        <f t="shared" si="8"/>
        <v>4690</v>
      </c>
      <c r="O29" s="39">
        <f t="shared" si="8"/>
        <v>10177.1</v>
      </c>
      <c r="P29" s="61">
        <f t="shared" si="8"/>
        <v>57734</v>
      </c>
      <c r="Q29" s="39">
        <f t="shared" si="8"/>
        <v>123485.67000000004</v>
      </c>
      <c r="R29" s="61">
        <f t="shared" si="8"/>
        <v>-62424</v>
      </c>
      <c r="S29" s="39">
        <f t="shared" si="8"/>
        <v>-195562.16999999998</v>
      </c>
      <c r="T29" s="61">
        <f t="shared" si="8"/>
        <v>64</v>
      </c>
      <c r="U29" s="39">
        <f t="shared" si="8"/>
        <v>137.72999999998137</v>
      </c>
      <c r="V29" s="61">
        <f t="shared" si="8"/>
        <v>-31</v>
      </c>
      <c r="W29" s="39">
        <f t="shared" si="8"/>
        <v>-116.81000000005588</v>
      </c>
      <c r="X29" s="61">
        <f t="shared" si="8"/>
        <v>0</v>
      </c>
      <c r="Y29" s="39">
        <f t="shared" si="8"/>
        <v>54.86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-6254</v>
      </c>
      <c r="AC29" s="39">
        <f t="shared" si="9"/>
        <v>-14188.65</v>
      </c>
      <c r="AD29" s="61">
        <f t="shared" si="9"/>
        <v>3127</v>
      </c>
      <c r="AE29" s="39">
        <f t="shared" si="9"/>
        <v>7070.34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487907</v>
      </c>
      <c r="E32" s="38">
        <f t="shared" si="11"/>
        <v>1149021.6500000001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214361</v>
      </c>
      <c r="I32" s="38">
        <f>'EAST-EGM-GL'!I32+'EAST-LRC-GL'!I32</f>
        <v>504820.15</v>
      </c>
      <c r="J32" s="60">
        <f>'EAST-EGM-GL'!J32+'EAST-LRC-GL'!J32</f>
        <v>-266061</v>
      </c>
      <c r="K32" s="38">
        <f>'EAST-EGM-GL'!K32+'EAST-LRC-GL'!K32</f>
        <v>-623233.652</v>
      </c>
      <c r="L32" s="60">
        <f>'EAST-EGM-GL'!L32+'EAST-LRC-GL'!L32</f>
        <v>349722</v>
      </c>
      <c r="M32" s="38">
        <f>'EAST-EGM-GL'!M32+'EAST-LRC-GL'!M32</f>
        <v>790632.23400000005</v>
      </c>
      <c r="N32" s="60">
        <f>'EAST-EGM-GL'!N32+'EAST-LRC-GL'!N32</f>
        <v>142143</v>
      </c>
      <c r="O32" s="38">
        <f>'EAST-EGM-GL'!O32+'EAST-LRC-GL'!O32</f>
        <v>545068.03899999999</v>
      </c>
      <c r="P32" s="60">
        <f>'EAST-EGM-GL'!P32+'EAST-LRC-GL'!P32</f>
        <v>1127</v>
      </c>
      <c r="Q32" s="38">
        <f>'EAST-EGM-GL'!Q32+'EAST-LRC-GL'!Q32</f>
        <v>1216980.426</v>
      </c>
      <c r="R32" s="60">
        <f>'EAST-EGM-GL'!R32+'EAST-LRC-GL'!R32</f>
        <v>26958</v>
      </c>
      <c r="S32" s="38">
        <f>'EAST-EGM-GL'!S32+'EAST-LRC-GL'!S32</f>
        <v>-1289288.0379999999</v>
      </c>
      <c r="T32" s="60">
        <f>'EAST-EGM-GL'!T32+'EAST-LRC-GL'!T32</f>
        <v>-625</v>
      </c>
      <c r="U32" s="38">
        <f>'EAST-EGM-GL'!U32+'EAST-LRC-GL'!U32</f>
        <v>-43721.618999999999</v>
      </c>
      <c r="V32" s="60">
        <f>'EAST-EGM-GL'!V32+'EAST-LRC-GL'!V32</f>
        <v>676</v>
      </c>
      <c r="W32" s="38">
        <f>'EAST-EGM-GL'!W32+'EAST-LRC-GL'!W32</f>
        <v>1591.98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-55211</v>
      </c>
      <c r="AA32" s="38">
        <f>'EAST-EGM-GL'!AA32+'EAST-LRC-GL'!AA32</f>
        <v>-130021.905</v>
      </c>
      <c r="AB32" s="60">
        <f>'EAST-EGM-GL'!AB32+'EAST-LRC-GL'!AB32</f>
        <v>74817</v>
      </c>
      <c r="AC32" s="38">
        <f>'EAST-EGM-GL'!AC32+'EAST-LRC-GL'!AC32</f>
        <v>176194.035</v>
      </c>
      <c r="AD32" s="60">
        <f>'EAST-EGM-GL'!AD32+'EAST-LRC-GL'!AD32</f>
        <v>0</v>
      </c>
      <c r="AE32" s="38">
        <f>'EAST-EGM-GL'!AE32+'EAST-LRC-GL'!AE32</f>
        <v>0</v>
      </c>
      <c r="AF32" s="60">
        <f>'EAST-EGM-GL'!AH32+'EAST-LRC-GL'!AH32</f>
        <v>0</v>
      </c>
      <c r="AG32" s="38">
        <f>'EAST-EGM-GL'!AI32+'EAST-LRC-GL'!AI32</f>
        <v>0</v>
      </c>
      <c r="AH32" s="60">
        <f>'EAST-EGM-GL'!AL32+'EAST-LRC-GL'!AL32</f>
        <v>0</v>
      </c>
      <c r="AI32" s="38">
        <f>'EAST-EGM-GL'!AM32+'EAST-LRC-GL'!AM32</f>
        <v>0</v>
      </c>
      <c r="AJ32" s="60">
        <f>'EAST-EGM-GL'!AP32+'EAST-LRC-GL'!AP32</f>
        <v>0</v>
      </c>
      <c r="AK32" s="38">
        <f>'EAST-EGM-GL'!AQ32+'EAST-LRC-GL'!AQ32</f>
        <v>0</v>
      </c>
      <c r="AL32" s="60">
        <f>'EAST-EGM-GL'!AR32+'EAST-LRC-GL'!AR32</f>
        <v>0</v>
      </c>
      <c r="AM32" s="38">
        <f>'EAST-EGM-GL'!AS32+'EAST-LRC-GL'!AS32</f>
        <v>0</v>
      </c>
      <c r="AN32" s="60">
        <f>'EAST-EGM-GL'!AT32+'EAST-LRC-GL'!AT32</f>
        <v>0</v>
      </c>
      <c r="AO32" s="38">
        <f>'EAST-EGM-GL'!AU32+'EAST-LRC-GL'!AU32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-201207</v>
      </c>
      <c r="E33" s="38">
        <f t="shared" si="11"/>
        <v>-469944.86000000004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-54530</v>
      </c>
      <c r="K33" s="38">
        <f>'EAST-EGM-GL'!K33+'EAST-LRC-GL'!K33</f>
        <v>-121627.77</v>
      </c>
      <c r="L33" s="60">
        <f>'EAST-EGM-GL'!L33+'EAST-LRC-GL'!L33</f>
        <v>-65324</v>
      </c>
      <c r="M33" s="38">
        <f>'EAST-EGM-GL'!M33+'EAST-LRC-GL'!M33</f>
        <v>-148053.85999999999</v>
      </c>
      <c r="N33" s="60">
        <f>'EAST-EGM-GL'!N33+'EAST-LRC-GL'!N33</f>
        <v>-81351</v>
      </c>
      <c r="O33" s="38">
        <f>'EAST-EGM-GL'!O33+'EAST-LRC-GL'!O33</f>
        <v>-200258.79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-2</v>
      </c>
      <c r="S33" s="38">
        <f>'EAST-EGM-GL'!S33+'EAST-LRC-GL'!S33</f>
        <v>-4.4400000000000004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  <c r="AF33" s="60">
        <f>'EAST-EGM-GL'!AH33+'EAST-LRC-GL'!AH33</f>
        <v>0</v>
      </c>
      <c r="AG33" s="38">
        <f>'EAST-EGM-GL'!AI33+'EAST-LRC-GL'!AI33</f>
        <v>0</v>
      </c>
      <c r="AH33" s="60">
        <f>'EAST-EGM-GL'!AL33+'EAST-LRC-GL'!AL33</f>
        <v>0</v>
      </c>
      <c r="AI33" s="38">
        <f>'EAST-EGM-GL'!AM33+'EAST-LRC-GL'!AM33</f>
        <v>0</v>
      </c>
      <c r="AJ33" s="60">
        <f>'EAST-EGM-GL'!AP33+'EAST-LRC-GL'!AP33</f>
        <v>0</v>
      </c>
      <c r="AK33" s="38">
        <f>'EAST-EGM-GL'!AQ33+'EAST-LRC-GL'!AQ33</f>
        <v>0</v>
      </c>
      <c r="AL33" s="60">
        <f>'EAST-EGM-GL'!AR33+'EAST-LRC-GL'!AR33</f>
        <v>0</v>
      </c>
      <c r="AM33" s="38">
        <f>'EAST-EGM-GL'!AS33+'EAST-LRC-GL'!AS33</f>
        <v>0</v>
      </c>
      <c r="AN33" s="60">
        <f>'EAST-EGM-GL'!AT33+'EAST-LRC-GL'!AT33</f>
        <v>0</v>
      </c>
      <c r="AO33" s="38">
        <f>'EAST-EGM-GL'!AU33+'EAST-LRC-GL'!AU33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134795</v>
      </c>
      <c r="E34" s="38">
        <f t="shared" si="11"/>
        <v>294426.44999999995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117646</v>
      </c>
      <c r="K34" s="38">
        <f>'EAST-EGM-GL'!K34+'EAST-LRC-GL'!K34</f>
        <v>256659.93</v>
      </c>
      <c r="L34" s="60">
        <f>'EAST-EGM-GL'!L34+'EAST-LRC-GL'!L34</f>
        <v>6264</v>
      </c>
      <c r="M34" s="38">
        <f>'EAST-EGM-GL'!M34+'EAST-LRC-GL'!M34</f>
        <v>14006.31</v>
      </c>
      <c r="N34" s="60">
        <f>'EAST-EGM-GL'!N34+'EAST-LRC-GL'!N34</f>
        <v>5556</v>
      </c>
      <c r="O34" s="38">
        <f>'EAST-EGM-GL'!O34+'EAST-LRC-GL'!O34</f>
        <v>12435.55</v>
      </c>
      <c r="P34" s="60">
        <f>'EAST-EGM-GL'!P34+'EAST-LRC-GL'!P34</f>
        <v>0</v>
      </c>
      <c r="Q34" s="38">
        <f>'EAST-EGM-GL'!Q34+'EAST-LRC-GL'!Q34</f>
        <v>0</v>
      </c>
      <c r="R34" s="60">
        <f>'EAST-EGM-GL'!R34+'EAST-LRC-GL'!R34</f>
        <v>5329</v>
      </c>
      <c r="S34" s="38">
        <f>'EAST-EGM-GL'!S34+'EAST-LRC-GL'!S34</f>
        <v>11324.66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  <c r="AF34" s="60">
        <f>'EAST-EGM-GL'!AH34+'EAST-LRC-GL'!AH34</f>
        <v>0</v>
      </c>
      <c r="AG34" s="38">
        <f>'EAST-EGM-GL'!AI34+'EAST-LRC-GL'!AI34</f>
        <v>0</v>
      </c>
      <c r="AH34" s="60">
        <f>'EAST-EGM-GL'!AL34+'EAST-LRC-GL'!AL34</f>
        <v>0</v>
      </c>
      <c r="AI34" s="38">
        <f>'EAST-EGM-GL'!AM34+'EAST-LRC-GL'!AM34</f>
        <v>0</v>
      </c>
      <c r="AJ34" s="60">
        <f>'EAST-EGM-GL'!AP34+'EAST-LRC-GL'!AP34</f>
        <v>0</v>
      </c>
      <c r="AK34" s="38">
        <f>'EAST-EGM-GL'!AQ34+'EAST-LRC-GL'!AQ34</f>
        <v>0</v>
      </c>
      <c r="AL34" s="60">
        <f>'EAST-EGM-GL'!AR34+'EAST-LRC-GL'!AR34</f>
        <v>0</v>
      </c>
      <c r="AM34" s="38">
        <f>'EAST-EGM-GL'!AS34+'EAST-LRC-GL'!AS34</f>
        <v>0</v>
      </c>
      <c r="AN34" s="60">
        <f>'EAST-EGM-GL'!AT34+'EAST-LRC-GL'!AT34</f>
        <v>0</v>
      </c>
      <c r="AO34" s="38">
        <f>'EAST-EGM-GL'!AU34+'EAST-LRC-GL'!AU34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500000</v>
      </c>
      <c r="E35" s="38">
        <f t="shared" si="11"/>
        <v>1177499.99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-499999</v>
      </c>
      <c r="I35" s="38">
        <f>'EAST-EGM-GL'!I35+'EAST-LRC-GL'!I35</f>
        <v>-0.01</v>
      </c>
      <c r="J35" s="60">
        <f>'EAST-EGM-GL'!J35+'EAST-LRC-GL'!J35</f>
        <v>1</v>
      </c>
      <c r="K35" s="38">
        <f>'EAST-EGM-GL'!K35+'EAST-LRC-GL'!K35</f>
        <v>0</v>
      </c>
      <c r="L35" s="60">
        <f>'EAST-EGM-GL'!L35+'EAST-LRC-GL'!L35</f>
        <v>999998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1177500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  <c r="AF35" s="60">
        <f>'EAST-EGM-GL'!AH35+'EAST-LRC-GL'!AH35</f>
        <v>0</v>
      </c>
      <c r="AG35" s="38">
        <f>'EAST-EGM-GL'!AI35+'EAST-LRC-GL'!AI35</f>
        <v>0</v>
      </c>
      <c r="AH35" s="60">
        <f>'EAST-EGM-GL'!AL35+'EAST-LRC-GL'!AL35</f>
        <v>0</v>
      </c>
      <c r="AI35" s="38">
        <f>'EAST-EGM-GL'!AM35+'EAST-LRC-GL'!AM35</f>
        <v>0</v>
      </c>
      <c r="AJ35" s="60">
        <f>'EAST-EGM-GL'!AP35+'EAST-LRC-GL'!AP35</f>
        <v>0</v>
      </c>
      <c r="AK35" s="38">
        <f>'EAST-EGM-GL'!AQ35+'EAST-LRC-GL'!AQ35</f>
        <v>0</v>
      </c>
      <c r="AL35" s="60">
        <f>'EAST-EGM-GL'!AR35+'EAST-LRC-GL'!AR35</f>
        <v>0</v>
      </c>
      <c r="AM35" s="38">
        <f>'EAST-EGM-GL'!AS35+'EAST-LRC-GL'!AS35</f>
        <v>0</v>
      </c>
      <c r="AN35" s="60">
        <f>'EAST-EGM-GL'!AT35+'EAST-LRC-GL'!AT35</f>
        <v>0</v>
      </c>
      <c r="AO35" s="38">
        <f>'EAST-EGM-GL'!AU35+'EAST-LRC-GL'!AU35</f>
        <v>0</v>
      </c>
    </row>
    <row r="36" spans="1:41" x14ac:dyDescent="0.2">
      <c r="A36" s="9"/>
      <c r="B36" s="7" t="s">
        <v>45</v>
      </c>
      <c r="C36" s="6"/>
      <c r="D36" s="61">
        <f>SUM(D32:D35)</f>
        <v>921495</v>
      </c>
      <c r="E36" s="39">
        <f>SUM(E32:E35)</f>
        <v>2151003.23</v>
      </c>
      <c r="F36" s="61">
        <f t="shared" ref="F36:Y36" si="12">SUM(F32:F35)</f>
        <v>0</v>
      </c>
      <c r="G36" s="39">
        <f t="shared" si="12"/>
        <v>0</v>
      </c>
      <c r="H36" s="61">
        <f t="shared" si="12"/>
        <v>-285638</v>
      </c>
      <c r="I36" s="39">
        <f t="shared" si="12"/>
        <v>504820.14</v>
      </c>
      <c r="J36" s="61">
        <f t="shared" si="12"/>
        <v>-202944</v>
      </c>
      <c r="K36" s="39">
        <f t="shared" si="12"/>
        <v>-488201.49200000003</v>
      </c>
      <c r="L36" s="61">
        <f t="shared" si="12"/>
        <v>1290660</v>
      </c>
      <c r="M36" s="39">
        <f t="shared" si="12"/>
        <v>656584.68400000012</v>
      </c>
      <c r="N36" s="61">
        <f t="shared" si="12"/>
        <v>66348</v>
      </c>
      <c r="O36" s="39">
        <f t="shared" si="12"/>
        <v>357244.79899999994</v>
      </c>
      <c r="P36" s="61">
        <f t="shared" si="12"/>
        <v>1127</v>
      </c>
      <c r="Q36" s="39">
        <f t="shared" si="12"/>
        <v>1216980.426</v>
      </c>
      <c r="R36" s="61">
        <f t="shared" si="12"/>
        <v>32285</v>
      </c>
      <c r="S36" s="39">
        <f t="shared" si="12"/>
        <v>-100467.81799999997</v>
      </c>
      <c r="T36" s="61">
        <f t="shared" si="12"/>
        <v>-625</v>
      </c>
      <c r="U36" s="39">
        <f t="shared" si="12"/>
        <v>-43721.618999999999</v>
      </c>
      <c r="V36" s="61">
        <f t="shared" si="12"/>
        <v>676</v>
      </c>
      <c r="W36" s="39">
        <f t="shared" si="12"/>
        <v>1591.98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-55211</v>
      </c>
      <c r="AA36" s="39">
        <f t="shared" si="13"/>
        <v>-130021.905</v>
      </c>
      <c r="AB36" s="61">
        <f t="shared" si="13"/>
        <v>74817</v>
      </c>
      <c r="AC36" s="39">
        <f t="shared" si="13"/>
        <v>176194.035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997496</v>
      </c>
      <c r="E39" s="38">
        <f t="shared" si="15"/>
        <v>2344115.6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499972</v>
      </c>
      <c r="I39" s="38">
        <f>'EAST-EGM-GL'!I39+'EAST-LRC-GL'!I39</f>
        <v>1299894.75</v>
      </c>
      <c r="J39" s="60">
        <f>'EAST-EGM-GL'!J39+'EAST-LRC-GL'!J39</f>
        <v>997496</v>
      </c>
      <c r="K39" s="38">
        <f>'EAST-EGM-GL'!K39+'EAST-LRC-GL'!K39</f>
        <v>2344115.6</v>
      </c>
      <c r="L39" s="60">
        <f>'EAST-EGM-GL'!L39+'EAST-LRC-GL'!L39</f>
        <v>-499972</v>
      </c>
      <c r="M39" s="38">
        <f>'EAST-EGM-GL'!M39+'EAST-LRC-GL'!M39</f>
        <v>-1299894.75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  <c r="AF39" s="60">
        <f>'EAST-EGM-GL'!AH39+'EAST-LRC-GL'!AH39</f>
        <v>0</v>
      </c>
      <c r="AG39" s="38">
        <f>'EAST-EGM-GL'!AI39+'EAST-LRC-GL'!AI39</f>
        <v>0</v>
      </c>
      <c r="AH39" s="60">
        <f>'EAST-EGM-GL'!AL39+'EAST-LRC-GL'!AL39</f>
        <v>0</v>
      </c>
      <c r="AI39" s="38">
        <f>'EAST-EGM-GL'!AM39+'EAST-LRC-GL'!AM39</f>
        <v>0</v>
      </c>
      <c r="AJ39" s="60">
        <f>'EAST-EGM-GL'!AP39+'EAST-LRC-GL'!AP39</f>
        <v>0</v>
      </c>
      <c r="AK39" s="38">
        <f>'EAST-EGM-GL'!AQ39+'EAST-LRC-GL'!AQ39</f>
        <v>0</v>
      </c>
      <c r="AL39" s="60">
        <f>'EAST-EGM-GL'!AR39+'EAST-LRC-GL'!AR39</f>
        <v>0</v>
      </c>
      <c r="AM39" s="38">
        <f>'EAST-EGM-GL'!AS39+'EAST-LRC-GL'!AS39</f>
        <v>0</v>
      </c>
      <c r="AN39" s="60">
        <f>'EAST-EGM-GL'!AT39+'EAST-LRC-GL'!AT39</f>
        <v>0</v>
      </c>
      <c r="AO39" s="38">
        <f>'EAST-EGM-GL'!AU39+'EAST-LRC-GL'!AU39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-596064</v>
      </c>
      <c r="E40" s="38">
        <f t="shared" si="15"/>
        <v>-1400750.4000000001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-596031</v>
      </c>
      <c r="K40" s="38">
        <f>'EAST-EGM-GL'!K40+'EAST-LRC-GL'!K40</f>
        <v>-1400672.85</v>
      </c>
      <c r="L40" s="60">
        <f>'EAST-EGM-GL'!L40+'EAST-LRC-GL'!L40</f>
        <v>0</v>
      </c>
      <c r="M40" s="38">
        <f>'EAST-EGM-GL'!M40+'EAST-LRC-GL'!M40</f>
        <v>0</v>
      </c>
      <c r="N40" s="60">
        <f>'EAST-EGM-GL'!N40+'EAST-LRC-GL'!N40</f>
        <v>0</v>
      </c>
      <c r="O40" s="38">
        <f>'EAST-EGM-GL'!O40+'EAST-LRC-GL'!O40</f>
        <v>0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0</v>
      </c>
      <c r="S40" s="38">
        <f>'EAST-EGM-GL'!S40+'EAST-LRC-GL'!S40</f>
        <v>0</v>
      </c>
      <c r="T40" s="60">
        <f>'EAST-EGM-GL'!T40+'EAST-LRC-GL'!T40</f>
        <v>-33</v>
      </c>
      <c r="U40" s="38">
        <f>'EAST-EGM-GL'!U40+'EAST-LRC-GL'!U40</f>
        <v>-77.55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  <c r="AF40" s="60">
        <f>'EAST-EGM-GL'!AH40+'EAST-LRC-GL'!AH40</f>
        <v>0</v>
      </c>
      <c r="AG40" s="38">
        <f>'EAST-EGM-GL'!AI40+'EAST-LRC-GL'!AI40</f>
        <v>0</v>
      </c>
      <c r="AH40" s="60">
        <f>'EAST-EGM-GL'!AL40+'EAST-LRC-GL'!AL40</f>
        <v>0</v>
      </c>
      <c r="AI40" s="38">
        <f>'EAST-EGM-GL'!AM40+'EAST-LRC-GL'!AM40</f>
        <v>0</v>
      </c>
      <c r="AJ40" s="60">
        <f>'EAST-EGM-GL'!AP40+'EAST-LRC-GL'!AP40</f>
        <v>0</v>
      </c>
      <c r="AK40" s="38">
        <f>'EAST-EGM-GL'!AQ40+'EAST-LRC-GL'!AQ40</f>
        <v>0</v>
      </c>
      <c r="AL40" s="60">
        <f>'EAST-EGM-GL'!AR40+'EAST-LRC-GL'!AR40</f>
        <v>0</v>
      </c>
      <c r="AM40" s="38">
        <f>'EAST-EGM-GL'!AS40+'EAST-LRC-GL'!AS40</f>
        <v>0</v>
      </c>
      <c r="AN40" s="60">
        <f>'EAST-EGM-GL'!AT40+'EAST-LRC-GL'!AT40</f>
        <v>0</v>
      </c>
      <c r="AO40" s="38">
        <f>'EAST-EGM-GL'!AU40+'EAST-LRC-GL'!AU40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  <c r="AF41" s="60">
        <f>'EAST-EGM-GL'!AH41+'EAST-LRC-GL'!AH41</f>
        <v>0</v>
      </c>
      <c r="AG41" s="38">
        <f>'EAST-EGM-GL'!AI41+'EAST-LRC-GL'!AI41</f>
        <v>0</v>
      </c>
      <c r="AH41" s="60">
        <f>'EAST-EGM-GL'!AL41+'EAST-LRC-GL'!AL41</f>
        <v>0</v>
      </c>
      <c r="AI41" s="38">
        <f>'EAST-EGM-GL'!AM41+'EAST-LRC-GL'!AM41</f>
        <v>0</v>
      </c>
      <c r="AJ41" s="60">
        <f>'EAST-EGM-GL'!AP41+'EAST-LRC-GL'!AP41</f>
        <v>0</v>
      </c>
      <c r="AK41" s="38">
        <f>'EAST-EGM-GL'!AQ41+'EAST-LRC-GL'!AQ41</f>
        <v>0</v>
      </c>
      <c r="AL41" s="60">
        <f>'EAST-EGM-GL'!AR41+'EAST-LRC-GL'!AR41</f>
        <v>0</v>
      </c>
      <c r="AM41" s="38">
        <f>'EAST-EGM-GL'!AS41+'EAST-LRC-GL'!AS41</f>
        <v>0</v>
      </c>
      <c r="AN41" s="60">
        <f>'EAST-EGM-GL'!AT41+'EAST-LRC-GL'!AT41</f>
        <v>0</v>
      </c>
      <c r="AO41" s="38">
        <f>'EAST-EGM-GL'!AU41+'EAST-LRC-GL'!AU41</f>
        <v>0</v>
      </c>
    </row>
    <row r="42" spans="1:41" x14ac:dyDescent="0.2">
      <c r="A42" s="9"/>
      <c r="B42" s="7"/>
      <c r="C42" s="53" t="s">
        <v>50</v>
      </c>
      <c r="D42" s="61">
        <f>SUM(D40:D41)</f>
        <v>-596064</v>
      </c>
      <c r="E42" s="39">
        <f>SUM(E40:E41)</f>
        <v>-1400750.4000000001</v>
      </c>
      <c r="F42" s="61">
        <f t="shared" ref="F42:Y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-596031</v>
      </c>
      <c r="K42" s="39">
        <f t="shared" si="16"/>
        <v>-1400672.85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-33</v>
      </c>
      <c r="U42" s="39">
        <f t="shared" si="16"/>
        <v>-77.55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>D42+D39</f>
        <v>401432</v>
      </c>
      <c r="E43" s="39">
        <f>E42+E39</f>
        <v>943365.2</v>
      </c>
      <c r="F43" s="61">
        <f t="shared" ref="F43:Y43" si="19">F42+F39</f>
        <v>0</v>
      </c>
      <c r="G43" s="39">
        <f t="shared" si="19"/>
        <v>0</v>
      </c>
      <c r="H43" s="61">
        <f t="shared" si="19"/>
        <v>499972</v>
      </c>
      <c r="I43" s="39">
        <f t="shared" si="19"/>
        <v>1299894.75</v>
      </c>
      <c r="J43" s="61">
        <f t="shared" si="19"/>
        <v>401465</v>
      </c>
      <c r="K43" s="39">
        <f t="shared" si="19"/>
        <v>943442.75</v>
      </c>
      <c r="L43" s="61">
        <f t="shared" si="19"/>
        <v>-499972</v>
      </c>
      <c r="M43" s="39">
        <f t="shared" si="19"/>
        <v>-1299894.75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-33</v>
      </c>
      <c r="U43" s="39">
        <f t="shared" si="19"/>
        <v>-77.55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20900</v>
      </c>
      <c r="E45" s="38">
        <f>SUM(G45,I45,K45,M45,O45,Q45,S45,U45,W45,Y45,AA45,AC45,AE45,AG45,AI45,AK45,AM45,AO45)</f>
        <v>35728.140000000014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20900</v>
      </c>
      <c r="K45" s="38">
        <f>'EAST-EGM-GL'!K45+'EAST-LRC-GL'!K45</f>
        <v>40337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82301</v>
      </c>
      <c r="S45" s="38">
        <f>'EAST-EGM-GL'!S45+'EAST-LRC-GL'!S45</f>
        <v>136074.79</v>
      </c>
      <c r="T45" s="60">
        <f>'EAST-EGM-GL'!T45+'EAST-LRC-GL'!T45</f>
        <v>-82301</v>
      </c>
      <c r="U45" s="38">
        <f>'EAST-EGM-GL'!U45+'EAST-LRC-GL'!U45</f>
        <v>-140685.32999999999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0.84</v>
      </c>
      <c r="AB45" s="60">
        <f>'EAST-EGM-GL'!AB45+'EAST-LRC-GL'!AB45</f>
        <v>0</v>
      </c>
      <c r="AC45" s="38">
        <f>'EAST-EGM-GL'!AC45+'EAST-LRC-GL'!AC45</f>
        <v>0.84</v>
      </c>
      <c r="AD45" s="60">
        <f>'EAST-EGM-GL'!AD45+'EAST-LRC-GL'!AD45</f>
        <v>0</v>
      </c>
      <c r="AE45" s="38">
        <f>'EAST-EGM-GL'!AE45+'EAST-LRC-GL'!AE45</f>
        <v>0</v>
      </c>
      <c r="AF45" s="60">
        <f>'EAST-EGM-GL'!AH45+'EAST-LRC-GL'!AH45</f>
        <v>0</v>
      </c>
      <c r="AG45" s="38">
        <f>'EAST-EGM-GL'!AI45+'EAST-LRC-GL'!AI45</f>
        <v>0</v>
      </c>
      <c r="AH45" s="60">
        <f>'EAST-EGM-GL'!AL45+'EAST-LRC-GL'!AL45</f>
        <v>0</v>
      </c>
      <c r="AI45" s="38">
        <f>'EAST-EGM-GL'!AM45+'EAST-LRC-GL'!AM45</f>
        <v>0</v>
      </c>
      <c r="AJ45" s="60">
        <f>'EAST-EGM-GL'!AP45+'EAST-LRC-GL'!AP45</f>
        <v>0</v>
      </c>
      <c r="AK45" s="38">
        <f>'EAST-EGM-GL'!AQ45+'EAST-LRC-GL'!AQ45</f>
        <v>0</v>
      </c>
      <c r="AL45" s="60">
        <f>'EAST-EGM-GL'!AR45+'EAST-LRC-GL'!AR45</f>
        <v>0</v>
      </c>
      <c r="AM45" s="38">
        <f>'EAST-EGM-GL'!AS45+'EAST-LRC-GL'!AS45</f>
        <v>0</v>
      </c>
      <c r="AN45" s="60">
        <f>'EAST-EGM-GL'!AT45+'EAST-LRC-GL'!AT45</f>
        <v>0</v>
      </c>
      <c r="AO45" s="38">
        <f>'EAST-EGM-GL'!AU45+'EAST-LRC-GL'!AU45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89334</v>
      </c>
      <c r="K47" s="38">
        <f>'EAST-EGM-GL'!K47+'EAST-LRC-GL'!K47</f>
        <v>209934.9</v>
      </c>
      <c r="L47" s="60">
        <f>'EAST-EGM-GL'!L47+'EAST-LRC-GL'!L47</f>
        <v>-89334</v>
      </c>
      <c r="M47" s="38">
        <f>'EAST-EGM-GL'!M47+'EAST-LRC-GL'!M47</f>
        <v>-209934.9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  <c r="AF47" s="60">
        <f>'EAST-EGM-GL'!AH47+'EAST-LRC-GL'!AH47</f>
        <v>0</v>
      </c>
      <c r="AG47" s="38">
        <f>'EAST-EGM-GL'!AI47+'EAST-LRC-GL'!AI47</f>
        <v>0</v>
      </c>
      <c r="AH47" s="60">
        <f>'EAST-EGM-GL'!AL47+'EAST-LRC-GL'!AL47</f>
        <v>0</v>
      </c>
      <c r="AI47" s="38">
        <f>'EAST-EGM-GL'!AM47+'EAST-LRC-GL'!AM47</f>
        <v>0</v>
      </c>
      <c r="AJ47" s="60">
        <f>'EAST-EGM-GL'!AP47+'EAST-LRC-GL'!AP47</f>
        <v>0</v>
      </c>
      <c r="AK47" s="38">
        <f>'EAST-EGM-GL'!AQ47+'EAST-LRC-GL'!AQ47</f>
        <v>0</v>
      </c>
      <c r="AL47" s="60">
        <f>'EAST-EGM-GL'!AR47+'EAST-LRC-GL'!AR47</f>
        <v>0</v>
      </c>
      <c r="AM47" s="38">
        <f>'EAST-EGM-GL'!AS47+'EAST-LRC-GL'!AS47</f>
        <v>0</v>
      </c>
      <c r="AN47" s="60">
        <f>'EAST-EGM-GL'!AT47+'EAST-LRC-GL'!AT47</f>
        <v>0</v>
      </c>
      <c r="AO47" s="38">
        <f>'EAST-EGM-GL'!AU47+'EAST-LRC-GL'!AU47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860377</v>
      </c>
      <c r="E49" s="38">
        <f t="shared" si="22"/>
        <v>2026187.8299999991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7394971</v>
      </c>
      <c r="I49" s="38">
        <f>'EAST-EGM-GL'!I49+'EAST-LRC-GL'!I49</f>
        <v>17415156.704999998</v>
      </c>
      <c r="J49" s="60">
        <f>'EAST-EGM-GL'!J49+'EAST-LRC-GL'!J49</f>
        <v>1135251</v>
      </c>
      <c r="K49" s="38">
        <f>'EAST-EGM-GL'!K49+'EAST-LRC-GL'!K49</f>
        <v>2673516.1</v>
      </c>
      <c r="L49" s="60">
        <f>'EAST-EGM-GL'!L49+'EAST-LRC-GL'!L49</f>
        <v>-591451</v>
      </c>
      <c r="M49" s="38">
        <f>'EAST-EGM-GL'!M49+'EAST-LRC-GL'!M49</f>
        <v>-1392867.105</v>
      </c>
      <c r="N49" s="60">
        <f>'EAST-EGM-GL'!N49+'EAST-LRC-GL'!N49</f>
        <v>-317199</v>
      </c>
      <c r="O49" s="38">
        <f>'EAST-EGM-GL'!O49+'EAST-LRC-GL'!O49</f>
        <v>-747003.64500000014</v>
      </c>
      <c r="P49" s="60">
        <f>'EAST-EGM-GL'!P49+'EAST-LRC-GL'!P49</f>
        <v>-57734</v>
      </c>
      <c r="Q49" s="38">
        <f>'EAST-EGM-GL'!Q49+'EAST-LRC-GL'!Q49</f>
        <v>-135963.57</v>
      </c>
      <c r="R49" s="60">
        <f>'EAST-EGM-GL'!R49+'EAST-LRC-GL'!R49</f>
        <v>-6356134</v>
      </c>
      <c r="S49" s="38">
        <f>'EAST-EGM-GL'!S49+'EAST-LRC-GL'!S49</f>
        <v>-14968695.57</v>
      </c>
      <c r="T49" s="60">
        <f>'EAST-EGM-GL'!T49+'EAST-LRC-GL'!T49</f>
        <v>-214207</v>
      </c>
      <c r="U49" s="38">
        <f>'EAST-EGM-GL'!U49+'EAST-LRC-GL'!U49</f>
        <v>-504457.48499999999</v>
      </c>
      <c r="V49" s="60">
        <f>'EAST-EGM-GL'!V49+'EAST-LRC-GL'!V49</f>
        <v>-77949</v>
      </c>
      <c r="W49" s="38">
        <f>'EAST-EGM-GL'!W49+'EAST-LRC-GL'!W49</f>
        <v>-183569.89500000002</v>
      </c>
      <c r="X49" s="60">
        <f>'EAST-EGM-GL'!X49+'EAST-LRC-GL'!X49</f>
        <v>59998</v>
      </c>
      <c r="Y49" s="38">
        <f>'EAST-EGM-GL'!Y49+'EAST-LRC-GL'!Y49</f>
        <v>141295.29</v>
      </c>
      <c r="Z49" s="60">
        <f>'EAST-EGM-GL'!Z49+'EAST-LRC-GL'!Z49</f>
        <v>52851</v>
      </c>
      <c r="AA49" s="38">
        <f>'EAST-EGM-GL'!AA49+'EAST-LRC-GL'!AA49</f>
        <v>124464.105</v>
      </c>
      <c r="AB49" s="60">
        <f>'EAST-EGM-GL'!AB49+'EAST-LRC-GL'!AB49</f>
        <v>-164893</v>
      </c>
      <c r="AC49" s="38">
        <f>'EAST-EGM-GL'!AC49+'EAST-LRC-GL'!AC49</f>
        <v>-388323.01500000001</v>
      </c>
      <c r="AD49" s="60">
        <f>'EAST-EGM-GL'!AD49+'EAST-LRC-GL'!AD49</f>
        <v>-3127</v>
      </c>
      <c r="AE49" s="38">
        <f>'EAST-EGM-GL'!AE49+'EAST-LRC-GL'!AE49</f>
        <v>-7364.085</v>
      </c>
      <c r="AF49" s="60">
        <f>'EAST-EGM-GL'!AH49+'EAST-LRC-GL'!AH49</f>
        <v>0</v>
      </c>
      <c r="AG49" s="38">
        <f>'EAST-EGM-GL'!AI49+'EAST-LRC-GL'!AI49</f>
        <v>0</v>
      </c>
      <c r="AH49" s="60">
        <f>'EAST-EGM-GL'!AL49+'EAST-LRC-GL'!AL49</f>
        <v>0</v>
      </c>
      <c r="AI49" s="38">
        <f>'EAST-EGM-GL'!AM49+'EAST-LRC-GL'!AM49</f>
        <v>0</v>
      </c>
      <c r="AJ49" s="60">
        <f>'EAST-EGM-GL'!AP49+'EAST-LRC-GL'!AP49</f>
        <v>0</v>
      </c>
      <c r="AK49" s="38">
        <f>'EAST-EGM-GL'!AQ49+'EAST-LRC-GL'!AQ49</f>
        <v>0</v>
      </c>
      <c r="AL49" s="60">
        <f>'EAST-EGM-GL'!AR49+'EAST-LRC-GL'!AR49</f>
        <v>0</v>
      </c>
      <c r="AM49" s="38">
        <f>'EAST-EGM-GL'!AS49+'EAST-LRC-GL'!AS49</f>
        <v>0</v>
      </c>
      <c r="AN49" s="60">
        <f>'EAST-EGM-GL'!AT49+'EAST-LRC-GL'!AT49</f>
        <v>0</v>
      </c>
      <c r="AO49" s="38">
        <f>'EAST-EGM-GL'!AU49+'EAST-LRC-GL'!AU49</f>
        <v>0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-435454</v>
      </c>
      <c r="E51" s="38">
        <f t="shared" si="22"/>
        <v>-816802.66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-303533</v>
      </c>
      <c r="I51" s="38">
        <f>'EAST-EGM-GL'!I51+'EAST-LRC-GL'!I51</f>
        <v>-714820.22</v>
      </c>
      <c r="J51" s="60">
        <f>'EAST-EGM-GL'!J51+'EAST-LRC-GL'!J51</f>
        <v>-35925</v>
      </c>
      <c r="K51" s="38">
        <f>'EAST-EGM-GL'!K51+'EAST-LRC-GL'!K51</f>
        <v>-80747.864999999991</v>
      </c>
      <c r="L51" s="60">
        <f>'EAST-EGM-GL'!L51+'EAST-LRC-GL'!L51</f>
        <v>-8799</v>
      </c>
      <c r="M51" s="38">
        <f>'EAST-EGM-GL'!M51+'EAST-LRC-GL'!M51</f>
        <v>-20721.645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0</v>
      </c>
      <c r="R51" s="60">
        <f>'EAST-EGM-GL'!R51+'EAST-LRC-GL'!R51</f>
        <v>-87197</v>
      </c>
      <c r="S51" s="38">
        <f>'EAST-EGM-GL'!S51+'EAST-LRC-GL'!S51</f>
        <v>-436.93</v>
      </c>
      <c r="T51" s="60">
        <f>'EAST-EGM-GL'!T51+'EAST-LRC-GL'!T51</f>
        <v>0</v>
      </c>
      <c r="U51" s="38">
        <f>'EAST-EGM-GL'!U51+'EAST-LRC-GL'!U51</f>
        <v>-76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  <c r="AF51" s="60">
        <f>'EAST-EGM-GL'!AH51+'EAST-LRC-GL'!AH51</f>
        <v>0</v>
      </c>
      <c r="AG51" s="38">
        <f>'EAST-EGM-GL'!AI51+'EAST-LRC-GL'!AI51</f>
        <v>0</v>
      </c>
      <c r="AH51" s="60">
        <f>'EAST-EGM-GL'!AL51+'EAST-LRC-GL'!AL51</f>
        <v>0</v>
      </c>
      <c r="AI51" s="38">
        <f>'EAST-EGM-GL'!AM51+'EAST-LRC-GL'!AM51</f>
        <v>0</v>
      </c>
      <c r="AJ51" s="60">
        <f>'EAST-EGM-GL'!AP51+'EAST-LRC-GL'!AP51</f>
        <v>0</v>
      </c>
      <c r="AK51" s="38">
        <f>'EAST-EGM-GL'!AQ51+'EAST-LRC-GL'!AQ51</f>
        <v>0</v>
      </c>
      <c r="AL51" s="60">
        <f>'EAST-EGM-GL'!AR51+'EAST-LRC-GL'!AR51</f>
        <v>0</v>
      </c>
      <c r="AM51" s="38">
        <f>'EAST-EGM-GL'!AS51+'EAST-LRC-GL'!AS51</f>
        <v>0</v>
      </c>
      <c r="AN51" s="60">
        <f>'EAST-EGM-GL'!AT51+'EAST-LRC-GL'!AT51</f>
        <v>0</v>
      </c>
      <c r="AO51" s="38">
        <f>'EAST-EGM-GL'!AU51+'EAST-LRC-GL'!AU51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-27591023</v>
      </c>
      <c r="E54" s="38">
        <f>SUM(G54,I54,K54,M54,O54,Q54,S54,U54,W54,Y54,AA54,AC54,AE54,AG54,AI54,AK54,AM54,AO54)</f>
        <v>-506377.36000000004</v>
      </c>
      <c r="F54" s="64">
        <f>('TIE-OUT'!J54+'TIE-OUT'!H54)+(RECLASS!J54+RECLASS!H54)</f>
        <v>0</v>
      </c>
      <c r="G54" s="68">
        <f>('TIE-OUT'!K54+'TIE-OUT'!I54)+(RECLASS!K54+RECLASS!I54)</f>
        <v>0</v>
      </c>
      <c r="H54" s="60">
        <f>'EAST-EGM-GL'!H54+'EAST-LRC-GL'!H54</f>
        <v>-26801603</v>
      </c>
      <c r="I54" s="38">
        <f>'EAST-EGM-GL'!I54+'EAST-LRC-GL'!I54</f>
        <v>-593534.88</v>
      </c>
      <c r="J54" s="60">
        <f>'EAST-EGM-GL'!J54+'EAST-LRC-GL'!J54</f>
        <v>-2259004</v>
      </c>
      <c r="K54" s="38">
        <f>'EAST-EGM-GL'!K54+'EAST-LRC-GL'!K54</f>
        <v>-127170.05</v>
      </c>
      <c r="L54" s="60">
        <f>'EAST-EGM-GL'!L54+'EAST-LRC-GL'!L54</f>
        <v>1518915</v>
      </c>
      <c r="M54" s="38">
        <f>'EAST-EGM-GL'!M54+'EAST-LRC-GL'!M54</f>
        <v>15225.4</v>
      </c>
      <c r="N54" s="60">
        <f>'EAST-EGM-GL'!N54+'EAST-LRC-GL'!N54</f>
        <v>-37788</v>
      </c>
      <c r="O54" s="38">
        <f>'EAST-EGM-GL'!O54+'EAST-LRC-GL'!O54</f>
        <v>-462.36</v>
      </c>
      <c r="P54" s="60">
        <f>'EAST-EGM-GL'!P54+'EAST-LRC-GL'!P54</f>
        <v>-99</v>
      </c>
      <c r="Q54" s="38">
        <f>'EAST-EGM-GL'!Q54+'EAST-LRC-GL'!Q54</f>
        <v>-2.15</v>
      </c>
      <c r="R54" s="60">
        <f>'EAST-EGM-GL'!R54+'EAST-LRC-GL'!R54</f>
        <v>0</v>
      </c>
      <c r="S54" s="38">
        <f>'EAST-EGM-GL'!S54+'EAST-LRC-GL'!S54</f>
        <v>0</v>
      </c>
      <c r="T54" s="60">
        <f>'EAST-EGM-GL'!T54+'EAST-LRC-GL'!T54</f>
        <v>0</v>
      </c>
      <c r="U54" s="38">
        <f>'EAST-EGM-GL'!U54+'EAST-LRC-GL'!U54</f>
        <v>0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99955</v>
      </c>
      <c r="Z54" s="60">
        <f>'EAST-EGM-GL'!Z54+'EAST-LRC-GL'!Z54</f>
        <v>0</v>
      </c>
      <c r="AA54" s="38">
        <f>'EAST-EGM-GL'!AA54+'EAST-LRC-GL'!AA54</f>
        <v>99955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-11444</v>
      </c>
      <c r="AE54" s="38">
        <f>'EAST-EGM-GL'!AE54+'EAST-LRC-GL'!AE54</f>
        <v>-343.32</v>
      </c>
      <c r="AF54" s="60">
        <f>'EAST-EGM-GL'!AH54+'EAST-LRC-GL'!AH54</f>
        <v>0</v>
      </c>
      <c r="AG54" s="38">
        <f>'EAST-EGM-GL'!AI54+'EAST-LRC-GL'!AI54</f>
        <v>0</v>
      </c>
      <c r="AH54" s="60">
        <f>'EAST-EGM-GL'!AL54+'EAST-LRC-GL'!AL54</f>
        <v>0</v>
      </c>
      <c r="AI54" s="38">
        <f>'EAST-EGM-GL'!AM54+'EAST-LRC-GL'!AM54</f>
        <v>0</v>
      </c>
      <c r="AJ54" s="60">
        <f>'EAST-EGM-GL'!AP54+'EAST-LRC-GL'!AP54</f>
        <v>0</v>
      </c>
      <c r="AK54" s="38">
        <f>'EAST-EGM-GL'!AQ54+'EAST-LRC-GL'!AQ54</f>
        <v>0</v>
      </c>
      <c r="AL54" s="60">
        <f>'EAST-EGM-GL'!AR54+'EAST-LRC-GL'!AR54</f>
        <v>0</v>
      </c>
      <c r="AM54" s="38">
        <f>'EAST-EGM-GL'!AS54+'EAST-LRC-GL'!AS54</f>
        <v>0</v>
      </c>
      <c r="AN54" s="60">
        <f>'EAST-EGM-GL'!AT54+'EAST-LRC-GL'!AT54</f>
        <v>0</v>
      </c>
      <c r="AO54" s="38">
        <f>'EAST-EGM-GL'!AU54+'EAST-LRC-GL'!AU54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-2640939.2300000004</v>
      </c>
      <c r="F55" s="81">
        <f>('TIE-OUT'!J55+'TIE-OUT'!H55)+(RECLASS!J55+RECLASS!H55)</f>
        <v>0</v>
      </c>
      <c r="G55" s="82">
        <f>('TIE-OUT'!K55+'TIE-OUT'!I55)+(RECLASS!K55+RECLASS!I55)</f>
        <v>643108.63</v>
      </c>
      <c r="H55" s="60">
        <f>'EAST-EGM-GL'!H55+'EAST-LRC-GL'!H55</f>
        <v>0</v>
      </c>
      <c r="I55" s="38">
        <f>'EAST-EGM-GL'!I55+'EAST-LRC-GL'!I55</f>
        <v>-3499026.12</v>
      </c>
      <c r="J55" s="60">
        <f>'EAST-EGM-GL'!J55+'EAST-LRC-GL'!J55</f>
        <v>0</v>
      </c>
      <c r="K55" s="38">
        <f>'EAST-EGM-GL'!K55+'EAST-LRC-GL'!K55</f>
        <v>208173.31</v>
      </c>
      <c r="L55" s="60">
        <f>'EAST-EGM-GL'!L55+'EAST-LRC-GL'!L55</f>
        <v>0</v>
      </c>
      <c r="M55" s="38">
        <f>'EAST-EGM-GL'!M55+'EAST-LRC-GL'!M55</f>
        <v>-4606.45</v>
      </c>
      <c r="N55" s="60">
        <f>'EAST-EGM-GL'!N55+'EAST-LRC-GL'!N55</f>
        <v>0</v>
      </c>
      <c r="O55" s="38">
        <f>'EAST-EGM-GL'!O55+'EAST-LRC-GL'!O55</f>
        <v>0</v>
      </c>
      <c r="P55" s="60">
        <f>'EAST-EGM-GL'!P55+'EAST-LRC-GL'!P55</f>
        <v>0</v>
      </c>
      <c r="Q55" s="38">
        <f>'EAST-EGM-GL'!Q55+'EAST-LRC-GL'!Q55</f>
        <v>11411.4</v>
      </c>
      <c r="R55" s="60">
        <f>'EAST-EGM-GL'!R55+'EAST-LRC-GL'!R55</f>
        <v>0</v>
      </c>
      <c r="S55" s="38">
        <f>'EAST-EGM-GL'!S55+'EAST-LRC-GL'!S55</f>
        <v>0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  <c r="AF55" s="60">
        <f>'EAST-EGM-GL'!AH55+'EAST-LRC-GL'!AH55</f>
        <v>0</v>
      </c>
      <c r="AG55" s="38">
        <f>'EAST-EGM-GL'!AI55+'EAST-LRC-GL'!AI55</f>
        <v>0</v>
      </c>
      <c r="AH55" s="60">
        <f>'EAST-EGM-GL'!AL55+'EAST-LRC-GL'!AL55</f>
        <v>0</v>
      </c>
      <c r="AI55" s="38">
        <f>'EAST-EGM-GL'!AM55+'EAST-LRC-GL'!AM55</f>
        <v>0</v>
      </c>
      <c r="AJ55" s="60">
        <f>'EAST-EGM-GL'!AP55+'EAST-LRC-GL'!AP55</f>
        <v>0</v>
      </c>
      <c r="AK55" s="38">
        <f>'EAST-EGM-GL'!AQ55+'EAST-LRC-GL'!AQ55</f>
        <v>0</v>
      </c>
      <c r="AL55" s="60">
        <f>'EAST-EGM-GL'!AR55+'EAST-LRC-GL'!AR55</f>
        <v>0</v>
      </c>
      <c r="AM55" s="38">
        <f>'EAST-EGM-GL'!AS55+'EAST-LRC-GL'!AS55</f>
        <v>0</v>
      </c>
      <c r="AN55" s="60">
        <f>'EAST-EGM-GL'!AT55+'EAST-LRC-GL'!AT55</f>
        <v>0</v>
      </c>
      <c r="AO55" s="38">
        <f>'EAST-EGM-GL'!AU55+'EAST-LRC-GL'!AU55</f>
        <v>0</v>
      </c>
    </row>
    <row r="56" spans="1:41" x14ac:dyDescent="0.2">
      <c r="A56" s="9"/>
      <c r="B56" s="7" t="s">
        <v>59</v>
      </c>
      <c r="C56" s="6"/>
      <c r="D56" s="61">
        <f>SUM(D54:D55)</f>
        <v>-27591023</v>
      </c>
      <c r="E56" s="39">
        <f>SUM(E54:E55)</f>
        <v>-3147316.5900000003</v>
      </c>
      <c r="F56" s="61">
        <f t="shared" ref="F56:Y56" si="23">SUM(F54:F55)</f>
        <v>0</v>
      </c>
      <c r="G56" s="39">
        <f t="shared" si="23"/>
        <v>643108.63</v>
      </c>
      <c r="H56" s="61">
        <f t="shared" si="23"/>
        <v>-26801603</v>
      </c>
      <c r="I56" s="39">
        <f t="shared" si="23"/>
        <v>-4092561</v>
      </c>
      <c r="J56" s="61">
        <f t="shared" si="23"/>
        <v>-2259004</v>
      </c>
      <c r="K56" s="39">
        <f t="shared" si="23"/>
        <v>81003.259999999995</v>
      </c>
      <c r="L56" s="61">
        <f t="shared" si="23"/>
        <v>1518915</v>
      </c>
      <c r="M56" s="39">
        <f t="shared" si="23"/>
        <v>10618.95</v>
      </c>
      <c r="N56" s="61">
        <f t="shared" si="23"/>
        <v>-37788</v>
      </c>
      <c r="O56" s="39">
        <f t="shared" si="23"/>
        <v>-462.36</v>
      </c>
      <c r="P56" s="61">
        <f t="shared" si="23"/>
        <v>-99</v>
      </c>
      <c r="Q56" s="39">
        <f t="shared" si="23"/>
        <v>11409.25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99955</v>
      </c>
      <c r="Z56" s="61">
        <f t="shared" ref="Z56:AE56" si="24">SUM(Z54:Z55)</f>
        <v>0</v>
      </c>
      <c r="AA56" s="39">
        <f t="shared" si="24"/>
        <v>99955</v>
      </c>
      <c r="AB56" s="61">
        <f t="shared" si="24"/>
        <v>0</v>
      </c>
      <c r="AC56" s="39">
        <f t="shared" si="24"/>
        <v>0</v>
      </c>
      <c r="AD56" s="61">
        <f t="shared" si="24"/>
        <v>-11444</v>
      </c>
      <c r="AE56" s="39">
        <f t="shared" si="24"/>
        <v>-343.32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3034645</v>
      </c>
      <c r="E59" s="38">
        <f>SUM(G59,I59,K59,M59,O59,Q59,S59,U59,W59,Y59,AA59,AC59,AE59,AG59,AI59,AK59,AM59,AO59)</f>
        <v>58367.839999999997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3021382</v>
      </c>
      <c r="I59" s="38">
        <f>'EAST-EGM-GL'!I59+'EAST-LRC-GL'!I59</f>
        <v>107024.23</v>
      </c>
      <c r="J59" s="60">
        <f>'EAST-EGM-GL'!J59+'EAST-LRC-GL'!J59</f>
        <v>-57059</v>
      </c>
      <c r="K59" s="38">
        <f>'EAST-EGM-GL'!K59+'EAST-LRC-GL'!K59</f>
        <v>-3531.04</v>
      </c>
      <c r="L59" s="60">
        <f>'EAST-EGM-GL'!L59+'EAST-LRC-GL'!L59</f>
        <v>50296</v>
      </c>
      <c r="M59" s="38">
        <f>'EAST-EGM-GL'!M59+'EAST-LRC-GL'!M59</f>
        <v>0</v>
      </c>
      <c r="N59" s="60">
        <f>'EAST-EGM-GL'!N59+'EAST-LRC-GL'!N59</f>
        <v>3120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-20065.349999999999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625</v>
      </c>
      <c r="U59" s="38">
        <f>'EAST-EGM-GL'!U59+'EAST-LRC-GL'!U59</f>
        <v>-25060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16281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  <c r="AF59" s="60">
        <f>'EAST-EGM-GL'!AH59+'EAST-LRC-GL'!AH59</f>
        <v>0</v>
      </c>
      <c r="AG59" s="38">
        <f>'EAST-EGM-GL'!AI59+'EAST-LRC-GL'!AI59</f>
        <v>0</v>
      </c>
      <c r="AH59" s="60">
        <f>'EAST-EGM-GL'!AL59+'EAST-LRC-GL'!AL59</f>
        <v>0</v>
      </c>
      <c r="AI59" s="38">
        <f>'EAST-EGM-GL'!AM59+'EAST-LRC-GL'!AM59</f>
        <v>0</v>
      </c>
      <c r="AJ59" s="60">
        <f>'EAST-EGM-GL'!AP59+'EAST-LRC-GL'!AP59</f>
        <v>0</v>
      </c>
      <c r="AK59" s="38">
        <f>'EAST-EGM-GL'!AQ59+'EAST-LRC-GL'!AQ59</f>
        <v>0</v>
      </c>
      <c r="AL59" s="60">
        <f>'EAST-EGM-GL'!AR59+'EAST-LRC-GL'!AR59</f>
        <v>0</v>
      </c>
      <c r="AM59" s="38">
        <f>'EAST-EGM-GL'!AS59+'EAST-LRC-GL'!AS59</f>
        <v>0</v>
      </c>
      <c r="AN59" s="60">
        <f>'EAST-EGM-GL'!AT59+'EAST-LRC-GL'!AT59</f>
        <v>0</v>
      </c>
      <c r="AO59" s="38">
        <f>'EAST-EGM-GL'!AU59+'EAST-LRC-GL'!AU59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  <c r="AF60" s="60">
        <f>'EAST-EGM-GL'!AH60+'EAST-LRC-GL'!AH60</f>
        <v>0</v>
      </c>
      <c r="AG60" s="38">
        <f>'EAST-EGM-GL'!AI60+'EAST-LRC-GL'!AI60</f>
        <v>0</v>
      </c>
      <c r="AH60" s="60">
        <f>'EAST-EGM-GL'!AL60+'EAST-LRC-GL'!AL60</f>
        <v>0</v>
      </c>
      <c r="AI60" s="38">
        <f>'EAST-EGM-GL'!AM60+'EAST-LRC-GL'!AM60</f>
        <v>0</v>
      </c>
      <c r="AJ60" s="60">
        <f>'EAST-EGM-GL'!AP60+'EAST-LRC-GL'!AP60</f>
        <v>0</v>
      </c>
      <c r="AK60" s="38">
        <f>'EAST-EGM-GL'!AQ60+'EAST-LRC-GL'!AQ60</f>
        <v>0</v>
      </c>
      <c r="AL60" s="60">
        <f>'EAST-EGM-GL'!AR60+'EAST-LRC-GL'!AR60</f>
        <v>0</v>
      </c>
      <c r="AM60" s="38">
        <f>'EAST-EGM-GL'!AS60+'EAST-LRC-GL'!AS60</f>
        <v>0</v>
      </c>
      <c r="AN60" s="60">
        <f>'EAST-EGM-GL'!AT60+'EAST-LRC-GL'!AT60</f>
        <v>0</v>
      </c>
      <c r="AO60" s="38">
        <f>'EAST-EGM-GL'!AU60+'EAST-LRC-GL'!AU60</f>
        <v>0</v>
      </c>
    </row>
    <row r="61" spans="1:41" x14ac:dyDescent="0.2">
      <c r="A61" s="9"/>
      <c r="B61" s="62" t="s">
        <v>63</v>
      </c>
      <c r="C61" s="6"/>
      <c r="D61" s="61">
        <f>SUM(D59:D60)</f>
        <v>3034645</v>
      </c>
      <c r="E61" s="39">
        <f>SUM(E59:E60)</f>
        <v>58367.839999999997</v>
      </c>
      <c r="F61" s="61">
        <f t="shared" ref="F61:Y61" si="26">SUM(F59:F60)</f>
        <v>0</v>
      </c>
      <c r="G61" s="39">
        <f t="shared" si="26"/>
        <v>0</v>
      </c>
      <c r="H61" s="61">
        <f t="shared" si="26"/>
        <v>3021382</v>
      </c>
      <c r="I61" s="39">
        <f t="shared" si="26"/>
        <v>107024.23</v>
      </c>
      <c r="J61" s="61">
        <f t="shared" si="26"/>
        <v>-57059</v>
      </c>
      <c r="K61" s="39">
        <f t="shared" si="26"/>
        <v>-3531.04</v>
      </c>
      <c r="L61" s="61">
        <f t="shared" si="26"/>
        <v>50296</v>
      </c>
      <c r="M61" s="39">
        <f t="shared" si="26"/>
        <v>0</v>
      </c>
      <c r="N61" s="61">
        <f t="shared" si="26"/>
        <v>3120</v>
      </c>
      <c r="O61" s="39">
        <f t="shared" si="26"/>
        <v>0</v>
      </c>
      <c r="P61" s="61">
        <f t="shared" si="26"/>
        <v>0</v>
      </c>
      <c r="Q61" s="39">
        <f t="shared" si="26"/>
        <v>-20065.349999999999</v>
      </c>
      <c r="R61" s="61">
        <f t="shared" si="26"/>
        <v>0</v>
      </c>
      <c r="S61" s="39">
        <f t="shared" si="26"/>
        <v>0</v>
      </c>
      <c r="T61" s="61">
        <f t="shared" si="26"/>
        <v>625</v>
      </c>
      <c r="U61" s="39">
        <f t="shared" si="26"/>
        <v>-25060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16281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-22331183</v>
      </c>
      <c r="E64" s="38">
        <f>SUM(G64,I64,K64,M64,O64,Q64,S64,U64,W64,Y64,AA64,AC64,AE64,AG64,AI64,AK64,AM64,AO64)</f>
        <v>-2486539.7600000002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-14155711</v>
      </c>
      <c r="I64" s="38">
        <f>'EAST-EGM-GL'!I64+'EAST-LRC-GL'!I64</f>
        <v>-2252204.7000000002</v>
      </c>
      <c r="J64" s="60">
        <f>'EAST-EGM-GL'!J64+'EAST-LRC-GL'!J64</f>
        <v>-8175472</v>
      </c>
      <c r="K64" s="38">
        <f>'EAST-EGM-GL'!K64+'EAST-LRC-GL'!K64</f>
        <v>-234335.06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22362452</v>
      </c>
      <c r="E65" s="38">
        <f>SUM(G65,I65,K65,M65,O65,Q65,S65,U65,W65,Y65,AA65,AC65,AE65,AG65,AI65,AK65,AM65,AO65)</f>
        <v>2316539.7599999998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14146690</v>
      </c>
      <c r="I65" s="38">
        <f>'EAST-EGM-GL'!I65+'EAST-LRC-GL'!I65</f>
        <v>2251533.0099999998</v>
      </c>
      <c r="J65" s="60">
        <f>'EAST-EGM-GL'!J65+'EAST-LRC-GL'!J65</f>
        <v>8215762</v>
      </c>
      <c r="K65" s="38">
        <f>'EAST-EGM-GL'!K65+'EAST-LRC-GL'!K65</f>
        <v>65006.75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31269</v>
      </c>
      <c r="E66" s="39">
        <f>SUM(G66,I66,K66,M66,O66,Q66,S66,U66,W66,Y66,AA66,AC66,AE66,AG66,AI66)</f>
        <v>-170000.00000000041</v>
      </c>
      <c r="F66" s="61">
        <f t="shared" ref="F66:Y66" si="29">SUM(F64:F65)</f>
        <v>0</v>
      </c>
      <c r="G66" s="39">
        <f t="shared" si="29"/>
        <v>0</v>
      </c>
      <c r="H66" s="61">
        <f t="shared" si="29"/>
        <v>-9021</v>
      </c>
      <c r="I66" s="39">
        <f t="shared" si="29"/>
        <v>-671.69000000040978</v>
      </c>
      <c r="J66" s="61">
        <f t="shared" si="29"/>
        <v>40290</v>
      </c>
      <c r="K66" s="39">
        <f t="shared" si="29"/>
        <v>-169328.31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2978874.85</v>
      </c>
      <c r="F70" s="64">
        <f>('TIE-OUT'!J70+'TIE-OUT'!H70)+(RECLASS!J70+RECLASS!H70)</f>
        <v>0</v>
      </c>
      <c r="G70" s="68">
        <f>('TIE-OUT'!K70+'TIE-OUT'!I70)+(RECLASS!K70+RECLASS!I70)</f>
        <v>2978874.85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  <c r="AF70" s="60">
        <f>'EAST-EGM-GL'!AH70+'EAST-LRC-GL'!AH70</f>
        <v>0</v>
      </c>
      <c r="AG70" s="38">
        <f>'EAST-EGM-GL'!AI70+'EAST-LRC-GL'!AI70</f>
        <v>0</v>
      </c>
      <c r="AH70" s="60">
        <f>'EAST-EGM-GL'!AL70+'EAST-LRC-GL'!AL70</f>
        <v>0</v>
      </c>
      <c r="AI70" s="38">
        <f>'EAST-EGM-GL'!AM70+'EAST-LRC-GL'!AM70</f>
        <v>0</v>
      </c>
      <c r="AJ70" s="60">
        <f>'EAST-EGM-GL'!AP70+'EAST-LRC-GL'!AP70</f>
        <v>0</v>
      </c>
      <c r="AK70" s="38">
        <f>'EAST-EGM-GL'!AQ70+'EAST-LRC-GL'!AQ70</f>
        <v>0</v>
      </c>
      <c r="AL70" s="60">
        <f>'EAST-EGM-GL'!AR70+'EAST-LRC-GL'!AR70</f>
        <v>0</v>
      </c>
      <c r="AM70" s="38">
        <f>'EAST-EGM-GL'!AS70+'EAST-LRC-GL'!AS70</f>
        <v>0</v>
      </c>
      <c r="AN70" s="60">
        <f>'EAST-EGM-GL'!AT70+'EAST-LRC-GL'!AT70</f>
        <v>0</v>
      </c>
      <c r="AO70" s="38">
        <f>'EAST-EGM-GL'!AU70+'EAST-LRC-GL'!AU70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196194.06</v>
      </c>
      <c r="F71" s="81">
        <f>('TIE-OUT'!J71+'TIE-OUT'!H71)+(RECLASS!J71+RECLASS!H71)</f>
        <v>0</v>
      </c>
      <c r="G71" s="82">
        <f>('TIE-OUT'!K71+'TIE-OUT'!I71)+(RECLASS!K71+RECLASS!I71)</f>
        <v>196194.06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  <c r="AF71" s="60">
        <f>'EAST-EGM-GL'!AH71+'EAST-LRC-GL'!AH71</f>
        <v>0</v>
      </c>
      <c r="AG71" s="38">
        <f>'EAST-EGM-GL'!AI71+'EAST-LRC-GL'!AI71</f>
        <v>0</v>
      </c>
      <c r="AH71" s="60">
        <f>'EAST-EGM-GL'!AL71+'EAST-LRC-GL'!AL71</f>
        <v>0</v>
      </c>
      <c r="AI71" s="38">
        <f>'EAST-EGM-GL'!AM71+'EAST-LRC-GL'!AM71</f>
        <v>0</v>
      </c>
      <c r="AJ71" s="60">
        <f>'EAST-EGM-GL'!AP71+'EAST-LRC-GL'!AP71</f>
        <v>0</v>
      </c>
      <c r="AK71" s="38">
        <f>'EAST-EGM-GL'!AQ71+'EAST-LRC-GL'!AQ71</f>
        <v>0</v>
      </c>
      <c r="AL71" s="60">
        <f>'EAST-EGM-GL'!AR71+'EAST-LRC-GL'!AR71</f>
        <v>0</v>
      </c>
      <c r="AM71" s="38">
        <f>'EAST-EGM-GL'!AS71+'EAST-LRC-GL'!AS71</f>
        <v>0</v>
      </c>
      <c r="AN71" s="60">
        <f>'EAST-EGM-GL'!AT71+'EAST-LRC-GL'!AT71</f>
        <v>0</v>
      </c>
      <c r="AO71" s="38">
        <f>'EAST-EGM-GL'!AU71+'EAST-LRC-GL'!AU71</f>
        <v>0</v>
      </c>
    </row>
    <row r="72" spans="1:41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3175068.91</v>
      </c>
      <c r="F72" s="61">
        <f t="shared" ref="F72:Y72" si="32">SUM(F70:F71)</f>
        <v>0</v>
      </c>
      <c r="G72" s="39">
        <f t="shared" si="32"/>
        <v>3175068.91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  <c r="AF73" s="60">
        <f>'EAST-EGM-GL'!AH73+'EAST-LRC-GL'!AH73</f>
        <v>0</v>
      </c>
      <c r="AG73" s="38">
        <f>'EAST-EGM-GL'!AI73+'EAST-LRC-GL'!AI73</f>
        <v>0</v>
      </c>
      <c r="AH73" s="60">
        <f>'EAST-EGM-GL'!AL73+'EAST-LRC-GL'!AL73</f>
        <v>0</v>
      </c>
      <c r="AI73" s="38">
        <f>'EAST-EGM-GL'!AM73+'EAST-LRC-GL'!AM73</f>
        <v>0</v>
      </c>
      <c r="AJ73" s="60">
        <f>'EAST-EGM-GL'!AP73+'EAST-LRC-GL'!AP73</f>
        <v>0</v>
      </c>
      <c r="AK73" s="38">
        <f>'EAST-EGM-GL'!AQ73+'EAST-LRC-GL'!AQ73</f>
        <v>0</v>
      </c>
      <c r="AL73" s="60">
        <f>'EAST-EGM-GL'!AR73+'EAST-LRC-GL'!AR73</f>
        <v>0</v>
      </c>
      <c r="AM73" s="38">
        <f>'EAST-EGM-GL'!AS73+'EAST-LRC-GL'!AS73</f>
        <v>0</v>
      </c>
      <c r="AN73" s="60">
        <f>'EAST-EGM-GL'!AT73+'EAST-LRC-GL'!AT73</f>
        <v>0</v>
      </c>
      <c r="AO73" s="38">
        <f>'EAST-EGM-GL'!AU73+'EAST-LRC-GL'!AU73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-3062891.35</v>
      </c>
      <c r="F74" s="60">
        <f>('TIE-OUT'!J74+'TIE-OUT'!H74)+(RECLASS!J74+RECLASS!H74)</f>
        <v>0</v>
      </c>
      <c r="G74" s="60">
        <f>('TIE-OUT'!K74+'TIE-OUT'!I74)+(RECLASS!K74+RECLASS!I74)</f>
        <v>-2994798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-68093.350000000006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  <c r="AF74" s="60">
        <f>'EAST-EGM-GL'!AH74+'EAST-LRC-GL'!AH74</f>
        <v>0</v>
      </c>
      <c r="AG74" s="38">
        <f>'EAST-EGM-GL'!AI74+'EAST-LRC-GL'!AI74</f>
        <v>0</v>
      </c>
      <c r="AH74" s="60">
        <f>'EAST-EGM-GL'!AL74+'EAST-LRC-GL'!AL74</f>
        <v>0</v>
      </c>
      <c r="AI74" s="38">
        <f>'EAST-EGM-GL'!AM74+'EAST-LRC-GL'!AM74</f>
        <v>0</v>
      </c>
      <c r="AJ74" s="60">
        <f>'EAST-EGM-GL'!AP74+'EAST-LRC-GL'!AP74</f>
        <v>0</v>
      </c>
      <c r="AK74" s="38">
        <f>'EAST-EGM-GL'!AQ74+'EAST-LRC-GL'!AQ74</f>
        <v>0</v>
      </c>
      <c r="AL74" s="60">
        <f>'EAST-EGM-GL'!AR74+'EAST-LRC-GL'!AR74</f>
        <v>0</v>
      </c>
      <c r="AM74" s="38">
        <f>'EAST-EGM-GL'!AS74+'EAST-LRC-GL'!AS74</f>
        <v>0</v>
      </c>
      <c r="AN74" s="60">
        <f>'EAST-EGM-GL'!AT74+'EAST-LRC-GL'!AT74</f>
        <v>0</v>
      </c>
      <c r="AO74" s="38">
        <f>'EAST-EGM-GL'!AU74+'EAST-LRC-GL'!AU74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667700</v>
      </c>
      <c r="F75" s="60">
        <f>('TIE-OUT'!J75+'TIE-OUT'!H75)+(RECLASS!J75+RECLASS!H75)</f>
        <v>0</v>
      </c>
      <c r="G75" s="60">
        <f>('TIE-OUT'!K75+'TIE-OUT'!I75)+(RECLASS!K75+RECLASS!I75)</f>
        <v>667700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  <c r="AF75" s="60">
        <f>'EAST-EGM-GL'!AH75+'EAST-LRC-GL'!AH75</f>
        <v>0</v>
      </c>
      <c r="AG75" s="38">
        <f>'EAST-EGM-GL'!AI75+'EAST-LRC-GL'!AI75</f>
        <v>0</v>
      </c>
      <c r="AH75" s="60">
        <f>'EAST-EGM-GL'!AL75+'EAST-LRC-GL'!AL75</f>
        <v>0</v>
      </c>
      <c r="AI75" s="38">
        <f>'EAST-EGM-GL'!AM75+'EAST-LRC-GL'!AM75</f>
        <v>0</v>
      </c>
      <c r="AJ75" s="60">
        <f>'EAST-EGM-GL'!AP75+'EAST-LRC-GL'!AP75</f>
        <v>0</v>
      </c>
      <c r="AK75" s="38">
        <f>'EAST-EGM-GL'!AQ75+'EAST-LRC-GL'!AQ75</f>
        <v>0</v>
      </c>
      <c r="AL75" s="60">
        <f>'EAST-EGM-GL'!AR75+'EAST-LRC-GL'!AR75</f>
        <v>0</v>
      </c>
      <c r="AM75" s="38">
        <f>'EAST-EGM-GL'!AS75+'EAST-LRC-GL'!AS75</f>
        <v>0</v>
      </c>
      <c r="AN75" s="60">
        <f>'EAST-EGM-GL'!AT75+'EAST-LRC-GL'!AT75</f>
        <v>0</v>
      </c>
      <c r="AO75" s="38">
        <f>'EAST-EGM-GL'!AU75+'EAST-LRC-GL'!AU75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-283837.52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-7453.19</v>
      </c>
      <c r="J76" s="60">
        <f>'EAST-EGM-GL'!J76+'EAST-LRC-GL'!J76</f>
        <v>0</v>
      </c>
      <c r="K76" s="38">
        <f>'EAST-EGM-GL'!K76+'EAST-LRC-GL'!K76</f>
        <v>-276384.33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  <c r="AF76" s="60">
        <f>'EAST-EGM-GL'!AH76+'EAST-LRC-GL'!AH76</f>
        <v>0</v>
      </c>
      <c r="AG76" s="38">
        <f>'EAST-EGM-GL'!AI76+'EAST-LRC-GL'!AI76</f>
        <v>0</v>
      </c>
      <c r="AH76" s="60">
        <f>'EAST-EGM-GL'!AL76+'EAST-LRC-GL'!AL76</f>
        <v>0</v>
      </c>
      <c r="AI76" s="38">
        <f>'EAST-EGM-GL'!AM76+'EAST-LRC-GL'!AM76</f>
        <v>0</v>
      </c>
      <c r="AJ76" s="60">
        <f>'EAST-EGM-GL'!AP76+'EAST-LRC-GL'!AP76</f>
        <v>0</v>
      </c>
      <c r="AK76" s="38">
        <f>'EAST-EGM-GL'!AQ76+'EAST-LRC-GL'!AQ76</f>
        <v>0</v>
      </c>
      <c r="AL76" s="60">
        <f>'EAST-EGM-GL'!AR76+'EAST-LRC-GL'!AR76</f>
        <v>0</v>
      </c>
      <c r="AM76" s="38">
        <f>'EAST-EGM-GL'!AS76+'EAST-LRC-GL'!AS76</f>
        <v>0</v>
      </c>
      <c r="AN76" s="60">
        <f>'EAST-EGM-GL'!AT76+'EAST-LRC-GL'!AT76</f>
        <v>0</v>
      </c>
      <c r="AO76" s="38">
        <f>'EAST-EGM-GL'!AU76+'EAST-LRC-GL'!AU76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-3226809</v>
      </c>
      <c r="F77" s="60">
        <f>('TIE-OUT'!J77+'TIE-OUT'!H77)+(RECLASS!J77+RECLASS!H77)</f>
        <v>0</v>
      </c>
      <c r="G77" s="60">
        <f>('TIE-OUT'!K77+'TIE-OUT'!I77)+(RECLASS!K77+RECLASS!I77)</f>
        <v>-3226809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  <c r="AF77" s="60">
        <f>'EAST-EGM-GL'!AH77+'EAST-LRC-GL'!AH77</f>
        <v>0</v>
      </c>
      <c r="AG77" s="38">
        <f>'EAST-EGM-GL'!AI77+'EAST-LRC-GL'!AI77</f>
        <v>0</v>
      </c>
      <c r="AH77" s="60">
        <f>'EAST-EGM-GL'!AL77+'EAST-LRC-GL'!AL77</f>
        <v>0</v>
      </c>
      <c r="AI77" s="38">
        <f>'EAST-EGM-GL'!AM77+'EAST-LRC-GL'!AM77</f>
        <v>0</v>
      </c>
      <c r="AJ77" s="60">
        <f>'EAST-EGM-GL'!AP77+'EAST-LRC-GL'!AP77</f>
        <v>0</v>
      </c>
      <c r="AK77" s="38">
        <f>'EAST-EGM-GL'!AQ77+'EAST-LRC-GL'!AQ77</f>
        <v>0</v>
      </c>
      <c r="AL77" s="60">
        <f>'EAST-EGM-GL'!AR77+'EAST-LRC-GL'!AR77</f>
        <v>0</v>
      </c>
      <c r="AM77" s="38">
        <f>'EAST-EGM-GL'!AS77+'EAST-LRC-GL'!AS77</f>
        <v>0</v>
      </c>
      <c r="AN77" s="60">
        <f>'EAST-EGM-GL'!AT77+'EAST-LRC-GL'!AT77</f>
        <v>0</v>
      </c>
      <c r="AO77" s="38">
        <f>'EAST-EGM-GL'!AU77+'EAST-LRC-GL'!AU77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  <c r="AF78" s="60">
        <f>'EAST-EGM-GL'!AH78+'EAST-LRC-GL'!AH78</f>
        <v>0</v>
      </c>
      <c r="AG78" s="38">
        <f>'EAST-EGM-GL'!AI78+'EAST-LRC-GL'!AI78</f>
        <v>0</v>
      </c>
      <c r="AH78" s="60">
        <f>'EAST-EGM-GL'!AL78+'EAST-LRC-GL'!AL78</f>
        <v>0</v>
      </c>
      <c r="AI78" s="38">
        <f>'EAST-EGM-GL'!AM78+'EAST-LRC-GL'!AM78</f>
        <v>0</v>
      </c>
      <c r="AJ78" s="60">
        <f>'EAST-EGM-GL'!AP78+'EAST-LRC-GL'!AP78</f>
        <v>0</v>
      </c>
      <c r="AK78" s="38">
        <f>'EAST-EGM-GL'!AQ78+'EAST-LRC-GL'!AQ78</f>
        <v>0</v>
      </c>
      <c r="AL78" s="60">
        <f>'EAST-EGM-GL'!AR78+'EAST-LRC-GL'!AR78</f>
        <v>0</v>
      </c>
      <c r="AM78" s="38">
        <f>'EAST-EGM-GL'!AS78+'EAST-LRC-GL'!AS78</f>
        <v>0</v>
      </c>
      <c r="AN78" s="60">
        <f>'EAST-EGM-GL'!AT78+'EAST-LRC-GL'!AT78</f>
        <v>0</v>
      </c>
      <c r="AO78" s="38">
        <f>'EAST-EGM-GL'!AU78+'EAST-LRC-GL'!AU78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('TIE-OUT'!J79+'TIE-OUT'!H79)+(RECLASS!J79+RECLASS!H79)</f>
        <v>0</v>
      </c>
      <c r="G79" s="60">
        <f>('TIE-OUT'!K79+'TIE-OUT'!I79)+(RECLASS!K79+RECLASS!I79)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  <c r="AF79" s="60">
        <f>'EAST-EGM-GL'!AH79+'EAST-LRC-GL'!AH79</f>
        <v>0</v>
      </c>
      <c r="AG79" s="38">
        <f>'EAST-EGM-GL'!AI79+'EAST-LRC-GL'!AI79</f>
        <v>0</v>
      </c>
      <c r="AH79" s="60">
        <f>'EAST-EGM-GL'!AL79+'EAST-LRC-GL'!AL79</f>
        <v>0</v>
      </c>
      <c r="AI79" s="38">
        <f>'EAST-EGM-GL'!AM79+'EAST-LRC-GL'!AM79</f>
        <v>0</v>
      </c>
      <c r="AJ79" s="60">
        <f>'EAST-EGM-GL'!AP79+'EAST-LRC-GL'!AP79</f>
        <v>0</v>
      </c>
      <c r="AK79" s="38">
        <f>'EAST-EGM-GL'!AQ79+'EAST-LRC-GL'!AQ79</f>
        <v>0</v>
      </c>
      <c r="AL79" s="60">
        <f>'EAST-EGM-GL'!AR79+'EAST-LRC-GL'!AR79</f>
        <v>0</v>
      </c>
      <c r="AM79" s="38">
        <f>'EAST-EGM-GL'!AS79+'EAST-LRC-GL'!AS79</f>
        <v>0</v>
      </c>
      <c r="AN79" s="60">
        <f>'EAST-EGM-GL'!AT79+'EAST-LRC-GL'!AT79</f>
        <v>0</v>
      </c>
      <c r="AO79" s="38">
        <f>'EAST-EGM-GL'!AU79+'EAST-LRC-GL'!AU79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  <c r="AF80" s="60">
        <f>'EAST-EGM-GL'!AH80+'EAST-LRC-GL'!AH80</f>
        <v>0</v>
      </c>
      <c r="AG80" s="38">
        <f>'EAST-EGM-GL'!AI80+'EAST-LRC-GL'!AI80</f>
        <v>0</v>
      </c>
      <c r="AH80" s="60">
        <f>'EAST-EGM-GL'!AL80+'EAST-LRC-GL'!AL80</f>
        <v>0</v>
      </c>
      <c r="AI80" s="38">
        <f>'EAST-EGM-GL'!AM80+'EAST-LRC-GL'!AM80</f>
        <v>0</v>
      </c>
      <c r="AJ80" s="60">
        <f>'EAST-EGM-GL'!AP80+'EAST-LRC-GL'!AP80</f>
        <v>0</v>
      </c>
      <c r="AK80" s="38">
        <f>'EAST-EGM-GL'!AQ80+'EAST-LRC-GL'!AQ80</f>
        <v>0</v>
      </c>
      <c r="AL80" s="60">
        <f>'EAST-EGM-GL'!AR80+'EAST-LRC-GL'!AR80</f>
        <v>0</v>
      </c>
      <c r="AM80" s="38">
        <f>'EAST-EGM-GL'!AS80+'EAST-LRC-GL'!AS80</f>
        <v>0</v>
      </c>
      <c r="AN80" s="60">
        <f>'EAST-EGM-GL'!AT80+'EAST-LRC-GL'!AT80</f>
        <v>0</v>
      </c>
      <c r="AO80" s="38">
        <f>'EAST-EGM-GL'!AU80+'EAST-LRC-GL'!AU80</f>
        <v>0</v>
      </c>
    </row>
    <row r="81" spans="1:73" x14ac:dyDescent="0.2">
      <c r="A81" s="9">
        <v>40</v>
      </c>
      <c r="B81" s="3"/>
      <c r="C81" s="10" t="s">
        <v>80</v>
      </c>
      <c r="D81" s="60">
        <f t="shared" si="35"/>
        <v>-31269</v>
      </c>
      <c r="E81" s="38">
        <f t="shared" si="36"/>
        <v>1019655.87</v>
      </c>
      <c r="F81" s="60">
        <f>('TIE-OUT'!J81+'TIE-OUT'!H81)+(RECLASS!J81+RECLASS!H81)</f>
        <v>0</v>
      </c>
      <c r="G81" s="60">
        <f>('TIE-OUT'!K81+'TIE-OUT'!I81)+(RECLASS!K81+RECLASS!I81)</f>
        <v>0</v>
      </c>
      <c r="H81" s="60">
        <f>'EAST-EGM-GL'!H81+'EAST-LRC-GL'!H81</f>
        <v>0</v>
      </c>
      <c r="I81" s="38">
        <f>'EAST-EGM-GL'!I81+'EAST-LRC-GL'!I81</f>
        <v>957515.44</v>
      </c>
      <c r="J81" s="60">
        <f>'EAST-EGM-GL'!J81+'EAST-LRC-GL'!J81</f>
        <v>-31269</v>
      </c>
      <c r="K81" s="38">
        <f>'EAST-EGM-GL'!K81+'EAST-LRC-GL'!K81</f>
        <v>62140.43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  <c r="AF81" s="60">
        <f>'EAST-EGM-GL'!AH81+'EAST-LRC-GL'!AH81</f>
        <v>0</v>
      </c>
      <c r="AG81" s="38">
        <f>'EAST-EGM-GL'!AI81+'EAST-LRC-GL'!AI81</f>
        <v>0</v>
      </c>
      <c r="AH81" s="60">
        <f>'EAST-EGM-GL'!AL81+'EAST-LRC-GL'!AL81</f>
        <v>0</v>
      </c>
      <c r="AI81" s="38">
        <f>'EAST-EGM-GL'!AM81+'EAST-LRC-GL'!AM81</f>
        <v>0</v>
      </c>
      <c r="AJ81" s="60">
        <f>'EAST-EGM-GL'!AP81+'EAST-LRC-GL'!AP81</f>
        <v>0</v>
      </c>
      <c r="AK81" s="38">
        <f>'EAST-EGM-GL'!AQ81+'EAST-LRC-GL'!AQ81</f>
        <v>0</v>
      </c>
      <c r="AL81" s="60">
        <f>'EAST-EGM-GL'!AR81+'EAST-LRC-GL'!AR81</f>
        <v>0</v>
      </c>
      <c r="AM81" s="38">
        <f>'EAST-EGM-GL'!AS81+'EAST-LRC-GL'!AS81</f>
        <v>0</v>
      </c>
      <c r="AN81" s="60">
        <f>'EAST-EGM-GL'!AT81+'EAST-LRC-GL'!AT81</f>
        <v>0</v>
      </c>
      <c r="AO81" s="38">
        <f>'EAST-EGM-GL'!AU81+'EAST-LRC-GL'!AU81</f>
        <v>0</v>
      </c>
    </row>
    <row r="82" spans="1:7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-8178</v>
      </c>
      <c r="E82" s="93">
        <f>SUM(E72:E81)+E16+E24+E29+E36+E43+E45+E47+E49+E51+E56+E61+E66</f>
        <v>-1395555.749999963</v>
      </c>
      <c r="F82" s="92">
        <f>F16+F24+F29+F36+F43+F45+F47+F49</f>
        <v>0</v>
      </c>
      <c r="G82" s="93">
        <f>SUM(G72:G81)+G16+G24+G29+G36+G43+G45+G47+G49+G51+G56+G61+G66</f>
        <v>-6704482.5300000003</v>
      </c>
      <c r="H82" s="92">
        <f>H16+H24+H29+H36+H43+H45+H47+H49</f>
        <v>0</v>
      </c>
      <c r="I82" s="93">
        <f>SUM(I72:I81)+I16+I24+I29+I36+I43+I45+I47+I49+I51+I56+I61+I66</f>
        <v>5311028.8750000363</v>
      </c>
      <c r="J82" s="92">
        <f>J16+J24+J29+J36+J43+J45+J47+J49</f>
        <v>-8178</v>
      </c>
      <c r="K82" s="93">
        <f>SUM(K72:K81)+K16+K24+K29+K36+K43+K45+K47+K49+K51+K56+K61+K66</f>
        <v>16895472.048000008</v>
      </c>
      <c r="L82" s="92">
        <f>L16+L24+L29+L36+L43+L45+L47+L49</f>
        <v>0</v>
      </c>
      <c r="M82" s="93">
        <f>SUM(M72:M81)+M16+M24+M29+M36+M43+M45+M47+M49+M51+M56+M61+M66</f>
        <v>-1769901.7509999999</v>
      </c>
      <c r="N82" s="92">
        <f>N16+N24+N29+N36+N43+N45+N47+N49</f>
        <v>0</v>
      </c>
      <c r="O82" s="93">
        <f>SUM(O72:O81)+O16+O24+O29+O36+O43+O45+O47+O49+O51+O56+O61+O66</f>
        <v>478094.40399999986</v>
      </c>
      <c r="P82" s="92">
        <f>P16+P24+P29+P36+P43+P45+P47+P49</f>
        <v>0</v>
      </c>
      <c r="Q82" s="93">
        <f>SUM(Q72:Q81)+Q16+Q24+Q29+Q36+Q43+Q45+Q47+Q49+Q51+Q56+Q61+Q66</f>
        <v>1125255.8259999999</v>
      </c>
      <c r="R82" s="92">
        <f>R16+R24+R29+R36+R43+R45+R47+R49</f>
        <v>0</v>
      </c>
      <c r="S82" s="93">
        <f>SUM(S72:S81)+S16+S24+S29+S36+S43+S45+S47+S49+S51+S56+S61+S66</f>
        <v>-16879690.147999998</v>
      </c>
      <c r="T82" s="92">
        <f>T16+T24+T29+T36+T43+T45+T47+T49</f>
        <v>0</v>
      </c>
      <c r="U82" s="93">
        <f>SUM(U72:U81)+U16+U24+U29+U36+U43+U45+U47+U49+U51+U56+U61+U66</f>
        <v>8153.0659999998752</v>
      </c>
      <c r="V82" s="92">
        <f>V16+V24+V29+V36+V43+V45+V47+V49</f>
        <v>0</v>
      </c>
      <c r="W82" s="93">
        <f>SUM(W72:W81)+W16+W24+W29+W36+W43+W45+W47+W49+W51+W56+W61+W66</f>
        <v>-12885.124999999971</v>
      </c>
      <c r="X82" s="92">
        <f>X16+X24+X29+X36+X43+X45+X47+X49</f>
        <v>0</v>
      </c>
      <c r="Y82" s="93">
        <f>SUM(Y72:Y81)+Y16+Y24+Y29+Y36+Y43+Y45+Y47+Y49+Y51+Y56+Y61+Y66</f>
        <v>71293.499999999854</v>
      </c>
      <c r="Z82" s="92">
        <f>Z16+Z24+Z29+Z36+Z43+Z45+Z47+Z49</f>
        <v>0</v>
      </c>
      <c r="AA82" s="93">
        <f>SUM(AA72:AA81)+AA16+AA24+AA29+AA36+AA43+AA45+AA47+AA49+AA51+AA56+AA61+AA66</f>
        <v>99826.04</v>
      </c>
      <c r="AB82" s="92">
        <f>AB16+AB24+AB29+AB36+AB43+AB45+AB47+AB49</f>
        <v>0</v>
      </c>
      <c r="AC82" s="93">
        <f>SUM(AC72:AC81)+AC16+AC24+AC29+AC36+AC43+AC45+AC47+AC49+AC51+AC56+AC61+AC66</f>
        <v>-11854.989999999932</v>
      </c>
      <c r="AD82" s="92">
        <f>AD16+AD24+AD29+AD36+AD43+AD45+AD47+AD49</f>
        <v>0</v>
      </c>
      <c r="AE82" s="93">
        <f>SUM(AE72:AE81)+AE16+AE24+AE29+AE36+AE43+AE45+AE47+AE49+AE51+AE56+AE61+AE66</f>
        <v>-637.06499999999983</v>
      </c>
      <c r="AF82" s="92">
        <f>AF16+AF24+AF29+AF36+AF43+AF45+AF47+AF49</f>
        <v>0</v>
      </c>
      <c r="AG82" s="93">
        <f>SUM(AG72:AG81)+AG16+AG24+AG29+AG36+AG43+AG45+AG47+AG49+AG51+AG56+AG61+AG66</f>
        <v>-5227.8999999999996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73" ht="13.5" thickTop="1" x14ac:dyDescent="0.2">
      <c r="A83" s="4"/>
      <c r="B83" s="3"/>
    </row>
    <row r="84" spans="1:73" x14ac:dyDescent="0.2">
      <c r="A84" s="4"/>
      <c r="B84" s="3"/>
      <c r="E84" s="14">
        <f>+'EAST-LRC-GL'!E82+'EAST-EGM-GL'!E82</f>
        <v>-1416946.3350000633</v>
      </c>
      <c r="G84" s="14">
        <f>+'EAST-LRC-GL'!G82+'EAST-EGM-GL'!G82</f>
        <v>-6704482.5300000003</v>
      </c>
      <c r="I84" s="14">
        <f>+'EAST-LRC-GL'!I82+'EAST-EGM-GL'!I82</f>
        <v>5311028.8750000149</v>
      </c>
      <c r="K84" s="14">
        <f>+'EAST-LRC-GL'!K82+'EAST-EGM-GL'!K82</f>
        <v>16895472.048</v>
      </c>
    </row>
    <row r="85" spans="1:73" x14ac:dyDescent="0.2">
      <c r="A85" s="4" t="s">
        <v>182</v>
      </c>
      <c r="B85" s="3"/>
      <c r="F85" s="31"/>
      <c r="G85" s="31"/>
      <c r="H85" s="31"/>
      <c r="I85" s="31"/>
      <c r="L85" s="45"/>
    </row>
    <row r="86" spans="1:73" s="3" customFormat="1" x14ac:dyDescent="0.2">
      <c r="A86" s="172"/>
      <c r="C86" s="10" t="s">
        <v>175</v>
      </c>
      <c r="D86" s="173">
        <f t="shared" ref="D86:E88" si="37">SUM(F86,H86,J86,L86,N86,P86,R86,T86,V86,X86,Z86,AB86,AD86)</f>
        <v>0</v>
      </c>
      <c r="E86" s="173">
        <f t="shared" si="37"/>
        <v>-199187.04</v>
      </c>
      <c r="F86" s="173">
        <f>'EAST-EGM-GL'!F86+'EAST-LRC-GL'!F86</f>
        <v>0</v>
      </c>
      <c r="G86" s="173">
        <f>'EAST-EGM-GL'!G86+'EAST-LRC-GL'!G86</f>
        <v>812.96</v>
      </c>
      <c r="H86" s="173">
        <f>'EAST-EGM-GL'!H86+'EAST-LRC-GL'!H86</f>
        <v>0</v>
      </c>
      <c r="I86" s="173">
        <f>'EAST-EGM-GL'!I86+'EAST-LRC-GL'!I86</f>
        <v>0</v>
      </c>
      <c r="J86" s="173">
        <f>'EAST-EGM-GL'!J86+'EAST-LRC-GL'!J86</f>
        <v>0</v>
      </c>
      <c r="K86" s="173">
        <f>'EAST-EGM-GL'!K86+'EAST-LRC-GL'!K86</f>
        <v>0</v>
      </c>
      <c r="L86" s="173">
        <f>'EAST-EGM-GL'!L86+'EAST-LRC-GL'!L86</f>
        <v>0</v>
      </c>
      <c r="M86" s="173">
        <f>'EAST-EGM-GL'!M86+'EAST-LRC-GL'!M86</f>
        <v>0</v>
      </c>
      <c r="N86" s="173">
        <f>'EAST-EGM-GL'!N86+'EAST-LRC-GL'!N86</f>
        <v>0</v>
      </c>
      <c r="O86" s="173">
        <f>'EAST-EGM-GL'!O86+'EAST-LRC-GL'!O86</f>
        <v>-200000</v>
      </c>
      <c r="P86" s="173">
        <f>'EAST-EGM-GL'!P86+'EAST-LRC-GL'!P86</f>
        <v>0</v>
      </c>
      <c r="Q86" s="173">
        <f>'EAST-EGM-GL'!Q86+'EAST-LRC-GL'!Q86</f>
        <v>0</v>
      </c>
      <c r="R86" s="173">
        <f>'EAST-EGM-GL'!R86+'EAST-LRC-GL'!R86</f>
        <v>0</v>
      </c>
      <c r="S86" s="173">
        <f>'EAST-EGM-GL'!S86+'EAST-LRC-GL'!S86</f>
        <v>0</v>
      </c>
      <c r="T86" s="173">
        <f>'EAST-EGM-GL'!T86+'EAST-LRC-GL'!T86</f>
        <v>0</v>
      </c>
      <c r="U86" s="173">
        <f>'EAST-EGM-GL'!U86+'EAST-LRC-GL'!U86</f>
        <v>0</v>
      </c>
      <c r="V86" s="173">
        <f>'EAST-EGM-GL'!V86+'EAST-LRC-GL'!V86</f>
        <v>0</v>
      </c>
      <c r="W86" s="173">
        <f>'EAST-EGM-GL'!W86+'EAST-LRC-GL'!W86</f>
        <v>0</v>
      </c>
      <c r="X86" s="173">
        <f>'EAST-EGM-GL'!X86+'EAST-LRC-GL'!X86</f>
        <v>0</v>
      </c>
      <c r="Y86" s="173">
        <f>'EAST-EGM-GL'!Y86+'EAST-LRC-GL'!Y86</f>
        <v>0</v>
      </c>
      <c r="Z86" s="173">
        <f>'EAST-EGM-GL'!Z86+'EAST-LRC-GL'!Z86</f>
        <v>0</v>
      </c>
      <c r="AA86" s="173">
        <f>'EAST-EGM-GL'!AA86+'EAST-LRC-GL'!AA86</f>
        <v>0</v>
      </c>
      <c r="AB86" s="173">
        <f>'EAST-EGM-GL'!AB86+'EAST-LRC-GL'!AB86</f>
        <v>0</v>
      </c>
      <c r="AC86" s="173">
        <f>'EAST-EGM-GL'!AC86+'EAST-LRC-GL'!AC86</f>
        <v>0</v>
      </c>
      <c r="AD86" s="173">
        <f>'EAST-EGM-GL'!AD86+'EAST-LRC-GL'!AD86</f>
        <v>0</v>
      </c>
      <c r="AE86" s="173">
        <f>'EAST-EGM-GL'!AE86+'EAST-LRC-GL'!AE86</f>
        <v>0</v>
      </c>
      <c r="AF86" s="173">
        <f>'EAST-EGM-GL'!AH86+'EAST-LRC-GL'!AH86</f>
        <v>0</v>
      </c>
      <c r="AG86" s="173">
        <f>'EAST-EGM-GL'!AI86+'EAST-LRC-GL'!AI86</f>
        <v>0</v>
      </c>
      <c r="AH86" s="173">
        <f>'EAST-EGM-GL'!AL86+'EAST-LRC-GL'!AL86</f>
        <v>0</v>
      </c>
      <c r="AI86" s="173">
        <f>'EAST-EGM-GL'!AM86+'EAST-LRC-GL'!AM86</f>
        <v>0</v>
      </c>
      <c r="AJ86" s="173">
        <f>'EAST-EGM-GL'!AP86+'EAST-LRC-GL'!AP86</f>
        <v>0</v>
      </c>
      <c r="AK86" s="173">
        <f>'EAST-EGM-GL'!AQ86+'EAST-LRC-GL'!AQ86</f>
        <v>0</v>
      </c>
      <c r="AL86" s="173">
        <f>'EAST-EGM-GL'!AR86+'EAST-LRC-GL'!AR86</f>
        <v>0</v>
      </c>
      <c r="AM86" s="173">
        <f>'EAST-EGM-GL'!AS86+'EAST-LRC-GL'!AS86</f>
        <v>0</v>
      </c>
      <c r="AN86" s="173">
        <f>'EAST-EGM-GL'!AT86+'EAST-LRC-GL'!AT86</f>
        <v>0</v>
      </c>
      <c r="AO86" s="173">
        <f>'EAST-EGM-GL'!AU86+'EAST-LRC-GL'!AU86</f>
        <v>0</v>
      </c>
    </row>
    <row r="87" spans="1:73" s="3" customFormat="1" x14ac:dyDescent="0.2">
      <c r="A87" s="172"/>
      <c r="C87" s="10" t="s">
        <v>73</v>
      </c>
      <c r="D87" s="174">
        <f t="shared" si="37"/>
        <v>0</v>
      </c>
      <c r="E87" s="174">
        <f t="shared" si="37"/>
        <v>0</v>
      </c>
      <c r="F87" s="174">
        <f>'EAST-EGM-GL'!F87+'EAST-LRC-GL'!F87</f>
        <v>0</v>
      </c>
      <c r="G87" s="174">
        <f>'EAST-EGM-GL'!G87+'EAST-LRC-GL'!G87</f>
        <v>0</v>
      </c>
      <c r="H87" s="174">
        <f>'EAST-EGM-GL'!H87+'EAST-LRC-GL'!H87</f>
        <v>0</v>
      </c>
      <c r="I87" s="174">
        <f>'EAST-EGM-GL'!I87+'EAST-LRC-GL'!I87</f>
        <v>0</v>
      </c>
      <c r="J87" s="174">
        <f>'EAST-EGM-GL'!J87+'EAST-LRC-GL'!J87</f>
        <v>0</v>
      </c>
      <c r="K87" s="174">
        <f>'EAST-EGM-GL'!K87+'EAST-LRC-GL'!K87</f>
        <v>0</v>
      </c>
      <c r="L87" s="174">
        <f>'EAST-EGM-GL'!L87+'EAST-LRC-GL'!L87</f>
        <v>0</v>
      </c>
      <c r="M87" s="174">
        <f>'EAST-EGM-GL'!M87+'EAST-LRC-GL'!M87</f>
        <v>0</v>
      </c>
      <c r="N87" s="174">
        <f>'EAST-EGM-GL'!N87+'EAST-LRC-GL'!N87</f>
        <v>0</v>
      </c>
      <c r="O87" s="174">
        <f>'EAST-EGM-GL'!O87+'EAST-LRC-GL'!O87</f>
        <v>0</v>
      </c>
      <c r="P87" s="174">
        <f>'EAST-EGM-GL'!P87+'EAST-LRC-GL'!P87</f>
        <v>0</v>
      </c>
      <c r="Q87" s="174">
        <f>'EAST-EGM-GL'!Q87+'EAST-LRC-GL'!Q87</f>
        <v>0</v>
      </c>
      <c r="R87" s="174">
        <f>'EAST-EGM-GL'!R87+'EAST-LRC-GL'!R87</f>
        <v>0</v>
      </c>
      <c r="S87" s="174">
        <f>'EAST-EGM-GL'!S87+'EAST-LRC-GL'!S87</f>
        <v>0</v>
      </c>
      <c r="T87" s="174">
        <f>'EAST-EGM-GL'!T87+'EAST-LRC-GL'!T87</f>
        <v>0</v>
      </c>
      <c r="U87" s="174">
        <f>'EAST-EGM-GL'!U87+'EAST-LRC-GL'!U87</f>
        <v>0</v>
      </c>
      <c r="V87" s="174">
        <f>'EAST-EGM-GL'!V87+'EAST-LRC-GL'!V87</f>
        <v>0</v>
      </c>
      <c r="W87" s="174">
        <f>'EAST-EGM-GL'!W87+'EAST-LRC-GL'!W87</f>
        <v>0</v>
      </c>
      <c r="X87" s="174">
        <f>'EAST-EGM-GL'!X87+'EAST-LRC-GL'!X87</f>
        <v>0</v>
      </c>
      <c r="Y87" s="174">
        <f>'EAST-EGM-GL'!Y87+'EAST-LRC-GL'!Y87</f>
        <v>0</v>
      </c>
      <c r="Z87" s="174">
        <f>'EAST-EGM-GL'!Z87+'EAST-LRC-GL'!Z87</f>
        <v>0</v>
      </c>
      <c r="AA87" s="174">
        <f>'EAST-EGM-GL'!AA87+'EAST-LRC-GL'!AA87</f>
        <v>0</v>
      </c>
      <c r="AB87" s="174">
        <f>'EAST-EGM-GL'!AB87+'EAST-LRC-GL'!AB87</f>
        <v>0</v>
      </c>
      <c r="AC87" s="174">
        <f>'EAST-EGM-GL'!AC87+'EAST-LRC-GL'!AC87</f>
        <v>0</v>
      </c>
      <c r="AD87" s="174">
        <f>'EAST-EGM-GL'!AD87+'EAST-LRC-GL'!AD87</f>
        <v>0</v>
      </c>
      <c r="AE87" s="174">
        <f>'EAST-EGM-GL'!AE87+'EAST-LRC-GL'!AE87</f>
        <v>0</v>
      </c>
      <c r="AF87" s="174">
        <f>'EAST-EGM-GL'!AH87+'EAST-LRC-GL'!AH87</f>
        <v>0</v>
      </c>
      <c r="AG87" s="174">
        <f>'EAST-EGM-GL'!AI87+'EAST-LRC-GL'!AI87</f>
        <v>0</v>
      </c>
      <c r="AH87" s="174">
        <f>'EAST-EGM-GL'!AL87+'EAST-LRC-GL'!AL87</f>
        <v>0</v>
      </c>
      <c r="AI87" s="174">
        <f>'EAST-EGM-GL'!AM87+'EAST-LRC-GL'!AM87</f>
        <v>0</v>
      </c>
      <c r="AJ87" s="174">
        <f>'EAST-EGM-GL'!AP87+'EAST-LRC-GL'!AP87</f>
        <v>0</v>
      </c>
      <c r="AK87" s="174">
        <f>'EAST-EGM-GL'!AQ87+'EAST-LRC-GL'!AQ87</f>
        <v>0</v>
      </c>
      <c r="AL87" s="174">
        <f>'EAST-EGM-GL'!AR87+'EAST-LRC-GL'!AR87</f>
        <v>0</v>
      </c>
      <c r="AM87" s="174">
        <f>'EAST-EGM-GL'!AS87+'EAST-LRC-GL'!AS87</f>
        <v>0</v>
      </c>
      <c r="AN87" s="174">
        <f>'EAST-EGM-GL'!AT87+'EAST-LRC-GL'!AT87</f>
        <v>0</v>
      </c>
      <c r="AO87" s="174">
        <f>'EAST-EGM-GL'!AU87+'EAST-LRC-GL'!AU87</f>
        <v>0</v>
      </c>
    </row>
    <row r="88" spans="1:73" s="3" customFormat="1" x14ac:dyDescent="0.2">
      <c r="A88" s="172"/>
      <c r="C88" s="10" t="s">
        <v>74</v>
      </c>
      <c r="D88" s="175">
        <f t="shared" si="37"/>
        <v>0</v>
      </c>
      <c r="E88" s="175">
        <f t="shared" si="37"/>
        <v>0</v>
      </c>
      <c r="F88" s="175">
        <f>'EAST-EGM-GL'!F88+'EAST-LRC-GL'!F88</f>
        <v>0</v>
      </c>
      <c r="G88" s="175">
        <f>'EAST-EGM-GL'!G88+'EAST-LRC-GL'!G88</f>
        <v>0</v>
      </c>
      <c r="H88" s="175">
        <f>'EAST-EGM-GL'!H88+'EAST-LRC-GL'!H88</f>
        <v>0</v>
      </c>
      <c r="I88" s="175">
        <f>'EAST-EGM-GL'!I88+'EAST-LRC-GL'!I88</f>
        <v>0</v>
      </c>
      <c r="J88" s="175">
        <f>'EAST-EGM-GL'!J88+'EAST-LRC-GL'!J88</f>
        <v>0</v>
      </c>
      <c r="K88" s="175">
        <f>'EAST-EGM-GL'!K88+'EAST-LRC-GL'!K88</f>
        <v>0</v>
      </c>
      <c r="L88" s="175">
        <f>'EAST-EGM-GL'!L88+'EAST-LRC-GL'!L88</f>
        <v>0</v>
      </c>
      <c r="M88" s="175">
        <f>'EAST-EGM-GL'!M88+'EAST-LRC-GL'!M88</f>
        <v>0</v>
      </c>
      <c r="N88" s="175">
        <f>'EAST-EGM-GL'!N88+'EAST-LRC-GL'!N88</f>
        <v>0</v>
      </c>
      <c r="O88" s="175">
        <f>'EAST-EGM-GL'!O88+'EAST-LRC-GL'!O88</f>
        <v>0</v>
      </c>
      <c r="P88" s="175">
        <f>'EAST-EGM-GL'!P88+'EAST-LRC-GL'!P88</f>
        <v>0</v>
      </c>
      <c r="Q88" s="175">
        <f>'EAST-EGM-GL'!Q88+'EAST-LRC-GL'!Q88</f>
        <v>0</v>
      </c>
      <c r="R88" s="175">
        <f>'EAST-EGM-GL'!R88+'EAST-LRC-GL'!R88</f>
        <v>0</v>
      </c>
      <c r="S88" s="175">
        <f>'EAST-EGM-GL'!S88+'EAST-LRC-GL'!S88</f>
        <v>0</v>
      </c>
      <c r="T88" s="175">
        <f>'EAST-EGM-GL'!T88+'EAST-LRC-GL'!T88</f>
        <v>0</v>
      </c>
      <c r="U88" s="175">
        <f>'EAST-EGM-GL'!U88+'EAST-LRC-GL'!U88</f>
        <v>0</v>
      </c>
      <c r="V88" s="175">
        <f>'EAST-EGM-GL'!V88+'EAST-LRC-GL'!V88</f>
        <v>0</v>
      </c>
      <c r="W88" s="175">
        <f>'EAST-EGM-GL'!W88+'EAST-LRC-GL'!W88</f>
        <v>0</v>
      </c>
      <c r="X88" s="175">
        <f>'EAST-EGM-GL'!X88+'EAST-LRC-GL'!X88</f>
        <v>0</v>
      </c>
      <c r="Y88" s="175">
        <f>'EAST-EGM-GL'!Y88+'EAST-LRC-GL'!Y88</f>
        <v>0</v>
      </c>
      <c r="Z88" s="175">
        <f>'EAST-EGM-GL'!Z88+'EAST-LRC-GL'!Z88</f>
        <v>0</v>
      </c>
      <c r="AA88" s="175">
        <f>'EAST-EGM-GL'!AA88+'EAST-LRC-GL'!AA88</f>
        <v>0</v>
      </c>
      <c r="AB88" s="175">
        <f>'EAST-EGM-GL'!AB88+'EAST-LRC-GL'!AB88</f>
        <v>0</v>
      </c>
      <c r="AC88" s="175">
        <f>'EAST-EGM-GL'!AC88+'EAST-LRC-GL'!AC88</f>
        <v>0</v>
      </c>
      <c r="AD88" s="175">
        <f>'EAST-EGM-GL'!AD88+'EAST-LRC-GL'!AD88</f>
        <v>0</v>
      </c>
      <c r="AE88" s="175">
        <f>'EAST-EGM-GL'!AE88+'EAST-LRC-GL'!AE88</f>
        <v>0</v>
      </c>
      <c r="AF88" s="175">
        <f>'EAST-EGM-GL'!AH88+'EAST-LRC-GL'!AH88</f>
        <v>0</v>
      </c>
      <c r="AG88" s="175">
        <f>'EAST-EGM-GL'!AI88+'EAST-LRC-GL'!AI88</f>
        <v>0</v>
      </c>
      <c r="AH88" s="175">
        <f>'EAST-EGM-GL'!AL88+'EAST-LRC-GL'!AL88</f>
        <v>0</v>
      </c>
      <c r="AI88" s="175">
        <f>'EAST-EGM-GL'!AM88+'EAST-LRC-GL'!AM88</f>
        <v>0</v>
      </c>
      <c r="AJ88" s="175">
        <f>'EAST-EGM-GL'!AP88+'EAST-LRC-GL'!AP88</f>
        <v>0</v>
      </c>
      <c r="AK88" s="175">
        <f>'EAST-EGM-GL'!AQ88+'EAST-LRC-GL'!AQ88</f>
        <v>0</v>
      </c>
      <c r="AL88" s="175">
        <f>'EAST-EGM-GL'!AR88+'EAST-LRC-GL'!AR88</f>
        <v>0</v>
      </c>
      <c r="AM88" s="175">
        <f>'EAST-EGM-GL'!AS88+'EAST-LRC-GL'!AS88</f>
        <v>0</v>
      </c>
      <c r="AN88" s="175">
        <f>'EAST-EGM-GL'!AT88+'EAST-LRC-GL'!AT88</f>
        <v>0</v>
      </c>
      <c r="AO88" s="175">
        <f>'EAST-EGM-GL'!AU88+'EAST-LRC-GL'!AU88</f>
        <v>0</v>
      </c>
    </row>
    <row r="89" spans="1:73" s="44" customFormat="1" ht="20.25" customHeight="1" x14ac:dyDescent="0.2">
      <c r="A89" s="179"/>
      <c r="B89" s="180"/>
      <c r="C89" s="185" t="s">
        <v>178</v>
      </c>
      <c r="D89" s="183">
        <f>SUM(D86:D88)</f>
        <v>0</v>
      </c>
      <c r="E89" s="183">
        <f t="shared" ref="E89:M89" si="38">SUM(E86:E88)</f>
        <v>-199187.04</v>
      </c>
      <c r="F89" s="183">
        <f t="shared" si="38"/>
        <v>0</v>
      </c>
      <c r="G89" s="183">
        <f t="shared" si="38"/>
        <v>812.96</v>
      </c>
      <c r="H89" s="183">
        <f t="shared" si="38"/>
        <v>0</v>
      </c>
      <c r="I89" s="183">
        <f t="shared" si="38"/>
        <v>0</v>
      </c>
      <c r="J89" s="183">
        <f t="shared" si="38"/>
        <v>0</v>
      </c>
      <c r="K89" s="183">
        <f t="shared" si="38"/>
        <v>0</v>
      </c>
      <c r="L89" s="183">
        <f t="shared" si="38"/>
        <v>0</v>
      </c>
      <c r="M89" s="183">
        <f t="shared" si="38"/>
        <v>0</v>
      </c>
      <c r="N89" s="183">
        <f t="shared" ref="N89:AE89" si="39">SUM(N86:N88)</f>
        <v>0</v>
      </c>
      <c r="O89" s="183">
        <f t="shared" si="39"/>
        <v>-200000</v>
      </c>
      <c r="P89" s="183">
        <f t="shared" si="39"/>
        <v>0</v>
      </c>
      <c r="Q89" s="183">
        <f t="shared" si="39"/>
        <v>0</v>
      </c>
      <c r="R89" s="183">
        <f t="shared" si="39"/>
        <v>0</v>
      </c>
      <c r="S89" s="183">
        <f t="shared" si="39"/>
        <v>0</v>
      </c>
      <c r="T89" s="183">
        <f t="shared" si="39"/>
        <v>0</v>
      </c>
      <c r="U89" s="183">
        <f t="shared" si="39"/>
        <v>0</v>
      </c>
      <c r="V89" s="183">
        <f t="shared" si="39"/>
        <v>0</v>
      </c>
      <c r="W89" s="183">
        <f t="shared" si="39"/>
        <v>0</v>
      </c>
      <c r="X89" s="183">
        <f t="shared" si="39"/>
        <v>0</v>
      </c>
      <c r="Y89" s="183">
        <f t="shared" si="39"/>
        <v>0</v>
      </c>
      <c r="Z89" s="183">
        <f t="shared" si="39"/>
        <v>0</v>
      </c>
      <c r="AA89" s="183">
        <f t="shared" si="39"/>
        <v>0</v>
      </c>
      <c r="AB89" s="183">
        <f t="shared" si="39"/>
        <v>0</v>
      </c>
      <c r="AC89" s="183">
        <f t="shared" si="39"/>
        <v>0</v>
      </c>
      <c r="AD89" s="183">
        <f t="shared" si="39"/>
        <v>0</v>
      </c>
      <c r="AE89" s="183">
        <f t="shared" si="39"/>
        <v>0</v>
      </c>
      <c r="AF89" s="183">
        <f t="shared" ref="AF89:AK89" si="40">SUM(AF86:AF88)</f>
        <v>0</v>
      </c>
      <c r="AG89" s="183">
        <f t="shared" si="40"/>
        <v>0</v>
      </c>
      <c r="AH89" s="183">
        <f t="shared" si="40"/>
        <v>0</v>
      </c>
      <c r="AI89" s="183">
        <f t="shared" si="40"/>
        <v>0</v>
      </c>
      <c r="AJ89" s="183">
        <f t="shared" si="40"/>
        <v>0</v>
      </c>
      <c r="AK89" s="183">
        <f t="shared" si="40"/>
        <v>0</v>
      </c>
      <c r="AL89" s="183">
        <f>SUM(AL86:AL88)</f>
        <v>0</v>
      </c>
      <c r="AM89" s="183">
        <f>SUM(AM86:AM88)</f>
        <v>0</v>
      </c>
      <c r="AN89" s="183">
        <f>SUM(AN86:AN88)</f>
        <v>0</v>
      </c>
      <c r="AO89" s="183">
        <f>SUM(AO86:AO88)</f>
        <v>0</v>
      </c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1:73" x14ac:dyDescent="0.2">
      <c r="A90" s="4"/>
      <c r="B90" s="3"/>
      <c r="F90" s="31"/>
      <c r="G90" s="31"/>
      <c r="H90" s="31"/>
      <c r="I90" s="31"/>
    </row>
    <row r="91" spans="1:73" s="143" customFormat="1" ht="20.25" customHeight="1" x14ac:dyDescent="0.2">
      <c r="A91" s="186"/>
      <c r="B91" s="187"/>
      <c r="C91" s="185" t="s">
        <v>181</v>
      </c>
      <c r="D91" s="188">
        <f>+D82+D89</f>
        <v>-8178</v>
      </c>
      <c r="E91" s="188">
        <f t="shared" ref="E91:M91" si="41">+E82+E89</f>
        <v>-1594742.789999963</v>
      </c>
      <c r="F91" s="188">
        <f t="shared" si="41"/>
        <v>0</v>
      </c>
      <c r="G91" s="188">
        <f t="shared" si="41"/>
        <v>-6703669.5700000003</v>
      </c>
      <c r="H91" s="188">
        <f t="shared" si="41"/>
        <v>0</v>
      </c>
      <c r="I91" s="188">
        <f t="shared" si="41"/>
        <v>5311028.8750000363</v>
      </c>
      <c r="J91" s="188">
        <f t="shared" si="41"/>
        <v>-8178</v>
      </c>
      <c r="K91" s="188">
        <f t="shared" si="41"/>
        <v>16895472.048000008</v>
      </c>
      <c r="L91" s="188">
        <f t="shared" si="41"/>
        <v>0</v>
      </c>
      <c r="M91" s="188">
        <f t="shared" si="41"/>
        <v>-1769901.7509999999</v>
      </c>
      <c r="N91" s="188">
        <f t="shared" ref="N91:AE91" si="42">+N82+N89</f>
        <v>0</v>
      </c>
      <c r="O91" s="188">
        <f t="shared" si="42"/>
        <v>278094.40399999986</v>
      </c>
      <c r="P91" s="188">
        <f t="shared" si="42"/>
        <v>0</v>
      </c>
      <c r="Q91" s="188">
        <f t="shared" si="42"/>
        <v>1125255.8259999999</v>
      </c>
      <c r="R91" s="188">
        <f t="shared" si="42"/>
        <v>0</v>
      </c>
      <c r="S91" s="188">
        <f t="shared" si="42"/>
        <v>-16879690.147999998</v>
      </c>
      <c r="T91" s="188">
        <f t="shared" si="42"/>
        <v>0</v>
      </c>
      <c r="U91" s="188">
        <f t="shared" si="42"/>
        <v>8153.0659999998752</v>
      </c>
      <c r="V91" s="188">
        <f t="shared" si="42"/>
        <v>0</v>
      </c>
      <c r="W91" s="188">
        <f t="shared" si="42"/>
        <v>-12885.124999999971</v>
      </c>
      <c r="X91" s="188">
        <f t="shared" si="42"/>
        <v>0</v>
      </c>
      <c r="Y91" s="188">
        <f t="shared" si="42"/>
        <v>71293.499999999854</v>
      </c>
      <c r="Z91" s="188">
        <f t="shared" si="42"/>
        <v>0</v>
      </c>
      <c r="AA91" s="188">
        <f t="shared" si="42"/>
        <v>99826.04</v>
      </c>
      <c r="AB91" s="188">
        <f t="shared" si="42"/>
        <v>0</v>
      </c>
      <c r="AC91" s="188">
        <f t="shared" si="42"/>
        <v>-11854.989999999932</v>
      </c>
      <c r="AD91" s="188">
        <f t="shared" si="42"/>
        <v>0</v>
      </c>
      <c r="AE91" s="188">
        <f t="shared" si="42"/>
        <v>-637.06499999999983</v>
      </c>
      <c r="AF91" s="188">
        <f t="shared" ref="AF91:AK91" si="43">+AF82+AF89</f>
        <v>0</v>
      </c>
      <c r="AG91" s="188">
        <f t="shared" si="43"/>
        <v>-5227.8999999999996</v>
      </c>
      <c r="AH91" s="188">
        <f t="shared" si="43"/>
        <v>0</v>
      </c>
      <c r="AI91" s="188">
        <f t="shared" si="43"/>
        <v>0</v>
      </c>
      <c r="AJ91" s="188">
        <f t="shared" si="43"/>
        <v>0</v>
      </c>
      <c r="AK91" s="188">
        <f t="shared" si="43"/>
        <v>0</v>
      </c>
      <c r="AL91" s="188">
        <f>+AL82+AL89</f>
        <v>0</v>
      </c>
      <c r="AM91" s="188">
        <f>+AM82+AM89</f>
        <v>0</v>
      </c>
      <c r="AN91" s="188">
        <f>+AN82+AN89</f>
        <v>0</v>
      </c>
      <c r="AO91" s="188">
        <f>+AO82+AO89</f>
        <v>0</v>
      </c>
    </row>
    <row r="92" spans="1:73" x14ac:dyDescent="0.2">
      <c r="A92" s="4"/>
      <c r="B92" s="3"/>
    </row>
    <row r="93" spans="1:73" x14ac:dyDescent="0.2">
      <c r="A93" s="4"/>
      <c r="B93" s="3"/>
    </row>
    <row r="94" spans="1:73" x14ac:dyDescent="0.2">
      <c r="A94" s="4"/>
      <c r="B94" s="3"/>
    </row>
    <row r="95" spans="1:73" x14ac:dyDescent="0.2">
      <c r="A95" s="4"/>
      <c r="B95" s="3"/>
    </row>
    <row r="96" spans="1:7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O179"/>
  <sheetViews>
    <sheetView zoomScale="75" workbookViewId="0">
      <pane xSplit="3" ySplit="9" topLeftCell="D10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169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27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  <c r="AF11" s="127">
        <f>+Actuals!AC204</f>
        <v>0</v>
      </c>
      <c r="AG11" s="128">
        <f>+Actuals!AD204</f>
        <v>0</v>
      </c>
      <c r="AH11" s="127">
        <f>+Actuals!AE204</f>
        <v>0</v>
      </c>
      <c r="AI11" s="128">
        <f>+Actuals!AF204</f>
        <v>0</v>
      </c>
      <c r="AJ11" s="127">
        <f>+Actuals!AG204</f>
        <v>0</v>
      </c>
      <c r="AK11" s="128">
        <f>+Actuals!AH204</f>
        <v>0</v>
      </c>
      <c r="AL11" s="127">
        <f>+Actuals!AI204</f>
        <v>0</v>
      </c>
      <c r="AM11" s="128">
        <f>+Actuals!AJ204</f>
        <v>0</v>
      </c>
      <c r="AN11" s="127">
        <f>+Actuals!AK204</f>
        <v>0</v>
      </c>
      <c r="AO11" s="128">
        <f>+Actuals!AL204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  <c r="AF12" s="127">
        <f>+Actuals!AC205</f>
        <v>0</v>
      </c>
      <c r="AG12" s="128">
        <f>+Actuals!AD205</f>
        <v>0</v>
      </c>
      <c r="AH12" s="127">
        <f>+Actuals!AE205</f>
        <v>0</v>
      </c>
      <c r="AI12" s="128">
        <f>+Actuals!AF205</f>
        <v>0</v>
      </c>
      <c r="AJ12" s="127">
        <f>+Actuals!AG205</f>
        <v>0</v>
      </c>
      <c r="AK12" s="128">
        <f>+Actuals!AH205</f>
        <v>0</v>
      </c>
      <c r="AL12" s="127">
        <f>+Actuals!AI205</f>
        <v>0</v>
      </c>
      <c r="AM12" s="128">
        <f>+Actuals!AJ205</f>
        <v>0</v>
      </c>
      <c r="AN12" s="127">
        <f>+Actuals!AK205</f>
        <v>0</v>
      </c>
      <c r="AO12" s="128">
        <f>+Actuals!AL205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  <c r="AF13" s="127">
        <f>+Actuals!AC206</f>
        <v>0</v>
      </c>
      <c r="AG13" s="128">
        <f>+Actuals!AD206</f>
        <v>0</v>
      </c>
      <c r="AH13" s="127">
        <f>+Actuals!AE206</f>
        <v>0</v>
      </c>
      <c r="AI13" s="128">
        <f>+Actuals!AF206</f>
        <v>0</v>
      </c>
      <c r="AJ13" s="127">
        <f>+Actuals!AG206</f>
        <v>0</v>
      </c>
      <c r="AK13" s="128">
        <f>+Actuals!AH206</f>
        <v>0</v>
      </c>
      <c r="AL13" s="127">
        <f>+Actuals!AI206</f>
        <v>0</v>
      </c>
      <c r="AM13" s="128">
        <f>+Actuals!AJ206</f>
        <v>0</v>
      </c>
      <c r="AN13" s="127">
        <f>+Actuals!AK206</f>
        <v>0</v>
      </c>
      <c r="AO13" s="128">
        <f>+Actuals!AL206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  <c r="AF14" s="127">
        <f>+Actuals!AC207</f>
        <v>0</v>
      </c>
      <c r="AG14" s="128">
        <f>+Actuals!AD207</f>
        <v>0</v>
      </c>
      <c r="AH14" s="127">
        <f>+Actuals!AE207</f>
        <v>0</v>
      </c>
      <c r="AI14" s="128">
        <f>+Actuals!AF207</f>
        <v>0</v>
      </c>
      <c r="AJ14" s="127">
        <f>+Actuals!AG207</f>
        <v>0</v>
      </c>
      <c r="AK14" s="128">
        <f>+Actuals!AH207</f>
        <v>0</v>
      </c>
      <c r="AL14" s="127">
        <f>+Actuals!AI207</f>
        <v>0</v>
      </c>
      <c r="AM14" s="128">
        <f>+Actuals!AJ207</f>
        <v>0</v>
      </c>
      <c r="AN14" s="127">
        <f>+Actuals!AK207</f>
        <v>0</v>
      </c>
      <c r="AO14" s="128">
        <f>+Actuals!AL207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  <c r="AF15" s="127">
        <f>+Actuals!AC208</f>
        <v>0</v>
      </c>
      <c r="AG15" s="128">
        <f>+Actuals!AD208</f>
        <v>0</v>
      </c>
      <c r="AH15" s="127">
        <f>+Actuals!AE208</f>
        <v>0</v>
      </c>
      <c r="AI15" s="128">
        <f>+Actuals!AF208</f>
        <v>0</v>
      </c>
      <c r="AJ15" s="127">
        <f>+Actuals!AG208</f>
        <v>0</v>
      </c>
      <c r="AK15" s="128">
        <f>+Actuals!AH208</f>
        <v>0</v>
      </c>
      <c r="AL15" s="127">
        <f>+Actuals!AI208</f>
        <v>0</v>
      </c>
      <c r="AM15" s="128">
        <f>+Actuals!AJ208</f>
        <v>0</v>
      </c>
      <c r="AN15" s="127">
        <f>+Actuals!AK208</f>
        <v>0</v>
      </c>
      <c r="AO15" s="128">
        <f>+Actuals!AL208</f>
        <v>0</v>
      </c>
    </row>
    <row r="16" spans="1:41" x14ac:dyDescent="0.2">
      <c r="A16" s="9"/>
      <c r="B16" s="7" t="s">
        <v>32</v>
      </c>
      <c r="C16" s="6"/>
      <c r="D16" s="61">
        <f t="shared" ref="D16:Y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  <c r="AF19" s="127">
        <f>+Actuals!AC209</f>
        <v>0</v>
      </c>
      <c r="AG19" s="128">
        <f>+Actuals!AD209</f>
        <v>0</v>
      </c>
      <c r="AH19" s="127">
        <f>+Actuals!AE209</f>
        <v>0</v>
      </c>
      <c r="AI19" s="128">
        <f>+Actuals!AF209</f>
        <v>0</v>
      </c>
      <c r="AJ19" s="127">
        <f>+Actuals!AG209</f>
        <v>0</v>
      </c>
      <c r="AK19" s="128">
        <f>+Actuals!AH209</f>
        <v>0</v>
      </c>
      <c r="AL19" s="127">
        <f>+Actuals!AI209</f>
        <v>0</v>
      </c>
      <c r="AM19" s="128">
        <f>+Actuals!AJ209</f>
        <v>0</v>
      </c>
      <c r="AN19" s="127">
        <f>+Actuals!AK209</f>
        <v>0</v>
      </c>
      <c r="AO19" s="128">
        <f>+Actuals!AL209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  <c r="AF20" s="127">
        <f>+Actuals!AC210</f>
        <v>0</v>
      </c>
      <c r="AG20" s="128">
        <f>+Actuals!AD210</f>
        <v>0</v>
      </c>
      <c r="AH20" s="127">
        <f>+Actuals!AE210</f>
        <v>0</v>
      </c>
      <c r="AI20" s="128">
        <f>+Actuals!AF210</f>
        <v>0</v>
      </c>
      <c r="AJ20" s="127">
        <f>+Actuals!AG210</f>
        <v>0</v>
      </c>
      <c r="AK20" s="128">
        <f>+Actuals!AH210</f>
        <v>0</v>
      </c>
      <c r="AL20" s="127">
        <f>+Actuals!AI210</f>
        <v>0</v>
      </c>
      <c r="AM20" s="128">
        <f>+Actuals!AJ210</f>
        <v>0</v>
      </c>
      <c r="AN20" s="127">
        <f>+Actuals!AK210</f>
        <v>0</v>
      </c>
      <c r="AO20" s="128">
        <f>+Actuals!AL210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  <c r="AF21" s="127">
        <f>+Actuals!AC211</f>
        <v>0</v>
      </c>
      <c r="AG21" s="128">
        <f>+Actuals!AD211</f>
        <v>0</v>
      </c>
      <c r="AH21" s="127">
        <f>+Actuals!AE211</f>
        <v>0</v>
      </c>
      <c r="AI21" s="128">
        <f>+Actuals!AF211</f>
        <v>0</v>
      </c>
      <c r="AJ21" s="127">
        <f>+Actuals!AG211</f>
        <v>0</v>
      </c>
      <c r="AK21" s="128">
        <f>+Actuals!AH211</f>
        <v>0</v>
      </c>
      <c r="AL21" s="127">
        <f>+Actuals!AI211</f>
        <v>0</v>
      </c>
      <c r="AM21" s="128">
        <f>+Actuals!AJ211</f>
        <v>0</v>
      </c>
      <c r="AN21" s="127">
        <f>+Actuals!AK211</f>
        <v>0</v>
      </c>
      <c r="AO21" s="128">
        <f>+Actuals!AL211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  <c r="AF22" s="127">
        <f>+Actuals!AC212</f>
        <v>0</v>
      </c>
      <c r="AG22" s="128">
        <f>+Actuals!AD212</f>
        <v>0</v>
      </c>
      <c r="AH22" s="127">
        <f>+Actuals!AE212</f>
        <v>0</v>
      </c>
      <c r="AI22" s="128">
        <f>+Actuals!AF212</f>
        <v>0</v>
      </c>
      <c r="AJ22" s="127">
        <f>+Actuals!AG212</f>
        <v>0</v>
      </c>
      <c r="AK22" s="128">
        <f>+Actuals!AH212</f>
        <v>0</v>
      </c>
      <c r="AL22" s="127">
        <f>+Actuals!AI212</f>
        <v>0</v>
      </c>
      <c r="AM22" s="128">
        <f>+Actuals!AJ212</f>
        <v>0</v>
      </c>
      <c r="AN22" s="127">
        <f>+Actuals!AK212</f>
        <v>0</v>
      </c>
      <c r="AO22" s="128">
        <f>+Actuals!AL212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  <c r="AF23" s="127">
        <f>+Actuals!AC213</f>
        <v>0</v>
      </c>
      <c r="AG23" s="128">
        <f>+Actuals!AD213</f>
        <v>0</v>
      </c>
      <c r="AH23" s="127">
        <f>+Actuals!AE213</f>
        <v>0</v>
      </c>
      <c r="AI23" s="128">
        <f>+Actuals!AF213</f>
        <v>0</v>
      </c>
      <c r="AJ23" s="127">
        <f>+Actuals!AG213</f>
        <v>0</v>
      </c>
      <c r="AK23" s="128">
        <f>+Actuals!AH213</f>
        <v>0</v>
      </c>
      <c r="AL23" s="127">
        <f>+Actuals!AI213</f>
        <v>0</v>
      </c>
      <c r="AM23" s="128">
        <f>+Actuals!AJ213</f>
        <v>0</v>
      </c>
      <c r="AN23" s="127">
        <f>+Actuals!AK213</f>
        <v>0</v>
      </c>
      <c r="AO23" s="128">
        <f>+Actuals!AL213</f>
        <v>0</v>
      </c>
    </row>
    <row r="24" spans="1:41" x14ac:dyDescent="0.2">
      <c r="A24" s="9"/>
      <c r="B24" s="7" t="s">
        <v>35</v>
      </c>
      <c r="C24" s="6"/>
      <c r="D24" s="61">
        <f t="shared" ref="D24:Y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ref="Z24:AE24" si="6">SUM(Z19:Z23)</f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0</v>
      </c>
      <c r="E27" s="38">
        <f>SUM(G27,I27,K27,M27,O27,Q27,S27,U27,W27,Y27,AA27,AC27,AE27,AG27,AI27,AK27,AM27,AO27)</f>
        <v>0</v>
      </c>
      <c r="F27" s="64">
        <f>'TIE-OUT'!L27+RECLASS!L27</f>
        <v>0</v>
      </c>
      <c r="G27" s="68">
        <f>'TIE-OUT'!M27+RECLASS!M27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  <c r="AF27" s="127">
        <f>+Actuals!AC214</f>
        <v>0</v>
      </c>
      <c r="AG27" s="128">
        <f>+Actuals!AD214</f>
        <v>0</v>
      </c>
      <c r="AH27" s="127">
        <f>+Actuals!AE214</f>
        <v>0</v>
      </c>
      <c r="AI27" s="128">
        <f>+Actuals!AF214</f>
        <v>0</v>
      </c>
      <c r="AJ27" s="127">
        <f>+Actuals!AG214</f>
        <v>0</v>
      </c>
      <c r="AK27" s="128">
        <f>+Actuals!AH214</f>
        <v>0</v>
      </c>
      <c r="AL27" s="127">
        <f>+Actuals!AI214</f>
        <v>0</v>
      </c>
      <c r="AM27" s="128">
        <f>+Actuals!AJ214</f>
        <v>0</v>
      </c>
      <c r="AN27" s="127">
        <f>+Actuals!AK214</f>
        <v>0</v>
      </c>
      <c r="AO27" s="128">
        <f>+Actuals!AL214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0</v>
      </c>
      <c r="E28" s="38">
        <f>SUM(G28,I28,K28,M28,O28,Q28,S28,U28,W28,Y28,AA28,AC28,AE28,AG28,AI28,AK28,AM28,AO28)</f>
        <v>0</v>
      </c>
      <c r="F28" s="81">
        <f>'TIE-OUT'!L28+RECLASS!L28</f>
        <v>0</v>
      </c>
      <c r="G28" s="82">
        <f>'TIE-OUT'!M28+RECLASS!M28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  <c r="AF28" s="127">
        <f>+Actuals!AC215</f>
        <v>0</v>
      </c>
      <c r="AG28" s="128">
        <f>+Actuals!AD215</f>
        <v>0</v>
      </c>
      <c r="AH28" s="127">
        <f>+Actuals!AE215</f>
        <v>0</v>
      </c>
      <c r="AI28" s="128">
        <f>+Actuals!AF215</f>
        <v>0</v>
      </c>
      <c r="AJ28" s="127">
        <f>+Actuals!AG215</f>
        <v>0</v>
      </c>
      <c r="AK28" s="128">
        <f>+Actuals!AH215</f>
        <v>0</v>
      </c>
      <c r="AL28" s="127">
        <f>+Actuals!AI215</f>
        <v>0</v>
      </c>
      <c r="AM28" s="128">
        <f>+Actuals!AJ215</f>
        <v>0</v>
      </c>
      <c r="AN28" s="127">
        <f>+Actuals!AK215</f>
        <v>0</v>
      </c>
      <c r="AO28" s="128">
        <f>+Actuals!AL215</f>
        <v>0</v>
      </c>
    </row>
    <row r="29" spans="1:41" x14ac:dyDescent="0.2">
      <c r="A29" s="9"/>
      <c r="B29" s="7" t="s">
        <v>39</v>
      </c>
      <c r="C29" s="18"/>
      <c r="D29" s="61">
        <f t="shared" ref="D29:Y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  <c r="AF32" s="127">
        <f>+Actuals!AC216</f>
        <v>0</v>
      </c>
      <c r="AG32" s="128">
        <f>+Actuals!AD216</f>
        <v>0</v>
      </c>
      <c r="AH32" s="127">
        <f>+Actuals!AE216</f>
        <v>0</v>
      </c>
      <c r="AI32" s="128">
        <f>+Actuals!AF216</f>
        <v>0</v>
      </c>
      <c r="AJ32" s="127">
        <f>+Actuals!AG216</f>
        <v>0</v>
      </c>
      <c r="AK32" s="128">
        <f>+Actuals!AH216</f>
        <v>0</v>
      </c>
      <c r="AL32" s="127">
        <f>+Actuals!AI216</f>
        <v>0</v>
      </c>
      <c r="AM32" s="128">
        <f>+Actuals!AJ216</f>
        <v>0</v>
      </c>
      <c r="AN32" s="127">
        <f>+Actuals!AK216</f>
        <v>0</v>
      </c>
      <c r="AO32" s="128">
        <f>+Actuals!AL216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  <c r="AF33" s="127">
        <f>+Actuals!AC217</f>
        <v>0</v>
      </c>
      <c r="AG33" s="128">
        <f>+Actuals!AD217</f>
        <v>0</v>
      </c>
      <c r="AH33" s="127">
        <f>+Actuals!AE217</f>
        <v>0</v>
      </c>
      <c r="AI33" s="128">
        <f>+Actuals!AF217</f>
        <v>0</v>
      </c>
      <c r="AJ33" s="127">
        <f>+Actuals!AG217</f>
        <v>0</v>
      </c>
      <c r="AK33" s="128">
        <f>+Actuals!AH217</f>
        <v>0</v>
      </c>
      <c r="AL33" s="127">
        <f>+Actuals!AI217</f>
        <v>0</v>
      </c>
      <c r="AM33" s="128">
        <f>+Actuals!AJ217</f>
        <v>0</v>
      </c>
      <c r="AN33" s="127">
        <f>+Actuals!AK217</f>
        <v>0</v>
      </c>
      <c r="AO33" s="128">
        <f>+Actuals!AL217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  <c r="AF34" s="127">
        <f>+Actuals!AC218</f>
        <v>0</v>
      </c>
      <c r="AG34" s="128">
        <f>+Actuals!AD218</f>
        <v>0</v>
      </c>
      <c r="AH34" s="127">
        <f>+Actuals!AE218</f>
        <v>0</v>
      </c>
      <c r="AI34" s="128">
        <f>+Actuals!AF218</f>
        <v>0</v>
      </c>
      <c r="AJ34" s="127">
        <f>+Actuals!AG218</f>
        <v>0</v>
      </c>
      <c r="AK34" s="128">
        <f>+Actuals!AH218</f>
        <v>0</v>
      </c>
      <c r="AL34" s="127">
        <f>+Actuals!AI218</f>
        <v>0</v>
      </c>
      <c r="AM34" s="128">
        <f>+Actuals!AJ218</f>
        <v>0</v>
      </c>
      <c r="AN34" s="127">
        <f>+Actuals!AK218</f>
        <v>0</v>
      </c>
      <c r="AO34" s="128">
        <f>+Actuals!AL218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  <c r="AF35" s="127">
        <f>+Actuals!AC219</f>
        <v>0</v>
      </c>
      <c r="AG35" s="128">
        <f>+Actuals!AD219</f>
        <v>0</v>
      </c>
      <c r="AH35" s="127">
        <f>+Actuals!AE219</f>
        <v>0</v>
      </c>
      <c r="AI35" s="128">
        <f>+Actuals!AF219</f>
        <v>0</v>
      </c>
      <c r="AJ35" s="127">
        <f>+Actuals!AG219</f>
        <v>0</v>
      </c>
      <c r="AK35" s="128">
        <f>+Actuals!AH219</f>
        <v>0</v>
      </c>
      <c r="AL35" s="127">
        <f>+Actuals!AI219</f>
        <v>0</v>
      </c>
      <c r="AM35" s="128">
        <f>+Actuals!AJ219</f>
        <v>0</v>
      </c>
      <c r="AN35" s="127">
        <f>+Actuals!AK219</f>
        <v>0</v>
      </c>
      <c r="AO35" s="128">
        <f>+Actuals!AL219</f>
        <v>0</v>
      </c>
    </row>
    <row r="36" spans="1:41" x14ac:dyDescent="0.2">
      <c r="A36" s="9"/>
      <c r="B36" s="7" t="s">
        <v>45</v>
      </c>
      <c r="C36" s="6"/>
      <c r="D36" s="61">
        <f t="shared" ref="D36:Y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  <c r="AF39" s="127">
        <f>+Actuals!AC220</f>
        <v>0</v>
      </c>
      <c r="AG39" s="128">
        <f>+Actuals!AD220</f>
        <v>0</v>
      </c>
      <c r="AH39" s="127">
        <f>+Actuals!AE220</f>
        <v>0</v>
      </c>
      <c r="AI39" s="128">
        <f>+Actuals!AF220</f>
        <v>0</v>
      </c>
      <c r="AJ39" s="127">
        <f>+Actuals!AG220</f>
        <v>0</v>
      </c>
      <c r="AK39" s="128">
        <f>+Actuals!AH220</f>
        <v>0</v>
      </c>
      <c r="AL39" s="127">
        <f>+Actuals!AI220</f>
        <v>0</v>
      </c>
      <c r="AM39" s="128">
        <f>+Actuals!AJ220</f>
        <v>0</v>
      </c>
      <c r="AN39" s="127">
        <f>+Actuals!AK220</f>
        <v>0</v>
      </c>
      <c r="AO39" s="128">
        <f>+Actuals!AL220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  <c r="AF40" s="127">
        <f>+Actuals!AC221</f>
        <v>0</v>
      </c>
      <c r="AG40" s="128">
        <f>+Actuals!AD221</f>
        <v>0</v>
      </c>
      <c r="AH40" s="127">
        <f>+Actuals!AE221</f>
        <v>0</v>
      </c>
      <c r="AI40" s="128">
        <f>+Actuals!AF221</f>
        <v>0</v>
      </c>
      <c r="AJ40" s="127">
        <f>+Actuals!AG221</f>
        <v>0</v>
      </c>
      <c r="AK40" s="128">
        <f>+Actuals!AH221</f>
        <v>0</v>
      </c>
      <c r="AL40" s="127">
        <f>+Actuals!AI221</f>
        <v>0</v>
      </c>
      <c r="AM40" s="128">
        <f>+Actuals!AJ221</f>
        <v>0</v>
      </c>
      <c r="AN40" s="127">
        <f>+Actuals!AK221</f>
        <v>0</v>
      </c>
      <c r="AO40" s="128">
        <f>+Actuals!AL221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  <c r="AF41" s="127">
        <f>+Actuals!AC222</f>
        <v>0</v>
      </c>
      <c r="AG41" s="128">
        <f>+Actuals!AD222</f>
        <v>0</v>
      </c>
      <c r="AH41" s="127">
        <f>+Actuals!AE222</f>
        <v>0</v>
      </c>
      <c r="AI41" s="128">
        <f>+Actuals!AF222</f>
        <v>0</v>
      </c>
      <c r="AJ41" s="127">
        <f>+Actuals!AG222</f>
        <v>0</v>
      </c>
      <c r="AK41" s="128">
        <f>+Actuals!AH222</f>
        <v>0</v>
      </c>
      <c r="AL41" s="127">
        <f>+Actuals!AI222</f>
        <v>0</v>
      </c>
      <c r="AM41" s="128">
        <f>+Actuals!AJ222</f>
        <v>0</v>
      </c>
      <c r="AN41" s="127">
        <f>+Actuals!AK222</f>
        <v>0</v>
      </c>
      <c r="AO41" s="128">
        <f>+Actuals!AL222</f>
        <v>0</v>
      </c>
    </row>
    <row r="42" spans="1:41" x14ac:dyDescent="0.2">
      <c r="A42" s="9"/>
      <c r="B42" s="7"/>
      <c r="C42" s="53" t="s">
        <v>50</v>
      </c>
      <c r="D42" s="61">
        <f t="shared" ref="D42:Y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 t="shared" ref="D43:Y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'TIE-OUT'!L45+RECLASS!L45</f>
        <v>0</v>
      </c>
      <c r="G45" s="68">
        <f>'TIE-OUT'!M45+RECLASS!M45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  <c r="AF45" s="127">
        <f>+Actuals!AC223</f>
        <v>0</v>
      </c>
      <c r="AG45" s="128">
        <f>+Actuals!AD223</f>
        <v>0</v>
      </c>
      <c r="AH45" s="127">
        <f>+Actuals!AE223</f>
        <v>0</v>
      </c>
      <c r="AI45" s="128">
        <f>+Actuals!AF223</f>
        <v>0</v>
      </c>
      <c r="AJ45" s="127">
        <f>+Actuals!AG223</f>
        <v>0</v>
      </c>
      <c r="AK45" s="128">
        <f>+Actuals!AH223</f>
        <v>0</v>
      </c>
      <c r="AL45" s="127">
        <f>+Actuals!AI223</f>
        <v>0</v>
      </c>
      <c r="AM45" s="128">
        <f>+Actuals!AJ223</f>
        <v>0</v>
      </c>
      <c r="AN45" s="127">
        <f>+Actuals!AK223</f>
        <v>0</v>
      </c>
      <c r="AO45" s="128">
        <f>+Actuals!AL223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'TIE-OUT'!L47+RECLASS!L47</f>
        <v>0</v>
      </c>
      <c r="G47" s="38">
        <f>'TIE-OUT'!M47+RECLASS!M47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  <c r="AF47" s="127">
        <f>+Actuals!AC224</f>
        <v>0</v>
      </c>
      <c r="AG47" s="128">
        <f>+Actuals!AD224</f>
        <v>0</v>
      </c>
      <c r="AH47" s="127">
        <f>+Actuals!AE224</f>
        <v>0</v>
      </c>
      <c r="AI47" s="128">
        <f>+Actuals!AF224</f>
        <v>0</v>
      </c>
      <c r="AJ47" s="127">
        <f>+Actuals!AG224</f>
        <v>0</v>
      </c>
      <c r="AK47" s="128">
        <f>+Actuals!AH224</f>
        <v>0</v>
      </c>
      <c r="AL47" s="127">
        <f>+Actuals!AI224</f>
        <v>0</v>
      </c>
      <c r="AM47" s="128">
        <f>+Actuals!AJ224</f>
        <v>0</v>
      </c>
      <c r="AN47" s="127">
        <f>+Actuals!AK224</f>
        <v>0</v>
      </c>
      <c r="AO47" s="128">
        <f>+Actuals!AL224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0</v>
      </c>
      <c r="E49" s="38">
        <f t="shared" si="22"/>
        <v>0</v>
      </c>
      <c r="F49" s="60">
        <f>'TIE-OUT'!L49+RECLASS!L49</f>
        <v>0</v>
      </c>
      <c r="G49" s="38">
        <f>'TIE-OUT'!M49+RECLASS!M49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  <c r="AF49" s="127">
        <f>+Actuals!AC225</f>
        <v>0</v>
      </c>
      <c r="AG49" s="128">
        <f>+Actuals!AD225</f>
        <v>0</v>
      </c>
      <c r="AH49" s="127">
        <f>+Actuals!AE225</f>
        <v>0</v>
      </c>
      <c r="AI49" s="128">
        <f>+Actuals!AF225</f>
        <v>0</v>
      </c>
      <c r="AJ49" s="127">
        <f>+Actuals!AG225</f>
        <v>0</v>
      </c>
      <c r="AK49" s="128">
        <f>+Actuals!AH225</f>
        <v>0</v>
      </c>
      <c r="AL49" s="127">
        <f>+Actuals!AI225</f>
        <v>0</v>
      </c>
      <c r="AM49" s="128">
        <f>+Actuals!AJ225</f>
        <v>0</v>
      </c>
      <c r="AN49" s="127">
        <f>+Actuals!AK225</f>
        <v>0</v>
      </c>
      <c r="AO49" s="128">
        <f>+Actuals!AL225</f>
        <v>0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0</v>
      </c>
      <c r="E51" s="38">
        <f t="shared" si="22"/>
        <v>0</v>
      </c>
      <c r="F51" s="60">
        <f>'TIE-OUT'!L51+RECLASS!L51</f>
        <v>0</v>
      </c>
      <c r="G51" s="38">
        <f>'TIE-OUT'!M51+RECLASS!M51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  <c r="AF51" s="127">
        <f>+Actuals!AC226</f>
        <v>0</v>
      </c>
      <c r="AG51" s="128">
        <f>+Actuals!AD226</f>
        <v>0</v>
      </c>
      <c r="AH51" s="127">
        <f>+Actuals!AE226</f>
        <v>0</v>
      </c>
      <c r="AI51" s="128">
        <f>+Actuals!AF226</f>
        <v>0</v>
      </c>
      <c r="AJ51" s="127">
        <f>+Actuals!AG226</f>
        <v>0</v>
      </c>
      <c r="AK51" s="128">
        <f>+Actuals!AH226</f>
        <v>0</v>
      </c>
      <c r="AL51" s="127">
        <f>+Actuals!AI226</f>
        <v>0</v>
      </c>
      <c r="AM51" s="128">
        <f>+Actuals!AJ226</f>
        <v>0</v>
      </c>
      <c r="AN51" s="127">
        <f>+Actuals!AK226</f>
        <v>0</v>
      </c>
      <c r="AO51" s="128">
        <f>+Actuals!AL226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0</v>
      </c>
      <c r="E54" s="38">
        <f>SUM(G54,I54,K54,M54,O54,Q54,S54,U54,W54,Y54,AA54,AC54,AE54,AG54,AI54,AK54,AM54,AO54)</f>
        <v>0</v>
      </c>
      <c r="F54" s="64">
        <f>'TIE-OUT'!L54+RECLASS!L54</f>
        <v>0</v>
      </c>
      <c r="G54" s="68">
        <f>'TIE-OUT'!M54+RECLASS!M54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  <c r="AF54" s="127">
        <f>+Actuals!AC227</f>
        <v>0</v>
      </c>
      <c r="AG54" s="128">
        <f>+Actuals!AD227</f>
        <v>0</v>
      </c>
      <c r="AH54" s="127">
        <f>+Actuals!AE227</f>
        <v>0</v>
      </c>
      <c r="AI54" s="128">
        <f>+Actuals!AF227</f>
        <v>0</v>
      </c>
      <c r="AJ54" s="127">
        <f>+Actuals!AG227</f>
        <v>0</v>
      </c>
      <c r="AK54" s="128">
        <f>+Actuals!AH227</f>
        <v>0</v>
      </c>
      <c r="AL54" s="127">
        <f>+Actuals!AI227</f>
        <v>0</v>
      </c>
      <c r="AM54" s="128">
        <f>+Actuals!AJ227</f>
        <v>0</v>
      </c>
      <c r="AN54" s="127">
        <f>+Actuals!AK227</f>
        <v>0</v>
      </c>
      <c r="AO54" s="128">
        <f>+Actuals!AL227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0</v>
      </c>
      <c r="F55" s="81">
        <f>'TIE-OUT'!L55+RECLASS!L55</f>
        <v>0</v>
      </c>
      <c r="G55" s="82">
        <f>'TIE-OUT'!M55+RECLASS!M55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  <c r="AF55" s="127">
        <f>+Actuals!AC228</f>
        <v>0</v>
      </c>
      <c r="AG55" s="128">
        <f>+Actuals!AD228</f>
        <v>0</v>
      </c>
      <c r="AH55" s="127">
        <f>+Actuals!AE228</f>
        <v>0</v>
      </c>
      <c r="AI55" s="128">
        <f>+Actuals!AF228</f>
        <v>0</v>
      </c>
      <c r="AJ55" s="127">
        <f>+Actuals!AG228</f>
        <v>0</v>
      </c>
      <c r="AK55" s="128">
        <f>+Actuals!AH228</f>
        <v>0</v>
      </c>
      <c r="AL55" s="127">
        <f>+Actuals!AI228</f>
        <v>0</v>
      </c>
      <c r="AM55" s="128">
        <f>+Actuals!AJ228</f>
        <v>0</v>
      </c>
      <c r="AN55" s="127">
        <f>+Actuals!AK228</f>
        <v>0</v>
      </c>
      <c r="AO55" s="128">
        <f>+Actuals!AL228</f>
        <v>0</v>
      </c>
    </row>
    <row r="56" spans="1:41" x14ac:dyDescent="0.2">
      <c r="A56" s="9"/>
      <c r="B56" s="7" t="s">
        <v>59</v>
      </c>
      <c r="C56" s="6"/>
      <c r="D56" s="61">
        <f t="shared" ref="D56:Y56" si="23">SUM(D54:D55)</f>
        <v>0</v>
      </c>
      <c r="E56" s="39">
        <f t="shared" si="23"/>
        <v>0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ref="Z56:AE56" si="24">SUM(Z54:Z55)</f>
        <v>0</v>
      </c>
      <c r="AA56" s="39">
        <f t="shared" si="24"/>
        <v>0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0</v>
      </c>
      <c r="F59" s="64">
        <f>'TIE-OUT'!L59+RECLASS!L59</f>
        <v>0</v>
      </c>
      <c r="G59" s="68">
        <f>'TIE-OUT'!M59+RECLASS!M59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  <c r="AF59" s="127">
        <f>+Actuals!AC229</f>
        <v>0</v>
      </c>
      <c r="AG59" s="128">
        <f>+Actuals!AD229</f>
        <v>0</v>
      </c>
      <c r="AH59" s="127">
        <f>+Actuals!AE229</f>
        <v>0</v>
      </c>
      <c r="AI59" s="128">
        <f>+Actuals!AF229</f>
        <v>0</v>
      </c>
      <c r="AJ59" s="127">
        <f>+Actuals!AG229</f>
        <v>0</v>
      </c>
      <c r="AK59" s="128">
        <f>+Actuals!AH229</f>
        <v>0</v>
      </c>
      <c r="AL59" s="127">
        <f>+Actuals!AI229</f>
        <v>0</v>
      </c>
      <c r="AM59" s="128">
        <f>+Actuals!AJ229</f>
        <v>0</v>
      </c>
      <c r="AN59" s="127">
        <f>+Actuals!AK229</f>
        <v>0</v>
      </c>
      <c r="AO59" s="128">
        <f>+Actuals!AL229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'TIE-OUT'!L60+RECLASS!L60</f>
        <v>0</v>
      </c>
      <c r="G60" s="82">
        <f>'TIE-OUT'!M60+RECLASS!M60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  <c r="AF60" s="127">
        <f>+Actuals!AC230</f>
        <v>0</v>
      </c>
      <c r="AG60" s="128">
        <f>+Actuals!AD230</f>
        <v>0</v>
      </c>
      <c r="AH60" s="127">
        <f>+Actuals!AE230</f>
        <v>0</v>
      </c>
      <c r="AI60" s="128">
        <f>+Actuals!AF230</f>
        <v>0</v>
      </c>
      <c r="AJ60" s="127">
        <f>+Actuals!AG230</f>
        <v>0</v>
      </c>
      <c r="AK60" s="128">
        <f>+Actuals!AH230</f>
        <v>0</v>
      </c>
      <c r="AL60" s="127">
        <f>+Actuals!AI230</f>
        <v>0</v>
      </c>
      <c r="AM60" s="128">
        <f>+Actuals!AJ230</f>
        <v>0</v>
      </c>
      <c r="AN60" s="127">
        <f>+Actuals!AK230</f>
        <v>0</v>
      </c>
      <c r="AO60" s="128">
        <f>+Actuals!AL230</f>
        <v>0</v>
      </c>
    </row>
    <row r="61" spans="1:41" x14ac:dyDescent="0.2">
      <c r="A61" s="9"/>
      <c r="B61" s="62" t="s">
        <v>63</v>
      </c>
      <c r="C61" s="6"/>
      <c r="D61" s="61">
        <f t="shared" ref="D61:Y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'TIE-OUT'!L64+RECLASS!L64</f>
        <v>0</v>
      </c>
      <c r="G64" s="68">
        <f>'TIE-OUT'!M64+RECLASS!M64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  <c r="AF64" s="127">
        <f>+Actuals!AC231</f>
        <v>0</v>
      </c>
      <c r="AG64" s="128">
        <f>+Actuals!AD231</f>
        <v>0</v>
      </c>
      <c r="AH64" s="127">
        <f>+Actuals!AE231</f>
        <v>0</v>
      </c>
      <c r="AI64" s="128">
        <f>+Actuals!AF231</f>
        <v>0</v>
      </c>
      <c r="AJ64" s="127">
        <f>+Actuals!AG231</f>
        <v>0</v>
      </c>
      <c r="AK64" s="128">
        <f>+Actuals!AH231</f>
        <v>0</v>
      </c>
      <c r="AL64" s="127">
        <f>+Actuals!AI231</f>
        <v>0</v>
      </c>
      <c r="AM64" s="128">
        <f>+Actuals!AJ231</f>
        <v>0</v>
      </c>
      <c r="AN64" s="127">
        <f>+Actuals!AK231</f>
        <v>0</v>
      </c>
      <c r="AO64" s="128">
        <f>+Actuals!AL231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'TIE-OUT'!L65+RECLASS!L65</f>
        <v>0</v>
      </c>
      <c r="G65" s="82">
        <f>'TIE-OUT'!M65+RECLASS!M65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  <c r="AF65" s="127">
        <f>+Actuals!AC232</f>
        <v>0</v>
      </c>
      <c r="AG65" s="128">
        <f>+Actuals!AD232</f>
        <v>0</v>
      </c>
      <c r="AH65" s="127">
        <f>+Actuals!AE232</f>
        <v>0</v>
      </c>
      <c r="AI65" s="128">
        <f>+Actuals!AF232</f>
        <v>0</v>
      </c>
      <c r="AJ65" s="127">
        <f>+Actuals!AG232</f>
        <v>0</v>
      </c>
      <c r="AK65" s="128">
        <f>+Actuals!AH232</f>
        <v>0</v>
      </c>
      <c r="AL65" s="127">
        <f>+Actuals!AI232</f>
        <v>0</v>
      </c>
      <c r="AM65" s="128">
        <f>+Actuals!AJ232</f>
        <v>0</v>
      </c>
      <c r="AN65" s="127">
        <f>+Actuals!AK232</f>
        <v>0</v>
      </c>
      <c r="AO65" s="128">
        <f>+Actuals!AL232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 t="shared" ref="F66:Y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0</v>
      </c>
      <c r="F70" s="64">
        <f>'TIE-OUT'!L70+RECLASS!L70</f>
        <v>0</v>
      </c>
      <c r="G70" s="68">
        <f>'TIE-OUT'!M70+RECLASS!M70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  <c r="AF70" s="127">
        <f>+Actuals!AC233</f>
        <v>0</v>
      </c>
      <c r="AG70" s="128">
        <f>+Actuals!AD233</f>
        <v>0</v>
      </c>
      <c r="AH70" s="127">
        <f>+Actuals!AE233</f>
        <v>0</v>
      </c>
      <c r="AI70" s="128">
        <f>+Actuals!AF233</f>
        <v>0</v>
      </c>
      <c r="AJ70" s="127">
        <f>+Actuals!AG233</f>
        <v>0</v>
      </c>
      <c r="AK70" s="128">
        <f>+Actuals!AH233</f>
        <v>0</v>
      </c>
      <c r="AL70" s="127">
        <f>+Actuals!AI233</f>
        <v>0</v>
      </c>
      <c r="AM70" s="128">
        <f>+Actuals!AJ233</f>
        <v>0</v>
      </c>
      <c r="AN70" s="127">
        <f>+Actuals!AK233</f>
        <v>0</v>
      </c>
      <c r="AO70" s="128">
        <f>+Actuals!AL233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0</v>
      </c>
      <c r="F71" s="81">
        <f>'TIE-OUT'!L71+RECLASS!L71</f>
        <v>0</v>
      </c>
      <c r="G71" s="82">
        <f>'TIE-OUT'!M71+RECLASS!M71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  <c r="AF71" s="127">
        <f>+Actuals!AC234</f>
        <v>0</v>
      </c>
      <c r="AG71" s="128">
        <f>+Actuals!AD234</f>
        <v>0</v>
      </c>
      <c r="AH71" s="127">
        <f>+Actuals!AE234</f>
        <v>0</v>
      </c>
      <c r="AI71" s="128">
        <f>+Actuals!AF234</f>
        <v>0</v>
      </c>
      <c r="AJ71" s="127">
        <f>+Actuals!AG234</f>
        <v>0</v>
      </c>
      <c r="AK71" s="128">
        <f>+Actuals!AH234</f>
        <v>0</v>
      </c>
      <c r="AL71" s="127">
        <f>+Actuals!AI234</f>
        <v>0</v>
      </c>
      <c r="AM71" s="128">
        <f>+Actuals!AJ234</f>
        <v>0</v>
      </c>
      <c r="AN71" s="127">
        <f>+Actuals!AK234</f>
        <v>0</v>
      </c>
      <c r="AO71" s="128">
        <f>+Actuals!AL234</f>
        <v>0</v>
      </c>
    </row>
    <row r="72" spans="1:41" x14ac:dyDescent="0.2">
      <c r="A72" s="9"/>
      <c r="B72" s="3"/>
      <c r="C72" s="55" t="s">
        <v>71</v>
      </c>
      <c r="D72" s="61">
        <f t="shared" ref="D72:Y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'TIE-OUT'!L73+RECLASS!L73</f>
        <v>0</v>
      </c>
      <c r="G73" s="60">
        <f>'TIE-OUT'!M73+RECLASS!M73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  <c r="AF73" s="127">
        <f>+Actuals!AC235</f>
        <v>0</v>
      </c>
      <c r="AG73" s="128">
        <f>+Actuals!AD235</f>
        <v>0</v>
      </c>
      <c r="AH73" s="127">
        <f>+Actuals!AE235</f>
        <v>0</v>
      </c>
      <c r="AI73" s="128">
        <f>+Actuals!AF235</f>
        <v>0</v>
      </c>
      <c r="AJ73" s="127">
        <f>+Actuals!AG235</f>
        <v>0</v>
      </c>
      <c r="AK73" s="128">
        <f>+Actuals!AH235</f>
        <v>0</v>
      </c>
      <c r="AL73" s="127">
        <f>+Actuals!AI235</f>
        <v>0</v>
      </c>
      <c r="AM73" s="128">
        <f>+Actuals!AJ235</f>
        <v>0</v>
      </c>
      <c r="AN73" s="127">
        <f>+Actuals!AK235</f>
        <v>0</v>
      </c>
      <c r="AO73" s="128">
        <f>+Actuals!AL235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0</v>
      </c>
      <c r="F74" s="60">
        <f>'TIE-OUT'!L74+RECLASS!L74</f>
        <v>0</v>
      </c>
      <c r="G74" s="60">
        <f>'TIE-OUT'!M74+RECLASS!M74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  <c r="AF74" s="127">
        <f>+Actuals!AC236</f>
        <v>0</v>
      </c>
      <c r="AG74" s="128">
        <f>+Actuals!AD236</f>
        <v>0</v>
      </c>
      <c r="AH74" s="127">
        <f>+Actuals!AE236</f>
        <v>0</v>
      </c>
      <c r="AI74" s="128">
        <f>+Actuals!AF236</f>
        <v>0</v>
      </c>
      <c r="AJ74" s="127">
        <f>+Actuals!AG236</f>
        <v>0</v>
      </c>
      <c r="AK74" s="128">
        <f>+Actuals!AH236</f>
        <v>0</v>
      </c>
      <c r="AL74" s="127">
        <f>+Actuals!AI236</f>
        <v>0</v>
      </c>
      <c r="AM74" s="128">
        <f>+Actuals!AJ236</f>
        <v>0</v>
      </c>
      <c r="AN74" s="127">
        <f>+Actuals!AK236</f>
        <v>0</v>
      </c>
      <c r="AO74" s="128">
        <f>+Actuals!AL236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0</v>
      </c>
      <c r="F75" s="60">
        <f>'TIE-OUT'!L75+RECLASS!L75</f>
        <v>0</v>
      </c>
      <c r="G75" s="60">
        <f>'TIE-OUT'!M75+RECLASS!M75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  <c r="AF75" s="127">
        <f>+Actuals!AC237</f>
        <v>0</v>
      </c>
      <c r="AG75" s="128">
        <f>+Actuals!AD237</f>
        <v>0</v>
      </c>
      <c r="AH75" s="127">
        <f>+Actuals!AE237</f>
        <v>0</v>
      </c>
      <c r="AI75" s="128">
        <f>+Actuals!AF237</f>
        <v>0</v>
      </c>
      <c r="AJ75" s="127">
        <f>+Actuals!AG237</f>
        <v>0</v>
      </c>
      <c r="AK75" s="128">
        <f>+Actuals!AH237</f>
        <v>0</v>
      </c>
      <c r="AL75" s="127">
        <f>+Actuals!AI237</f>
        <v>0</v>
      </c>
      <c r="AM75" s="128">
        <f>+Actuals!AJ237</f>
        <v>0</v>
      </c>
      <c r="AN75" s="127">
        <f>+Actuals!AK237</f>
        <v>0</v>
      </c>
      <c r="AO75" s="128">
        <f>+Actuals!AL237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0</v>
      </c>
      <c r="F76" s="60">
        <f>'TIE-OUT'!L76+RECLASS!L76</f>
        <v>0</v>
      </c>
      <c r="G76" s="60">
        <f>'TIE-OUT'!M76+RECLASS!M76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  <c r="AF76" s="127">
        <f>+Actuals!AC238</f>
        <v>0</v>
      </c>
      <c r="AG76" s="128">
        <f>+Actuals!AD238</f>
        <v>0</v>
      </c>
      <c r="AH76" s="127">
        <f>+Actuals!AE238</f>
        <v>0</v>
      </c>
      <c r="AI76" s="128">
        <f>+Actuals!AF238</f>
        <v>0</v>
      </c>
      <c r="AJ76" s="127">
        <f>+Actuals!AG238</f>
        <v>0</v>
      </c>
      <c r="AK76" s="128">
        <f>+Actuals!AH238</f>
        <v>0</v>
      </c>
      <c r="AL76" s="127">
        <f>+Actuals!AI238</f>
        <v>0</v>
      </c>
      <c r="AM76" s="128">
        <f>+Actuals!AJ238</f>
        <v>0</v>
      </c>
      <c r="AN76" s="127">
        <f>+Actuals!AK238</f>
        <v>0</v>
      </c>
      <c r="AO76" s="128">
        <f>+Actuals!AL238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60">
        <f>'TIE-OUT'!L77+RECLASS!L77</f>
        <v>0</v>
      </c>
      <c r="G77" s="60">
        <f>'TIE-OUT'!M77+RECLASS!M77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  <c r="AF77" s="127">
        <f>+Actuals!AC239</f>
        <v>0</v>
      </c>
      <c r="AG77" s="128">
        <f>+Actuals!AD239</f>
        <v>0</v>
      </c>
      <c r="AH77" s="127">
        <f>+Actuals!AE239</f>
        <v>0</v>
      </c>
      <c r="AI77" s="128">
        <f>+Actuals!AF239</f>
        <v>0</v>
      </c>
      <c r="AJ77" s="127">
        <f>+Actuals!AG239</f>
        <v>0</v>
      </c>
      <c r="AK77" s="128">
        <f>+Actuals!AH239</f>
        <v>0</v>
      </c>
      <c r="AL77" s="127">
        <f>+Actuals!AI239</f>
        <v>0</v>
      </c>
      <c r="AM77" s="128">
        <f>+Actuals!AJ239</f>
        <v>0</v>
      </c>
      <c r="AN77" s="127">
        <f>+Actuals!AK239</f>
        <v>0</v>
      </c>
      <c r="AO77" s="128">
        <f>+Actuals!AL239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'TIE-OUT'!L78+RECLASS!L78</f>
        <v>0</v>
      </c>
      <c r="G78" s="60">
        <f>'TIE-OUT'!M78+RECLASS!M78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  <c r="AF78" s="127">
        <f>+Actuals!AC240</f>
        <v>0</v>
      </c>
      <c r="AG78" s="128">
        <f>+Actuals!AD240</f>
        <v>0</v>
      </c>
      <c r="AH78" s="127">
        <f>+Actuals!AE240</f>
        <v>0</v>
      </c>
      <c r="AI78" s="128">
        <f>+Actuals!AF240</f>
        <v>0</v>
      </c>
      <c r="AJ78" s="127">
        <f>+Actuals!AG240</f>
        <v>0</v>
      </c>
      <c r="AK78" s="128">
        <f>+Actuals!AH240</f>
        <v>0</v>
      </c>
      <c r="AL78" s="127">
        <f>+Actuals!AI240</f>
        <v>0</v>
      </c>
      <c r="AM78" s="128">
        <f>+Actuals!AJ240</f>
        <v>0</v>
      </c>
      <c r="AN78" s="127">
        <f>+Actuals!AK240</f>
        <v>0</v>
      </c>
      <c r="AO78" s="128">
        <f>+Actuals!AL240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'TIE-OUT'!L79+RECLASS!L79</f>
        <v>0</v>
      </c>
      <c r="G79" s="60">
        <f>'TIE-OUT'!M79+RECLASS!M79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  <c r="AF79" s="127">
        <f>+Actuals!AC241</f>
        <v>0</v>
      </c>
      <c r="AG79" s="128">
        <f>+Actuals!AD241</f>
        <v>0</v>
      </c>
      <c r="AH79" s="127">
        <f>+Actuals!AE241</f>
        <v>0</v>
      </c>
      <c r="AI79" s="128">
        <f>+Actuals!AF241</f>
        <v>0</v>
      </c>
      <c r="AJ79" s="127">
        <f>+Actuals!AG241</f>
        <v>0</v>
      </c>
      <c r="AK79" s="128">
        <f>+Actuals!AH241</f>
        <v>0</v>
      </c>
      <c r="AL79" s="127">
        <f>+Actuals!AI241</f>
        <v>0</v>
      </c>
      <c r="AM79" s="128">
        <f>+Actuals!AJ241</f>
        <v>0</v>
      </c>
      <c r="AN79" s="127">
        <f>+Actuals!AK241</f>
        <v>0</v>
      </c>
      <c r="AO79" s="128">
        <f>+Actuals!AL241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'TIE-OUT'!L80+RECLASS!L80</f>
        <v>0</v>
      </c>
      <c r="G80" s="60">
        <f>'TIE-OUT'!M80+RECLASS!M80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  <c r="AF80" s="127">
        <f>+Actuals!AC242</f>
        <v>0</v>
      </c>
      <c r="AG80" s="128">
        <f>+Actuals!AD242</f>
        <v>0</v>
      </c>
      <c r="AH80" s="127">
        <f>+Actuals!AE242</f>
        <v>0</v>
      </c>
      <c r="AI80" s="128">
        <f>+Actuals!AF242</f>
        <v>0</v>
      </c>
      <c r="AJ80" s="127">
        <f>+Actuals!AG242</f>
        <v>0</v>
      </c>
      <c r="AK80" s="128">
        <f>+Actuals!AH242</f>
        <v>0</v>
      </c>
      <c r="AL80" s="127">
        <f>+Actuals!AI242</f>
        <v>0</v>
      </c>
      <c r="AM80" s="128">
        <f>+Actuals!AJ242</f>
        <v>0</v>
      </c>
      <c r="AN80" s="127">
        <f>+Actuals!AK242</f>
        <v>0</v>
      </c>
      <c r="AO80" s="128">
        <f>+Actuals!AL242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0</v>
      </c>
      <c r="F81" s="60">
        <f>'TIE-OUT'!L81+RECLASS!L81</f>
        <v>0</v>
      </c>
      <c r="G81" s="60">
        <f>'TIE-OUT'!M81+RECLASS!M81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  <c r="AF81" s="127">
        <f>+Actuals!AC243</f>
        <v>0</v>
      </c>
      <c r="AG81" s="128">
        <f>+Actuals!AD243</f>
        <v>0</v>
      </c>
      <c r="AH81" s="127">
        <f>+Actuals!AE243</f>
        <v>0</v>
      </c>
      <c r="AI81" s="128">
        <f>+Actuals!AF243</f>
        <v>0</v>
      </c>
      <c r="AJ81" s="127">
        <f>+Actuals!AG243</f>
        <v>0</v>
      </c>
      <c r="AK81" s="128">
        <f>+Actuals!AH243</f>
        <v>0</v>
      </c>
      <c r="AL81" s="127">
        <f>+Actuals!AI243</f>
        <v>0</v>
      </c>
      <c r="AM81" s="128">
        <f>+Actuals!AJ243</f>
        <v>0</v>
      </c>
      <c r="AN81" s="127">
        <f>+Actuals!AK243</f>
        <v>0</v>
      </c>
      <c r="AO81" s="128">
        <f>+Actuals!AL243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4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U187"/>
  <sheetViews>
    <sheetView zoomScale="75" workbookViewId="0">
      <pane xSplit="3" ySplit="9" topLeftCell="AG69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N74" sqref="AN7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49501006</v>
      </c>
      <c r="E11" s="38">
        <f t="shared" si="0"/>
        <v>117826134.73999999</v>
      </c>
      <c r="F11" s="60">
        <f>'TIE-OUT'!R11+RECLASS!R11</f>
        <v>0</v>
      </c>
      <c r="G11" s="38">
        <f>'TIE-OUT'!S11+RECLASS!S11</f>
        <v>1401510</v>
      </c>
      <c r="H11" s="127">
        <f>+Actuals!E244</f>
        <v>46588416</v>
      </c>
      <c r="I11" s="128">
        <f>+Actuals!F244</f>
        <v>109823077.37999998</v>
      </c>
      <c r="J11" s="127">
        <f>+Actuals!G244</f>
        <v>2971319</v>
      </c>
      <c r="K11" s="147">
        <f>+Actuals!H244</f>
        <v>6885811.54</v>
      </c>
      <c r="L11" s="127">
        <f>+Actuals!I244</f>
        <v>1903709</v>
      </c>
      <c r="M11" s="128">
        <f>+Actuals!J244</f>
        <v>4017634.18</v>
      </c>
      <c r="N11" s="127">
        <f>+Actuals!K244</f>
        <v>-1923683</v>
      </c>
      <c r="O11" s="128">
        <f>+Actuals!L244</f>
        <v>-4443613.5199999996</v>
      </c>
      <c r="P11" s="127">
        <f>+Actuals!M244</f>
        <v>342523</v>
      </c>
      <c r="Q11" s="128">
        <f>+Actuals!N244</f>
        <v>801864.62</v>
      </c>
      <c r="R11" s="127">
        <f>+Actuals!O244</f>
        <v>-55430</v>
      </c>
      <c r="S11" s="128">
        <f>+Actuals!P244</f>
        <v>20310.98</v>
      </c>
      <c r="T11" s="127">
        <f>+Actuals!Q244</f>
        <v>70695</v>
      </c>
      <c r="U11" s="157">
        <f>+Actuals!R244+116818</f>
        <v>291010.61</v>
      </c>
      <c r="V11" s="127">
        <f>+Actuals!S244</f>
        <v>5491</v>
      </c>
      <c r="W11" s="128">
        <f>+Actuals!T244</f>
        <v>11557.05</v>
      </c>
      <c r="X11" s="127">
        <f>+Actuals!U444</f>
        <v>-11513</v>
      </c>
      <c r="Y11" s="128">
        <f>+Actuals!V444</f>
        <v>-29704.17</v>
      </c>
      <c r="Z11" s="127">
        <f>+Actuals!W444</f>
        <v>-32087</v>
      </c>
      <c r="AA11" s="128">
        <f>+Actuals!X444</f>
        <v>-78405.78</v>
      </c>
      <c r="AB11" s="127">
        <f>+Actuals!Y444</f>
        <v>0</v>
      </c>
      <c r="AC11" s="128">
        <f>+Actuals!Z444</f>
        <v>0</v>
      </c>
      <c r="AD11" s="127">
        <f>+Actuals!AA444</f>
        <v>-23663</v>
      </c>
      <c r="AE11" s="128">
        <f>+Actuals!AB444</f>
        <v>-59752.29</v>
      </c>
      <c r="AF11" s="127">
        <f>+Actuals!AC444</f>
        <v>-41167</v>
      </c>
      <c r="AG11" s="128">
        <f>+Actuals!AD444</f>
        <v>-114038.65</v>
      </c>
      <c r="AH11" s="127">
        <f>+Actuals!AE444</f>
        <v>-294288</v>
      </c>
      <c r="AI11" s="128">
        <f>+Actuals!AF444</f>
        <v>-703261.61</v>
      </c>
      <c r="AJ11" s="127">
        <v>684</v>
      </c>
      <c r="AK11" s="128">
        <v>2133.4</v>
      </c>
      <c r="AL11" s="127">
        <v>0</v>
      </c>
      <c r="AM11" s="128">
        <v>1</v>
      </c>
      <c r="AN11" s="127">
        <v>0</v>
      </c>
      <c r="AO11" s="128"/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-3061539.4299999997</v>
      </c>
      <c r="F12" s="60">
        <f>'TIE-OUT'!R12+RECLASS!R12</f>
        <v>0</v>
      </c>
      <c r="G12" s="38">
        <f>'TIE-OUT'!S12+RECLASS!S12</f>
        <v>-3045242.3499999996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60">
        <f>+Actuals!H245-16486.18+189.1</f>
        <v>-16297.08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+Actuals!U445</f>
        <v>0</v>
      </c>
      <c r="Y12" s="128">
        <f>+Actuals!V445</f>
        <v>0</v>
      </c>
      <c r="Z12" s="127">
        <f>+Actuals!W445</f>
        <v>0</v>
      </c>
      <c r="AA12" s="128">
        <f>+Actuals!X445</f>
        <v>0</v>
      </c>
      <c r="AB12" s="127">
        <f>+Actuals!Y445</f>
        <v>0</v>
      </c>
      <c r="AC12" s="128">
        <f>+Actuals!Z445</f>
        <v>0</v>
      </c>
      <c r="AD12" s="127">
        <f>+Actuals!AA445</f>
        <v>0</v>
      </c>
      <c r="AE12" s="128">
        <f>+Actuals!AB445</f>
        <v>0</v>
      </c>
      <c r="AF12" s="127">
        <f>+Actuals!AC445</f>
        <v>0</v>
      </c>
      <c r="AG12" s="128">
        <f>+Actuals!AD445</f>
        <v>0</v>
      </c>
      <c r="AH12" s="127">
        <f>+Actuals!AE445</f>
        <v>0</v>
      </c>
      <c r="AI12" s="128">
        <f>+Actuals!AF445</f>
        <v>0</v>
      </c>
      <c r="AJ12" s="127">
        <f>+Actuals!AG445</f>
        <v>0</v>
      </c>
      <c r="AK12" s="128">
        <f>+Actuals!AH445</f>
        <v>0</v>
      </c>
      <c r="AL12" s="127">
        <f>+Actuals!AI445</f>
        <v>0</v>
      </c>
      <c r="AM12" s="128">
        <f>+Actuals!AJ445</f>
        <v>0</v>
      </c>
      <c r="AN12" s="127">
        <f>+Actuals!AK445</f>
        <v>0</v>
      </c>
      <c r="AO12" s="128">
        <f>+Actuals!AL445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33068401</v>
      </c>
      <c r="E13" s="38">
        <f t="shared" si="0"/>
        <v>74404619</v>
      </c>
      <c r="F13" s="60">
        <f>'TIE-OUT'!R13+RECLASS!R13</f>
        <v>0</v>
      </c>
      <c r="G13" s="38">
        <f>'TIE-OUT'!S13+RECLASS!S13</f>
        <v>0</v>
      </c>
      <c r="H13" s="127">
        <f>+Actuals!E246</f>
        <v>33068401</v>
      </c>
      <c r="I13" s="128">
        <f>+Actuals!F246</f>
        <v>74404619</v>
      </c>
      <c r="J13" s="127">
        <f>+Actuals!G246</f>
        <v>-2000</v>
      </c>
      <c r="K13" s="147">
        <f>+Actuals!H246</f>
        <v>-4399</v>
      </c>
      <c r="L13" s="127">
        <f>+Actuals!I246</f>
        <v>0</v>
      </c>
      <c r="M13" s="128">
        <f>+Actuals!J246</f>
        <v>0</v>
      </c>
      <c r="N13" s="127">
        <f>+Actuals!K246</f>
        <v>0</v>
      </c>
      <c r="O13" s="128">
        <f>+Actuals!L246</f>
        <v>0</v>
      </c>
      <c r="P13" s="127">
        <f>+Actuals!M246</f>
        <v>0</v>
      </c>
      <c r="Q13" s="128">
        <f>+Actuals!N246</f>
        <v>0</v>
      </c>
      <c r="R13" s="127">
        <f>+Actuals!O246</f>
        <v>71127</v>
      </c>
      <c r="S13" s="128">
        <f>+Actuals!P246</f>
        <v>159945</v>
      </c>
      <c r="T13" s="127">
        <f>+Actuals!Q246</f>
        <v>71127</v>
      </c>
      <c r="U13" s="128">
        <f>+Actuals!R246</f>
        <v>159945</v>
      </c>
      <c r="V13" s="127">
        <f>+Actuals!S246</f>
        <v>-140254</v>
      </c>
      <c r="W13" s="128">
        <f>+Actuals!T246</f>
        <v>-315491</v>
      </c>
      <c r="X13" s="127">
        <f>+Actuals!U446</f>
        <v>140254</v>
      </c>
      <c r="Y13" s="128">
        <f>+Actuals!V446</f>
        <v>315491</v>
      </c>
      <c r="Z13" s="127">
        <f>+Actuals!W446</f>
        <v>0</v>
      </c>
      <c r="AA13" s="128">
        <f>+Actuals!X446</f>
        <v>0</v>
      </c>
      <c r="AB13" s="127">
        <f>+Actuals!Y446</f>
        <v>-140254</v>
      </c>
      <c r="AC13" s="128">
        <f>+Actuals!Z446</f>
        <v>-315491</v>
      </c>
      <c r="AD13" s="127">
        <f>+Actuals!AA446</f>
        <v>0</v>
      </c>
      <c r="AE13" s="128">
        <f>+Actuals!AB446</f>
        <v>0</v>
      </c>
      <c r="AF13" s="127">
        <f>+Actuals!AC446</f>
        <v>0</v>
      </c>
      <c r="AG13" s="128">
        <f>+Actuals!AD446</f>
        <v>0</v>
      </c>
      <c r="AH13" s="127">
        <f>+Actuals!AE446</f>
        <v>0</v>
      </c>
      <c r="AI13" s="128">
        <f>+Actuals!AF446</f>
        <v>0</v>
      </c>
      <c r="AJ13" s="127">
        <f>+Actuals!AG446</f>
        <v>0</v>
      </c>
      <c r="AK13" s="128">
        <f>+Actuals!AH446</f>
        <v>0</v>
      </c>
      <c r="AL13" s="127">
        <f>+Actuals!AI446</f>
        <v>0</v>
      </c>
      <c r="AM13" s="128">
        <f>+Actuals!AJ446</f>
        <v>0</v>
      </c>
      <c r="AN13" s="127">
        <f>+Actuals!AK446</f>
        <v>0</v>
      </c>
      <c r="AO13" s="128">
        <f>+Actuals!AL446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+Actuals!U447</f>
        <v>0</v>
      </c>
      <c r="Y14" s="128">
        <f>+Actuals!V447</f>
        <v>0</v>
      </c>
      <c r="Z14" s="127">
        <f>+Actuals!W447</f>
        <v>0</v>
      </c>
      <c r="AA14" s="128">
        <f>+Actuals!X447</f>
        <v>0</v>
      </c>
      <c r="AB14" s="127">
        <f>+Actuals!Y447</f>
        <v>0</v>
      </c>
      <c r="AC14" s="128">
        <f>+Actuals!Z447</f>
        <v>0</v>
      </c>
      <c r="AD14" s="127">
        <f>+Actuals!AA447</f>
        <v>0</v>
      </c>
      <c r="AE14" s="128">
        <f>+Actuals!AB447</f>
        <v>0</v>
      </c>
      <c r="AF14" s="127">
        <f>+Actuals!AC447</f>
        <v>0</v>
      </c>
      <c r="AG14" s="128">
        <f>+Actuals!AD447</f>
        <v>0</v>
      </c>
      <c r="AH14" s="127">
        <f>+Actuals!AE447</f>
        <v>0</v>
      </c>
      <c r="AI14" s="128">
        <f>+Actuals!AF447</f>
        <v>0</v>
      </c>
      <c r="AJ14" s="127">
        <f>+Actuals!AG447</f>
        <v>0</v>
      </c>
      <c r="AK14" s="128">
        <f>+Actuals!AH447</f>
        <v>0</v>
      </c>
      <c r="AL14" s="127">
        <f>+Actuals!AI447</f>
        <v>0</v>
      </c>
      <c r="AM14" s="128">
        <f>+Actuals!AJ447</f>
        <v>0</v>
      </c>
      <c r="AN14" s="127">
        <f>+Actuals!AK447</f>
        <v>0</v>
      </c>
      <c r="AO14" s="128">
        <f>+Actuals!AL447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0</v>
      </c>
      <c r="R15" s="127">
        <f>+Actuals!O248</f>
        <v>0</v>
      </c>
      <c r="S15" s="128">
        <f>+Actuals!P248</f>
        <v>0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+Actuals!U448</f>
        <v>0</v>
      </c>
      <c r="Y15" s="128">
        <f>+Actuals!V448</f>
        <v>0</v>
      </c>
      <c r="Z15" s="127">
        <f>+Actuals!W448</f>
        <v>0</v>
      </c>
      <c r="AA15" s="128">
        <f>+Actuals!X448</f>
        <v>0</v>
      </c>
      <c r="AB15" s="127">
        <f>+Actuals!Y448</f>
        <v>0</v>
      </c>
      <c r="AC15" s="128">
        <f>+Actuals!Z448</f>
        <v>0</v>
      </c>
      <c r="AD15" s="127">
        <f>+Actuals!AA448</f>
        <v>0</v>
      </c>
      <c r="AE15" s="128">
        <f>+Actuals!AB448</f>
        <v>0</v>
      </c>
      <c r="AF15" s="127">
        <f>+Actuals!AC448</f>
        <v>0</v>
      </c>
      <c r="AG15" s="128">
        <f>+Actuals!AD448</f>
        <v>0</v>
      </c>
      <c r="AH15" s="127">
        <f>+Actuals!AE448</f>
        <v>0</v>
      </c>
      <c r="AI15" s="128">
        <f>+Actuals!AF448</f>
        <v>0</v>
      </c>
      <c r="AJ15" s="127">
        <f>+Actuals!AG448</f>
        <v>0</v>
      </c>
      <c r="AK15" s="128">
        <f>+Actuals!AH448</f>
        <v>0</v>
      </c>
      <c r="AL15" s="127">
        <f>+Actuals!AI448</f>
        <v>0</v>
      </c>
      <c r="AM15" s="128">
        <f>+Actuals!AJ448</f>
        <v>0</v>
      </c>
      <c r="AN15" s="127">
        <f>+Actuals!AK448</f>
        <v>0</v>
      </c>
      <c r="AO15" s="128">
        <f>+Actuals!AL448</f>
        <v>0</v>
      </c>
    </row>
    <row r="16" spans="1:41" x14ac:dyDescent="0.2">
      <c r="A16" s="9"/>
      <c r="B16" s="7" t="s">
        <v>32</v>
      </c>
      <c r="C16" s="6"/>
      <c r="D16" s="61">
        <f t="shared" ref="D16:Y16" si="1">SUM(D11:D15)</f>
        <v>82569407</v>
      </c>
      <c r="E16" s="39">
        <f t="shared" si="1"/>
        <v>189169214.31</v>
      </c>
      <c r="F16" s="61">
        <f t="shared" si="1"/>
        <v>0</v>
      </c>
      <c r="G16" s="39">
        <f t="shared" si="1"/>
        <v>-1643732.3499999996</v>
      </c>
      <c r="H16" s="61">
        <f t="shared" si="1"/>
        <v>79656817</v>
      </c>
      <c r="I16" s="39">
        <f t="shared" si="1"/>
        <v>184227696.38</v>
      </c>
      <c r="J16" s="61">
        <f t="shared" si="1"/>
        <v>2969319</v>
      </c>
      <c r="K16" s="148">
        <f t="shared" si="1"/>
        <v>6865115.46</v>
      </c>
      <c r="L16" s="61">
        <f t="shared" si="1"/>
        <v>1903709</v>
      </c>
      <c r="M16" s="39">
        <f t="shared" si="1"/>
        <v>4017634.18</v>
      </c>
      <c r="N16" s="61">
        <f t="shared" si="1"/>
        <v>-1923683</v>
      </c>
      <c r="O16" s="39">
        <f t="shared" si="1"/>
        <v>-4443613.5199999996</v>
      </c>
      <c r="P16" s="61">
        <f t="shared" si="1"/>
        <v>342523</v>
      </c>
      <c r="Q16" s="39">
        <f t="shared" si="1"/>
        <v>801864.62</v>
      </c>
      <c r="R16" s="61">
        <f t="shared" si="1"/>
        <v>15697</v>
      </c>
      <c r="S16" s="39">
        <f t="shared" si="1"/>
        <v>180255.98</v>
      </c>
      <c r="T16" s="61">
        <f t="shared" si="1"/>
        <v>141822</v>
      </c>
      <c r="U16" s="39">
        <f t="shared" si="1"/>
        <v>450955.61</v>
      </c>
      <c r="V16" s="61">
        <f t="shared" si="1"/>
        <v>-134763</v>
      </c>
      <c r="W16" s="39">
        <f t="shared" si="1"/>
        <v>-303933.95</v>
      </c>
      <c r="X16" s="61">
        <f t="shared" si="1"/>
        <v>128741</v>
      </c>
      <c r="Y16" s="39">
        <f t="shared" si="1"/>
        <v>285786.83</v>
      </c>
      <c r="Z16" s="61">
        <f t="shared" ref="Z16:AE16" si="2">SUM(Z11:Z15)</f>
        <v>-32087</v>
      </c>
      <c r="AA16" s="39">
        <f t="shared" si="2"/>
        <v>-78405.78</v>
      </c>
      <c r="AB16" s="61">
        <f t="shared" si="2"/>
        <v>-140254</v>
      </c>
      <c r="AC16" s="39">
        <f t="shared" si="2"/>
        <v>-315491</v>
      </c>
      <c r="AD16" s="61">
        <f t="shared" si="2"/>
        <v>-23663</v>
      </c>
      <c r="AE16" s="39">
        <f t="shared" si="2"/>
        <v>-59752.29</v>
      </c>
      <c r="AF16" s="61">
        <f t="shared" ref="AF16:AK16" si="3">SUM(AF11:AF15)</f>
        <v>-41167</v>
      </c>
      <c r="AG16" s="39">
        <f t="shared" si="3"/>
        <v>-114038.65</v>
      </c>
      <c r="AH16" s="61">
        <f t="shared" si="3"/>
        <v>-294288</v>
      </c>
      <c r="AI16" s="39">
        <f t="shared" si="3"/>
        <v>-703261.61</v>
      </c>
      <c r="AJ16" s="61">
        <f t="shared" si="3"/>
        <v>684</v>
      </c>
      <c r="AK16" s="39">
        <f t="shared" si="3"/>
        <v>2133.4</v>
      </c>
      <c r="AL16" s="61">
        <f>SUM(AL11:AL15)</f>
        <v>0</v>
      </c>
      <c r="AM16" s="39">
        <f>SUM(AM11:AM15)</f>
        <v>1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-41085848</v>
      </c>
      <c r="E19" s="38">
        <f t="shared" si="4"/>
        <v>-92497209.00999999</v>
      </c>
      <c r="F19" s="64">
        <f>'TIE-OUT'!R19+RECLASS!R19</f>
        <v>0</v>
      </c>
      <c r="G19" s="68">
        <f>'TIE-OUT'!S19+RECLASS!S19</f>
        <v>0</v>
      </c>
      <c r="H19" s="127">
        <f>+Actuals!E249</f>
        <v>-36261005</v>
      </c>
      <c r="I19" s="128">
        <f>+Actuals!F249</f>
        <v>-80884334.840000004</v>
      </c>
      <c r="J19" s="127">
        <f>+Actuals!G249</f>
        <v>-4470090</v>
      </c>
      <c r="K19" s="147">
        <f>+Actuals!H249</f>
        <v>-10823648.4</v>
      </c>
      <c r="L19" s="127">
        <f>+Actuals!I249</f>
        <v>-101385</v>
      </c>
      <c r="M19" s="128">
        <f>+Actuals!J249</f>
        <v>-218786.66</v>
      </c>
      <c r="N19" s="127">
        <f>+Actuals!K249</f>
        <v>181570</v>
      </c>
      <c r="O19" s="128">
        <f>+Actuals!L249</f>
        <v>422303.8</v>
      </c>
      <c r="P19" s="127">
        <f>+Actuals!M249</f>
        <v>-56000</v>
      </c>
      <c r="Q19" s="128">
        <f>+Actuals!N249</f>
        <v>-122080</v>
      </c>
      <c r="R19" s="127">
        <f>+Actuals!O249</f>
        <v>-7417</v>
      </c>
      <c r="S19" s="128">
        <f>+Actuals!P249</f>
        <v>-20420.96</v>
      </c>
      <c r="T19" s="127">
        <f>+Actuals!Q249</f>
        <v>-81250</v>
      </c>
      <c r="U19" s="128">
        <f>+Actuals!R249</f>
        <v>-179348.03</v>
      </c>
      <c r="V19" s="127">
        <f>+Actuals!S249</f>
        <v>-5491</v>
      </c>
      <c r="W19" s="128">
        <f>+Actuals!T249</f>
        <v>-11833.1</v>
      </c>
      <c r="X19" s="127">
        <f>+Actuals!U449</f>
        <v>11513</v>
      </c>
      <c r="Y19" s="128">
        <f>+Actuals!V449</f>
        <v>26036.79</v>
      </c>
      <c r="Z19" s="127">
        <f>+Actuals!W449</f>
        <v>31962</v>
      </c>
      <c r="AA19" s="128">
        <f>+Actuals!X449</f>
        <v>69720.149999999994</v>
      </c>
      <c r="AB19" s="127">
        <f>+Actuals!Y449</f>
        <v>-100</v>
      </c>
      <c r="AC19" s="128">
        <f>+Actuals!Z449</f>
        <v>-216</v>
      </c>
      <c r="AD19" s="127">
        <f>+Actuals!AA449</f>
        <v>0</v>
      </c>
      <c r="AE19" s="128">
        <f>+Actuals!AB449</f>
        <v>0</v>
      </c>
      <c r="AF19" s="127">
        <f>+Actuals!AC449</f>
        <v>-324293</v>
      </c>
      <c r="AG19" s="128">
        <f>+Actuals!AD449</f>
        <v>-740357.18</v>
      </c>
      <c r="AH19" s="127">
        <f>+Actuals!AE449</f>
        <v>-8342</v>
      </c>
      <c r="AI19" s="128">
        <f>+Actuals!AF449</f>
        <v>-19016.599999999999</v>
      </c>
      <c r="AJ19" s="127">
        <f>+Actuals!AG449</f>
        <v>0</v>
      </c>
      <c r="AK19" s="128">
        <f>+Actuals!AH449</f>
        <v>0</v>
      </c>
      <c r="AL19" s="127">
        <v>59050</v>
      </c>
      <c r="AM19" s="128">
        <v>133583</v>
      </c>
      <c r="AN19" s="127">
        <v>-54570</v>
      </c>
      <c r="AO19" s="128">
        <v>-128810.98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-602673.74000000011</v>
      </c>
      <c r="F20" s="60">
        <f>'TIE-OUT'!R20+RECLASS!R20</f>
        <v>0</v>
      </c>
      <c r="G20" s="38">
        <f>'TIE-OUT'!S20+RECLASS!S20</f>
        <v>-602673.74000000011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f>+Actuals!H250</f>
        <v>0</v>
      </c>
      <c r="L20" s="127">
        <f>+Actuals!I250</f>
        <v>0</v>
      </c>
      <c r="M20" s="128">
        <f>+Actuals!J250</f>
        <v>0</v>
      </c>
      <c r="N20" s="127">
        <f>+Actuals!K250</f>
        <v>0</v>
      </c>
      <c r="O20" s="128">
        <f>+Actuals!L250</f>
        <v>0</v>
      </c>
      <c r="P20" s="127">
        <f>+Actuals!M250</f>
        <v>0</v>
      </c>
      <c r="Q20" s="128">
        <f>+Actuals!N250</f>
        <v>0</v>
      </c>
      <c r="R20" s="127">
        <f>+Actuals!O250</f>
        <v>0</v>
      </c>
      <c r="S20" s="128">
        <f>+Actuals!P250</f>
        <v>0</v>
      </c>
      <c r="T20" s="127">
        <f>+Actuals!Q250</f>
        <v>0</v>
      </c>
      <c r="U20" s="128">
        <f>+Actuals!R250</f>
        <v>0</v>
      </c>
      <c r="V20" s="127">
        <f>+Actuals!S250</f>
        <v>0</v>
      </c>
      <c r="W20" s="128">
        <f>+Actuals!T250</f>
        <v>0</v>
      </c>
      <c r="X20" s="127">
        <f>+Actuals!U450</f>
        <v>0</v>
      </c>
      <c r="Y20" s="157">
        <v>0</v>
      </c>
      <c r="Z20" s="127">
        <f>+Actuals!W450</f>
        <v>0</v>
      </c>
      <c r="AA20" s="128">
        <v>0</v>
      </c>
      <c r="AB20" s="127">
        <f>+Actuals!Y450</f>
        <v>0</v>
      </c>
      <c r="AC20" s="128">
        <v>0</v>
      </c>
      <c r="AD20" s="127">
        <f>+Actuals!AA450</f>
        <v>0</v>
      </c>
      <c r="AE20" s="128">
        <v>0</v>
      </c>
      <c r="AF20" s="127">
        <f>+Actuals!AC450</f>
        <v>0</v>
      </c>
      <c r="AG20" s="128">
        <v>0</v>
      </c>
      <c r="AH20" s="127">
        <f>+Actuals!AE450</f>
        <v>0</v>
      </c>
      <c r="AI20" s="128">
        <v>0</v>
      </c>
      <c r="AJ20" s="127">
        <f>+Actuals!AG450</f>
        <v>0</v>
      </c>
      <c r="AK20" s="128">
        <v>0</v>
      </c>
      <c r="AL20" s="127">
        <f>+Actuals!AI450</f>
        <v>0</v>
      </c>
      <c r="AM20" s="128">
        <v>0</v>
      </c>
      <c r="AN20" s="127">
        <f>+Actuals!AK450</f>
        <v>0</v>
      </c>
      <c r="AO20" s="128"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-35034400</v>
      </c>
      <c r="E21" s="38">
        <f t="shared" si="4"/>
        <v>-78683911</v>
      </c>
      <c r="F21" s="60">
        <f>'TIE-OUT'!R21+RECLASS!R21</f>
        <v>0</v>
      </c>
      <c r="G21" s="38">
        <f>'TIE-OUT'!S21+RECLASS!S21</f>
        <v>0</v>
      </c>
      <c r="H21" s="127">
        <f>+Actuals!E251</f>
        <v>-35034400</v>
      </c>
      <c r="I21" s="128">
        <f>+Actuals!F251</f>
        <v>-78683911</v>
      </c>
      <c r="J21" s="127">
        <f>+Actuals!G251</f>
        <v>395139</v>
      </c>
      <c r="K21" s="147">
        <f>+Actuals!H251</f>
        <v>865067</v>
      </c>
      <c r="L21" s="127">
        <f>+Actuals!I251</f>
        <v>0</v>
      </c>
      <c r="M21" s="128">
        <f>+Actuals!J251</f>
        <v>0</v>
      </c>
      <c r="N21" s="127">
        <f>+Actuals!K251</f>
        <v>-20682</v>
      </c>
      <c r="O21" s="128">
        <f>+Actuals!L251</f>
        <v>-43946</v>
      </c>
      <c r="P21" s="127">
        <f>+Actuals!M251</f>
        <v>0</v>
      </c>
      <c r="Q21" s="128">
        <f>+Actuals!N251</f>
        <v>0</v>
      </c>
      <c r="R21" s="127">
        <f>+Actuals!O251</f>
        <v>-71127</v>
      </c>
      <c r="S21" s="128">
        <f>+Actuals!P251</f>
        <v>-159945</v>
      </c>
      <c r="T21" s="127">
        <f>+Actuals!Q251</f>
        <v>-71127</v>
      </c>
      <c r="U21" s="128">
        <f>+Actuals!R251</f>
        <v>-159945</v>
      </c>
      <c r="V21" s="127">
        <f>+Actuals!S251</f>
        <v>-232203</v>
      </c>
      <c r="W21" s="128">
        <f>+Actuals!T251</f>
        <v>-501231</v>
      </c>
      <c r="X21" s="127">
        <f>+Actuals!U451</f>
        <v>232203</v>
      </c>
      <c r="Y21" s="128">
        <f>+Actuals!V451</f>
        <v>501231</v>
      </c>
      <c r="Z21" s="127">
        <f>+Actuals!W451</f>
        <v>0</v>
      </c>
      <c r="AA21" s="128">
        <f>+Actuals!X451</f>
        <v>0</v>
      </c>
      <c r="AB21" s="127">
        <f>+Actuals!Y451</f>
        <v>-232203</v>
      </c>
      <c r="AC21" s="128">
        <f>+Actuals!Z451</f>
        <v>-501231</v>
      </c>
      <c r="AD21" s="127">
        <f>+Actuals!AA451</f>
        <v>0</v>
      </c>
      <c r="AE21" s="128">
        <f>+Actuals!AB451</f>
        <v>0</v>
      </c>
      <c r="AF21" s="127">
        <f>+Actuals!AC451</f>
        <v>0</v>
      </c>
      <c r="AG21" s="128">
        <f>+Actuals!AD451</f>
        <v>0</v>
      </c>
      <c r="AH21" s="127">
        <f>+Actuals!AE451</f>
        <v>0</v>
      </c>
      <c r="AI21" s="128">
        <f>+Actuals!AF451</f>
        <v>0</v>
      </c>
      <c r="AJ21" s="127">
        <f>+Actuals!AG451</f>
        <v>0</v>
      </c>
      <c r="AK21" s="128">
        <f>+Actuals!AH451</f>
        <v>0</v>
      </c>
      <c r="AL21" s="127">
        <f>+Actuals!AI451</f>
        <v>0</v>
      </c>
      <c r="AM21" s="128">
        <f>+Actuals!AJ451</f>
        <v>0</v>
      </c>
      <c r="AN21" s="127">
        <f>+Actuals!AK451</f>
        <v>0</v>
      </c>
      <c r="AO21" s="128">
        <f>+Actuals!AL451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+Actuals!U452</f>
        <v>0</v>
      </c>
      <c r="Y22" s="128">
        <f>+Actuals!V452</f>
        <v>0</v>
      </c>
      <c r="Z22" s="127">
        <f>+Actuals!W452</f>
        <v>0</v>
      </c>
      <c r="AA22" s="128">
        <f>+Actuals!X452</f>
        <v>0</v>
      </c>
      <c r="AB22" s="127">
        <f>+Actuals!Y452</f>
        <v>0</v>
      </c>
      <c r="AC22" s="128">
        <f>+Actuals!Z452</f>
        <v>0</v>
      </c>
      <c r="AD22" s="127">
        <f>+Actuals!AA452</f>
        <v>0</v>
      </c>
      <c r="AE22" s="128">
        <f>+Actuals!AB452</f>
        <v>0</v>
      </c>
      <c r="AF22" s="127">
        <f>+Actuals!AC452</f>
        <v>0</v>
      </c>
      <c r="AG22" s="128">
        <f>+Actuals!AD452</f>
        <v>0</v>
      </c>
      <c r="AH22" s="127">
        <f>+Actuals!AE452</f>
        <v>0</v>
      </c>
      <c r="AI22" s="128">
        <f>+Actuals!AF452</f>
        <v>0</v>
      </c>
      <c r="AJ22" s="127">
        <f>+Actuals!AG452</f>
        <v>0</v>
      </c>
      <c r="AK22" s="128">
        <f>+Actuals!AH452</f>
        <v>0</v>
      </c>
      <c r="AL22" s="127">
        <f>+Actuals!AI452</f>
        <v>0</v>
      </c>
      <c r="AM22" s="128">
        <f>+Actuals!AJ452</f>
        <v>0</v>
      </c>
      <c r="AN22" s="127">
        <f>+Actuals!AK452</f>
        <v>0</v>
      </c>
      <c r="AO22" s="128">
        <f>+Actuals!AL452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11841</v>
      </c>
      <c r="E23" s="38">
        <f t="shared" si="4"/>
        <v>27092.21</v>
      </c>
      <c r="F23" s="81">
        <f>'TIE-OUT'!R23+RECLASS!R23</f>
        <v>0</v>
      </c>
      <c r="G23" s="82">
        <f>'TIE-OUT'!S23+RECLASS!S23</f>
        <v>0</v>
      </c>
      <c r="H23" s="127">
        <f>+Actuals!E253</f>
        <v>3105</v>
      </c>
      <c r="I23" s="128">
        <f>+Actuals!F253</f>
        <v>7104.24</v>
      </c>
      <c r="J23" s="127">
        <f>+Actuals!G253</f>
        <v>8735</v>
      </c>
      <c r="K23" s="147">
        <f>+Actuals!H253</f>
        <v>19985.68</v>
      </c>
      <c r="L23" s="127">
        <f>+Actuals!I253</f>
        <v>1</v>
      </c>
      <c r="M23" s="128">
        <f>+Actuals!J253</f>
        <v>2.29</v>
      </c>
      <c r="N23" s="127">
        <f>+Actuals!K253</f>
        <v>0</v>
      </c>
      <c r="O23" s="128">
        <f>+Actuals!L253</f>
        <v>0</v>
      </c>
      <c r="P23" s="127">
        <f>+Actuals!M253</f>
        <v>0</v>
      </c>
      <c r="Q23" s="128">
        <f>+Actuals!N253</f>
        <v>0</v>
      </c>
      <c r="R23" s="127">
        <f>+Actuals!O253</f>
        <v>0</v>
      </c>
      <c r="S23" s="128">
        <f>+Actuals!P253</f>
        <v>0</v>
      </c>
      <c r="T23" s="127">
        <f>+Actuals!Q253</f>
        <v>0</v>
      </c>
      <c r="U23" s="128">
        <f>+Actuals!R253</f>
        <v>0</v>
      </c>
      <c r="V23" s="127">
        <f>+Actuals!S253</f>
        <v>0</v>
      </c>
      <c r="W23" s="128">
        <f>+Actuals!T253</f>
        <v>0</v>
      </c>
      <c r="X23" s="127">
        <f>+Actuals!U453</f>
        <v>0</v>
      </c>
      <c r="Y23" s="128">
        <f>+Actuals!V453</f>
        <v>0</v>
      </c>
      <c r="Z23" s="127">
        <f>+Actuals!W453</f>
        <v>0</v>
      </c>
      <c r="AA23" s="128">
        <f>+Actuals!X453</f>
        <v>0</v>
      </c>
      <c r="AB23" s="127">
        <f>+Actuals!Y453</f>
        <v>0</v>
      </c>
      <c r="AC23" s="128">
        <f>+Actuals!Z453</f>
        <v>0</v>
      </c>
      <c r="AD23" s="127">
        <f>+Actuals!AA453</f>
        <v>0</v>
      </c>
      <c r="AE23" s="128">
        <f>+Actuals!AB453</f>
        <v>0</v>
      </c>
      <c r="AF23" s="127">
        <f>+Actuals!AC453</f>
        <v>0</v>
      </c>
      <c r="AG23" s="128">
        <f>+Actuals!AD453</f>
        <v>0</v>
      </c>
      <c r="AH23" s="127">
        <f>+Actuals!AE453</f>
        <v>0</v>
      </c>
      <c r="AI23" s="128">
        <f>+Actuals!AF453</f>
        <v>0</v>
      </c>
      <c r="AJ23" s="127">
        <f>+Actuals!AG453</f>
        <v>0</v>
      </c>
      <c r="AK23" s="128">
        <f>+Actuals!AH453</f>
        <v>0</v>
      </c>
      <c r="AL23" s="127">
        <f>+Actuals!AI453</f>
        <v>0</v>
      </c>
      <c r="AM23" s="128">
        <f>+Actuals!AJ453</f>
        <v>0</v>
      </c>
      <c r="AN23" s="127">
        <f>+Actuals!AK453</f>
        <v>0</v>
      </c>
      <c r="AO23" s="128">
        <f>+Actuals!AL453</f>
        <v>0</v>
      </c>
    </row>
    <row r="24" spans="1:41" x14ac:dyDescent="0.2">
      <c r="A24" s="9"/>
      <c r="B24" s="7" t="s">
        <v>35</v>
      </c>
      <c r="C24" s="6"/>
      <c r="D24" s="61">
        <f t="shared" ref="D24:Y24" si="5">SUM(D19:D23)</f>
        <v>-76108407</v>
      </c>
      <c r="E24" s="39">
        <f t="shared" si="5"/>
        <v>-171756701.53999999</v>
      </c>
      <c r="F24" s="61">
        <f t="shared" si="5"/>
        <v>0</v>
      </c>
      <c r="G24" s="39">
        <f t="shared" si="5"/>
        <v>-602673.74000000011</v>
      </c>
      <c r="H24" s="61">
        <f t="shared" si="5"/>
        <v>-71292300</v>
      </c>
      <c r="I24" s="39">
        <f t="shared" si="5"/>
        <v>-159561141.59999999</v>
      </c>
      <c r="J24" s="61">
        <f t="shared" si="5"/>
        <v>-4066216</v>
      </c>
      <c r="K24" s="148">
        <f t="shared" si="5"/>
        <v>-9938595.7200000007</v>
      </c>
      <c r="L24" s="61">
        <f t="shared" si="5"/>
        <v>-101384</v>
      </c>
      <c r="M24" s="39">
        <f t="shared" si="5"/>
        <v>-218784.37</v>
      </c>
      <c r="N24" s="61">
        <f t="shared" si="5"/>
        <v>160888</v>
      </c>
      <c r="O24" s="39">
        <f t="shared" si="5"/>
        <v>378357.8</v>
      </c>
      <c r="P24" s="61">
        <f t="shared" si="5"/>
        <v>-56000</v>
      </c>
      <c r="Q24" s="39">
        <f t="shared" si="5"/>
        <v>-122080</v>
      </c>
      <c r="R24" s="61">
        <f t="shared" si="5"/>
        <v>-78544</v>
      </c>
      <c r="S24" s="39">
        <f t="shared" si="5"/>
        <v>-180365.96</v>
      </c>
      <c r="T24" s="61">
        <f t="shared" si="5"/>
        <v>-152377</v>
      </c>
      <c r="U24" s="39">
        <f t="shared" si="5"/>
        <v>-339293.03</v>
      </c>
      <c r="V24" s="61">
        <f t="shared" si="5"/>
        <v>-237694</v>
      </c>
      <c r="W24" s="39">
        <f t="shared" si="5"/>
        <v>-513064.1</v>
      </c>
      <c r="X24" s="61">
        <f t="shared" si="5"/>
        <v>243716</v>
      </c>
      <c r="Y24" s="39">
        <f t="shared" si="5"/>
        <v>527267.79</v>
      </c>
      <c r="Z24" s="61">
        <f t="shared" ref="Z24:AE24" si="6">SUM(Z19:Z23)</f>
        <v>31962</v>
      </c>
      <c r="AA24" s="39">
        <f t="shared" si="6"/>
        <v>69720.149999999994</v>
      </c>
      <c r="AB24" s="61">
        <f t="shared" si="6"/>
        <v>-232303</v>
      </c>
      <c r="AC24" s="39">
        <f t="shared" si="6"/>
        <v>-501447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-324293</v>
      </c>
      <c r="AG24" s="39">
        <f t="shared" si="7"/>
        <v>-740357.18</v>
      </c>
      <c r="AH24" s="61">
        <f t="shared" si="7"/>
        <v>-8342</v>
      </c>
      <c r="AI24" s="39">
        <f t="shared" si="7"/>
        <v>-19016.599999999999</v>
      </c>
      <c r="AJ24" s="61">
        <f t="shared" si="7"/>
        <v>0</v>
      </c>
      <c r="AK24" s="39">
        <f t="shared" si="7"/>
        <v>0</v>
      </c>
      <c r="AL24" s="61">
        <f>SUM(AL19:AL23)</f>
        <v>59050</v>
      </c>
      <c r="AM24" s="39">
        <f>SUM(AM19:AM23)</f>
        <v>133583</v>
      </c>
      <c r="AN24" s="61">
        <f>SUM(AN19:AN23)</f>
        <v>-54570</v>
      </c>
      <c r="AO24" s="39">
        <f>SUM(AO19:AO23)</f>
        <v>-128810.98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216191</v>
      </c>
      <c r="E27" s="38">
        <f>SUM(G27,I27,K27,M27,O27,Q27,S27,U27,W27,Y27,AA27,AC27,AE27,AG27,AI27,AK27,AM27,AO27)</f>
        <v>508049.6</v>
      </c>
      <c r="F27" s="64">
        <f>'TIE-OUT'!R27+RECLASS!R27</f>
        <v>0</v>
      </c>
      <c r="G27" s="68">
        <f>'TIE-OUT'!S27+RECLASS!S27</f>
        <v>0</v>
      </c>
      <c r="H27" s="127">
        <f>+Actuals!E254</f>
        <v>206328</v>
      </c>
      <c r="I27" s="128">
        <f>+Actuals!F254</f>
        <v>484870.78</v>
      </c>
      <c r="J27" s="127">
        <f>+Actuals!G254</f>
        <v>12</v>
      </c>
      <c r="K27" s="147">
        <f>+Actuals!H254</f>
        <v>28.22</v>
      </c>
      <c r="L27" s="127">
        <f>+Actuals!I254</f>
        <v>10233</v>
      </c>
      <c r="M27" s="128">
        <f>+Actuals!J254</f>
        <v>24048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-384</v>
      </c>
      <c r="U27" s="128">
        <f>+Actuals!R254</f>
        <v>-902.4</v>
      </c>
      <c r="V27" s="127">
        <f>+Actuals!S254</f>
        <v>0</v>
      </c>
      <c r="W27" s="128">
        <f>+Actuals!T254</f>
        <v>0</v>
      </c>
      <c r="X27" s="127">
        <f>+Actuals!U454</f>
        <v>0</v>
      </c>
      <c r="Y27" s="128">
        <f>+Actuals!V454</f>
        <v>0</v>
      </c>
      <c r="Z27" s="127">
        <f>+Actuals!W454</f>
        <v>0</v>
      </c>
      <c r="AA27" s="128">
        <f>+Actuals!X454</f>
        <v>0</v>
      </c>
      <c r="AB27" s="127">
        <f>+Actuals!Y454</f>
        <v>0</v>
      </c>
      <c r="AC27" s="128">
        <f>+Actuals!Z454</f>
        <v>0</v>
      </c>
      <c r="AD27" s="127">
        <f>+Actuals!AA454</f>
        <v>0</v>
      </c>
      <c r="AE27" s="128">
        <f>+Actuals!AB454</f>
        <v>0</v>
      </c>
      <c r="AF27" s="127">
        <f>+Actuals!AC454</f>
        <v>0</v>
      </c>
      <c r="AG27" s="128">
        <f>+Actuals!AD454</f>
        <v>0</v>
      </c>
      <c r="AH27" s="127">
        <f>+Actuals!AE454</f>
        <v>0</v>
      </c>
      <c r="AI27" s="128">
        <f>+Actuals!AF454</f>
        <v>0</v>
      </c>
      <c r="AJ27" s="127">
        <f>+Actuals!AG454</f>
        <v>0</v>
      </c>
      <c r="AK27" s="128">
        <f>+Actuals!AH454</f>
        <v>0</v>
      </c>
      <c r="AL27" s="127">
        <v>2</v>
      </c>
      <c r="AM27" s="128">
        <v>5</v>
      </c>
      <c r="AN27" s="127"/>
      <c r="AO27" s="128"/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-15245803</v>
      </c>
      <c r="E28" s="38">
        <f>SUM(G28,I28,K28,M28,O28,Q28,S28,U28,W28,Y28,AA28,AC28,AE28,AG28,AI28,AK28,AM28,AO28)</f>
        <v>-35695942.630000018</v>
      </c>
      <c r="F28" s="81">
        <f>'TIE-OUT'!R28+RECLASS!R28</f>
        <v>0</v>
      </c>
      <c r="G28" s="82">
        <f>'TIE-OUT'!S28+RECLASS!S28</f>
        <v>0</v>
      </c>
      <c r="H28" s="127">
        <f>+Actuals!E255</f>
        <v>-15270698</v>
      </c>
      <c r="I28" s="128">
        <f>+Actuals!F255</f>
        <v>-35719954.380000003</v>
      </c>
      <c r="J28" s="127">
        <f>+Actuals!G255</f>
        <v>-140268</v>
      </c>
      <c r="K28" s="147">
        <f>+Actuals!H255</f>
        <v>-330990.06</v>
      </c>
      <c r="L28" s="127">
        <f>+Actuals!I255</f>
        <v>-694255</v>
      </c>
      <c r="M28" s="128">
        <f>+Actuals!J255</f>
        <v>-716.57</v>
      </c>
      <c r="N28" s="127">
        <f>+Actuals!K255</f>
        <v>690698</v>
      </c>
      <c r="O28" s="128">
        <f>+Actuals!L255</f>
        <v>-7760.43</v>
      </c>
      <c r="P28" s="127">
        <f>+Actuals!M255</f>
        <v>0</v>
      </c>
      <c r="Q28" s="128">
        <f>+Actuals!N255</f>
        <v>0</v>
      </c>
      <c r="R28" s="127">
        <f>+Actuals!O255</f>
        <v>138080</v>
      </c>
      <c r="S28" s="128">
        <f>+Actuals!P255</f>
        <v>291468</v>
      </c>
      <c r="T28" s="127">
        <f>+Actuals!Q255</f>
        <v>10233</v>
      </c>
      <c r="U28" s="128">
        <f>+Actuals!R255</f>
        <v>24047.55</v>
      </c>
      <c r="V28" s="127">
        <f>+Actuals!S255</f>
        <v>0</v>
      </c>
      <c r="W28" s="128">
        <f>+Actuals!T255</f>
        <v>0</v>
      </c>
      <c r="X28" s="127">
        <f>+Actuals!U455</f>
        <v>0</v>
      </c>
      <c r="Y28" s="128">
        <f>+Actuals!V455</f>
        <v>0</v>
      </c>
      <c r="Z28" s="127">
        <f>+Actuals!W455</f>
        <v>0</v>
      </c>
      <c r="AA28" s="128">
        <f>+Actuals!X455</f>
        <v>0</v>
      </c>
      <c r="AB28" s="127">
        <f>+Actuals!Y455</f>
        <v>21218</v>
      </c>
      <c r="AC28" s="128">
        <f>+Actuals!Z455</f>
        <v>49862.3</v>
      </c>
      <c r="AD28" s="127">
        <f>+Actuals!AA455</f>
        <v>0</v>
      </c>
      <c r="AE28" s="128">
        <f>+Actuals!AB455</f>
        <v>0</v>
      </c>
      <c r="AF28" s="127">
        <f>+Actuals!AC455</f>
        <v>-732</v>
      </c>
      <c r="AG28" s="128">
        <f>+Actuals!AD455</f>
        <v>-1720.2</v>
      </c>
      <c r="AH28" s="127">
        <f>+Actuals!AE455</f>
        <v>-79</v>
      </c>
      <c r="AI28" s="128">
        <f>+Actuals!AF455</f>
        <v>-178.84</v>
      </c>
      <c r="AJ28" s="127">
        <f>+Actuals!AG455</f>
        <v>0</v>
      </c>
      <c r="AK28" s="128">
        <f>+Actuals!AH455</f>
        <v>0</v>
      </c>
      <c r="AL28" s="127">
        <f>+Actuals!AI455</f>
        <v>0</v>
      </c>
      <c r="AM28" s="128">
        <f>+Actuals!AJ455</f>
        <v>0</v>
      </c>
      <c r="AN28" s="127">
        <f>+Actuals!AK455</f>
        <v>0</v>
      </c>
      <c r="AO28" s="128">
        <f>+Actuals!AL455</f>
        <v>0</v>
      </c>
    </row>
    <row r="29" spans="1:41" x14ac:dyDescent="0.2">
      <c r="A29" s="9"/>
      <c r="B29" s="7" t="s">
        <v>39</v>
      </c>
      <c r="C29" s="18"/>
      <c r="D29" s="61">
        <f t="shared" ref="D29:Y29" si="8">SUM(D27:D28)</f>
        <v>-15029612</v>
      </c>
      <c r="E29" s="39">
        <f t="shared" si="8"/>
        <v>-35187893.030000016</v>
      </c>
      <c r="F29" s="61">
        <f t="shared" si="8"/>
        <v>0</v>
      </c>
      <c r="G29" s="39">
        <f t="shared" si="8"/>
        <v>0</v>
      </c>
      <c r="H29" s="61">
        <f t="shared" si="8"/>
        <v>-15064370</v>
      </c>
      <c r="I29" s="39">
        <f t="shared" si="8"/>
        <v>-35235083.600000001</v>
      </c>
      <c r="J29" s="61">
        <f t="shared" si="8"/>
        <v>-140256</v>
      </c>
      <c r="K29" s="148">
        <f t="shared" si="8"/>
        <v>-330961.84000000003</v>
      </c>
      <c r="L29" s="61">
        <f t="shared" si="8"/>
        <v>-684022</v>
      </c>
      <c r="M29" s="39">
        <f t="shared" si="8"/>
        <v>23331.43</v>
      </c>
      <c r="N29" s="61">
        <f t="shared" si="8"/>
        <v>690698</v>
      </c>
      <c r="O29" s="39">
        <f t="shared" si="8"/>
        <v>-7760.43</v>
      </c>
      <c r="P29" s="61">
        <f t="shared" si="8"/>
        <v>0</v>
      </c>
      <c r="Q29" s="39">
        <f t="shared" si="8"/>
        <v>0</v>
      </c>
      <c r="R29" s="61">
        <f t="shared" si="8"/>
        <v>138080</v>
      </c>
      <c r="S29" s="39">
        <f t="shared" si="8"/>
        <v>291468</v>
      </c>
      <c r="T29" s="61">
        <f t="shared" si="8"/>
        <v>9849</v>
      </c>
      <c r="U29" s="39">
        <f t="shared" si="8"/>
        <v>23145.149999999998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21218</v>
      </c>
      <c r="AC29" s="39">
        <f t="shared" si="9"/>
        <v>49862.3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-732</v>
      </c>
      <c r="AG29" s="39">
        <f t="shared" si="10"/>
        <v>-1720.2</v>
      </c>
      <c r="AH29" s="61">
        <f t="shared" si="10"/>
        <v>-79</v>
      </c>
      <c r="AI29" s="39">
        <f t="shared" si="10"/>
        <v>-178.84</v>
      </c>
      <c r="AJ29" s="61">
        <f t="shared" si="10"/>
        <v>0</v>
      </c>
      <c r="AK29" s="39">
        <f t="shared" si="10"/>
        <v>0</v>
      </c>
      <c r="AL29" s="61">
        <f>SUM(AL27:AL28)</f>
        <v>2</v>
      </c>
      <c r="AM29" s="39">
        <f>SUM(AM27:AM28)</f>
        <v>5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13537</v>
      </c>
      <c r="E32" s="38">
        <f t="shared" si="11"/>
        <v>30971.701999999885</v>
      </c>
      <c r="F32" s="64">
        <f>'TIE-OUT'!R32+RECLASS!R32</f>
        <v>0</v>
      </c>
      <c r="G32" s="68">
        <f>'TIE-OUT'!S32+RECLASS!S32</f>
        <v>0</v>
      </c>
      <c r="H32" s="127">
        <f>+Actuals!E256</f>
        <v>-10813</v>
      </c>
      <c r="I32" s="128">
        <f>+Actuals!F256</f>
        <v>-24740.14</v>
      </c>
      <c r="J32" s="127">
        <f>+Actuals!G256</f>
        <v>-157218</v>
      </c>
      <c r="K32" s="147">
        <f>+Actuals!H256</f>
        <v>-341735.47</v>
      </c>
      <c r="L32" s="127">
        <f>+Actuals!I256</f>
        <v>6106</v>
      </c>
      <c r="M32" s="128">
        <f>+Actuals!J256</f>
        <v>13738.5</v>
      </c>
      <c r="N32" s="127">
        <f>+Actuals!K256</f>
        <v>-443388</v>
      </c>
      <c r="O32" s="128">
        <f>+Actuals!L256</f>
        <v>-1275734.348</v>
      </c>
      <c r="P32" s="127">
        <f>+Actuals!M256</f>
        <v>108550</v>
      </c>
      <c r="Q32" s="128">
        <f>+Actuals!N256</f>
        <v>319192.15000000002</v>
      </c>
      <c r="R32" s="127">
        <f>+Actuals!O256</f>
        <v>196616</v>
      </c>
      <c r="S32" s="128">
        <f>+Actuals!P256</f>
        <v>640521.76</v>
      </c>
      <c r="T32" s="127">
        <f>+Actuals!Q256</f>
        <v>-180053</v>
      </c>
      <c r="U32" s="128">
        <f>+Actuals!R256</f>
        <v>-411961.26400000002</v>
      </c>
      <c r="V32" s="127">
        <f>+Actuals!S256</f>
        <v>0</v>
      </c>
      <c r="W32" s="128">
        <f>+Actuals!T256</f>
        <v>0</v>
      </c>
      <c r="X32" s="127">
        <f>+Actuals!U456</f>
        <v>0</v>
      </c>
      <c r="Y32" s="128">
        <f>+Actuals!V456</f>
        <v>0</v>
      </c>
      <c r="Z32" s="127">
        <f>+Actuals!W456</f>
        <v>168031</v>
      </c>
      <c r="AA32" s="128">
        <f>+Actuals!X456</f>
        <v>366475.61</v>
      </c>
      <c r="AB32" s="127">
        <f>+Actuals!Y456</f>
        <v>100</v>
      </c>
      <c r="AC32" s="128">
        <f>+Actuals!Z456</f>
        <v>228.8</v>
      </c>
      <c r="AD32" s="127">
        <f>+Actuals!AA456</f>
        <v>-34010</v>
      </c>
      <c r="AE32" s="128">
        <f>+Actuals!AB456</f>
        <v>-77814.880000000005</v>
      </c>
      <c r="AF32" s="127">
        <f>+Actuals!AC456</f>
        <v>52488</v>
      </c>
      <c r="AG32" s="128">
        <f>+Actuals!AD456</f>
        <v>120092.54399999999</v>
      </c>
      <c r="AH32" s="127">
        <f>+Actuals!AE456</f>
        <v>301905</v>
      </c>
      <c r="AI32" s="128">
        <f>+Actuals!AF456</f>
        <v>690758.64</v>
      </c>
      <c r="AJ32" s="127">
        <v>-653</v>
      </c>
      <c r="AK32" s="128">
        <v>-1494.06</v>
      </c>
      <c r="AL32" s="127">
        <v>-2</v>
      </c>
      <c r="AM32" s="128">
        <v>-5</v>
      </c>
      <c r="AN32" s="127">
        <v>5878</v>
      </c>
      <c r="AO32" s="128">
        <v>13448.86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'TIE-OUT'!R33+RECLASS!R33</f>
        <v>0</v>
      </c>
      <c r="G33" s="38">
        <f>'TIE-OUT'!S33+RECLASS!S33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0</v>
      </c>
      <c r="U33" s="128">
        <f>+Actuals!R257</f>
        <v>0</v>
      </c>
      <c r="V33" s="127">
        <f>+Actuals!S257</f>
        <v>0</v>
      </c>
      <c r="W33" s="128">
        <f>+Actuals!T257</f>
        <v>0</v>
      </c>
      <c r="X33" s="127">
        <f>+Actuals!U457</f>
        <v>0</v>
      </c>
      <c r="Y33" s="128">
        <f>+Actuals!V457</f>
        <v>0</v>
      </c>
      <c r="Z33" s="127">
        <f>+Actuals!W457</f>
        <v>0</v>
      </c>
      <c r="AA33" s="128">
        <f>+Actuals!X457</f>
        <v>0</v>
      </c>
      <c r="AB33" s="127">
        <f>+Actuals!Y457</f>
        <v>0</v>
      </c>
      <c r="AC33" s="128">
        <f>+Actuals!Z457</f>
        <v>0</v>
      </c>
      <c r="AD33" s="127">
        <f>+Actuals!AA457</f>
        <v>0</v>
      </c>
      <c r="AE33" s="128">
        <f>+Actuals!AB457</f>
        <v>0</v>
      </c>
      <c r="AF33" s="127">
        <f>+Actuals!AC457</f>
        <v>0</v>
      </c>
      <c r="AG33" s="128">
        <f>+Actuals!AD457</f>
        <v>0</v>
      </c>
      <c r="AH33" s="127">
        <f>+Actuals!AE457</f>
        <v>0</v>
      </c>
      <c r="AI33" s="128">
        <f>+Actuals!AF457</f>
        <v>0</v>
      </c>
      <c r="AJ33" s="127">
        <f>+Actuals!AG457</f>
        <v>0</v>
      </c>
      <c r="AK33" s="128">
        <f>+Actuals!AH457</f>
        <v>0</v>
      </c>
      <c r="AL33" s="127">
        <f>+Actuals!AI457</f>
        <v>0</v>
      </c>
      <c r="AM33" s="128">
        <f>+Actuals!AJ457</f>
        <v>0</v>
      </c>
      <c r="AN33" s="127">
        <f>+Actuals!AK457</f>
        <v>0</v>
      </c>
      <c r="AO33" s="128">
        <f>+Actuals!AL457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+Actuals!K258</f>
        <v>0</v>
      </c>
      <c r="O34" s="128">
        <f>+Actuals!L258</f>
        <v>0</v>
      </c>
      <c r="P34" s="127">
        <f>+Actuals!M258</f>
        <v>0</v>
      </c>
      <c r="Q34" s="128">
        <f>+Actuals!N258</f>
        <v>0</v>
      </c>
      <c r="R34" s="127">
        <f>+Actuals!O258</f>
        <v>0</v>
      </c>
      <c r="S34" s="128">
        <f>+Actuals!P258</f>
        <v>0</v>
      </c>
      <c r="T34" s="127">
        <f>+Actuals!Q258</f>
        <v>0</v>
      </c>
      <c r="U34" s="128">
        <f>+Actuals!R258</f>
        <v>0</v>
      </c>
      <c r="V34" s="127">
        <f>+Actuals!S258</f>
        <v>0</v>
      </c>
      <c r="W34" s="128">
        <f>+Actuals!T258</f>
        <v>0</v>
      </c>
      <c r="X34" s="127">
        <f>+Actuals!U458</f>
        <v>0</v>
      </c>
      <c r="Y34" s="128">
        <f>+Actuals!V458</f>
        <v>0</v>
      </c>
      <c r="Z34" s="127">
        <f>+Actuals!W458</f>
        <v>0</v>
      </c>
      <c r="AA34" s="128">
        <f>+Actuals!X458</f>
        <v>0</v>
      </c>
      <c r="AB34" s="127">
        <f>+Actuals!Y458</f>
        <v>0</v>
      </c>
      <c r="AC34" s="128">
        <f>+Actuals!Z458</f>
        <v>0</v>
      </c>
      <c r="AD34" s="127">
        <f>+Actuals!AA458</f>
        <v>0</v>
      </c>
      <c r="AE34" s="128">
        <f>+Actuals!AB458</f>
        <v>0</v>
      </c>
      <c r="AF34" s="127">
        <f>+Actuals!AC458</f>
        <v>0</v>
      </c>
      <c r="AG34" s="128">
        <f>+Actuals!AD458</f>
        <v>0</v>
      </c>
      <c r="AH34" s="127">
        <f>+Actuals!AE458</f>
        <v>0</v>
      </c>
      <c r="AI34" s="128">
        <f>+Actuals!AF458</f>
        <v>0</v>
      </c>
      <c r="AJ34" s="127">
        <f>+Actuals!AG458</f>
        <v>0</v>
      </c>
      <c r="AK34" s="128">
        <f>+Actuals!AH458</f>
        <v>0</v>
      </c>
      <c r="AL34" s="127">
        <f>+Actuals!AI458</f>
        <v>0</v>
      </c>
      <c r="AM34" s="128">
        <f>+Actuals!AJ458</f>
        <v>0</v>
      </c>
      <c r="AN34" s="127">
        <f>+Actuals!AK458</f>
        <v>0</v>
      </c>
      <c r="AO34" s="128">
        <f>+Actuals!AL458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0.01</v>
      </c>
      <c r="F35" s="81">
        <f>'TIE-OUT'!R35+RECLASS!R35</f>
        <v>0</v>
      </c>
      <c r="G35" s="82">
        <f>'TIE-OUT'!S35+RECLASS!S35</f>
        <v>0</v>
      </c>
      <c r="H35" s="127">
        <f>+Actuals!E259</f>
        <v>0</v>
      </c>
      <c r="I35" s="128">
        <f>+Actuals!F259</f>
        <v>0.01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+Actuals!U459</f>
        <v>0</v>
      </c>
      <c r="Y35" s="128">
        <f>+Actuals!V459</f>
        <v>0</v>
      </c>
      <c r="Z35" s="127">
        <f>+Actuals!W459</f>
        <v>0</v>
      </c>
      <c r="AA35" s="128">
        <f>+Actuals!X459</f>
        <v>0</v>
      </c>
      <c r="AB35" s="127">
        <f>+Actuals!Y459</f>
        <v>0</v>
      </c>
      <c r="AC35" s="128">
        <f>+Actuals!Z459</f>
        <v>0</v>
      </c>
      <c r="AD35" s="127">
        <f>+Actuals!AA459</f>
        <v>0</v>
      </c>
      <c r="AE35" s="128">
        <f>+Actuals!AB459</f>
        <v>0</v>
      </c>
      <c r="AF35" s="127">
        <f>+Actuals!AC459</f>
        <v>0</v>
      </c>
      <c r="AG35" s="128">
        <f>+Actuals!AD459</f>
        <v>0</v>
      </c>
      <c r="AH35" s="127">
        <f>+Actuals!AE459</f>
        <v>0</v>
      </c>
      <c r="AI35" s="128">
        <f>+Actuals!AF459</f>
        <v>0</v>
      </c>
      <c r="AJ35" s="127">
        <f>+Actuals!AG459</f>
        <v>0</v>
      </c>
      <c r="AK35" s="128">
        <f>+Actuals!AH459</f>
        <v>0</v>
      </c>
      <c r="AL35" s="127">
        <f>+Actuals!AI459</f>
        <v>0</v>
      </c>
      <c r="AM35" s="128">
        <f>+Actuals!AJ459</f>
        <v>0</v>
      </c>
      <c r="AN35" s="127">
        <f>+Actuals!AK459</f>
        <v>0</v>
      </c>
      <c r="AO35" s="128">
        <f>+Actuals!AL459</f>
        <v>0</v>
      </c>
    </row>
    <row r="36" spans="1:41" x14ac:dyDescent="0.2">
      <c r="A36" s="9"/>
      <c r="B36" s="7" t="s">
        <v>45</v>
      </c>
      <c r="C36" s="6"/>
      <c r="D36" s="61">
        <f t="shared" ref="D36:Y36" si="12">SUM(D32:D35)</f>
        <v>13537</v>
      </c>
      <c r="E36" s="39">
        <f t="shared" si="12"/>
        <v>30971.711999999883</v>
      </c>
      <c r="F36" s="61">
        <f t="shared" si="12"/>
        <v>0</v>
      </c>
      <c r="G36" s="39">
        <f t="shared" si="12"/>
        <v>0</v>
      </c>
      <c r="H36" s="61">
        <f t="shared" si="12"/>
        <v>-10813</v>
      </c>
      <c r="I36" s="39">
        <f t="shared" si="12"/>
        <v>-24740.13</v>
      </c>
      <c r="J36" s="61">
        <f t="shared" si="12"/>
        <v>-157218</v>
      </c>
      <c r="K36" s="148">
        <f t="shared" si="12"/>
        <v>-341735.47</v>
      </c>
      <c r="L36" s="61">
        <f t="shared" si="12"/>
        <v>6106</v>
      </c>
      <c r="M36" s="39">
        <f t="shared" si="12"/>
        <v>13738.5</v>
      </c>
      <c r="N36" s="61">
        <f t="shared" si="12"/>
        <v>-443388</v>
      </c>
      <c r="O36" s="39">
        <f t="shared" si="12"/>
        <v>-1275734.348</v>
      </c>
      <c r="P36" s="61">
        <f t="shared" si="12"/>
        <v>108550</v>
      </c>
      <c r="Q36" s="39">
        <f t="shared" si="12"/>
        <v>319192.15000000002</v>
      </c>
      <c r="R36" s="61">
        <f t="shared" si="12"/>
        <v>196616</v>
      </c>
      <c r="S36" s="39">
        <f t="shared" si="12"/>
        <v>640521.76</v>
      </c>
      <c r="T36" s="61">
        <f t="shared" si="12"/>
        <v>-180053</v>
      </c>
      <c r="U36" s="39">
        <f t="shared" si="12"/>
        <v>-411961.26400000002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168031</v>
      </c>
      <c r="AA36" s="39">
        <f t="shared" si="13"/>
        <v>366475.61</v>
      </c>
      <c r="AB36" s="61">
        <f t="shared" si="13"/>
        <v>100</v>
      </c>
      <c r="AC36" s="39">
        <f t="shared" si="13"/>
        <v>228.8</v>
      </c>
      <c r="AD36" s="61">
        <f t="shared" si="13"/>
        <v>-34010</v>
      </c>
      <c r="AE36" s="39">
        <f t="shared" si="13"/>
        <v>-77814.880000000005</v>
      </c>
      <c r="AF36" s="61">
        <f t="shared" ref="AF36:AK36" si="14">SUM(AF32:AF35)</f>
        <v>52488</v>
      </c>
      <c r="AG36" s="39">
        <f t="shared" si="14"/>
        <v>120092.54399999999</v>
      </c>
      <c r="AH36" s="61">
        <f t="shared" si="14"/>
        <v>301905</v>
      </c>
      <c r="AI36" s="39">
        <f t="shared" si="14"/>
        <v>690758.64</v>
      </c>
      <c r="AJ36" s="61">
        <f t="shared" si="14"/>
        <v>-653</v>
      </c>
      <c r="AK36" s="39">
        <f t="shared" si="14"/>
        <v>-1494.06</v>
      </c>
      <c r="AL36" s="61">
        <f>SUM(AL32:AL35)</f>
        <v>-2</v>
      </c>
      <c r="AM36" s="39">
        <f>SUM(AM32:AM35)</f>
        <v>-5</v>
      </c>
      <c r="AN36" s="61">
        <f>SUM(AN32:AN35)</f>
        <v>5878</v>
      </c>
      <c r="AO36" s="39">
        <f>SUM(AO32:AO35)</f>
        <v>13448.86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8549066</v>
      </c>
      <c r="E39" s="38">
        <f t="shared" si="15"/>
        <v>20531898.220000003</v>
      </c>
      <c r="F39" s="64">
        <f>'TIE-OUT'!R39+RECLASS!R39</f>
        <v>0</v>
      </c>
      <c r="G39" s="68">
        <f>'TIE-OUT'!S39+RECLASS!S39</f>
        <v>0</v>
      </c>
      <c r="H39" s="127">
        <f>+Actuals!E260</f>
        <v>8140904</v>
      </c>
      <c r="I39" s="128">
        <f>+Actuals!F260</f>
        <v>19569417.440000001</v>
      </c>
      <c r="J39" s="127">
        <f>+Actuals!G260</f>
        <v>44324</v>
      </c>
      <c r="K39" s="147">
        <f>+Actuals!H260</f>
        <v>66613.11</v>
      </c>
      <c r="L39" s="127">
        <f>+Actuals!I260</f>
        <v>44787</v>
      </c>
      <c r="M39" s="128">
        <f>+Actuals!J260</f>
        <v>67791.56</v>
      </c>
      <c r="N39" s="127">
        <f>+Actuals!K260</f>
        <v>45916</v>
      </c>
      <c r="O39" s="128">
        <f>+Actuals!L260</f>
        <v>148453.54999999999</v>
      </c>
      <c r="P39" s="127">
        <f>+Actuals!M260</f>
        <v>8286</v>
      </c>
      <c r="Q39" s="128">
        <f>+Actuals!N260</f>
        <v>19703.099999999999</v>
      </c>
      <c r="R39" s="127">
        <f>+Actuals!O260</f>
        <v>-84483</v>
      </c>
      <c r="S39" s="128">
        <f>+Actuals!P260</f>
        <v>-202735.91</v>
      </c>
      <c r="T39" s="127">
        <f>+Actuals!Q260</f>
        <v>1759</v>
      </c>
      <c r="U39" s="128">
        <f>+Actuals!R260</f>
        <v>4024.59</v>
      </c>
      <c r="V39" s="127">
        <f>+Actuals!S260</f>
        <v>0</v>
      </c>
      <c r="W39" s="128">
        <f>+Actuals!T260</f>
        <v>22343.32</v>
      </c>
      <c r="X39" s="127">
        <f>+Actuals!U460</f>
        <v>0</v>
      </c>
      <c r="Y39" s="128">
        <f>+Actuals!V460</f>
        <v>0</v>
      </c>
      <c r="Z39" s="127">
        <f>+Actuals!W460</f>
        <v>0</v>
      </c>
      <c r="AA39" s="128">
        <f>+Actuals!X460</f>
        <v>0</v>
      </c>
      <c r="AB39" s="127">
        <f>+Actuals!Y460</f>
        <v>-1759</v>
      </c>
      <c r="AC39" s="128">
        <f>+Actuals!Z460</f>
        <v>-4024.59</v>
      </c>
      <c r="AD39" s="127">
        <f>+Actuals!AA460</f>
        <v>1650</v>
      </c>
      <c r="AE39" s="128">
        <f>+Actuals!AB460</f>
        <v>22723.25</v>
      </c>
      <c r="AF39" s="127">
        <f>+Actuals!AC460</f>
        <v>348169</v>
      </c>
      <c r="AG39" s="128">
        <f>+Actuals!AD460</f>
        <v>818591.45</v>
      </c>
      <c r="AH39" s="127">
        <f>+Actuals!AE460</f>
        <v>773</v>
      </c>
      <c r="AI39" s="128">
        <f>+Actuals!AF460</f>
        <v>1859.07</v>
      </c>
      <c r="AJ39" s="127">
        <f>+Actuals!AG460</f>
        <v>0</v>
      </c>
      <c r="AK39" s="128">
        <f>+Actuals!AH460</f>
        <v>0</v>
      </c>
      <c r="AL39" s="127">
        <v>89</v>
      </c>
      <c r="AM39" s="128">
        <v>214</v>
      </c>
      <c r="AN39" s="127">
        <v>-1349</v>
      </c>
      <c r="AO39" s="128">
        <v>-3075.72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1403.45</v>
      </c>
      <c r="F40" s="60">
        <f>'TIE-OUT'!R40+RECLASS!R40</f>
        <v>0</v>
      </c>
      <c r="G40" s="38">
        <f>'TIE-OUT'!S40+RECLASS!S40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+Actuals!U461</f>
        <v>0</v>
      </c>
      <c r="Y40" s="128">
        <f>+Actuals!V461</f>
        <v>0</v>
      </c>
      <c r="Z40" s="127">
        <f>+Actuals!W461</f>
        <v>0</v>
      </c>
      <c r="AA40" s="128">
        <f>+Actuals!X461</f>
        <v>0</v>
      </c>
      <c r="AB40" s="127">
        <f>+Actuals!Y461</f>
        <v>0</v>
      </c>
      <c r="AC40" s="128">
        <f>+Actuals!Z461</f>
        <v>0</v>
      </c>
      <c r="AD40" s="127">
        <f>+Actuals!AA461</f>
        <v>0</v>
      </c>
      <c r="AE40" s="128">
        <f>+Actuals!AB461</f>
        <v>0</v>
      </c>
      <c r="AF40" s="127">
        <f>+Actuals!AC461</f>
        <v>0</v>
      </c>
      <c r="AG40" s="128">
        <f>+Actuals!AD461</f>
        <v>0</v>
      </c>
      <c r="AH40" s="127">
        <f>+Actuals!AE461</f>
        <v>0</v>
      </c>
      <c r="AI40" s="128">
        <f>+Actuals!AF461</f>
        <v>0</v>
      </c>
      <c r="AJ40" s="127">
        <f>+Actuals!AG461</f>
        <v>0</v>
      </c>
      <c r="AK40" s="128">
        <f>+Actuals!AH461</f>
        <v>0</v>
      </c>
      <c r="AL40" s="127">
        <f>684-684</f>
        <v>0</v>
      </c>
      <c r="AM40" s="128">
        <v>1403.45</v>
      </c>
      <c r="AN40" s="127">
        <v>0</v>
      </c>
      <c r="AO40" s="128"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-22343</v>
      </c>
      <c r="F41" s="81">
        <f>'TIE-OUT'!R41+RECLASS!R41</f>
        <v>0</v>
      </c>
      <c r="G41" s="82">
        <f>'TIE-OUT'!S41+RECLASS!S41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+Actuals!U462</f>
        <v>0</v>
      </c>
      <c r="Y41" s="128">
        <f>+Actuals!V462</f>
        <v>0</v>
      </c>
      <c r="Z41" s="127">
        <f>+Actuals!W462</f>
        <v>0</v>
      </c>
      <c r="AA41" s="128">
        <f>+Actuals!X462</f>
        <v>0</v>
      </c>
      <c r="AB41" s="127">
        <f>+Actuals!Y462</f>
        <v>0</v>
      </c>
      <c r="AC41" s="160">
        <f>+Actuals!Z462-22343</f>
        <v>-22343</v>
      </c>
      <c r="AD41" s="127">
        <f>+Actuals!AA462</f>
        <v>0</v>
      </c>
      <c r="AE41" s="128">
        <f>+Actuals!AB462</f>
        <v>0</v>
      </c>
      <c r="AF41" s="127">
        <f>+Actuals!AC462</f>
        <v>0</v>
      </c>
      <c r="AG41" s="128">
        <f>+Actuals!AD462</f>
        <v>0</v>
      </c>
      <c r="AH41" s="127">
        <f>+Actuals!AE462</f>
        <v>0</v>
      </c>
      <c r="AI41" s="128">
        <f>+Actuals!AF462</f>
        <v>0</v>
      </c>
      <c r="AJ41" s="127">
        <f>+Actuals!AG462</f>
        <v>0</v>
      </c>
      <c r="AK41" s="128">
        <f>+Actuals!AH462</f>
        <v>0</v>
      </c>
      <c r="AL41" s="127">
        <f>+Actuals!AI462</f>
        <v>0</v>
      </c>
      <c r="AM41" s="128">
        <f>+Actuals!AJ462</f>
        <v>0</v>
      </c>
      <c r="AN41" s="127">
        <f>+Actuals!AK462</f>
        <v>0</v>
      </c>
      <c r="AO41" s="128">
        <f>+Actuals!AL462</f>
        <v>0</v>
      </c>
    </row>
    <row r="42" spans="1:41" x14ac:dyDescent="0.2">
      <c r="A42" s="9"/>
      <c r="B42" s="7"/>
      <c r="C42" s="53" t="s">
        <v>50</v>
      </c>
      <c r="D42" s="61">
        <f t="shared" ref="D42:Y42" si="16">SUM(D40:D41)</f>
        <v>0</v>
      </c>
      <c r="E42" s="39">
        <f t="shared" si="16"/>
        <v>-20939.55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-22343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1403.45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 t="shared" ref="D43:Y43" si="19">D42+D39</f>
        <v>8549066</v>
      </c>
      <c r="E43" s="39">
        <f t="shared" si="19"/>
        <v>20510958.670000002</v>
      </c>
      <c r="F43" s="61">
        <f t="shared" si="19"/>
        <v>0</v>
      </c>
      <c r="G43" s="39">
        <f t="shared" si="19"/>
        <v>0</v>
      </c>
      <c r="H43" s="61">
        <f t="shared" si="19"/>
        <v>8140904</v>
      </c>
      <c r="I43" s="39">
        <f t="shared" si="19"/>
        <v>19569417.440000001</v>
      </c>
      <c r="J43" s="61">
        <f t="shared" si="19"/>
        <v>44324</v>
      </c>
      <c r="K43" s="148">
        <f t="shared" si="19"/>
        <v>66613.11</v>
      </c>
      <c r="L43" s="61">
        <f t="shared" si="19"/>
        <v>44787</v>
      </c>
      <c r="M43" s="39">
        <f t="shared" si="19"/>
        <v>67791.56</v>
      </c>
      <c r="N43" s="61">
        <f t="shared" si="19"/>
        <v>45916</v>
      </c>
      <c r="O43" s="39">
        <f t="shared" si="19"/>
        <v>148453.54999999999</v>
      </c>
      <c r="P43" s="61">
        <f t="shared" si="19"/>
        <v>8286</v>
      </c>
      <c r="Q43" s="39">
        <f t="shared" si="19"/>
        <v>19703.099999999999</v>
      </c>
      <c r="R43" s="61">
        <f t="shared" si="19"/>
        <v>-84483</v>
      </c>
      <c r="S43" s="39">
        <f t="shared" si="19"/>
        <v>-202735.91</v>
      </c>
      <c r="T43" s="61">
        <f t="shared" si="19"/>
        <v>1759</v>
      </c>
      <c r="U43" s="39">
        <f t="shared" si="19"/>
        <v>4024.59</v>
      </c>
      <c r="V43" s="61">
        <f t="shared" si="19"/>
        <v>0</v>
      </c>
      <c r="W43" s="39">
        <f t="shared" si="19"/>
        <v>22343.32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-1759</v>
      </c>
      <c r="AC43" s="39">
        <f t="shared" si="20"/>
        <v>-26367.59</v>
      </c>
      <c r="AD43" s="61">
        <f t="shared" si="20"/>
        <v>1650</v>
      </c>
      <c r="AE43" s="39">
        <f t="shared" si="20"/>
        <v>22723.25</v>
      </c>
      <c r="AF43" s="61">
        <f t="shared" ref="AF43:AK43" si="21">AF42+AF39</f>
        <v>348169</v>
      </c>
      <c r="AG43" s="39">
        <f t="shared" si="21"/>
        <v>818591.45</v>
      </c>
      <c r="AH43" s="61">
        <f t="shared" si="21"/>
        <v>773</v>
      </c>
      <c r="AI43" s="39">
        <f t="shared" si="21"/>
        <v>1859.07</v>
      </c>
      <c r="AJ43" s="61">
        <f t="shared" si="21"/>
        <v>0</v>
      </c>
      <c r="AK43" s="39">
        <f t="shared" si="21"/>
        <v>0</v>
      </c>
      <c r="AL43" s="61">
        <f>AL42+AL39</f>
        <v>89</v>
      </c>
      <c r="AM43" s="39">
        <f>AM42+AM39</f>
        <v>1617.45</v>
      </c>
      <c r="AN43" s="61">
        <f>AN42+AN39</f>
        <v>-1349</v>
      </c>
      <c r="AO43" s="39">
        <f>AO42+AO39</f>
        <v>-3075.72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'TIE-OUT'!R45+RECLASS!R45</f>
        <v>0</v>
      </c>
      <c r="G45" s="68">
        <f>'TIE-OUT'!S45+RECLASS!S45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+Actuals!U463</f>
        <v>0</v>
      </c>
      <c r="Y45" s="128">
        <f>+Actuals!V463</f>
        <v>0</v>
      </c>
      <c r="Z45" s="127">
        <f>+Actuals!W463</f>
        <v>0</v>
      </c>
      <c r="AA45" s="128">
        <f>+Actuals!X463</f>
        <v>0</v>
      </c>
      <c r="AB45" s="127">
        <f>+Actuals!Y463</f>
        <v>0</v>
      </c>
      <c r="AC45" s="128">
        <f>+Actuals!Z463</f>
        <v>0</v>
      </c>
      <c r="AD45" s="127">
        <f>+Actuals!AA463</f>
        <v>0</v>
      </c>
      <c r="AE45" s="128">
        <f>+Actuals!AB463</f>
        <v>0</v>
      </c>
      <c r="AF45" s="127">
        <f>+Actuals!AC463</f>
        <v>0</v>
      </c>
      <c r="AG45" s="128">
        <f>+Actuals!AD463</f>
        <v>0</v>
      </c>
      <c r="AH45" s="127">
        <f>+Actuals!AE463</f>
        <v>0</v>
      </c>
      <c r="AI45" s="128">
        <f>+Actuals!AF463</f>
        <v>0</v>
      </c>
      <c r="AJ45" s="127">
        <f>+Actuals!AG463</f>
        <v>0</v>
      </c>
      <c r="AK45" s="128">
        <f>+Actuals!AH463</f>
        <v>0</v>
      </c>
      <c r="AL45" s="127">
        <f>+Actuals!AI463</f>
        <v>0</v>
      </c>
      <c r="AM45" s="128">
        <f>+Actuals!AJ463</f>
        <v>0</v>
      </c>
      <c r="AN45" s="127">
        <f>+Actuals!AK463</f>
        <v>0</v>
      </c>
      <c r="AO45" s="128">
        <f>+Actuals!AL463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'TIE-OUT'!R47+RECLASS!R47</f>
        <v>0</v>
      </c>
      <c r="G47" s="38">
        <f>'TIE-OUT'!S47+RECLASS!S47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+Actuals!U464</f>
        <v>0</v>
      </c>
      <c r="Y47" s="128">
        <f>+Actuals!V464</f>
        <v>0</v>
      </c>
      <c r="Z47" s="127">
        <f>+Actuals!W464</f>
        <v>0</v>
      </c>
      <c r="AA47" s="128">
        <f>+Actuals!X464</f>
        <v>0</v>
      </c>
      <c r="AB47" s="127">
        <f>+Actuals!Y464</f>
        <v>0</v>
      </c>
      <c r="AC47" s="128">
        <f>+Actuals!Z464</f>
        <v>0</v>
      </c>
      <c r="AD47" s="127">
        <f>+Actuals!AA464</f>
        <v>0</v>
      </c>
      <c r="AE47" s="128">
        <f>+Actuals!AB464</f>
        <v>0</v>
      </c>
      <c r="AF47" s="127">
        <f>+Actuals!AC464</f>
        <v>0</v>
      </c>
      <c r="AG47" s="128">
        <f>+Actuals!AD464</f>
        <v>0</v>
      </c>
      <c r="AH47" s="127">
        <f>+Actuals!AE464</f>
        <v>0</v>
      </c>
      <c r="AI47" s="128">
        <f>+Actuals!AF464</f>
        <v>0</v>
      </c>
      <c r="AJ47" s="127">
        <f>+Actuals!AG464</f>
        <v>0</v>
      </c>
      <c r="AK47" s="128">
        <f>+Actuals!AH464</f>
        <v>0</v>
      </c>
      <c r="AL47" s="127">
        <f>+Actuals!AI464</f>
        <v>0</v>
      </c>
      <c r="AM47" s="128">
        <f>+Actuals!AJ464</f>
        <v>0</v>
      </c>
      <c r="AN47" s="127">
        <f>+Actuals!AK464</f>
        <v>0</v>
      </c>
      <c r="AO47" s="128">
        <f>+Actuals!AL464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6009</v>
      </c>
      <c r="E49" s="38">
        <f t="shared" si="22"/>
        <v>14463.814000000071</v>
      </c>
      <c r="F49" s="60">
        <f>'TIE-OUT'!R49+RECLASS!R49</f>
        <v>0</v>
      </c>
      <c r="G49" s="38">
        <f>'TIE-OUT'!S49+RECLASS!S49</f>
        <v>0</v>
      </c>
      <c r="H49" s="127">
        <f>+Actuals!E265</f>
        <v>-1430238</v>
      </c>
      <c r="I49" s="128">
        <f>+Actuals!F265</f>
        <v>-3272384.5440000002</v>
      </c>
      <c r="J49" s="127">
        <f>+Actuals!G265</f>
        <v>1350047</v>
      </c>
      <c r="K49" s="147">
        <f>+Actuals!H265</f>
        <v>3088907.5360000003</v>
      </c>
      <c r="L49" s="127">
        <f>+Actuals!I265</f>
        <v>-1169196</v>
      </c>
      <c r="M49" s="128">
        <f>+Actuals!J265</f>
        <v>-2675120.4479999999</v>
      </c>
      <c r="N49" s="127">
        <f>+Actuals!K265</f>
        <v>1469569</v>
      </c>
      <c r="O49" s="128">
        <f>+Actuals!L265</f>
        <v>3362373.872</v>
      </c>
      <c r="P49" s="127">
        <f>+Actuals!M265</f>
        <v>-403359</v>
      </c>
      <c r="Q49" s="128">
        <f>+Actuals!N265</f>
        <v>-922885.39199999999</v>
      </c>
      <c r="R49" s="127">
        <f>+Actuals!O265</f>
        <v>-187366</v>
      </c>
      <c r="S49" s="128">
        <f>+Actuals!P265</f>
        <v>-428693.408</v>
      </c>
      <c r="T49" s="127">
        <f>+Actuals!Q265</f>
        <v>179000</v>
      </c>
      <c r="U49" s="128">
        <f>+Actuals!R265</f>
        <v>409552</v>
      </c>
      <c r="V49" s="127">
        <f>+Actuals!S265</f>
        <v>372457</v>
      </c>
      <c r="W49" s="128">
        <f>+Actuals!T265</f>
        <v>852181.61600000004</v>
      </c>
      <c r="X49" s="127">
        <f>+Actuals!U465</f>
        <v>-372457</v>
      </c>
      <c r="Y49" s="128">
        <f>+Actuals!V465</f>
        <v>-852181.61600000004</v>
      </c>
      <c r="Z49" s="127">
        <f>+Actuals!W465</f>
        <v>-167906</v>
      </c>
      <c r="AA49" s="128">
        <f>+Actuals!X465</f>
        <v>-384168.92800000001</v>
      </c>
      <c r="AB49" s="127">
        <f>+Actuals!Y465</f>
        <v>352998</v>
      </c>
      <c r="AC49" s="128">
        <f>+Actuals!Z465</f>
        <v>807659.424</v>
      </c>
      <c r="AD49" s="127">
        <f>+Actuals!AA465</f>
        <v>56023</v>
      </c>
      <c r="AE49" s="128">
        <f>+Actuals!AB465</f>
        <v>128180.624</v>
      </c>
      <c r="AF49" s="127">
        <f>+Actuals!AC465</f>
        <v>-34465</v>
      </c>
      <c r="AG49" s="128">
        <f>+Actuals!AD465</f>
        <v>-78855.92</v>
      </c>
      <c r="AH49" s="127">
        <f>+Actuals!AE465</f>
        <v>31</v>
      </c>
      <c r="AI49" s="128">
        <f>+Actuals!AF465</f>
        <v>70.927999999999997</v>
      </c>
      <c r="AJ49" s="127">
        <v>-31</v>
      </c>
      <c r="AK49" s="128">
        <v>-70.930000000000007</v>
      </c>
      <c r="AL49" s="127">
        <v>-59139</v>
      </c>
      <c r="AM49" s="128">
        <v>-130650.75</v>
      </c>
      <c r="AN49" s="127">
        <v>50041</v>
      </c>
      <c r="AO49" s="128">
        <v>110549.75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-11841</v>
      </c>
      <c r="E51" s="38">
        <f t="shared" si="22"/>
        <v>-8201.2100000000009</v>
      </c>
      <c r="F51" s="60">
        <f>'TIE-OUT'!R51+RECLASS!R51</f>
        <v>0</v>
      </c>
      <c r="G51" s="38">
        <f>'TIE-OUT'!S51+RECLASS!S51</f>
        <v>18891</v>
      </c>
      <c r="H51" s="127">
        <f>+Actuals!E266</f>
        <v>-3105</v>
      </c>
      <c r="I51" s="128">
        <f>+Actuals!F266</f>
        <v>-7104.24</v>
      </c>
      <c r="J51" s="127">
        <f>+Actuals!G266</f>
        <v>-8735</v>
      </c>
      <c r="K51" s="147">
        <f>+Actuals!H266</f>
        <v>-19985.68</v>
      </c>
      <c r="L51" s="127">
        <f>+Actuals!I266</f>
        <v>-1</v>
      </c>
      <c r="M51" s="128">
        <f>+Actuals!J266</f>
        <v>-2.29</v>
      </c>
      <c r="N51" s="127">
        <f>+Actuals!K266</f>
        <v>0</v>
      </c>
      <c r="O51" s="128">
        <f>+Actuals!L266</f>
        <v>0</v>
      </c>
      <c r="P51" s="127">
        <f>+Actuals!M266</f>
        <v>0</v>
      </c>
      <c r="Q51" s="128">
        <f>+Actuals!N266</f>
        <v>0</v>
      </c>
      <c r="R51" s="127">
        <f>+Actuals!O266</f>
        <v>0</v>
      </c>
      <c r="S51" s="128">
        <f>+Actuals!P266</f>
        <v>0</v>
      </c>
      <c r="T51" s="127">
        <f>+Actuals!Q266</f>
        <v>0</v>
      </c>
      <c r="U51" s="128">
        <f>+Actuals!R266</f>
        <v>0</v>
      </c>
      <c r="V51" s="127">
        <f>+Actuals!S266</f>
        <v>0</v>
      </c>
      <c r="W51" s="128">
        <f>+Actuals!T266</f>
        <v>0</v>
      </c>
      <c r="X51" s="127">
        <f>+Actuals!U466</f>
        <v>0</v>
      </c>
      <c r="Y51" s="128">
        <f>+Actuals!V466</f>
        <v>0</v>
      </c>
      <c r="Z51" s="127">
        <f>+Actuals!W466</f>
        <v>0</v>
      </c>
      <c r="AA51" s="128">
        <f>+Actuals!X466</f>
        <v>0</v>
      </c>
      <c r="AB51" s="127">
        <f>+Actuals!Y466</f>
        <v>0</v>
      </c>
      <c r="AC51" s="128">
        <f>+Actuals!Z466</f>
        <v>0</v>
      </c>
      <c r="AD51" s="127">
        <f>+Actuals!AA466</f>
        <v>0</v>
      </c>
      <c r="AE51" s="128">
        <f>+Actuals!AB466</f>
        <v>0</v>
      </c>
      <c r="AF51" s="127">
        <f>+Actuals!AC466</f>
        <v>0</v>
      </c>
      <c r="AG51" s="128">
        <f>+Actuals!AD466</f>
        <v>0</v>
      </c>
      <c r="AH51" s="127">
        <f>+Actuals!AE466</f>
        <v>0</v>
      </c>
      <c r="AI51" s="128">
        <f>+Actuals!AF466</f>
        <v>0</v>
      </c>
      <c r="AJ51" s="127">
        <f>+Actuals!AG466</f>
        <v>0</v>
      </c>
      <c r="AK51" s="128">
        <f>+Actuals!AH466</f>
        <v>0</v>
      </c>
      <c r="AL51" s="127">
        <f>+Actuals!AI466</f>
        <v>0</v>
      </c>
      <c r="AM51" s="128">
        <f>+Actuals!AJ466</f>
        <v>0</v>
      </c>
      <c r="AN51" s="127"/>
      <c r="AO51" s="128"/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-7494430</v>
      </c>
      <c r="E54" s="38">
        <f>SUM(G54,I54,K54,M54,O54,Q54,S54,U54,W54,Y54,AA54,AC54,AE54,AG54,AI54,AK54,AM54,AO54)</f>
        <v>-357285.86</v>
      </c>
      <c r="F54" s="64">
        <f>'TIE-OUT'!R54+RECLASS!R54</f>
        <v>0</v>
      </c>
      <c r="G54" s="68">
        <f>'TIE-OUT'!S54+RECLASS!S54</f>
        <v>44824</v>
      </c>
      <c r="H54" s="127">
        <f>+Actuals!E267</f>
        <v>-5201676</v>
      </c>
      <c r="I54" s="128">
        <f>+Actuals!F267</f>
        <v>-435950.66</v>
      </c>
      <c r="J54" s="127">
        <f>+Actuals!G267</f>
        <v>-1788865</v>
      </c>
      <c r="K54" s="147">
        <f>+Actuals!H267</f>
        <v>39324.92</v>
      </c>
      <c r="L54" s="127">
        <f>+Actuals!I267</f>
        <v>-326742</v>
      </c>
      <c r="M54" s="128">
        <f>+Actuals!J267</f>
        <v>-6180</v>
      </c>
      <c r="N54" s="127">
        <f>+Actuals!K267</f>
        <v>140</v>
      </c>
      <c r="O54" s="128">
        <f>+Actuals!L267</f>
        <v>11</v>
      </c>
      <c r="P54" s="127">
        <f>+Actuals!M267</f>
        <v>129677</v>
      </c>
      <c r="Q54" s="128">
        <f>+Actuals!N267</f>
        <v>1149.75</v>
      </c>
      <c r="R54" s="127">
        <f>+Actuals!O267</f>
        <v>-295557</v>
      </c>
      <c r="S54" s="128">
        <f>+Actuals!P267</f>
        <v>51333.279999999999</v>
      </c>
      <c r="T54" s="127">
        <f>+Actuals!Q267</f>
        <v>3066</v>
      </c>
      <c r="U54" s="128">
        <f>+Actuals!R267</f>
        <v>-49904.7</v>
      </c>
      <c r="V54" s="127">
        <f>+Actuals!S267</f>
        <v>4723</v>
      </c>
      <c r="W54" s="128">
        <f>+Actuals!T267</f>
        <v>944.59</v>
      </c>
      <c r="X54" s="127">
        <f>+Actuals!U467</f>
        <v>-4723</v>
      </c>
      <c r="Y54" s="128">
        <f>+Actuals!V467</f>
        <v>-944.61</v>
      </c>
      <c r="Z54" s="127">
        <f>+Actuals!W467</f>
        <v>148567</v>
      </c>
      <c r="AA54" s="128">
        <f>+Actuals!X467</f>
        <v>13371.03</v>
      </c>
      <c r="AB54" s="127">
        <f>+Actuals!Y467</f>
        <v>-148667</v>
      </c>
      <c r="AC54" s="128">
        <f>+Actuals!Z467</f>
        <v>-13369.53</v>
      </c>
      <c r="AD54" s="127">
        <f>+Actuals!AA467</f>
        <v>-1650</v>
      </c>
      <c r="AE54" s="128">
        <f>+Actuals!AB467</f>
        <v>276.01</v>
      </c>
      <c r="AF54" s="127">
        <f>+Actuals!AC467</f>
        <v>-25807</v>
      </c>
      <c r="AG54" s="128">
        <f>+Actuals!AD467</f>
        <v>-526.34</v>
      </c>
      <c r="AH54" s="127">
        <f>+Actuals!AE467</f>
        <v>-2032</v>
      </c>
      <c r="AI54" s="128">
        <f>+Actuals!AF467</f>
        <v>-616.88</v>
      </c>
      <c r="AJ54" s="127">
        <f>+Actuals!AG467</f>
        <v>0</v>
      </c>
      <c r="AK54" s="128">
        <v>-20.52</v>
      </c>
      <c r="AL54" s="127">
        <v>14612</v>
      </c>
      <c r="AM54" s="128">
        <v>-748</v>
      </c>
      <c r="AN54" s="127">
        <v>504</v>
      </c>
      <c r="AO54" s="128">
        <v>-259.2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684</v>
      </c>
      <c r="E55" s="38">
        <f>SUM(G55,I55,K55,M55,O55,Q55,S55,U55,W55,Y55,AA55,AC55,AE55,AG55,AI55,AK55,AM55,AO55)</f>
        <v>20.52</v>
      </c>
      <c r="F55" s="81">
        <f>'TIE-OUT'!R55+RECLASS!R55</f>
        <v>0</v>
      </c>
      <c r="G55" s="82">
        <f>'TIE-OUT'!S55+RECLASS!S55</f>
        <v>0</v>
      </c>
      <c r="H55" s="127">
        <f>+Actuals!E268</f>
        <v>0</v>
      </c>
      <c r="I55" s="128">
        <f>+Actuals!F268</f>
        <v>0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0</v>
      </c>
      <c r="N55" s="127">
        <f>+Actuals!K268</f>
        <v>0</v>
      </c>
      <c r="O55" s="128">
        <f>+Actuals!L268</f>
        <v>0</v>
      </c>
      <c r="P55" s="127">
        <f>+Actuals!M268</f>
        <v>0</v>
      </c>
      <c r="Q55" s="128">
        <f>+Actuals!N268</f>
        <v>0</v>
      </c>
      <c r="R55" s="127">
        <f>+Actuals!O268</f>
        <v>0</v>
      </c>
      <c r="S55" s="128">
        <f>+Actuals!P268</f>
        <v>0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-93300</v>
      </c>
      <c r="X55" s="127">
        <f>+Actuals!U468</f>
        <v>0</v>
      </c>
      <c r="Y55" s="128">
        <f>+Actuals!V468</f>
        <v>93300</v>
      </c>
      <c r="Z55" s="127">
        <f>+Actuals!W468</f>
        <v>0</v>
      </c>
      <c r="AA55" s="128">
        <f>+Actuals!X468</f>
        <v>0</v>
      </c>
      <c r="AB55" s="127">
        <f>+Actuals!Y468</f>
        <v>0</v>
      </c>
      <c r="AC55" s="128">
        <f>+Actuals!Z468</f>
        <v>0</v>
      </c>
      <c r="AD55" s="127">
        <f>+Actuals!AA468</f>
        <v>0</v>
      </c>
      <c r="AE55" s="128">
        <f>+Actuals!AB468</f>
        <v>0</v>
      </c>
      <c r="AF55" s="127">
        <f>+Actuals!AC468</f>
        <v>0</v>
      </c>
      <c r="AG55" s="128">
        <f>+Actuals!AD468</f>
        <v>0</v>
      </c>
      <c r="AH55" s="127">
        <f>+Actuals!AE468</f>
        <v>0</v>
      </c>
      <c r="AI55" s="128">
        <f>+Actuals!AF468</f>
        <v>0</v>
      </c>
      <c r="AJ55" s="127">
        <f>+Actuals!AG468</f>
        <v>0</v>
      </c>
      <c r="AK55" s="128">
        <f>+Actuals!AH468</f>
        <v>0</v>
      </c>
      <c r="AL55" s="127">
        <v>684</v>
      </c>
      <c r="AM55" s="128">
        <v>20.52</v>
      </c>
      <c r="AN55" s="127"/>
      <c r="AO55" s="128"/>
    </row>
    <row r="56" spans="1:41" x14ac:dyDescent="0.2">
      <c r="A56" s="9"/>
      <c r="B56" s="7" t="s">
        <v>59</v>
      </c>
      <c r="C56" s="6"/>
      <c r="D56" s="61">
        <f t="shared" ref="D56:Y56" si="23">SUM(D54:D55)</f>
        <v>-7493746</v>
      </c>
      <c r="E56" s="39">
        <f t="shared" si="23"/>
        <v>-357265.33999999997</v>
      </c>
      <c r="F56" s="61">
        <f t="shared" si="23"/>
        <v>0</v>
      </c>
      <c r="G56" s="39">
        <f t="shared" si="23"/>
        <v>44824</v>
      </c>
      <c r="H56" s="61">
        <f t="shared" si="23"/>
        <v>-5201676</v>
      </c>
      <c r="I56" s="39">
        <f t="shared" si="23"/>
        <v>-435950.66</v>
      </c>
      <c r="J56" s="61">
        <f t="shared" si="23"/>
        <v>-1788865</v>
      </c>
      <c r="K56" s="148">
        <f t="shared" si="23"/>
        <v>39324.92</v>
      </c>
      <c r="L56" s="61">
        <f t="shared" si="23"/>
        <v>-326742</v>
      </c>
      <c r="M56" s="39">
        <f t="shared" si="23"/>
        <v>-6180</v>
      </c>
      <c r="N56" s="61">
        <f t="shared" si="23"/>
        <v>140</v>
      </c>
      <c r="O56" s="39">
        <f t="shared" si="23"/>
        <v>11</v>
      </c>
      <c r="P56" s="61">
        <f t="shared" si="23"/>
        <v>129677</v>
      </c>
      <c r="Q56" s="39">
        <f t="shared" si="23"/>
        <v>1149.75</v>
      </c>
      <c r="R56" s="61">
        <f t="shared" si="23"/>
        <v>-295557</v>
      </c>
      <c r="S56" s="39">
        <f t="shared" si="23"/>
        <v>51333.279999999999</v>
      </c>
      <c r="T56" s="61">
        <f t="shared" si="23"/>
        <v>3066</v>
      </c>
      <c r="U56" s="39">
        <f t="shared" si="23"/>
        <v>-49904.7</v>
      </c>
      <c r="V56" s="61">
        <f t="shared" si="23"/>
        <v>4723</v>
      </c>
      <c r="W56" s="39">
        <f t="shared" si="23"/>
        <v>-92355.41</v>
      </c>
      <c r="X56" s="61">
        <f t="shared" si="23"/>
        <v>-4723</v>
      </c>
      <c r="Y56" s="39">
        <f t="shared" si="23"/>
        <v>92355.39</v>
      </c>
      <c r="Z56" s="61">
        <f t="shared" ref="Z56:AE56" si="24">SUM(Z54:Z55)</f>
        <v>148567</v>
      </c>
      <c r="AA56" s="39">
        <f t="shared" si="24"/>
        <v>13371.03</v>
      </c>
      <c r="AB56" s="61">
        <f t="shared" si="24"/>
        <v>-148667</v>
      </c>
      <c r="AC56" s="39">
        <f t="shared" si="24"/>
        <v>-13369.53</v>
      </c>
      <c r="AD56" s="61">
        <f t="shared" si="24"/>
        <v>-1650</v>
      </c>
      <c r="AE56" s="39">
        <f t="shared" si="24"/>
        <v>276.01</v>
      </c>
      <c r="AF56" s="61">
        <f t="shared" ref="AF56:AK56" si="25">SUM(AF54:AF55)</f>
        <v>-25807</v>
      </c>
      <c r="AG56" s="39">
        <f t="shared" si="25"/>
        <v>-526.34</v>
      </c>
      <c r="AH56" s="61">
        <f t="shared" si="25"/>
        <v>-2032</v>
      </c>
      <c r="AI56" s="39">
        <f t="shared" si="25"/>
        <v>-616.88</v>
      </c>
      <c r="AJ56" s="61">
        <f t="shared" si="25"/>
        <v>0</v>
      </c>
      <c r="AK56" s="39">
        <f t="shared" si="25"/>
        <v>-20.52</v>
      </c>
      <c r="AL56" s="61">
        <f>SUM(AL54:AL55)</f>
        <v>15296</v>
      </c>
      <c r="AM56" s="39">
        <f>SUM(AM54:AM55)</f>
        <v>-727.48</v>
      </c>
      <c r="AN56" s="61">
        <f>SUM(AN54:AN55)</f>
        <v>504</v>
      </c>
      <c r="AO56" s="39">
        <f>SUM(AO54:AO55)</f>
        <v>-259.2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8204.74</v>
      </c>
      <c r="F59" s="64">
        <f>'TIE-OUT'!R59+RECLASS!R59</f>
        <v>0</v>
      </c>
      <c r="G59" s="68">
        <f>'TIE-OUT'!S59+RECLASS!S59</f>
        <v>0</v>
      </c>
      <c r="H59" s="127">
        <f>+Actuals!E269</f>
        <v>0</v>
      </c>
      <c r="I59" s="128">
        <f>+Actuals!F269</f>
        <v>350</v>
      </c>
      <c r="J59" s="127">
        <f>+Actuals!G269</f>
        <v>0</v>
      </c>
      <c r="K59" s="147">
        <f>+Actuals!H269</f>
        <v>312.5</v>
      </c>
      <c r="L59" s="127">
        <f>+Actuals!I269</f>
        <v>0</v>
      </c>
      <c r="M59" s="128">
        <f>+Actuals!J269</f>
        <v>0</v>
      </c>
      <c r="N59" s="127">
        <f>+Actuals!K269</f>
        <v>0</v>
      </c>
      <c r="O59" s="128">
        <f>+Actuals!L269</f>
        <v>200</v>
      </c>
      <c r="P59" s="127">
        <f>+Actuals!M269</f>
        <v>0</v>
      </c>
      <c r="Q59" s="128">
        <f>+Actuals!N269</f>
        <v>-200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1357.25</v>
      </c>
      <c r="V59" s="127">
        <f>+Actuals!S269</f>
        <v>0</v>
      </c>
      <c r="W59" s="128">
        <f>+Actuals!T269</f>
        <v>6184.99</v>
      </c>
      <c r="X59" s="127">
        <f>+Actuals!U469</f>
        <v>0</v>
      </c>
      <c r="Y59" s="128">
        <f>+Actuals!V469</f>
        <v>0</v>
      </c>
      <c r="Z59" s="127">
        <f>+Actuals!W469</f>
        <v>0</v>
      </c>
      <c r="AA59" s="128">
        <f>+Actuals!X469</f>
        <v>0</v>
      </c>
      <c r="AB59" s="127">
        <f>+Actuals!Y469</f>
        <v>0</v>
      </c>
      <c r="AC59" s="128">
        <f>+Actuals!Z469</f>
        <v>0</v>
      </c>
      <c r="AD59" s="127">
        <f>+Actuals!AA469</f>
        <v>0</v>
      </c>
      <c r="AE59" s="128">
        <f>+Actuals!AB469</f>
        <v>0</v>
      </c>
      <c r="AF59" s="127">
        <f>+Actuals!AC469</f>
        <v>0</v>
      </c>
      <c r="AG59" s="128">
        <f>+Actuals!AD469</f>
        <v>0</v>
      </c>
      <c r="AH59" s="127">
        <f>+Actuals!AE469</f>
        <v>0</v>
      </c>
      <c r="AI59" s="128">
        <f>+Actuals!AF469</f>
        <v>0</v>
      </c>
      <c r="AJ59" s="127">
        <f>+Actuals!AG469</f>
        <v>0</v>
      </c>
      <c r="AK59" s="128">
        <f>+Actuals!AH469</f>
        <v>0</v>
      </c>
      <c r="AL59" s="127">
        <f>+Actuals!AI469</f>
        <v>0</v>
      </c>
      <c r="AM59" s="128">
        <f>+Actuals!AJ469</f>
        <v>0</v>
      </c>
      <c r="AN59" s="127">
        <f>+Actuals!AK469</f>
        <v>0</v>
      </c>
      <c r="AO59" s="128">
        <f>+Actuals!AL469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'TIE-OUT'!R60+RECLASS!R60</f>
        <v>0</v>
      </c>
      <c r="G60" s="82">
        <f>'TIE-OUT'!S60+RECLASS!S60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+Actuals!U470</f>
        <v>0</v>
      </c>
      <c r="Y60" s="128">
        <f>+Actuals!V470</f>
        <v>0</v>
      </c>
      <c r="Z60" s="127">
        <f>+Actuals!W470</f>
        <v>0</v>
      </c>
      <c r="AA60" s="128">
        <f>+Actuals!X470</f>
        <v>0</v>
      </c>
      <c r="AB60" s="127">
        <f>+Actuals!Y470</f>
        <v>0</v>
      </c>
      <c r="AC60" s="128">
        <f>+Actuals!Z470</f>
        <v>0</v>
      </c>
      <c r="AD60" s="127">
        <f>+Actuals!AA470</f>
        <v>0</v>
      </c>
      <c r="AE60" s="128">
        <f>+Actuals!AB470</f>
        <v>0</v>
      </c>
      <c r="AF60" s="127">
        <f>+Actuals!AC470</f>
        <v>0</v>
      </c>
      <c r="AG60" s="128">
        <f>+Actuals!AD470</f>
        <v>0</v>
      </c>
      <c r="AH60" s="127">
        <f>+Actuals!AE470</f>
        <v>0</v>
      </c>
      <c r="AI60" s="128">
        <f>+Actuals!AF470</f>
        <v>0</v>
      </c>
      <c r="AJ60" s="127">
        <f>+Actuals!AG470</f>
        <v>0</v>
      </c>
      <c r="AK60" s="128">
        <f>+Actuals!AH470</f>
        <v>0</v>
      </c>
      <c r="AL60" s="127">
        <f>+Actuals!AI470</f>
        <v>0</v>
      </c>
      <c r="AM60" s="128">
        <f>+Actuals!AJ470</f>
        <v>0</v>
      </c>
      <c r="AN60" s="127">
        <f>+Actuals!AK470</f>
        <v>0</v>
      </c>
      <c r="AO60" s="128">
        <f>+Actuals!AL470</f>
        <v>0</v>
      </c>
    </row>
    <row r="61" spans="1:41" x14ac:dyDescent="0.2">
      <c r="A61" s="9"/>
      <c r="B61" s="62" t="s">
        <v>63</v>
      </c>
      <c r="C61" s="6"/>
      <c r="D61" s="61">
        <f t="shared" ref="D61:Y61" si="26">SUM(D59:D60)</f>
        <v>0</v>
      </c>
      <c r="E61" s="39">
        <f t="shared" si="26"/>
        <v>8204.74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350</v>
      </c>
      <c r="J61" s="61">
        <f t="shared" si="26"/>
        <v>0</v>
      </c>
      <c r="K61" s="148">
        <f t="shared" si="26"/>
        <v>312.5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200</v>
      </c>
      <c r="P61" s="61">
        <f t="shared" si="26"/>
        <v>0</v>
      </c>
      <c r="Q61" s="39">
        <f t="shared" si="26"/>
        <v>-200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1357.25</v>
      </c>
      <c r="V61" s="61">
        <f t="shared" si="26"/>
        <v>0</v>
      </c>
      <c r="W61" s="39">
        <f t="shared" si="26"/>
        <v>6184.99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-57910603</v>
      </c>
      <c r="E64" s="38">
        <f>SUM(G64,I64,K64,M64,O64,Q64,S64,U64,W64,Y64,AA64,AC64,AE64,AG64,AI64,AK64,AM64,AO64)</f>
        <v>-1115395.74</v>
      </c>
      <c r="F64" s="64">
        <f>'TIE-OUT'!R64+RECLASS!R64</f>
        <v>0</v>
      </c>
      <c r="G64" s="68">
        <f>'TIE-OUT'!S64+RECLASS!S64</f>
        <v>0</v>
      </c>
      <c r="H64" s="127">
        <f>+Actuals!E271</f>
        <v>-35795721</v>
      </c>
      <c r="I64" s="128">
        <f>+Actuals!F271</f>
        <v>-659715.27</v>
      </c>
      <c r="J64" s="127">
        <f>+Actuals!G271</f>
        <v>-22286898</v>
      </c>
      <c r="K64" s="147">
        <f>+Actuals!H271</f>
        <v>-183788.36</v>
      </c>
      <c r="L64" s="127">
        <f>+Actuals!I271</f>
        <v>29333</v>
      </c>
      <c r="M64" s="128">
        <f>+Actuals!J271</f>
        <v>-6976</v>
      </c>
      <c r="N64" s="127">
        <f>+Actuals!K271</f>
        <v>65137</v>
      </c>
      <c r="O64" s="128">
        <f>+Actuals!L271</f>
        <v>-260636</v>
      </c>
      <c r="P64" s="127">
        <f>+Actuals!M271</f>
        <v>-6527</v>
      </c>
      <c r="Q64" s="128">
        <f>+Actuals!N271</f>
        <v>0</v>
      </c>
      <c r="R64" s="127">
        <f>+Actuals!O271</f>
        <v>82724</v>
      </c>
      <c r="S64" s="128">
        <f>+Actuals!P271</f>
        <v>0</v>
      </c>
      <c r="T64" s="127">
        <f>+Actuals!Q271</f>
        <v>0</v>
      </c>
      <c r="U64" s="128">
        <f>+Actuals!R271</f>
        <v>0.01</v>
      </c>
      <c r="V64" s="127">
        <f>+Actuals!S271</f>
        <v>0</v>
      </c>
      <c r="W64" s="128">
        <f>+Actuals!T271</f>
        <v>0</v>
      </c>
      <c r="X64" s="127">
        <f>+Actuals!U471</f>
        <v>0</v>
      </c>
      <c r="Y64" s="128">
        <f>+Actuals!V471</f>
        <v>0</v>
      </c>
      <c r="Z64" s="127">
        <f>+Actuals!W471</f>
        <v>0</v>
      </c>
      <c r="AA64" s="128">
        <f>+Actuals!X471</f>
        <v>0</v>
      </c>
      <c r="AB64" s="127">
        <f>+Actuals!Y471</f>
        <v>0</v>
      </c>
      <c r="AC64" s="128">
        <f>+Actuals!Z471</f>
        <v>0</v>
      </c>
      <c r="AD64" s="127">
        <f>+Actuals!AA471</f>
        <v>0</v>
      </c>
      <c r="AE64" s="128">
        <f>+Actuals!AB471</f>
        <v>1.63</v>
      </c>
      <c r="AF64" s="127">
        <f>+Actuals!AC471</f>
        <v>0</v>
      </c>
      <c r="AG64" s="128">
        <f>+Actuals!AD471</f>
        <v>-1.55</v>
      </c>
      <c r="AH64" s="127">
        <f>+Actuals!AE471</f>
        <v>0</v>
      </c>
      <c r="AI64" s="128">
        <f>+Actuals!AF471</f>
        <v>-7064.2</v>
      </c>
      <c r="AJ64" s="127">
        <f>+Actuals!AG471</f>
        <v>0</v>
      </c>
      <c r="AK64" s="128">
        <f>+Actuals!AH471</f>
        <v>0</v>
      </c>
      <c r="AL64" s="127">
        <f>+Actuals!AI471</f>
        <v>0</v>
      </c>
      <c r="AM64" s="128">
        <f>+Actuals!AJ471</f>
        <v>0</v>
      </c>
      <c r="AN64" s="127">
        <v>1349</v>
      </c>
      <c r="AO64" s="128">
        <v>2784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1039798</v>
      </c>
      <c r="F65" s="81">
        <f>'TIE-OUT'!R65+RECLASS!R65</f>
        <v>0</v>
      </c>
      <c r="G65" s="82">
        <f>'TIE-OUT'!S65+RECLASS!S65</f>
        <v>909413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60">
        <f>+Actuals!H272+174792-50000</f>
        <v>124792</v>
      </c>
      <c r="L65" s="127">
        <f>+Actuals!I272</f>
        <v>0</v>
      </c>
      <c r="M65" s="128">
        <f>+Actuals!J272</f>
        <v>0</v>
      </c>
      <c r="N65" s="127">
        <f>+Actuals!K272</f>
        <v>0</v>
      </c>
      <c r="O65" s="157">
        <f>+Actuals!L272+2567</f>
        <v>2567</v>
      </c>
      <c r="P65" s="127">
        <f>+Actuals!M272</f>
        <v>0</v>
      </c>
      <c r="Q65" s="157">
        <f>+Actuals!N272+7038</f>
        <v>7038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+Actuals!R272-3965-47</f>
        <v>-4012</v>
      </c>
      <c r="V65" s="127">
        <f>+Actuals!S272</f>
        <v>0</v>
      </c>
      <c r="W65" s="128">
        <f>+Actuals!T272</f>
        <v>0</v>
      </c>
      <c r="X65" s="127">
        <f>+Actuals!U472</f>
        <v>0</v>
      </c>
      <c r="Y65" s="128">
        <f>+Actuals!V472</f>
        <v>0</v>
      </c>
      <c r="Z65" s="127">
        <f>+Actuals!W472</f>
        <v>0</v>
      </c>
      <c r="AA65" s="128">
        <f>+Actuals!X472</f>
        <v>0</v>
      </c>
      <c r="AB65" s="127">
        <f>+Actuals!Y472</f>
        <v>0</v>
      </c>
      <c r="AC65" s="128">
        <f>+Actuals!Z472</f>
        <v>0</v>
      </c>
      <c r="AD65" s="127">
        <f>+Actuals!AA472</f>
        <v>0</v>
      </c>
      <c r="AE65" s="128">
        <f>+Actuals!AB472</f>
        <v>0</v>
      </c>
      <c r="AF65" s="127">
        <f>+Actuals!AC472</f>
        <v>0</v>
      </c>
      <c r="AG65" s="128">
        <f>+Actuals!AD472</f>
        <v>0</v>
      </c>
      <c r="AH65" s="127">
        <f>+Actuals!AE472</f>
        <v>0</v>
      </c>
      <c r="AI65" s="128">
        <f>+Actuals!AF472</f>
        <v>0</v>
      </c>
      <c r="AJ65" s="127">
        <f>+Actuals!AG472</f>
        <v>0</v>
      </c>
      <c r="AK65" s="128">
        <f>+Actuals!AH472</f>
        <v>0</v>
      </c>
      <c r="AL65" s="127">
        <f>+Actuals!AI472</f>
        <v>0</v>
      </c>
      <c r="AM65" s="128">
        <f>+Actuals!AJ472</f>
        <v>0</v>
      </c>
      <c r="AN65" s="127">
        <f>+Actuals!AK472</f>
        <v>0</v>
      </c>
      <c r="AO65" s="128">
        <f>+Actuals!AL472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-57911952</v>
      </c>
      <c r="E66" s="39">
        <f>SUM(G66,I66,K66,M66,O66,Q66,S66,U66,W66,Y66,AA66,AC66,AE66,AG66,AI66)</f>
        <v>-78381.740000000005</v>
      </c>
      <c r="F66" s="61">
        <f t="shared" ref="F66:Y66" si="29">SUM(F64:F65)</f>
        <v>0</v>
      </c>
      <c r="G66" s="39">
        <f t="shared" si="29"/>
        <v>909413</v>
      </c>
      <c r="H66" s="61">
        <f t="shared" si="29"/>
        <v>-35795721</v>
      </c>
      <c r="I66" s="39">
        <f t="shared" si="29"/>
        <v>-659715.27</v>
      </c>
      <c r="J66" s="61">
        <f t="shared" si="29"/>
        <v>-22286898</v>
      </c>
      <c r="K66" s="148">
        <f t="shared" si="29"/>
        <v>-58996.359999999986</v>
      </c>
      <c r="L66" s="61">
        <f t="shared" si="29"/>
        <v>29333</v>
      </c>
      <c r="M66" s="39">
        <f t="shared" si="29"/>
        <v>-6976</v>
      </c>
      <c r="N66" s="61">
        <f t="shared" si="29"/>
        <v>65137</v>
      </c>
      <c r="O66" s="39">
        <f t="shared" si="29"/>
        <v>-258069</v>
      </c>
      <c r="P66" s="61">
        <f t="shared" si="29"/>
        <v>-6527</v>
      </c>
      <c r="Q66" s="39">
        <f t="shared" si="29"/>
        <v>7038</v>
      </c>
      <c r="R66" s="61">
        <f t="shared" si="29"/>
        <v>82724</v>
      </c>
      <c r="S66" s="39">
        <f t="shared" si="29"/>
        <v>0</v>
      </c>
      <c r="T66" s="61">
        <f t="shared" si="29"/>
        <v>0</v>
      </c>
      <c r="U66" s="39">
        <f t="shared" si="29"/>
        <v>-4011.99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1.63</v>
      </c>
      <c r="AF66" s="61">
        <f t="shared" ref="AF66:AK66" si="31">SUM(AF64:AF65)</f>
        <v>0</v>
      </c>
      <c r="AG66" s="39">
        <f t="shared" si="31"/>
        <v>-1.55</v>
      </c>
      <c r="AH66" s="61">
        <f t="shared" si="31"/>
        <v>0</v>
      </c>
      <c r="AI66" s="39">
        <f t="shared" si="31"/>
        <v>-7064.2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1349</v>
      </c>
      <c r="AO66" s="39">
        <f>SUM(AO64:AO65)</f>
        <v>2784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250999.06</v>
      </c>
      <c r="F70" s="64">
        <f>'TIE-OUT'!R70+RECLASS!R70</f>
        <v>0</v>
      </c>
      <c r="G70" s="68">
        <f>'TIE-OUT'!S70+RECLASS!S70</f>
        <v>250999.06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+Actuals!U473</f>
        <v>0</v>
      </c>
      <c r="Y70" s="128">
        <f>+Actuals!V473</f>
        <v>0</v>
      </c>
      <c r="Z70" s="127">
        <f>+Actuals!W473</f>
        <v>0</v>
      </c>
      <c r="AA70" s="128">
        <f>+Actuals!X473</f>
        <v>0</v>
      </c>
      <c r="AB70" s="127">
        <f>+Actuals!Y473</f>
        <v>0</v>
      </c>
      <c r="AC70" s="128">
        <f>+Actuals!Z473</f>
        <v>0</v>
      </c>
      <c r="AD70" s="127">
        <f>+Actuals!AA473</f>
        <v>0</v>
      </c>
      <c r="AE70" s="128">
        <f>+Actuals!AB473</f>
        <v>0</v>
      </c>
      <c r="AF70" s="127">
        <f>+Actuals!AC473</f>
        <v>0</v>
      </c>
      <c r="AG70" s="128">
        <f>+Actuals!AD473</f>
        <v>0</v>
      </c>
      <c r="AH70" s="127">
        <f>+Actuals!AE473</f>
        <v>0</v>
      </c>
      <c r="AI70" s="128">
        <f>+Actuals!AF473</f>
        <v>0</v>
      </c>
      <c r="AJ70" s="127">
        <f>+Actuals!AG473</f>
        <v>0</v>
      </c>
      <c r="AK70" s="128">
        <f>+Actuals!AH473</f>
        <v>0</v>
      </c>
      <c r="AL70" s="127">
        <f>+Actuals!AI473</f>
        <v>0</v>
      </c>
      <c r="AM70" s="128">
        <f>+Actuals!AJ473</f>
        <v>0</v>
      </c>
      <c r="AN70" s="127">
        <f>+Actuals!AK473</f>
        <v>0</v>
      </c>
      <c r="AO70" s="128">
        <f>+Actuals!AL473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-1054678.81</v>
      </c>
      <c r="F71" s="81">
        <f>'TIE-OUT'!R71+RECLASS!R71</f>
        <v>0</v>
      </c>
      <c r="G71" s="82">
        <f>'TIE-OUT'!S71+RECLASS!S71</f>
        <v>-1054678.81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+Actuals!U474</f>
        <v>0</v>
      </c>
      <c r="Y71" s="128">
        <f>+Actuals!V474</f>
        <v>0</v>
      </c>
      <c r="Z71" s="127">
        <f>+Actuals!W474</f>
        <v>0</v>
      </c>
      <c r="AA71" s="128">
        <f>+Actuals!X474</f>
        <v>0</v>
      </c>
      <c r="AB71" s="127">
        <f>+Actuals!Y474</f>
        <v>0</v>
      </c>
      <c r="AC71" s="128">
        <f>+Actuals!Z474</f>
        <v>0</v>
      </c>
      <c r="AD71" s="127">
        <f>+Actuals!AA474</f>
        <v>0</v>
      </c>
      <c r="AE71" s="128">
        <f>+Actuals!AB474</f>
        <v>0</v>
      </c>
      <c r="AF71" s="127">
        <f>+Actuals!AC474</f>
        <v>0</v>
      </c>
      <c r="AG71" s="128">
        <f>+Actuals!AD474</f>
        <v>0</v>
      </c>
      <c r="AH71" s="127">
        <f>+Actuals!AE474</f>
        <v>0</v>
      </c>
      <c r="AI71" s="128">
        <f>+Actuals!AF474</f>
        <v>0</v>
      </c>
      <c r="AJ71" s="127">
        <f>+Actuals!AG474</f>
        <v>0</v>
      </c>
      <c r="AK71" s="128">
        <f>+Actuals!AH474</f>
        <v>0</v>
      </c>
      <c r="AL71" s="127">
        <f>+Actuals!AI474</f>
        <v>0</v>
      </c>
      <c r="AM71" s="128">
        <f>+Actuals!AJ474</f>
        <v>0</v>
      </c>
      <c r="AN71" s="127">
        <f>+Actuals!AK474</f>
        <v>0</v>
      </c>
      <c r="AO71" s="128">
        <f>+Actuals!AL474</f>
        <v>0</v>
      </c>
    </row>
    <row r="72" spans="1:41" x14ac:dyDescent="0.2">
      <c r="A72" s="9"/>
      <c r="B72" s="3"/>
      <c r="C72" s="55" t="s">
        <v>71</v>
      </c>
      <c r="D72" s="61">
        <f t="shared" ref="D72:Y72" si="32">SUM(D70:D71)</f>
        <v>0</v>
      </c>
      <c r="E72" s="39">
        <f t="shared" si="32"/>
        <v>-803679.75</v>
      </c>
      <c r="F72" s="61">
        <f t="shared" si="32"/>
        <v>0</v>
      </c>
      <c r="G72" s="39">
        <f t="shared" si="32"/>
        <v>-803679.75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48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'TIE-OUT'!R73+RECLASS!R73</f>
        <v>0</v>
      </c>
      <c r="G73" s="60">
        <f>'TIE-OUT'!S73+RECLASS!S73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+Actuals!U475</f>
        <v>0</v>
      </c>
      <c r="Y73" s="128">
        <f>+Actuals!V475</f>
        <v>0</v>
      </c>
      <c r="Z73" s="127">
        <f>+Actuals!W475</f>
        <v>0</v>
      </c>
      <c r="AA73" s="128">
        <f>+Actuals!X475</f>
        <v>0</v>
      </c>
      <c r="AB73" s="127">
        <f>+Actuals!Y475</f>
        <v>0</v>
      </c>
      <c r="AC73" s="128">
        <f>+Actuals!Z475</f>
        <v>0</v>
      </c>
      <c r="AD73" s="127">
        <f>+Actuals!AA475</f>
        <v>0</v>
      </c>
      <c r="AE73" s="128">
        <f>+Actuals!AB475</f>
        <v>0</v>
      </c>
      <c r="AF73" s="127">
        <f>+Actuals!AC475</f>
        <v>0</v>
      </c>
      <c r="AG73" s="128">
        <f>+Actuals!AD475</f>
        <v>0</v>
      </c>
      <c r="AH73" s="127">
        <f>+Actuals!AE475</f>
        <v>0</v>
      </c>
      <c r="AI73" s="128">
        <f>+Actuals!AF475</f>
        <v>0</v>
      </c>
      <c r="AJ73" s="127">
        <f>+Actuals!AG475</f>
        <v>0</v>
      </c>
      <c r="AK73" s="128">
        <f>+Actuals!AH475</f>
        <v>0</v>
      </c>
      <c r="AL73" s="127">
        <f>+Actuals!AI475</f>
        <v>0</v>
      </c>
      <c r="AM73" s="128">
        <f>+Actuals!AJ475</f>
        <v>0</v>
      </c>
      <c r="AN73" s="127">
        <f>+Actuals!AK475</f>
        <v>0</v>
      </c>
      <c r="AO73" s="128">
        <f>+Actuals!AL475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1009624.5</v>
      </c>
      <c r="F74" s="60">
        <f>'TIE-OUT'!R74+RECLASS!R74</f>
        <v>0</v>
      </c>
      <c r="G74" s="60">
        <f>'TIE-OUT'!S74+RECLASS!S74</f>
        <v>858169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60">
        <f>+Actuals!H276-3146.5</f>
        <v>-3146.5</v>
      </c>
      <c r="L74" s="127">
        <f>+Actuals!I276</f>
        <v>0</v>
      </c>
      <c r="M74" s="128">
        <f>+Actuals!J276</f>
        <v>0</v>
      </c>
      <c r="N74" s="127">
        <f>+Actuals!K276</f>
        <v>0</v>
      </c>
      <c r="O74" s="157">
        <v>154602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+Actuals!U476</f>
        <v>0</v>
      </c>
      <c r="Y74" s="128">
        <f>+Actuals!V476</f>
        <v>0</v>
      </c>
      <c r="Z74" s="127">
        <f>+Actuals!W476</f>
        <v>0</v>
      </c>
      <c r="AA74" s="128">
        <f>+Actuals!X476</f>
        <v>0</v>
      </c>
      <c r="AB74" s="127">
        <f>+Actuals!Y476</f>
        <v>0</v>
      </c>
      <c r="AC74" s="128">
        <f>+Actuals!Z476</f>
        <v>0</v>
      </c>
      <c r="AD74" s="127">
        <f>+Actuals!AA476</f>
        <v>0</v>
      </c>
      <c r="AE74" s="128">
        <f>+Actuals!AB476</f>
        <v>0</v>
      </c>
      <c r="AF74" s="127">
        <f>+Actuals!AC476</f>
        <v>0</v>
      </c>
      <c r="AG74" s="128">
        <f>+Actuals!AD476</f>
        <v>0</v>
      </c>
      <c r="AH74" s="127">
        <f>+Actuals!AE476</f>
        <v>0</v>
      </c>
      <c r="AI74" s="128">
        <f>+Actuals!AF476</f>
        <v>0</v>
      </c>
      <c r="AJ74" s="127">
        <f>+Actuals!AG476</f>
        <v>0</v>
      </c>
      <c r="AK74" s="128">
        <f>+Actuals!AH476</f>
        <v>0</v>
      </c>
      <c r="AL74" s="127">
        <f>+Actuals!AI476</f>
        <v>0</v>
      </c>
      <c r="AM74" s="128">
        <f>+Actuals!AJ476</f>
        <v>0</v>
      </c>
      <c r="AN74" s="127">
        <f>+Actuals!AK476</f>
        <v>0</v>
      </c>
      <c r="AO74" s="128">
        <f>+Actuals!AL476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81300</v>
      </c>
      <c r="F75" s="60">
        <f>'TIE-OUT'!R75+RECLASS!R75</f>
        <v>0</v>
      </c>
      <c r="G75" s="60">
        <f>'TIE-OUT'!S75+RECLASS!S75</f>
        <v>81300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+Actuals!U477</f>
        <v>0</v>
      </c>
      <c r="Y75" s="128">
        <f>+Actuals!V477</f>
        <v>0</v>
      </c>
      <c r="Z75" s="127">
        <f>+Actuals!W477</f>
        <v>0</v>
      </c>
      <c r="AA75" s="128">
        <f>+Actuals!X477</f>
        <v>0</v>
      </c>
      <c r="AB75" s="127">
        <f>+Actuals!Y477</f>
        <v>0</v>
      </c>
      <c r="AC75" s="128">
        <f>+Actuals!Z477</f>
        <v>0</v>
      </c>
      <c r="AD75" s="127">
        <f>+Actuals!AA477</f>
        <v>0</v>
      </c>
      <c r="AE75" s="128">
        <f>+Actuals!AB477</f>
        <v>0</v>
      </c>
      <c r="AF75" s="127">
        <f>+Actuals!AC477</f>
        <v>0</v>
      </c>
      <c r="AG75" s="128">
        <f>+Actuals!AD477</f>
        <v>0</v>
      </c>
      <c r="AH75" s="127">
        <f>+Actuals!AE477</f>
        <v>0</v>
      </c>
      <c r="AI75" s="128">
        <f>+Actuals!AF477</f>
        <v>0</v>
      </c>
      <c r="AJ75" s="127">
        <f>+Actuals!AG477</f>
        <v>0</v>
      </c>
      <c r="AK75" s="128">
        <f>+Actuals!AH477</f>
        <v>0</v>
      </c>
      <c r="AL75" s="127">
        <f>+Actuals!AI477</f>
        <v>0</v>
      </c>
      <c r="AM75" s="128">
        <f>+Actuals!AJ477</f>
        <v>0</v>
      </c>
      <c r="AN75" s="127">
        <f>+Actuals!AK477</f>
        <v>0</v>
      </c>
      <c r="AO75" s="128">
        <f>+Actuals!AL477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-10059.73</v>
      </c>
      <c r="F76" s="60">
        <f>'TIE-OUT'!R76+RECLASS!R76</f>
        <v>0</v>
      </c>
      <c r="G76" s="60">
        <f>'TIE-OUT'!S76+RECLASS!S76</f>
        <v>0</v>
      </c>
      <c r="H76" s="127">
        <f>+Actuals!E278</f>
        <v>0</v>
      </c>
      <c r="I76" s="128">
        <f>+Actuals!F278</f>
        <v>-3750</v>
      </c>
      <c r="J76" s="127">
        <f>+Actuals!G278</f>
        <v>0</v>
      </c>
      <c r="K76" s="147">
        <f>+Actuals!H278</f>
        <v>-6309.73</v>
      </c>
      <c r="L76" s="127">
        <f>+Actuals!I278</f>
        <v>0</v>
      </c>
      <c r="M76" s="128">
        <f>+Actuals!J278</f>
        <v>0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+Actuals!U478</f>
        <v>0</v>
      </c>
      <c r="Y76" s="128">
        <f>+Actuals!V478</f>
        <v>0</v>
      </c>
      <c r="Z76" s="127">
        <f>+Actuals!W478</f>
        <v>0</v>
      </c>
      <c r="AA76" s="128">
        <f>+Actuals!X478</f>
        <v>0</v>
      </c>
      <c r="AB76" s="127">
        <f>+Actuals!Y478</f>
        <v>0</v>
      </c>
      <c r="AC76" s="128">
        <f>+Actuals!Z478</f>
        <v>0</v>
      </c>
      <c r="AD76" s="127">
        <f>+Actuals!AA478</f>
        <v>0</v>
      </c>
      <c r="AE76" s="128">
        <f>+Actuals!AB478</f>
        <v>0</v>
      </c>
      <c r="AF76" s="127">
        <f>+Actuals!AC478</f>
        <v>0</v>
      </c>
      <c r="AG76" s="128">
        <f>+Actuals!AD478</f>
        <v>0</v>
      </c>
      <c r="AH76" s="127">
        <f>+Actuals!AE478</f>
        <v>0</v>
      </c>
      <c r="AI76" s="128">
        <f>+Actuals!AF478</f>
        <v>0</v>
      </c>
      <c r="AJ76" s="127">
        <f>+Actuals!AG478</f>
        <v>0</v>
      </c>
      <c r="AK76" s="128">
        <f>+Actuals!AH478</f>
        <v>0</v>
      </c>
      <c r="AL76" s="127">
        <f>+Actuals!AI478</f>
        <v>0</v>
      </c>
      <c r="AM76" s="128">
        <f>+Actuals!AJ478</f>
        <v>0</v>
      </c>
      <c r="AN76" s="127">
        <f>+Actuals!AK478</f>
        <v>0</v>
      </c>
      <c r="AO76" s="128">
        <f>+Actuals!AL478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60">
        <f>'TIE-OUT'!R77+RECLASS!R77</f>
        <v>0</v>
      </c>
      <c r="G77" s="60">
        <f>'TIE-OUT'!S77+RECLASS!S77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+Actuals!U479</f>
        <v>0</v>
      </c>
      <c r="Y77" s="128">
        <f>+Actuals!V479</f>
        <v>0</v>
      </c>
      <c r="Z77" s="127">
        <f>+Actuals!W479</f>
        <v>0</v>
      </c>
      <c r="AA77" s="128">
        <f>+Actuals!X479</f>
        <v>0</v>
      </c>
      <c r="AB77" s="127">
        <f>+Actuals!Y479</f>
        <v>0</v>
      </c>
      <c r="AC77" s="128">
        <f>+Actuals!Z479</f>
        <v>0</v>
      </c>
      <c r="AD77" s="127">
        <f>+Actuals!AA479</f>
        <v>0</v>
      </c>
      <c r="AE77" s="128">
        <f>+Actuals!AB479</f>
        <v>0</v>
      </c>
      <c r="AF77" s="127">
        <f>+Actuals!AC479</f>
        <v>0</v>
      </c>
      <c r="AG77" s="128">
        <f>+Actuals!AD479</f>
        <v>0</v>
      </c>
      <c r="AH77" s="127">
        <f>+Actuals!AE479</f>
        <v>0</v>
      </c>
      <c r="AI77" s="128">
        <f>+Actuals!AF479</f>
        <v>0</v>
      </c>
      <c r="AJ77" s="127">
        <f>+Actuals!AG479</f>
        <v>0</v>
      </c>
      <c r="AK77" s="128">
        <f>+Actuals!AH479</f>
        <v>0</v>
      </c>
      <c r="AL77" s="127">
        <f>+Actuals!AI479</f>
        <v>0</v>
      </c>
      <c r="AM77" s="128">
        <f>+Actuals!AJ479</f>
        <v>0</v>
      </c>
      <c r="AN77" s="127">
        <f>+Actuals!AK479</f>
        <v>0</v>
      </c>
      <c r="AO77" s="128">
        <f>+Actuals!AL479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'TIE-OUT'!R78+RECLASS!R78</f>
        <v>0</v>
      </c>
      <c r="G78" s="60">
        <f>'TIE-OUT'!S78+RECLASS!S78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+Actuals!U480</f>
        <v>0</v>
      </c>
      <c r="Y78" s="128">
        <f>+Actuals!V480</f>
        <v>0</v>
      </c>
      <c r="Z78" s="127">
        <f>+Actuals!W480</f>
        <v>0</v>
      </c>
      <c r="AA78" s="128">
        <f>+Actuals!X480</f>
        <v>0</v>
      </c>
      <c r="AB78" s="127">
        <f>+Actuals!Y480</f>
        <v>0</v>
      </c>
      <c r="AC78" s="128">
        <f>+Actuals!Z480</f>
        <v>0</v>
      </c>
      <c r="AD78" s="127">
        <f>+Actuals!AA480</f>
        <v>0</v>
      </c>
      <c r="AE78" s="128">
        <f>+Actuals!AB480</f>
        <v>0</v>
      </c>
      <c r="AF78" s="127">
        <f>+Actuals!AC480</f>
        <v>0</v>
      </c>
      <c r="AG78" s="128">
        <f>+Actuals!AD480</f>
        <v>0</v>
      </c>
      <c r="AH78" s="127">
        <f>+Actuals!AE480</f>
        <v>0</v>
      </c>
      <c r="AI78" s="128">
        <f>+Actuals!AF480</f>
        <v>0</v>
      </c>
      <c r="AJ78" s="127">
        <f>+Actuals!AG480</f>
        <v>0</v>
      </c>
      <c r="AK78" s="128">
        <f>+Actuals!AH480</f>
        <v>0</v>
      </c>
      <c r="AL78" s="127">
        <f>+Actuals!AI480</f>
        <v>0</v>
      </c>
      <c r="AM78" s="128">
        <f>+Actuals!AJ480</f>
        <v>0</v>
      </c>
      <c r="AN78" s="127">
        <f>+Actuals!AK480</f>
        <v>0</v>
      </c>
      <c r="AO78" s="128">
        <f>+Actuals!AL480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'TIE-OUT'!R79+RECLASS!R79</f>
        <v>0</v>
      </c>
      <c r="G79" s="60">
        <f>'TIE-OUT'!S79+RECLASS!S79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+Actuals!U481</f>
        <v>0</v>
      </c>
      <c r="Y79" s="128">
        <f>+Actuals!V481</f>
        <v>0</v>
      </c>
      <c r="Z79" s="127">
        <f>+Actuals!W481</f>
        <v>0</v>
      </c>
      <c r="AA79" s="128">
        <f>+Actuals!X481</f>
        <v>0</v>
      </c>
      <c r="AB79" s="127">
        <f>+Actuals!Y481</f>
        <v>0</v>
      </c>
      <c r="AC79" s="128">
        <f>+Actuals!Z481</f>
        <v>0</v>
      </c>
      <c r="AD79" s="127">
        <f>+Actuals!AA481</f>
        <v>0</v>
      </c>
      <c r="AE79" s="128">
        <f>+Actuals!AB481</f>
        <v>0</v>
      </c>
      <c r="AF79" s="127">
        <f>+Actuals!AC481</f>
        <v>0</v>
      </c>
      <c r="AG79" s="128">
        <f>+Actuals!AD481</f>
        <v>0</v>
      </c>
      <c r="AH79" s="127">
        <f>+Actuals!AE481</f>
        <v>0</v>
      </c>
      <c r="AI79" s="128">
        <f>+Actuals!AF481</f>
        <v>0</v>
      </c>
      <c r="AJ79" s="127">
        <f>+Actuals!AG481</f>
        <v>0</v>
      </c>
      <c r="AK79" s="128">
        <f>+Actuals!AH481</f>
        <v>0</v>
      </c>
      <c r="AL79" s="127">
        <f>+Actuals!AI481</f>
        <v>0</v>
      </c>
      <c r="AM79" s="128">
        <f>+Actuals!AJ481</f>
        <v>0</v>
      </c>
      <c r="AN79" s="127">
        <f>+Actuals!AK481</f>
        <v>0</v>
      </c>
      <c r="AO79" s="128">
        <f>+Actuals!AL481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'TIE-OUT'!R80+RECLASS!R80</f>
        <v>0</v>
      </c>
      <c r="G80" s="60">
        <f>'TIE-OUT'!S80+RECLASS!S80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+Actuals!U482</f>
        <v>0</v>
      </c>
      <c r="Y80" s="128">
        <f>+Actuals!V482</f>
        <v>0</v>
      </c>
      <c r="Z80" s="127">
        <f>+Actuals!W482</f>
        <v>0</v>
      </c>
      <c r="AA80" s="128">
        <f>+Actuals!X482</f>
        <v>0</v>
      </c>
      <c r="AB80" s="127">
        <f>+Actuals!Y482</f>
        <v>0</v>
      </c>
      <c r="AC80" s="128">
        <f>+Actuals!Z482</f>
        <v>0</v>
      </c>
      <c r="AD80" s="127">
        <f>+Actuals!AA482</f>
        <v>0</v>
      </c>
      <c r="AE80" s="128">
        <f>+Actuals!AB482</f>
        <v>0</v>
      </c>
      <c r="AF80" s="127">
        <f>+Actuals!AC482</f>
        <v>0</v>
      </c>
      <c r="AG80" s="128">
        <f>+Actuals!AD482</f>
        <v>0</v>
      </c>
      <c r="AH80" s="127">
        <f>+Actuals!AE482</f>
        <v>0</v>
      </c>
      <c r="AI80" s="128">
        <f>+Actuals!AF482</f>
        <v>0</v>
      </c>
      <c r="AJ80" s="127">
        <f>+Actuals!AG482</f>
        <v>0</v>
      </c>
      <c r="AK80" s="128">
        <f>+Actuals!AH482</f>
        <v>0</v>
      </c>
      <c r="AL80" s="127">
        <f>+Actuals!AI482</f>
        <v>0</v>
      </c>
      <c r="AM80" s="128">
        <f>+Actuals!AJ482</f>
        <v>0</v>
      </c>
      <c r="AN80" s="127">
        <f>+Actuals!AK482</f>
        <v>0</v>
      </c>
      <c r="AO80" s="128">
        <f>+Actuals!AL482</f>
        <v>0</v>
      </c>
    </row>
    <row r="81" spans="1:73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0</v>
      </c>
      <c r="F81" s="60">
        <f>'TIE-OUT'!R81+RECLASS!R81</f>
        <v>0</v>
      </c>
      <c r="G81" s="60">
        <f>'TIE-OUT'!S81+RECLASS!S81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+Actuals!U483</f>
        <v>0</v>
      </c>
      <c r="Y81" s="128">
        <f>+Actuals!V483</f>
        <v>0</v>
      </c>
      <c r="Z81" s="127">
        <f>+Actuals!W483</f>
        <v>0</v>
      </c>
      <c r="AA81" s="128">
        <f>+Actuals!X483</f>
        <v>0</v>
      </c>
      <c r="AB81" s="127">
        <f>+Actuals!Y483</f>
        <v>0</v>
      </c>
      <c r="AC81" s="128">
        <f>+Actuals!Z483</f>
        <v>0</v>
      </c>
      <c r="AD81" s="127">
        <f>+Actuals!AA483</f>
        <v>0</v>
      </c>
      <c r="AE81" s="128">
        <f>+Actuals!AB483</f>
        <v>0</v>
      </c>
      <c r="AF81" s="127">
        <f>+Actuals!AC483</f>
        <v>0</v>
      </c>
      <c r="AG81" s="128">
        <f>+Actuals!AD483</f>
        <v>0</v>
      </c>
      <c r="AH81" s="127">
        <f>+Actuals!AE483</f>
        <v>0</v>
      </c>
      <c r="AI81" s="128">
        <f>+Actuals!AF483</f>
        <v>0</v>
      </c>
      <c r="AJ81" s="127">
        <f>+Actuals!AG483</f>
        <v>0</v>
      </c>
      <c r="AK81" s="128">
        <f>+Actuals!AH483</f>
        <v>0</v>
      </c>
      <c r="AL81" s="127">
        <f>+Actuals!AI483</f>
        <v>0</v>
      </c>
      <c r="AM81" s="128">
        <f>+Actuals!AJ483</f>
        <v>0</v>
      </c>
      <c r="AN81" s="127">
        <f>+Actuals!AK483</f>
        <v>0</v>
      </c>
      <c r="AO81" s="128">
        <f>+Actuals!AL483</f>
        <v>0</v>
      </c>
    </row>
    <row r="82" spans="1:7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2622555.4060000088</v>
      </c>
      <c r="F82" s="92">
        <f>F16+F24+F29+F36+F43+F45+F47+F49</f>
        <v>0</v>
      </c>
      <c r="G82" s="93">
        <f>SUM(G72:G81)+G16+G24+G29+G36+G43+G45+G47+G49+G51+G56+G61+G66</f>
        <v>-1137488.8399999999</v>
      </c>
      <c r="H82" s="92">
        <f>H16+H24+H29+H36+H43+H45+H47+H49</f>
        <v>0</v>
      </c>
      <c r="I82" s="93">
        <f>SUM(I72:I81)+I16+I24+I29+I36+I43+I45+I47+I49+I51+I56+I61+I66</f>
        <v>4597593.7760000005</v>
      </c>
      <c r="J82" s="92">
        <f>J16+J24+J29+J36+J43+J45+J47+J49</f>
        <v>0</v>
      </c>
      <c r="K82" s="164">
        <f>SUM(K72:K81)+K16+K24+K29+K36+K43+K45+K47+K49+K51+K56+K61+K66</f>
        <v>-639457.77400000056</v>
      </c>
      <c r="L82" s="92">
        <f>L16+L24+L29+L36+L43+L45+L47+L49</f>
        <v>0</v>
      </c>
      <c r="M82" s="93">
        <f>SUM(M72:M81)+M16+M24+M29+M36+M43+M45+M47+M49+M51+M56+M61+M66</f>
        <v>1215432.5620000004</v>
      </c>
      <c r="N82" s="92">
        <f>N16+N24+N29+N36+N43+N45+N47+N49</f>
        <v>0</v>
      </c>
      <c r="O82" s="93">
        <f>SUM(O72:O81)+O16+O24+O29+O36+O43+O45+O47+O49+O51+O56+O61+O66</f>
        <v>-1941179.0759999999</v>
      </c>
      <c r="P82" s="92">
        <f>P16+P24+P29+P36+P43+P45+P47+P49</f>
        <v>0</v>
      </c>
      <c r="Q82" s="93">
        <f>SUM(Q72:Q81)+Q16+Q24+Q29+Q36+Q43+Q45+Q47+Q49+Q51+Q56+Q61+Q66</f>
        <v>103782.228</v>
      </c>
      <c r="R82" s="92">
        <f>R16+R24+R29+R36+R43+R45+R47+R49</f>
        <v>0</v>
      </c>
      <c r="S82" s="93">
        <f>SUM(S72:S81)+S16+S24+S29+S36+S43+S45+S47+S49+S51+S56+S61+S66</f>
        <v>351783.74199999997</v>
      </c>
      <c r="T82" s="92">
        <f>T16+T24+T29+T36+T43+T45+T47+T49</f>
        <v>0</v>
      </c>
      <c r="U82" s="93">
        <f>SUM(U72:U81)+U16+U24+U29+U36+U43+U45+U47+U49+U51+U56+U61+U66</f>
        <v>83863.615999999922</v>
      </c>
      <c r="V82" s="92">
        <f>V16+V24+V29+V36+V43+V45+V47+V49</f>
        <v>0</v>
      </c>
      <c r="W82" s="93">
        <f>SUM(W72:W81)+W16+W24+W29+W36+W43+W45+W47+W49+W51+W56+W61+W66</f>
        <v>-28643.534000000065</v>
      </c>
      <c r="X82" s="92">
        <f>X16+X24+X29+X36+X43+X45+X47+X49</f>
        <v>0</v>
      </c>
      <c r="Y82" s="93">
        <f>SUM(Y72:Y81)+Y16+Y24+Y29+Y36+Y43+Y45+Y47+Y49+Y51+Y56+Y61+Y66</f>
        <v>53228.394000000073</v>
      </c>
      <c r="Z82" s="92">
        <f>Z16+Z24+Z29+Z36+Z43+Z45+Z47+Z49</f>
        <v>0</v>
      </c>
      <c r="AA82" s="93">
        <f>SUM(AA72:AA81)+AA16+AA24+AA29+AA36+AA43+AA45+AA47+AA49+AA51+AA56+AA61+AA66</f>
        <v>-13007.918000000032</v>
      </c>
      <c r="AB82" s="92">
        <f>AB16+AB24+AB29+AB36+AB43+AB45+AB47+AB49</f>
        <v>0</v>
      </c>
      <c r="AC82" s="93">
        <f>SUM(AC72:AC81)+AC16+AC24+AC29+AC36+AC43+AC45+AC47+AC49+AC51+AC56+AC61+AC66</f>
        <v>1075.4040000001241</v>
      </c>
      <c r="AD82" s="92">
        <f>AD16+AD24+AD29+AD36+AD43+AD45+AD47+AD49</f>
        <v>0</v>
      </c>
      <c r="AE82" s="93">
        <f>SUM(AE72:AE81)+AE16+AE24+AE29+AE36+AE43+AE45+AE47+AE49+AE51+AE56+AE61+AE66</f>
        <v>13614.343999999983</v>
      </c>
      <c r="AF82" s="92">
        <f>AF16+AF24+AF29+AF36+AF43+AF45+AF47+AF49</f>
        <v>0</v>
      </c>
      <c r="AG82" s="93">
        <f>SUM(AG72:AG81)+AG16+AG24+AG29+AG36+AG43+AG45+AG47+AG49+AG51+AG56+AG61+AG66</f>
        <v>3184.1539999999213</v>
      </c>
      <c r="AH82" s="92">
        <f>AH16+AH24+AH29+AH36+AH43+AH45+AH47+AH49</f>
        <v>0</v>
      </c>
      <c r="AI82" s="93">
        <f>SUM(AI72:AI81)+AI16+AI24+AI29+AI36+AI43+AI45+AI47+AI49+AI51+AI56+AI61+AI66</f>
        <v>-37449.491999999918</v>
      </c>
      <c r="AJ82" s="92">
        <f>AJ16+AJ24+AJ29+AJ36+AJ43+AJ45+AJ47+AJ49</f>
        <v>0</v>
      </c>
      <c r="AK82" s="93">
        <f>SUM(AK72:AK81)+AK16+AK24+AK29+AK36+AK43+AK45+AK47+AK49+AK51+AK56+AK61+AK66</f>
        <v>547.8900000000001</v>
      </c>
      <c r="AL82" s="92">
        <f>AL16+AL24+AL29+AL36+AL43+AL45+AL47+AL49</f>
        <v>0</v>
      </c>
      <c r="AM82" s="93">
        <f>SUM(AM72:AM81)+AM16+AM24+AM29+AM36+AM43+AM45+AM47+AM49+AM51+AM56+AM61+AM66</f>
        <v>3823.2200000000116</v>
      </c>
      <c r="AN82" s="92">
        <f>AN16+AN24+AN29+AN36+AN43+AN45+AN47+AN49</f>
        <v>0</v>
      </c>
      <c r="AO82" s="93">
        <f>SUM(AO72:AO81)+AO16+AO24+AO29+AO36+AO43+AO45+AO47+AO49+AO51+AO56+AO61+AO66</f>
        <v>-5363.2899999999963</v>
      </c>
    </row>
    <row r="83" spans="1:73" ht="13.5" thickTop="1" x14ac:dyDescent="0.2">
      <c r="A83" s="4"/>
      <c r="B83" s="3"/>
    </row>
    <row r="84" spans="1:73" x14ac:dyDescent="0.2">
      <c r="A84" s="4"/>
      <c r="B84" s="3"/>
      <c r="I84" s="45"/>
    </row>
    <row r="85" spans="1:73" x14ac:dyDescent="0.2">
      <c r="A85" s="4" t="s">
        <v>179</v>
      </c>
      <c r="B85" s="3"/>
      <c r="F85" s="31"/>
      <c r="G85" s="31"/>
      <c r="H85" s="31"/>
      <c r="I85" s="31"/>
      <c r="K85"/>
      <c r="L85" s="45"/>
    </row>
    <row r="86" spans="1:73" s="3" customFormat="1" x14ac:dyDescent="0.2">
      <c r="A86" s="172"/>
      <c r="C86" s="10" t="s">
        <v>175</v>
      </c>
      <c r="D86" s="173">
        <f t="shared" ref="D86:E88" si="37">SUM(F86,H86,J86,L86,N86,P86,R86,T86,V86,X86,Z86,AB86,AD86)</f>
        <v>0</v>
      </c>
      <c r="E86" s="173">
        <f t="shared" si="37"/>
        <v>69330.429999999993</v>
      </c>
      <c r="F86" s="173">
        <f>'TIE-OUT'!R86+RECLASS!R86</f>
        <v>0</v>
      </c>
      <c r="G86" s="173">
        <f>'TIE-OUT'!S86+RECLASS!S86</f>
        <v>69330.429999999993</v>
      </c>
      <c r="H86" s="173">
        <v>0</v>
      </c>
      <c r="I86" s="173">
        <v>0</v>
      </c>
      <c r="J86" s="173">
        <v>0</v>
      </c>
      <c r="K86" s="173"/>
      <c r="L86" s="173">
        <v>0</v>
      </c>
      <c r="M86" s="173">
        <v>0</v>
      </c>
      <c r="N86" s="173">
        <v>0</v>
      </c>
      <c r="O86" s="173">
        <v>0</v>
      </c>
      <c r="P86" s="173">
        <v>0</v>
      </c>
      <c r="Q86" s="173">
        <v>0</v>
      </c>
      <c r="R86" s="173">
        <v>0</v>
      </c>
      <c r="S86" s="173">
        <v>0</v>
      </c>
      <c r="T86" s="173">
        <v>0</v>
      </c>
      <c r="U86" s="173">
        <v>0</v>
      </c>
      <c r="V86" s="173">
        <v>0</v>
      </c>
      <c r="W86" s="173">
        <v>0</v>
      </c>
      <c r="X86" s="173">
        <v>0</v>
      </c>
      <c r="Y86" s="173">
        <v>0</v>
      </c>
      <c r="Z86" s="173">
        <v>0</v>
      </c>
      <c r="AA86" s="173">
        <v>0</v>
      </c>
      <c r="AB86" s="173">
        <v>0</v>
      </c>
      <c r="AC86" s="173">
        <v>0</v>
      </c>
      <c r="AD86" s="173">
        <v>0</v>
      </c>
      <c r="AE86" s="173">
        <v>0</v>
      </c>
      <c r="AF86" s="173">
        <v>0</v>
      </c>
      <c r="AG86" s="173">
        <v>0</v>
      </c>
      <c r="AH86" s="173">
        <v>0</v>
      </c>
      <c r="AI86" s="173">
        <v>0</v>
      </c>
      <c r="AJ86" s="173">
        <v>0</v>
      </c>
      <c r="AK86" s="173">
        <v>0</v>
      </c>
      <c r="AL86" s="173">
        <v>0</v>
      </c>
      <c r="AM86" s="173">
        <v>0</v>
      </c>
      <c r="AN86" s="173">
        <v>0</v>
      </c>
      <c r="AO86" s="173">
        <v>0</v>
      </c>
    </row>
    <row r="87" spans="1:73" s="3" customFormat="1" x14ac:dyDescent="0.2">
      <c r="A87" s="172"/>
      <c r="C87" s="10" t="s">
        <v>73</v>
      </c>
      <c r="D87" s="174">
        <f t="shared" si="37"/>
        <v>0</v>
      </c>
      <c r="E87" s="174">
        <f t="shared" si="37"/>
        <v>0</v>
      </c>
      <c r="F87" s="174">
        <f>'TIE-OUT'!R87+RECLASS!R87</f>
        <v>0</v>
      </c>
      <c r="G87" s="174">
        <f>'TIE-OUT'!S87+RECLASS!S87</f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v>0</v>
      </c>
      <c r="T87" s="174">
        <v>0</v>
      </c>
      <c r="U87" s="174">
        <v>0</v>
      </c>
      <c r="V87" s="174">
        <v>0</v>
      </c>
      <c r="W87" s="174">
        <v>0</v>
      </c>
      <c r="X87" s="174">
        <v>0</v>
      </c>
      <c r="Y87" s="174">
        <v>0</v>
      </c>
      <c r="Z87" s="174">
        <v>0</v>
      </c>
      <c r="AA87" s="174">
        <v>0</v>
      </c>
      <c r="AB87" s="174">
        <v>0</v>
      </c>
      <c r="AC87" s="174">
        <v>0</v>
      </c>
      <c r="AD87" s="174">
        <v>0</v>
      </c>
      <c r="AE87" s="174">
        <v>0</v>
      </c>
      <c r="AF87" s="174">
        <v>0</v>
      </c>
      <c r="AG87" s="174">
        <v>0</v>
      </c>
      <c r="AH87" s="174">
        <v>0</v>
      </c>
      <c r="AI87" s="174">
        <v>0</v>
      </c>
      <c r="AJ87" s="174">
        <v>0</v>
      </c>
      <c r="AK87" s="174">
        <v>0</v>
      </c>
      <c r="AL87" s="174">
        <v>0</v>
      </c>
      <c r="AM87" s="174">
        <v>0</v>
      </c>
      <c r="AN87" s="174">
        <v>0</v>
      </c>
      <c r="AO87" s="174">
        <v>0</v>
      </c>
    </row>
    <row r="88" spans="1:73" s="3" customFormat="1" x14ac:dyDescent="0.2">
      <c r="A88" s="172"/>
      <c r="C88" s="10" t="s">
        <v>74</v>
      </c>
      <c r="D88" s="175">
        <f t="shared" si="37"/>
        <v>0</v>
      </c>
      <c r="E88" s="175">
        <f t="shared" si="37"/>
        <v>-35600</v>
      </c>
      <c r="F88" s="175">
        <f>'TIE-OUT'!R88+RECLASS!R88</f>
        <v>0</v>
      </c>
      <c r="G88" s="175">
        <f>'TIE-OUT'!S88+RECLASS!S88</f>
        <v>-35600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0</v>
      </c>
      <c r="R88" s="175">
        <v>0</v>
      </c>
      <c r="S88" s="175">
        <v>0</v>
      </c>
      <c r="T88" s="175">
        <v>0</v>
      </c>
      <c r="U88" s="175">
        <v>0</v>
      </c>
      <c r="V88" s="175">
        <v>0</v>
      </c>
      <c r="W88" s="175">
        <v>0</v>
      </c>
      <c r="X88" s="175">
        <v>0</v>
      </c>
      <c r="Y88" s="175">
        <v>0</v>
      </c>
      <c r="Z88" s="175">
        <v>0</v>
      </c>
      <c r="AA88" s="175">
        <v>0</v>
      </c>
      <c r="AB88" s="175">
        <v>0</v>
      </c>
      <c r="AC88" s="175">
        <v>0</v>
      </c>
      <c r="AD88" s="175">
        <v>0</v>
      </c>
      <c r="AE88" s="175">
        <v>0</v>
      </c>
      <c r="AF88" s="175">
        <v>0</v>
      </c>
      <c r="AG88" s="175">
        <v>0</v>
      </c>
      <c r="AH88" s="175">
        <v>0</v>
      </c>
      <c r="AI88" s="175">
        <v>0</v>
      </c>
      <c r="AJ88" s="175">
        <v>0</v>
      </c>
      <c r="AK88" s="175">
        <v>0</v>
      </c>
      <c r="AL88" s="175">
        <v>0</v>
      </c>
      <c r="AM88" s="175">
        <v>0</v>
      </c>
      <c r="AN88" s="175">
        <v>0</v>
      </c>
      <c r="AO88" s="175">
        <v>0</v>
      </c>
    </row>
    <row r="89" spans="1:73" s="44" customFormat="1" ht="20.25" customHeight="1" x14ac:dyDescent="0.2">
      <c r="A89" s="179"/>
      <c r="B89" s="180"/>
      <c r="C89" s="185" t="s">
        <v>178</v>
      </c>
      <c r="D89" s="183">
        <f>SUM(D86:D88)</f>
        <v>0</v>
      </c>
      <c r="E89" s="183">
        <f t="shared" ref="E89:M89" si="38">SUM(E86:E88)</f>
        <v>33730.429999999993</v>
      </c>
      <c r="F89" s="183">
        <f t="shared" si="38"/>
        <v>0</v>
      </c>
      <c r="G89" s="183">
        <f t="shared" si="38"/>
        <v>33730.429999999993</v>
      </c>
      <c r="H89" s="183">
        <f t="shared" si="38"/>
        <v>0</v>
      </c>
      <c r="I89" s="183">
        <f t="shared" si="38"/>
        <v>0</v>
      </c>
      <c r="J89" s="183">
        <f t="shared" si="38"/>
        <v>0</v>
      </c>
      <c r="K89" s="183">
        <f t="shared" si="38"/>
        <v>0</v>
      </c>
      <c r="L89" s="183">
        <f t="shared" si="38"/>
        <v>0</v>
      </c>
      <c r="M89" s="183">
        <f t="shared" si="38"/>
        <v>0</v>
      </c>
      <c r="N89" s="183">
        <f t="shared" ref="N89:AE89" si="39">SUM(N86:N88)</f>
        <v>0</v>
      </c>
      <c r="O89" s="183">
        <f t="shared" si="39"/>
        <v>0</v>
      </c>
      <c r="P89" s="183">
        <f t="shared" si="39"/>
        <v>0</v>
      </c>
      <c r="Q89" s="183">
        <f t="shared" si="39"/>
        <v>0</v>
      </c>
      <c r="R89" s="183">
        <f t="shared" si="39"/>
        <v>0</v>
      </c>
      <c r="S89" s="183">
        <f t="shared" si="39"/>
        <v>0</v>
      </c>
      <c r="T89" s="183">
        <f t="shared" si="39"/>
        <v>0</v>
      </c>
      <c r="U89" s="183">
        <f t="shared" si="39"/>
        <v>0</v>
      </c>
      <c r="V89" s="183">
        <f t="shared" si="39"/>
        <v>0</v>
      </c>
      <c r="W89" s="183">
        <f t="shared" si="39"/>
        <v>0</v>
      </c>
      <c r="X89" s="183">
        <f t="shared" si="39"/>
        <v>0</v>
      </c>
      <c r="Y89" s="183">
        <f t="shared" si="39"/>
        <v>0</v>
      </c>
      <c r="Z89" s="183">
        <f t="shared" si="39"/>
        <v>0</v>
      </c>
      <c r="AA89" s="183">
        <f t="shared" si="39"/>
        <v>0</v>
      </c>
      <c r="AB89" s="183">
        <f t="shared" si="39"/>
        <v>0</v>
      </c>
      <c r="AC89" s="183">
        <f t="shared" si="39"/>
        <v>0</v>
      </c>
      <c r="AD89" s="183">
        <f t="shared" si="39"/>
        <v>0</v>
      </c>
      <c r="AE89" s="183">
        <f t="shared" si="39"/>
        <v>0</v>
      </c>
      <c r="AF89" s="183">
        <f t="shared" ref="AF89:AK89" si="40">SUM(AF86:AF88)</f>
        <v>0</v>
      </c>
      <c r="AG89" s="183">
        <f t="shared" si="40"/>
        <v>0</v>
      </c>
      <c r="AH89" s="183">
        <f t="shared" si="40"/>
        <v>0</v>
      </c>
      <c r="AI89" s="183">
        <f t="shared" si="40"/>
        <v>0</v>
      </c>
      <c r="AJ89" s="183">
        <f t="shared" si="40"/>
        <v>0</v>
      </c>
      <c r="AK89" s="183">
        <f t="shared" si="40"/>
        <v>0</v>
      </c>
      <c r="AL89" s="183">
        <f>SUM(AL86:AL88)</f>
        <v>0</v>
      </c>
      <c r="AM89" s="183">
        <f>SUM(AM86:AM88)</f>
        <v>0</v>
      </c>
      <c r="AN89" s="183">
        <f>SUM(AN86:AN88)</f>
        <v>0</v>
      </c>
      <c r="AO89" s="183">
        <f>SUM(AO86:AO88)</f>
        <v>0</v>
      </c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1:73" x14ac:dyDescent="0.2">
      <c r="A90" s="4"/>
      <c r="B90" s="3"/>
      <c r="F90" s="31"/>
      <c r="G90" s="31"/>
      <c r="H90" s="31"/>
      <c r="I90" s="31"/>
      <c r="K90"/>
    </row>
    <row r="91" spans="1:73" s="44" customFormat="1" ht="20.25" customHeight="1" x14ac:dyDescent="0.2">
      <c r="A91" s="179"/>
      <c r="B91" s="180"/>
      <c r="C91" s="185" t="s">
        <v>181</v>
      </c>
      <c r="D91" s="183">
        <f>+D82+D89</f>
        <v>0</v>
      </c>
      <c r="E91" s="183">
        <f t="shared" ref="E91:M91" si="41">+E82+E89</f>
        <v>2656285.836000009</v>
      </c>
      <c r="F91" s="183">
        <f t="shared" si="41"/>
        <v>0</v>
      </c>
      <c r="G91" s="183">
        <f t="shared" si="41"/>
        <v>-1103758.4099999999</v>
      </c>
      <c r="H91" s="183">
        <f t="shared" si="41"/>
        <v>0</v>
      </c>
      <c r="I91" s="183">
        <f t="shared" si="41"/>
        <v>4597593.7760000005</v>
      </c>
      <c r="J91" s="183">
        <f t="shared" si="41"/>
        <v>0</v>
      </c>
      <c r="K91" s="183">
        <f t="shared" si="41"/>
        <v>-639457.77400000056</v>
      </c>
      <c r="L91" s="183">
        <f t="shared" si="41"/>
        <v>0</v>
      </c>
      <c r="M91" s="183">
        <f t="shared" si="41"/>
        <v>1215432.5620000004</v>
      </c>
      <c r="N91" s="183">
        <f t="shared" ref="N91:AE91" si="42">+N82+N89</f>
        <v>0</v>
      </c>
      <c r="O91" s="183">
        <f t="shared" si="42"/>
        <v>-1941179.0759999999</v>
      </c>
      <c r="P91" s="183">
        <f t="shared" si="42"/>
        <v>0</v>
      </c>
      <c r="Q91" s="183">
        <f t="shared" si="42"/>
        <v>103782.228</v>
      </c>
      <c r="R91" s="183">
        <f t="shared" si="42"/>
        <v>0</v>
      </c>
      <c r="S91" s="183">
        <f t="shared" si="42"/>
        <v>351783.74199999997</v>
      </c>
      <c r="T91" s="183">
        <f t="shared" si="42"/>
        <v>0</v>
      </c>
      <c r="U91" s="183">
        <f t="shared" si="42"/>
        <v>83863.615999999922</v>
      </c>
      <c r="V91" s="183">
        <f t="shared" si="42"/>
        <v>0</v>
      </c>
      <c r="W91" s="183">
        <f t="shared" si="42"/>
        <v>-28643.534000000065</v>
      </c>
      <c r="X91" s="183">
        <f t="shared" si="42"/>
        <v>0</v>
      </c>
      <c r="Y91" s="183">
        <f t="shared" si="42"/>
        <v>53228.394000000073</v>
      </c>
      <c r="Z91" s="183">
        <f t="shared" si="42"/>
        <v>0</v>
      </c>
      <c r="AA91" s="183">
        <f t="shared" si="42"/>
        <v>-13007.918000000032</v>
      </c>
      <c r="AB91" s="183">
        <f t="shared" si="42"/>
        <v>0</v>
      </c>
      <c r="AC91" s="183">
        <f t="shared" si="42"/>
        <v>1075.4040000001241</v>
      </c>
      <c r="AD91" s="183">
        <f t="shared" si="42"/>
        <v>0</v>
      </c>
      <c r="AE91" s="183">
        <f t="shared" si="42"/>
        <v>13614.343999999983</v>
      </c>
      <c r="AF91" s="183">
        <f t="shared" ref="AF91:AK91" si="43">+AF82+AF89</f>
        <v>0</v>
      </c>
      <c r="AG91" s="183">
        <f t="shared" si="43"/>
        <v>3184.1539999999213</v>
      </c>
      <c r="AH91" s="183">
        <f t="shared" si="43"/>
        <v>0</v>
      </c>
      <c r="AI91" s="183">
        <f t="shared" si="43"/>
        <v>-37449.491999999918</v>
      </c>
      <c r="AJ91" s="183">
        <f t="shared" si="43"/>
        <v>0</v>
      </c>
      <c r="AK91" s="183">
        <f t="shared" si="43"/>
        <v>547.8900000000001</v>
      </c>
      <c r="AL91" s="183">
        <f>+AL82+AL89</f>
        <v>0</v>
      </c>
      <c r="AM91" s="183">
        <f>+AM82+AM89</f>
        <v>3823.2200000000116</v>
      </c>
      <c r="AN91" s="183">
        <f>+AN82+AN89</f>
        <v>0</v>
      </c>
      <c r="AO91" s="183">
        <f>+AO82+AO89</f>
        <v>-5363.2899999999963</v>
      </c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1:73" x14ac:dyDescent="0.2">
      <c r="A92" s="4"/>
      <c r="B92" s="3"/>
    </row>
    <row r="93" spans="1:73" x14ac:dyDescent="0.2">
      <c r="A93" s="4"/>
      <c r="B93" s="3"/>
    </row>
    <row r="94" spans="1:73" x14ac:dyDescent="0.2">
      <c r="A94" s="4"/>
      <c r="B94" s="3"/>
    </row>
    <row r="95" spans="1:73" x14ac:dyDescent="0.2">
      <c r="A95" s="4"/>
      <c r="B95" s="3"/>
    </row>
    <row r="96" spans="1:7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O176"/>
  <sheetViews>
    <sheetView zoomScale="75" workbookViewId="0">
      <pane xSplit="3" ySplit="9" topLeftCell="AG10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949374</v>
      </c>
      <c r="E11" s="38">
        <f t="shared" si="0"/>
        <v>2134832.5100000002</v>
      </c>
      <c r="F11" s="60">
        <f>'TIE-OUT'!P11+RECLASS!P11</f>
        <v>0</v>
      </c>
      <c r="G11" s="38">
        <f>'TIE-OUT'!Q11+RECLASS!Q11</f>
        <v>0</v>
      </c>
      <c r="H11" s="127">
        <f>+Actuals!E4</f>
        <v>940970</v>
      </c>
      <c r="I11" s="128">
        <f>+Actuals!F4</f>
        <v>2386634.91</v>
      </c>
      <c r="J11" s="127">
        <f>+Actuals!G4</f>
        <v>112066</v>
      </c>
      <c r="K11" s="147">
        <f>+Actuals!H4</f>
        <v>-9751.75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-103661</v>
      </c>
      <c r="S11" s="128">
        <f>+Actuals!P4</f>
        <v>-242048.44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  <c r="AF11" s="127">
        <f>+Actuals!AC4</f>
        <v>0</v>
      </c>
      <c r="AG11" s="128">
        <f>+Actuals!AD4</f>
        <v>0</v>
      </c>
      <c r="AH11" s="127">
        <f>+Actuals!AE4</f>
        <v>0</v>
      </c>
      <c r="AI11" s="128">
        <f>+Actuals!AF4</f>
        <v>0</v>
      </c>
      <c r="AJ11" s="127">
        <v>-1</v>
      </c>
      <c r="AK11" s="128">
        <v>-2.21</v>
      </c>
      <c r="AL11" s="127"/>
      <c r="AM11" s="128"/>
      <c r="AN11" s="127"/>
      <c r="AO11" s="128"/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4146.6399999999994</v>
      </c>
      <c r="F12" s="60">
        <f>'TIE-OUT'!P12+RECLASS!P12</f>
        <v>0</v>
      </c>
      <c r="G12" s="38">
        <f>'TIE-OUT'!Q12+RECLASS!Q12</f>
        <v>5339.1399999999994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60">
        <f>+Actuals!H5-1192.5</f>
        <v>-1192.5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  <c r="AF12" s="127">
        <f>+Actuals!AC5</f>
        <v>0</v>
      </c>
      <c r="AG12" s="128">
        <f>+Actuals!AD5</f>
        <v>0</v>
      </c>
      <c r="AH12" s="127">
        <f>+Actuals!AE5</f>
        <v>0</v>
      </c>
      <c r="AI12" s="128">
        <f>+Actuals!AF5</f>
        <v>0</v>
      </c>
      <c r="AJ12" s="127">
        <f>+Actuals!AG5</f>
        <v>0</v>
      </c>
      <c r="AK12" s="128">
        <f>+Actuals!AH5</f>
        <v>0</v>
      </c>
      <c r="AL12" s="127">
        <f>+Actuals!AI5</f>
        <v>0</v>
      </c>
      <c r="AM12" s="128">
        <f>+Actuals!AJ5</f>
        <v>0</v>
      </c>
      <c r="AN12" s="127">
        <f>+Actuals!AK5</f>
        <v>0</v>
      </c>
      <c r="AO12" s="128">
        <f>+Actuals!AL5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  <c r="AF13" s="127">
        <f>+Actuals!AC6</f>
        <v>0</v>
      </c>
      <c r="AG13" s="128">
        <f>+Actuals!AD6</f>
        <v>0</v>
      </c>
      <c r="AH13" s="127">
        <f>+Actuals!AE6</f>
        <v>0</v>
      </c>
      <c r="AI13" s="128">
        <f>+Actuals!AF6</f>
        <v>0</v>
      </c>
      <c r="AJ13" s="127">
        <f>+Actuals!AG6</f>
        <v>0</v>
      </c>
      <c r="AK13" s="128">
        <f>+Actuals!AH6</f>
        <v>0</v>
      </c>
      <c r="AL13" s="127">
        <f>+Actuals!AI6</f>
        <v>0</v>
      </c>
      <c r="AM13" s="128">
        <f>+Actuals!AJ6</f>
        <v>0</v>
      </c>
      <c r="AN13" s="127">
        <f>+Actuals!AK6</f>
        <v>0</v>
      </c>
      <c r="AO13" s="128">
        <f>+Actuals!AL6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  <c r="AF14" s="127">
        <f>+Actuals!AC7</f>
        <v>0</v>
      </c>
      <c r="AG14" s="128">
        <f>+Actuals!AD7</f>
        <v>0</v>
      </c>
      <c r="AH14" s="127">
        <f>+Actuals!AE7</f>
        <v>0</v>
      </c>
      <c r="AI14" s="128">
        <f>+Actuals!AF7</f>
        <v>0</v>
      </c>
      <c r="AJ14" s="127">
        <f>+Actuals!AG7</f>
        <v>0</v>
      </c>
      <c r="AK14" s="128">
        <f>+Actuals!AH7</f>
        <v>0</v>
      </c>
      <c r="AL14" s="127">
        <f>+Actuals!AI7</f>
        <v>0</v>
      </c>
      <c r="AM14" s="128">
        <f>+Actuals!AJ7</f>
        <v>0</v>
      </c>
      <c r="AN14" s="127">
        <f>+Actuals!AK7</f>
        <v>0</v>
      </c>
      <c r="AO14" s="128">
        <f>+Actuals!AL7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  <c r="AF15" s="127">
        <f>+Actuals!AC8</f>
        <v>0</v>
      </c>
      <c r="AG15" s="128">
        <f>+Actuals!AD8</f>
        <v>0</v>
      </c>
      <c r="AH15" s="127">
        <f>+Actuals!AE8</f>
        <v>0</v>
      </c>
      <c r="AI15" s="128">
        <f>+Actuals!AF8</f>
        <v>0</v>
      </c>
      <c r="AJ15" s="127">
        <f>+Actuals!AG8</f>
        <v>0</v>
      </c>
      <c r="AK15" s="128">
        <f>+Actuals!AH8</f>
        <v>0</v>
      </c>
      <c r="AL15" s="127">
        <f>+Actuals!AI8</f>
        <v>0</v>
      </c>
      <c r="AM15" s="128">
        <f>+Actuals!AJ8</f>
        <v>0</v>
      </c>
      <c r="AN15" s="127">
        <f>+Actuals!AK8</f>
        <v>0</v>
      </c>
      <c r="AO15" s="128">
        <f>+Actuals!AL8</f>
        <v>0</v>
      </c>
    </row>
    <row r="16" spans="1:41" x14ac:dyDescent="0.2">
      <c r="A16" s="9"/>
      <c r="B16" s="7" t="s">
        <v>32</v>
      </c>
      <c r="C16" s="6"/>
      <c r="D16" s="61">
        <f>SUM(D11:D15)</f>
        <v>949374</v>
      </c>
      <c r="E16" s="39">
        <f>SUM(E11:E15)</f>
        <v>2138979.1500000004</v>
      </c>
      <c r="F16" s="61">
        <f t="shared" ref="F16:Y16" si="1">SUM(F11:F15)</f>
        <v>0</v>
      </c>
      <c r="G16" s="39">
        <f t="shared" si="1"/>
        <v>5339.1399999999994</v>
      </c>
      <c r="H16" s="61">
        <f t="shared" si="1"/>
        <v>940970</v>
      </c>
      <c r="I16" s="39">
        <f t="shared" si="1"/>
        <v>2386634.91</v>
      </c>
      <c r="J16" s="61">
        <f t="shared" si="1"/>
        <v>112066</v>
      </c>
      <c r="K16" s="148">
        <f t="shared" si="1"/>
        <v>-10944.25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-103661</v>
      </c>
      <c r="S16" s="39">
        <f t="shared" si="1"/>
        <v>-242048.44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-1</v>
      </c>
      <c r="AK16" s="39">
        <f t="shared" si="3"/>
        <v>-2.21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-1120385</v>
      </c>
      <c r="E19" s="38">
        <f t="shared" si="4"/>
        <v>-2524336.4900000002</v>
      </c>
      <c r="F19" s="64">
        <f>'TIE-OUT'!P19+RECLASS!P19</f>
        <v>0</v>
      </c>
      <c r="G19" s="68">
        <f>'TIE-OUT'!Q19+RECLASS!Q19</f>
        <v>0</v>
      </c>
      <c r="H19" s="127">
        <f>+Actuals!E9</f>
        <v>-958217</v>
      </c>
      <c r="I19" s="128">
        <f>+Actuals!F9</f>
        <v>-2150408.29</v>
      </c>
      <c r="J19" s="127">
        <f>+Actuals!G9</f>
        <v>-260446</v>
      </c>
      <c r="K19" s="147">
        <f>+Actuals!H9</f>
        <v>-594211.39</v>
      </c>
      <c r="L19" s="127">
        <f>+Actuals!I9</f>
        <v>-4887</v>
      </c>
      <c r="M19" s="128">
        <f>+Actuals!J9</f>
        <v>-7816.92</v>
      </c>
      <c r="N19" s="127">
        <f>+Actuals!K9</f>
        <v>-527</v>
      </c>
      <c r="O19" s="128">
        <f>+Actuals!L9</f>
        <v>-1052.68</v>
      </c>
      <c r="P19" s="127">
        <f>+Actuals!M9</f>
        <v>31</v>
      </c>
      <c r="Q19" s="128">
        <f>+Actuals!N9</f>
        <v>61.92</v>
      </c>
      <c r="R19" s="127">
        <f>+Actuals!O9</f>
        <v>103661</v>
      </c>
      <c r="S19" s="128">
        <f>+Actuals!P9</f>
        <v>229090.87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  <c r="AF19" s="127">
        <f>+Actuals!AC9</f>
        <v>0</v>
      </c>
      <c r="AG19" s="128">
        <f>+Actuals!AD9</f>
        <v>0</v>
      </c>
      <c r="AH19" s="127">
        <f>+Actuals!AE9</f>
        <v>0</v>
      </c>
      <c r="AI19" s="128">
        <f>+Actuals!AF9</f>
        <v>0</v>
      </c>
      <c r="AJ19" s="127">
        <f>+Actuals!AG9</f>
        <v>0</v>
      </c>
      <c r="AK19" s="128">
        <f>+Actuals!AH9</f>
        <v>0</v>
      </c>
      <c r="AL19" s="127">
        <f>+Actuals!AI9</f>
        <v>0</v>
      </c>
      <c r="AM19" s="128">
        <f>+Actuals!AJ9</f>
        <v>0</v>
      </c>
      <c r="AN19" s="127">
        <f>+Actuals!AK9</f>
        <v>0</v>
      </c>
      <c r="AO19" s="128">
        <f>+Actuals!AL9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-12522.5</v>
      </c>
      <c r="F20" s="60">
        <f>'TIE-OUT'!P20+RECLASS!P20</f>
        <v>0</v>
      </c>
      <c r="G20" s="38">
        <f>'TIE-OUT'!Q20+RECLASS!Q20</f>
        <v>-12522.5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  <c r="AF20" s="127">
        <f>+Actuals!AC10</f>
        <v>0</v>
      </c>
      <c r="AG20" s="128">
        <f>+Actuals!AD10</f>
        <v>0</v>
      </c>
      <c r="AH20" s="127">
        <f>+Actuals!AE10</f>
        <v>0</v>
      </c>
      <c r="AI20" s="128">
        <f>+Actuals!AF10</f>
        <v>0</v>
      </c>
      <c r="AJ20" s="127">
        <f>+Actuals!AG10</f>
        <v>0</v>
      </c>
      <c r="AK20" s="128">
        <f>+Actuals!AH10</f>
        <v>0</v>
      </c>
      <c r="AL20" s="127">
        <f>+Actuals!AI10</f>
        <v>0</v>
      </c>
      <c r="AM20" s="128">
        <f>+Actuals!AJ10</f>
        <v>0</v>
      </c>
      <c r="AN20" s="127">
        <f>+Actuals!AK10</f>
        <v>0</v>
      </c>
      <c r="AO20" s="128">
        <f>+Actuals!AL10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  <c r="AF21" s="127">
        <f>+Actuals!AC11</f>
        <v>0</v>
      </c>
      <c r="AG21" s="128">
        <f>+Actuals!AD11</f>
        <v>0</v>
      </c>
      <c r="AH21" s="127">
        <f>+Actuals!AE11</f>
        <v>0</v>
      </c>
      <c r="AI21" s="128">
        <f>+Actuals!AF11</f>
        <v>0</v>
      </c>
      <c r="AJ21" s="127">
        <f>+Actuals!AG11</f>
        <v>0</v>
      </c>
      <c r="AK21" s="128">
        <f>+Actuals!AH11</f>
        <v>0</v>
      </c>
      <c r="AL21" s="127">
        <f>+Actuals!AI11</f>
        <v>0</v>
      </c>
      <c r="AM21" s="128">
        <f>+Actuals!AJ11</f>
        <v>0</v>
      </c>
      <c r="AN21" s="127">
        <f>+Actuals!AK11</f>
        <v>0</v>
      </c>
      <c r="AO21" s="128">
        <f>+Actuals!AL11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  <c r="AF22" s="127">
        <f>+Actuals!AC12</f>
        <v>0</v>
      </c>
      <c r="AG22" s="128">
        <f>+Actuals!AD12</f>
        <v>0</v>
      </c>
      <c r="AH22" s="127">
        <f>+Actuals!AE12</f>
        <v>0</v>
      </c>
      <c r="AI22" s="128">
        <f>+Actuals!AF12</f>
        <v>0</v>
      </c>
      <c r="AJ22" s="127">
        <f>+Actuals!AG12</f>
        <v>0</v>
      </c>
      <c r="AK22" s="128">
        <f>+Actuals!AH12</f>
        <v>0</v>
      </c>
      <c r="AL22" s="127">
        <f>+Actuals!AI12</f>
        <v>0</v>
      </c>
      <c r="AM22" s="128">
        <f>+Actuals!AJ12</f>
        <v>0</v>
      </c>
      <c r="AN22" s="127">
        <f>+Actuals!AK12</f>
        <v>0</v>
      </c>
      <c r="AO22" s="128">
        <f>+Actuals!AL12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  <c r="AF23" s="127">
        <f>+Actuals!AC13</f>
        <v>0</v>
      </c>
      <c r="AG23" s="128">
        <f>+Actuals!AD13</f>
        <v>0</v>
      </c>
      <c r="AH23" s="127">
        <f>+Actuals!AE13</f>
        <v>0</v>
      </c>
      <c r="AI23" s="128">
        <f>+Actuals!AF13</f>
        <v>0</v>
      </c>
      <c r="AJ23" s="127">
        <f>+Actuals!AG13</f>
        <v>0</v>
      </c>
      <c r="AK23" s="128">
        <f>+Actuals!AH13</f>
        <v>0</v>
      </c>
      <c r="AL23" s="127">
        <f>+Actuals!AI13</f>
        <v>0</v>
      </c>
      <c r="AM23" s="128">
        <f>+Actuals!AJ13</f>
        <v>0</v>
      </c>
      <c r="AN23" s="127">
        <f>+Actuals!AK13</f>
        <v>0</v>
      </c>
      <c r="AO23" s="128">
        <f>+Actuals!AL13</f>
        <v>0</v>
      </c>
    </row>
    <row r="24" spans="1:41" x14ac:dyDescent="0.2">
      <c r="A24" s="9"/>
      <c r="B24" s="7" t="s">
        <v>35</v>
      </c>
      <c r="C24" s="6"/>
      <c r="D24" s="61">
        <f>SUM(D19:D23)</f>
        <v>-1120385</v>
      </c>
      <c r="E24" s="39">
        <f>SUM(E19:E23)</f>
        <v>-2536858.9900000002</v>
      </c>
      <c r="F24" s="61">
        <f t="shared" ref="F24:Y24" si="5">SUM(F19:F23)</f>
        <v>0</v>
      </c>
      <c r="G24" s="39">
        <f t="shared" si="5"/>
        <v>-12522.5</v>
      </c>
      <c r="H24" s="61">
        <f t="shared" si="5"/>
        <v>-958217</v>
      </c>
      <c r="I24" s="39">
        <f t="shared" si="5"/>
        <v>-2150408.29</v>
      </c>
      <c r="J24" s="61">
        <f t="shared" si="5"/>
        <v>-260446</v>
      </c>
      <c r="K24" s="148">
        <f t="shared" si="5"/>
        <v>-594211.39</v>
      </c>
      <c r="L24" s="61">
        <f t="shared" si="5"/>
        <v>-4887</v>
      </c>
      <c r="M24" s="39">
        <f t="shared" si="5"/>
        <v>-7816.92</v>
      </c>
      <c r="N24" s="61">
        <f t="shared" si="5"/>
        <v>-527</v>
      </c>
      <c r="O24" s="39">
        <f t="shared" si="5"/>
        <v>-1052.68</v>
      </c>
      <c r="P24" s="61">
        <f t="shared" si="5"/>
        <v>31</v>
      </c>
      <c r="Q24" s="39">
        <f t="shared" si="5"/>
        <v>61.92</v>
      </c>
      <c r="R24" s="61">
        <f t="shared" si="5"/>
        <v>103661</v>
      </c>
      <c r="S24" s="39">
        <f t="shared" si="5"/>
        <v>229090.87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ref="Z24:AE24" si="6">SUM(Z19:Z23)</f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179837</v>
      </c>
      <c r="E27" s="38">
        <f>SUM(G27,I27,K27,M27,O27,Q27,S27,U27,W27,Y27,AA27,AC27,AE27,AG27,AI27,AK27,AM27,AO27)</f>
        <v>423222.30460000003</v>
      </c>
      <c r="F27" s="64">
        <f>'TIE-OUT'!P27+RECLASS!P27</f>
        <v>0</v>
      </c>
      <c r="G27" s="68">
        <f>'TIE-OUT'!Q27+RECLASS!Q27</f>
        <v>0</v>
      </c>
      <c r="H27" s="127">
        <f>+Actuals!E14</f>
        <v>24800</v>
      </c>
      <c r="I27" s="128">
        <f>+Actuals!F14</f>
        <v>58280</v>
      </c>
      <c r="J27" s="127">
        <f>+Actuals!G14</f>
        <v>149654</v>
      </c>
      <c r="K27" s="147">
        <f>+Actuals!H14</f>
        <v>354978.45439999999</v>
      </c>
      <c r="L27" s="127">
        <f>+Actuals!I14</f>
        <v>4887</v>
      </c>
      <c r="M27" s="128">
        <f>+Actuals!J14</f>
        <v>10862.8236</v>
      </c>
      <c r="N27" s="127">
        <f>+Actuals!K14</f>
        <v>527</v>
      </c>
      <c r="O27" s="128">
        <f>+Actuals!L14</f>
        <v>1171.4156</v>
      </c>
      <c r="P27" s="127">
        <f>+Actuals!M14</f>
        <v>-31</v>
      </c>
      <c r="Q27" s="128">
        <f>+Actuals!N14</f>
        <v>-68.906800000000004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-1975.2986000000019</v>
      </c>
      <c r="AD27" s="127">
        <f>+Actuals!AA14</f>
        <v>0</v>
      </c>
      <c r="AE27" s="128">
        <f>+Actuals!AB14</f>
        <v>0</v>
      </c>
      <c r="AF27" s="127">
        <f>+Actuals!AC14</f>
        <v>0</v>
      </c>
      <c r="AG27" s="128">
        <f>+Actuals!AD14</f>
        <v>-26.183599999999956</v>
      </c>
      <c r="AH27" s="127">
        <f>+Actuals!AE14</f>
        <v>0</v>
      </c>
      <c r="AI27" s="128">
        <f>+Actuals!AF14</f>
        <v>0</v>
      </c>
      <c r="AJ27" s="127">
        <f>+Actuals!AG14</f>
        <v>0</v>
      </c>
      <c r="AK27" s="128">
        <f>+Actuals!AH14</f>
        <v>0</v>
      </c>
      <c r="AL27" s="127">
        <f>+Actuals!AI14</f>
        <v>0</v>
      </c>
      <c r="AM27" s="128">
        <f>+Actuals!AJ14</f>
        <v>0</v>
      </c>
      <c r="AN27" s="127">
        <f>+Actuals!AK14</f>
        <v>0</v>
      </c>
      <c r="AO27" s="128">
        <f>+Actuals!AL14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-8835</v>
      </c>
      <c r="E28" s="38">
        <f>SUM(G28,I28,K28,M28,O28,Q28,S28,U28,W28,Y28,AA28,AC28,AE28,AG28,AI28,AK28,AM28,AO28)</f>
        <v>-20067.32</v>
      </c>
      <c r="F28" s="81">
        <f>'TIE-OUT'!P28+RECLASS!P28</f>
        <v>0</v>
      </c>
      <c r="G28" s="82">
        <f>'TIE-OUT'!Q28+RECLASS!Q28</f>
        <v>0</v>
      </c>
      <c r="H28" s="127">
        <f>+Actuals!E15</f>
        <v>-7553</v>
      </c>
      <c r="I28" s="128">
        <f>+Actuals!F15</f>
        <v>-17179.82</v>
      </c>
      <c r="J28" s="127">
        <f>+Actuals!G15</f>
        <v>-1282</v>
      </c>
      <c r="K28" s="147">
        <f>+Actuals!H15</f>
        <v>-2887.5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  <c r="AF28" s="127">
        <f>+Actuals!AC15</f>
        <v>0</v>
      </c>
      <c r="AG28" s="128">
        <f>+Actuals!AD15</f>
        <v>0</v>
      </c>
      <c r="AH28" s="127">
        <f>+Actuals!AE15</f>
        <v>0</v>
      </c>
      <c r="AI28" s="128">
        <f>+Actuals!AF15</f>
        <v>0</v>
      </c>
      <c r="AJ28" s="127">
        <f>+Actuals!AG15</f>
        <v>0</v>
      </c>
      <c r="AK28" s="128">
        <f>+Actuals!AH15</f>
        <v>0</v>
      </c>
      <c r="AL28" s="127">
        <f>+Actuals!AI15</f>
        <v>0</v>
      </c>
      <c r="AM28" s="128">
        <f>+Actuals!AJ15</f>
        <v>0</v>
      </c>
      <c r="AN28" s="127">
        <f>+Actuals!AK15</f>
        <v>0</v>
      </c>
      <c r="AO28" s="128">
        <f>+Actuals!AL15</f>
        <v>0</v>
      </c>
    </row>
    <row r="29" spans="1:41" x14ac:dyDescent="0.2">
      <c r="A29" s="9"/>
      <c r="B29" s="7" t="s">
        <v>39</v>
      </c>
      <c r="C29" s="18"/>
      <c r="D29" s="61">
        <f>SUM(D27:D28)</f>
        <v>171002</v>
      </c>
      <c r="E29" s="39">
        <f>SUM(E27:E28)</f>
        <v>403154.98460000003</v>
      </c>
      <c r="F29" s="61">
        <f t="shared" ref="F29:Y29" si="8">SUM(F27:F28)</f>
        <v>0</v>
      </c>
      <c r="G29" s="39">
        <f t="shared" si="8"/>
        <v>0</v>
      </c>
      <c r="H29" s="61">
        <f t="shared" si="8"/>
        <v>17247</v>
      </c>
      <c r="I29" s="39">
        <f t="shared" si="8"/>
        <v>41100.18</v>
      </c>
      <c r="J29" s="61">
        <f t="shared" si="8"/>
        <v>148372</v>
      </c>
      <c r="K29" s="148">
        <f t="shared" si="8"/>
        <v>352090.95439999999</v>
      </c>
      <c r="L29" s="61">
        <f t="shared" si="8"/>
        <v>4887</v>
      </c>
      <c r="M29" s="39">
        <f t="shared" si="8"/>
        <v>10862.8236</v>
      </c>
      <c r="N29" s="61">
        <f t="shared" si="8"/>
        <v>527</v>
      </c>
      <c r="O29" s="39">
        <f t="shared" si="8"/>
        <v>1171.4156</v>
      </c>
      <c r="P29" s="61">
        <f t="shared" si="8"/>
        <v>-31</v>
      </c>
      <c r="Q29" s="39">
        <f t="shared" si="8"/>
        <v>-68.906800000000004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0</v>
      </c>
      <c r="AC29" s="39">
        <f t="shared" si="9"/>
        <v>-1975.2986000000019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-26.183599999999956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10235</v>
      </c>
      <c r="E32" s="38">
        <f t="shared" si="11"/>
        <v>23417.68</v>
      </c>
      <c r="F32" s="64">
        <f>'TIE-OUT'!P32+RECLASS!P32</f>
        <v>0</v>
      </c>
      <c r="G32" s="68">
        <f>'TIE-OUT'!Q32+RECLASS!Q32</f>
        <v>0</v>
      </c>
      <c r="H32" s="127">
        <f>+Actuals!E16</f>
        <v>0</v>
      </c>
      <c r="I32" s="128">
        <f>+Actuals!F16</f>
        <v>0</v>
      </c>
      <c r="J32" s="127">
        <f>+Actuals!G16</f>
        <v>8</v>
      </c>
      <c r="K32" s="147">
        <f>+Actuals!H16</f>
        <v>18.3</v>
      </c>
      <c r="L32" s="127">
        <f>+Actuals!I16</f>
        <v>0</v>
      </c>
      <c r="M32" s="128">
        <f>+Actuals!J16</f>
        <v>-0.85599999999999998</v>
      </c>
      <c r="N32" s="127">
        <f>+Actuals!K16</f>
        <v>0</v>
      </c>
      <c r="O32" s="128">
        <f>+Actuals!L16</f>
        <v>0.55200000000000005</v>
      </c>
      <c r="P32" s="127">
        <f>+Actuals!M16</f>
        <v>0</v>
      </c>
      <c r="Q32" s="128">
        <f>+Actuals!N16</f>
        <v>2.6960000000000002</v>
      </c>
      <c r="R32" s="127">
        <f>+Actuals!O16</f>
        <v>0</v>
      </c>
      <c r="S32" s="128">
        <f>+Actuals!P16</f>
        <v>2.2480000000000002</v>
      </c>
      <c r="T32" s="127">
        <f>+Actuals!Q16</f>
        <v>0</v>
      </c>
      <c r="U32" s="128">
        <f>+Actuals!R16</f>
        <v>-5.2880000000000003</v>
      </c>
      <c r="V32" s="127">
        <f>+Actuals!S16</f>
        <v>0</v>
      </c>
      <c r="W32" s="128">
        <f>+Actuals!T16</f>
        <v>0.64800000000000002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  <c r="AF32" s="127">
        <f>+Actuals!AC16</f>
        <v>0</v>
      </c>
      <c r="AG32" s="128">
        <f>+Actuals!AD16</f>
        <v>0</v>
      </c>
      <c r="AH32" s="127">
        <f>+Actuals!AE16</f>
        <v>0</v>
      </c>
      <c r="AI32" s="128">
        <f>+Actuals!AF16</f>
        <v>0</v>
      </c>
      <c r="AJ32" s="127">
        <v>10227</v>
      </c>
      <c r="AK32" s="128">
        <v>23399.38</v>
      </c>
      <c r="AL32" s="127"/>
      <c r="AM32" s="128"/>
      <c r="AN32" s="127"/>
      <c r="AO32" s="128"/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  <c r="AF33" s="127">
        <f>+Actuals!AC17</f>
        <v>0</v>
      </c>
      <c r="AG33" s="128">
        <f>+Actuals!AD17</f>
        <v>0</v>
      </c>
      <c r="AH33" s="127">
        <f>+Actuals!AE17</f>
        <v>0</v>
      </c>
      <c r="AI33" s="128">
        <f>+Actuals!AF17</f>
        <v>0</v>
      </c>
      <c r="AJ33" s="127">
        <f>+Actuals!AG17</f>
        <v>0</v>
      </c>
      <c r="AK33" s="128">
        <f>+Actuals!AH17</f>
        <v>0</v>
      </c>
      <c r="AL33" s="127">
        <f>+Actuals!AI17</f>
        <v>0</v>
      </c>
      <c r="AM33" s="128">
        <f>+Actuals!AJ17</f>
        <v>0</v>
      </c>
      <c r="AN33" s="127">
        <f>+Actuals!AK17</f>
        <v>0</v>
      </c>
      <c r="AO33" s="128">
        <f>+Actuals!AL17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  <c r="AF34" s="127">
        <f>+Actuals!AC18</f>
        <v>0</v>
      </c>
      <c r="AG34" s="128">
        <f>+Actuals!AD18</f>
        <v>0</v>
      </c>
      <c r="AH34" s="127">
        <f>+Actuals!AE18</f>
        <v>0</v>
      </c>
      <c r="AI34" s="128">
        <f>+Actuals!AF18</f>
        <v>0</v>
      </c>
      <c r="AJ34" s="127">
        <f>+Actuals!AG18</f>
        <v>0</v>
      </c>
      <c r="AK34" s="128">
        <f>+Actuals!AH18</f>
        <v>0</v>
      </c>
      <c r="AL34" s="127">
        <f>+Actuals!AI18</f>
        <v>0</v>
      </c>
      <c r="AM34" s="128">
        <f>+Actuals!AJ18</f>
        <v>0</v>
      </c>
      <c r="AN34" s="127">
        <f>+Actuals!AK18</f>
        <v>0</v>
      </c>
      <c r="AO34" s="128">
        <f>+Actuals!AL18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  <c r="AF35" s="127">
        <f>+Actuals!AC19</f>
        <v>0</v>
      </c>
      <c r="AG35" s="128">
        <f>+Actuals!AD19</f>
        <v>0</v>
      </c>
      <c r="AH35" s="127">
        <f>+Actuals!AE19</f>
        <v>0</v>
      </c>
      <c r="AI35" s="128">
        <f>+Actuals!AF19</f>
        <v>0</v>
      </c>
      <c r="AJ35" s="127">
        <f>+Actuals!AG19</f>
        <v>0</v>
      </c>
      <c r="AK35" s="128">
        <f>+Actuals!AH19</f>
        <v>0</v>
      </c>
      <c r="AL35" s="127">
        <f>+Actuals!AI19</f>
        <v>0</v>
      </c>
      <c r="AM35" s="128">
        <f>+Actuals!AJ19</f>
        <v>0</v>
      </c>
      <c r="AN35" s="127">
        <f>+Actuals!AK19</f>
        <v>0</v>
      </c>
      <c r="AO35" s="128">
        <f>+Actuals!AL19</f>
        <v>0</v>
      </c>
    </row>
    <row r="36" spans="1:41" x14ac:dyDescent="0.2">
      <c r="A36" s="9"/>
      <c r="B36" s="7" t="s">
        <v>45</v>
      </c>
      <c r="C36" s="6"/>
      <c r="D36" s="61">
        <f>SUM(D32:D35)</f>
        <v>10235</v>
      </c>
      <c r="E36" s="39">
        <f>SUM(E32:E35)</f>
        <v>23417.68</v>
      </c>
      <c r="F36" s="61">
        <f t="shared" ref="F36:Y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8</v>
      </c>
      <c r="K36" s="148">
        <f t="shared" si="12"/>
        <v>18.3</v>
      </c>
      <c r="L36" s="61">
        <f t="shared" si="12"/>
        <v>0</v>
      </c>
      <c r="M36" s="39">
        <f t="shared" si="12"/>
        <v>-0.85599999999999998</v>
      </c>
      <c r="N36" s="61">
        <f t="shared" si="12"/>
        <v>0</v>
      </c>
      <c r="O36" s="39">
        <f t="shared" si="12"/>
        <v>0.55200000000000005</v>
      </c>
      <c r="P36" s="61">
        <f t="shared" si="12"/>
        <v>0</v>
      </c>
      <c r="Q36" s="39">
        <f t="shared" si="12"/>
        <v>2.6960000000000002</v>
      </c>
      <c r="R36" s="61">
        <f t="shared" si="12"/>
        <v>0</v>
      </c>
      <c r="S36" s="39">
        <f t="shared" si="12"/>
        <v>2.2480000000000002</v>
      </c>
      <c r="T36" s="61">
        <f t="shared" si="12"/>
        <v>0</v>
      </c>
      <c r="U36" s="39">
        <f t="shared" si="12"/>
        <v>-5.2880000000000003</v>
      </c>
      <c r="V36" s="61">
        <f t="shared" si="12"/>
        <v>0</v>
      </c>
      <c r="W36" s="39">
        <f t="shared" si="12"/>
        <v>0.64800000000000002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10227</v>
      </c>
      <c r="AK36" s="39">
        <f t="shared" si="14"/>
        <v>23399.38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  <c r="AF39" s="127">
        <f>+Actuals!AC20</f>
        <v>0</v>
      </c>
      <c r="AG39" s="128">
        <f>+Actuals!AD20</f>
        <v>0</v>
      </c>
      <c r="AH39" s="127">
        <f>+Actuals!AE20</f>
        <v>0</v>
      </c>
      <c r="AI39" s="128">
        <f>+Actuals!AF20</f>
        <v>0</v>
      </c>
      <c r="AJ39" s="127">
        <f>+Actuals!AG20</f>
        <v>0</v>
      </c>
      <c r="AK39" s="128">
        <f>+Actuals!AH20</f>
        <v>0</v>
      </c>
      <c r="AL39" s="127">
        <f>+Actuals!AI20</f>
        <v>0</v>
      </c>
      <c r="AM39" s="128">
        <f>+Actuals!AJ20</f>
        <v>0</v>
      </c>
      <c r="AN39" s="127">
        <f>+Actuals!AK20</f>
        <v>0</v>
      </c>
      <c r="AO39" s="128">
        <f>+Actuals!AL20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  <c r="AF40" s="127">
        <f>+Actuals!AC21</f>
        <v>0</v>
      </c>
      <c r="AG40" s="128">
        <f>+Actuals!AD21</f>
        <v>0</v>
      </c>
      <c r="AH40" s="127">
        <f>+Actuals!AE21</f>
        <v>0</v>
      </c>
      <c r="AI40" s="128">
        <f>+Actuals!AF21</f>
        <v>0</v>
      </c>
      <c r="AJ40" s="127">
        <f>+Actuals!AG21</f>
        <v>0</v>
      </c>
      <c r="AK40" s="128">
        <f>+Actuals!AH21</f>
        <v>0</v>
      </c>
      <c r="AL40" s="127">
        <f>+Actuals!AI21</f>
        <v>0</v>
      </c>
      <c r="AM40" s="128">
        <f>+Actuals!AJ21</f>
        <v>0</v>
      </c>
      <c r="AN40" s="127">
        <f>+Actuals!AK21</f>
        <v>0</v>
      </c>
      <c r="AO40" s="128">
        <f>+Actuals!AL21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  <c r="AF41" s="127">
        <f>+Actuals!AC22</f>
        <v>0</v>
      </c>
      <c r="AG41" s="128">
        <f>+Actuals!AD22</f>
        <v>0</v>
      </c>
      <c r="AH41" s="127">
        <f>+Actuals!AE22</f>
        <v>0</v>
      </c>
      <c r="AI41" s="128">
        <f>+Actuals!AF22</f>
        <v>0</v>
      </c>
      <c r="AJ41" s="127">
        <f>+Actuals!AG22</f>
        <v>0</v>
      </c>
      <c r="AK41" s="128">
        <f>+Actuals!AH22</f>
        <v>0</v>
      </c>
      <c r="AL41" s="127">
        <f>+Actuals!AI22</f>
        <v>0</v>
      </c>
      <c r="AM41" s="128">
        <f>+Actuals!AJ22</f>
        <v>0</v>
      </c>
      <c r="AN41" s="127">
        <f>+Actuals!AK22</f>
        <v>0</v>
      </c>
      <c r="AO41" s="128">
        <f>+Actuals!AL22</f>
        <v>0</v>
      </c>
    </row>
    <row r="42" spans="1:41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1">
        <f t="shared" ref="F42:Y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Y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'TIE-OUT'!P45+RECLASS!P45</f>
        <v>0</v>
      </c>
      <c r="G45" s="68">
        <f>'TIE-OUT'!Q45+RECLASS!Q45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  <c r="AF45" s="127">
        <f>+Actuals!AC23</f>
        <v>0</v>
      </c>
      <c r="AG45" s="128">
        <f>+Actuals!AD23</f>
        <v>0</v>
      </c>
      <c r="AH45" s="127">
        <f>+Actuals!AE23</f>
        <v>0</v>
      </c>
      <c r="AI45" s="128">
        <f>+Actuals!AF23</f>
        <v>0</v>
      </c>
      <c r="AJ45" s="127">
        <f>+Actuals!AG23</f>
        <v>0</v>
      </c>
      <c r="AK45" s="128">
        <f>+Actuals!AH23</f>
        <v>0</v>
      </c>
      <c r="AL45" s="127">
        <f>+Actuals!AI23</f>
        <v>0</v>
      </c>
      <c r="AM45" s="128">
        <f>+Actuals!AJ23</f>
        <v>0</v>
      </c>
      <c r="AN45" s="127">
        <f>+Actuals!AK23</f>
        <v>0</v>
      </c>
      <c r="AO45" s="128">
        <f>+Actuals!AL23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-9718</v>
      </c>
      <c r="F47" s="60">
        <f>'TIE-OUT'!P47+RECLASS!P47</f>
        <v>0</v>
      </c>
      <c r="G47" s="38">
        <f>'TIE-OUT'!Q47+RECLASS!Q47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0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+Actuals!N24-9718</f>
        <v>-9718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  <c r="AF47" s="127">
        <f>+Actuals!AC24</f>
        <v>0</v>
      </c>
      <c r="AG47" s="128">
        <f>+Actuals!AD24</f>
        <v>0</v>
      </c>
      <c r="AH47" s="127">
        <f>+Actuals!AE24</f>
        <v>0</v>
      </c>
      <c r="AI47" s="128">
        <f>+Actuals!AF24</f>
        <v>0</v>
      </c>
      <c r="AJ47" s="127">
        <f>+Actuals!AG24</f>
        <v>0</v>
      </c>
      <c r="AK47" s="128">
        <f>+Actuals!AH24</f>
        <v>0</v>
      </c>
      <c r="AL47" s="127">
        <f>+Actuals!AI24</f>
        <v>0</v>
      </c>
      <c r="AM47" s="128">
        <f>+Actuals!AJ24</f>
        <v>0</v>
      </c>
      <c r="AN47" s="127">
        <f>+Actuals!AK24</f>
        <v>0</v>
      </c>
      <c r="AO47" s="128">
        <f>+Actuals!AL24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-10226</v>
      </c>
      <c r="E49" s="38">
        <f t="shared" si="22"/>
        <v>-22568.78</v>
      </c>
      <c r="F49" s="60">
        <f>'TIE-OUT'!P49+RECLASS!P49</f>
        <v>0</v>
      </c>
      <c r="G49" s="38">
        <f>'TIE-OUT'!Q49+RECLASS!Q49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  <c r="AF49" s="127">
        <f>+Actuals!AC25</f>
        <v>0</v>
      </c>
      <c r="AG49" s="128">
        <f>+Actuals!AD25</f>
        <v>0</v>
      </c>
      <c r="AH49" s="127">
        <f>+Actuals!AE25</f>
        <v>0</v>
      </c>
      <c r="AI49" s="128">
        <f>+Actuals!AF25</f>
        <v>0</v>
      </c>
      <c r="AJ49" s="127">
        <v>-10226</v>
      </c>
      <c r="AK49" s="128">
        <v>-22568.78</v>
      </c>
      <c r="AL49" s="127"/>
      <c r="AM49" s="128"/>
      <c r="AN49" s="127"/>
      <c r="AO49" s="128"/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0</v>
      </c>
      <c r="E51" s="38">
        <f t="shared" si="22"/>
        <v>0</v>
      </c>
      <c r="F51" s="60">
        <f>'TIE-OUT'!P51+RECLASS!P51</f>
        <v>0</v>
      </c>
      <c r="G51" s="38">
        <f>'TIE-OUT'!Q51+RECLASS!Q51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  <c r="AF51" s="127">
        <f>+Actuals!AC26</f>
        <v>0</v>
      </c>
      <c r="AG51" s="128">
        <f>+Actuals!AD26</f>
        <v>0</v>
      </c>
      <c r="AH51" s="127">
        <f>+Actuals!AE26</f>
        <v>0</v>
      </c>
      <c r="AI51" s="128">
        <f>+Actuals!AF26</f>
        <v>0</v>
      </c>
      <c r="AJ51" s="127">
        <f>+Actuals!AG26</f>
        <v>0</v>
      </c>
      <c r="AK51" s="128">
        <f>+Actuals!AH26</f>
        <v>0</v>
      </c>
      <c r="AL51" s="127"/>
      <c r="AM51" s="128"/>
      <c r="AN51" s="127"/>
      <c r="AO51" s="128"/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-30000</v>
      </c>
      <c r="E54" s="38">
        <f>SUM(G54,I54,K54,M54,O54,Q54,S54,U54,W54,Y54,AA54,AC54,AE54,AG54,AI54,AK54,AM54,AO54)</f>
        <v>73.16</v>
      </c>
      <c r="F54" s="64">
        <f>'TIE-OUT'!P54+RECLASS!P54</f>
        <v>0</v>
      </c>
      <c r="G54" s="68">
        <f>'TIE-OUT'!Q54+RECLASS!Q54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  <c r="AF54" s="127">
        <f>+Actuals!AC27</f>
        <v>0</v>
      </c>
      <c r="AG54" s="128">
        <f>+Actuals!AD27</f>
        <v>0</v>
      </c>
      <c r="AH54" s="127">
        <f>+Actuals!AE27</f>
        <v>0</v>
      </c>
      <c r="AI54" s="128">
        <f>+Actuals!AF27</f>
        <v>0</v>
      </c>
      <c r="AJ54" s="127">
        <v>-30000</v>
      </c>
      <c r="AK54" s="128">
        <v>73.16</v>
      </c>
      <c r="AL54" s="127"/>
      <c r="AM54" s="128"/>
      <c r="AN54" s="127"/>
      <c r="AO54" s="128"/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-666794.11</v>
      </c>
      <c r="F55" s="81">
        <f>'TIE-OUT'!P55+RECLASS!P55</f>
        <v>0</v>
      </c>
      <c r="G55" s="82">
        <f>'TIE-OUT'!Q55+RECLASS!Q55</f>
        <v>-992568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60">
        <f>+Actuals!H28</f>
        <v>0</v>
      </c>
      <c r="L55" s="127">
        <f>+Actuals!I28</f>
        <v>0</v>
      </c>
      <c r="M55" s="128">
        <f>+Actuals!J28+322775</f>
        <v>322775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  <c r="AF55" s="127">
        <f>+Actuals!AC28</f>
        <v>0</v>
      </c>
      <c r="AG55" s="128">
        <f>+Actuals!AD28</f>
        <v>0</v>
      </c>
      <c r="AH55" s="127">
        <f>+Actuals!AE28</f>
        <v>0</v>
      </c>
      <c r="AI55" s="128">
        <f>+Actuals!AF28</f>
        <v>0</v>
      </c>
      <c r="AJ55" s="127">
        <f>+Actuals!AG28</f>
        <v>0</v>
      </c>
      <c r="AK55" s="128">
        <v>2998.89</v>
      </c>
      <c r="AL55" s="127"/>
      <c r="AM55" s="128"/>
      <c r="AN55" s="127"/>
      <c r="AO55" s="128"/>
    </row>
    <row r="56" spans="1:41" x14ac:dyDescent="0.2">
      <c r="A56" s="9"/>
      <c r="B56" s="7" t="s">
        <v>59</v>
      </c>
      <c r="C56" s="6"/>
      <c r="D56" s="61">
        <f>SUM(D54:D55)</f>
        <v>-30000</v>
      </c>
      <c r="E56" s="39">
        <f>SUM(E54:E55)</f>
        <v>-666720.94999999995</v>
      </c>
      <c r="F56" s="61">
        <f t="shared" ref="F56:Y56" si="23">SUM(F54:F55)</f>
        <v>0</v>
      </c>
      <c r="G56" s="39">
        <f t="shared" si="23"/>
        <v>-992568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48">
        <f t="shared" si="23"/>
        <v>0</v>
      </c>
      <c r="L56" s="61">
        <f t="shared" si="23"/>
        <v>0</v>
      </c>
      <c r="M56" s="39">
        <f t="shared" si="23"/>
        <v>322775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ref="Z56:AE56" si="24">SUM(Z54:Z55)</f>
        <v>0</v>
      </c>
      <c r="AA56" s="39">
        <f t="shared" si="24"/>
        <v>0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-30000</v>
      </c>
      <c r="AK56" s="39">
        <f t="shared" si="25"/>
        <v>3072.0499999999997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-4542.88</v>
      </c>
      <c r="F59" s="64">
        <f>'TIE-OUT'!P59+RECLASS!P59</f>
        <v>0</v>
      </c>
      <c r="G59" s="68">
        <f>'TIE-OUT'!Q59+RECLASS!Q59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-4542.88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  <c r="AF59" s="127">
        <f>+Actuals!AC29</f>
        <v>0</v>
      </c>
      <c r="AG59" s="128">
        <f>+Actuals!AD29</f>
        <v>0</v>
      </c>
      <c r="AH59" s="127">
        <f>+Actuals!AE29</f>
        <v>0</v>
      </c>
      <c r="AI59" s="128">
        <f>+Actuals!AF29</f>
        <v>0</v>
      </c>
      <c r="AJ59" s="127">
        <f>+Actuals!AG29</f>
        <v>0</v>
      </c>
      <c r="AK59" s="128">
        <f>+Actuals!AH29</f>
        <v>0</v>
      </c>
      <c r="AL59" s="127">
        <f>+Actuals!AI29</f>
        <v>0</v>
      </c>
      <c r="AM59" s="128">
        <f>+Actuals!AJ29</f>
        <v>0</v>
      </c>
      <c r="AN59" s="127">
        <f>+Actuals!AK29</f>
        <v>0</v>
      </c>
      <c r="AO59" s="128">
        <f>+Actuals!AL29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'TIE-OUT'!P60+RECLASS!P60</f>
        <v>0</v>
      </c>
      <c r="G60" s="82">
        <f>'TIE-OUT'!Q60+RECLASS!Q60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  <c r="AF60" s="127">
        <f>+Actuals!AC30</f>
        <v>0</v>
      </c>
      <c r="AG60" s="128">
        <f>+Actuals!AD30</f>
        <v>0</v>
      </c>
      <c r="AH60" s="127">
        <f>+Actuals!AE30</f>
        <v>0</v>
      </c>
      <c r="AI60" s="128">
        <f>+Actuals!AF30</f>
        <v>0</v>
      </c>
      <c r="AJ60" s="127">
        <f>+Actuals!AG30</f>
        <v>0</v>
      </c>
      <c r="AK60" s="128">
        <f>+Actuals!AH30</f>
        <v>0</v>
      </c>
      <c r="AL60" s="127">
        <f>+Actuals!AI30</f>
        <v>0</v>
      </c>
      <c r="AM60" s="128">
        <f>+Actuals!AJ30</f>
        <v>0</v>
      </c>
      <c r="AN60" s="127">
        <f>+Actuals!AK30</f>
        <v>0</v>
      </c>
      <c r="AO60" s="128">
        <f>+Actuals!AL30</f>
        <v>0</v>
      </c>
    </row>
    <row r="61" spans="1:41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-4542.88</v>
      </c>
      <c r="F61" s="61">
        <f t="shared" ref="F61:Y61" si="26">SUM(F59:F60)</f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48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-4542.88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-850463</v>
      </c>
      <c r="E64" s="38">
        <f>SUM(G64,I64,K64,M64,O64,Q64,S64,U64,W64,Y64,AA64,AC64,AE64,AG64,AI64,AK64,AM64,AO64)</f>
        <v>-97852.200000000012</v>
      </c>
      <c r="F64" s="64">
        <f>'TIE-OUT'!P64+RECLASS!P64</f>
        <v>0</v>
      </c>
      <c r="G64" s="68">
        <f>'TIE-OUT'!Q64+RECLASS!Q64</f>
        <v>0</v>
      </c>
      <c r="H64" s="127">
        <f>+Actuals!E31</f>
        <v>-668665</v>
      </c>
      <c r="I64" s="128">
        <f>+Actuals!F31</f>
        <v>-61137.38</v>
      </c>
      <c r="J64" s="127">
        <f>+Actuals!G31</f>
        <v>-181798</v>
      </c>
      <c r="K64" s="147">
        <f>+Actuals!H31</f>
        <v>-36250.82</v>
      </c>
      <c r="L64" s="127">
        <f>+Actuals!I31</f>
        <v>0</v>
      </c>
      <c r="M64" s="128">
        <f>+Actuals!J31</f>
        <v>-459.02</v>
      </c>
      <c r="N64" s="127">
        <f>+Actuals!K31</f>
        <v>-527</v>
      </c>
      <c r="O64" s="128">
        <f>+Actuals!L31</f>
        <v>-5.27</v>
      </c>
      <c r="P64" s="127">
        <f>+Actuals!M31</f>
        <v>527</v>
      </c>
      <c r="Q64" s="128">
        <f>+Actuals!N31</f>
        <v>0.28999999999999998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  <c r="AF64" s="127">
        <f>+Actuals!AC31</f>
        <v>0</v>
      </c>
      <c r="AG64" s="128">
        <f>+Actuals!AD31</f>
        <v>0</v>
      </c>
      <c r="AH64" s="127">
        <f>+Actuals!AE31</f>
        <v>0</v>
      </c>
      <c r="AI64" s="128">
        <f>+Actuals!AF31</f>
        <v>0</v>
      </c>
      <c r="AJ64" s="127">
        <f>+Actuals!AG31</f>
        <v>0</v>
      </c>
      <c r="AK64" s="128">
        <f>+Actuals!AH31</f>
        <v>0</v>
      </c>
      <c r="AL64" s="127">
        <f>+Actuals!AI31</f>
        <v>0</v>
      </c>
      <c r="AM64" s="128">
        <f>+Actuals!AJ31</f>
        <v>0</v>
      </c>
      <c r="AN64" s="127">
        <f>+Actuals!AK31</f>
        <v>0</v>
      </c>
      <c r="AO64" s="128">
        <f>+Actuals!AL31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169025</v>
      </c>
      <c r="F65" s="81">
        <f>'TIE-OUT'!P65+RECLASS!P65</f>
        <v>0</v>
      </c>
      <c r="G65" s="82">
        <f>'TIE-OUT'!Q65+RECLASS!Q65</f>
        <v>-190641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60">
        <f>+Actuals!H32+359202-1007</f>
        <v>358195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+Actuals!L32+459+5</f>
        <v>464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v>1007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  <c r="AF65" s="127">
        <f>+Actuals!AC32</f>
        <v>0</v>
      </c>
      <c r="AG65" s="128">
        <f>+Actuals!AD32</f>
        <v>0</v>
      </c>
      <c r="AH65" s="127">
        <f>+Actuals!AE32</f>
        <v>0</v>
      </c>
      <c r="AI65" s="128">
        <f>+Actuals!AF32</f>
        <v>0</v>
      </c>
      <c r="AJ65" s="127">
        <f>+Actuals!AG32</f>
        <v>0</v>
      </c>
      <c r="AK65" s="128">
        <f>+Actuals!AH32</f>
        <v>0</v>
      </c>
      <c r="AL65" s="127">
        <f>+Actuals!AI32</f>
        <v>0</v>
      </c>
      <c r="AM65" s="128">
        <f>+Actuals!AJ32</f>
        <v>0</v>
      </c>
      <c r="AN65" s="127">
        <f>+Actuals!AK32</f>
        <v>0</v>
      </c>
      <c r="AO65" s="128">
        <f>+Actuals!AL32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-850463</v>
      </c>
      <c r="E66" s="39">
        <f>SUM(G66,I66,K66,M66,O66,Q66,S66,U66,W66,Y66,AA66,AC66,AE66,AG66,AI66)</f>
        <v>71172.799999999974</v>
      </c>
      <c r="F66" s="61">
        <f t="shared" ref="F66:Y66" si="29">SUM(F64:F65)</f>
        <v>0</v>
      </c>
      <c r="G66" s="39">
        <f t="shared" si="29"/>
        <v>-190641</v>
      </c>
      <c r="H66" s="61">
        <f t="shared" si="29"/>
        <v>-668665</v>
      </c>
      <c r="I66" s="39">
        <f t="shared" si="29"/>
        <v>-61137.38</v>
      </c>
      <c r="J66" s="61">
        <f t="shared" si="29"/>
        <v>-181798</v>
      </c>
      <c r="K66" s="148">
        <f t="shared" si="29"/>
        <v>321944.18</v>
      </c>
      <c r="L66" s="61">
        <f t="shared" si="29"/>
        <v>0</v>
      </c>
      <c r="M66" s="39">
        <f t="shared" si="29"/>
        <v>-459.02</v>
      </c>
      <c r="N66" s="61">
        <f t="shared" si="29"/>
        <v>-527</v>
      </c>
      <c r="O66" s="39">
        <f t="shared" si="29"/>
        <v>458.73</v>
      </c>
      <c r="P66" s="61">
        <f t="shared" si="29"/>
        <v>527</v>
      </c>
      <c r="Q66" s="39">
        <f t="shared" si="29"/>
        <v>0.28999999999999998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1007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0</v>
      </c>
      <c r="F70" s="64">
        <f>'TIE-OUT'!P70+RECLASS!P70</f>
        <v>0</v>
      </c>
      <c r="G70" s="68">
        <f>'TIE-OUT'!Q70+RECLASS!Q70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  <c r="AF70" s="127">
        <f>+Actuals!AC33</f>
        <v>0</v>
      </c>
      <c r="AG70" s="128">
        <f>+Actuals!AD33</f>
        <v>0</v>
      </c>
      <c r="AH70" s="127">
        <f>+Actuals!AE33</f>
        <v>0</v>
      </c>
      <c r="AI70" s="128">
        <f>+Actuals!AF33</f>
        <v>0</v>
      </c>
      <c r="AJ70" s="127">
        <f>+Actuals!AG33</f>
        <v>0</v>
      </c>
      <c r="AK70" s="128">
        <f>+Actuals!AH33</f>
        <v>0</v>
      </c>
      <c r="AL70" s="127">
        <f>+Actuals!AI33</f>
        <v>0</v>
      </c>
      <c r="AM70" s="128">
        <f>+Actuals!AJ33</f>
        <v>0</v>
      </c>
      <c r="AN70" s="127">
        <f>+Actuals!AK33</f>
        <v>0</v>
      </c>
      <c r="AO70" s="128">
        <f>+Actuals!AL33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0</v>
      </c>
      <c r="F71" s="81">
        <f>'TIE-OUT'!P71+RECLASS!P71</f>
        <v>0</v>
      </c>
      <c r="G71" s="82">
        <f>'TIE-OUT'!Q71+RECLASS!Q71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  <c r="AF71" s="127">
        <f>+Actuals!AC34</f>
        <v>0</v>
      </c>
      <c r="AG71" s="128">
        <f>+Actuals!AD34</f>
        <v>0</v>
      </c>
      <c r="AH71" s="127">
        <f>+Actuals!AE34</f>
        <v>0</v>
      </c>
      <c r="AI71" s="128">
        <f>+Actuals!AF34</f>
        <v>0</v>
      </c>
      <c r="AJ71" s="127">
        <f>+Actuals!AG34</f>
        <v>0</v>
      </c>
      <c r="AK71" s="128">
        <f>+Actuals!AH34</f>
        <v>0</v>
      </c>
      <c r="AL71" s="127">
        <f>+Actuals!AI34</f>
        <v>0</v>
      </c>
      <c r="AM71" s="128">
        <f>+Actuals!AJ34</f>
        <v>0</v>
      </c>
      <c r="AN71" s="127">
        <f>+Actuals!AK34</f>
        <v>0</v>
      </c>
      <c r="AO71" s="128">
        <f>+Actuals!AL34</f>
        <v>0</v>
      </c>
    </row>
    <row r="72" spans="1:41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0</v>
      </c>
      <c r="F72" s="61">
        <f t="shared" ref="F72:Y72" si="32">SUM(F70:F71)</f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48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'TIE-OUT'!P73+RECLASS!P73</f>
        <v>0</v>
      </c>
      <c r="G73" s="60">
        <f>'TIE-OUT'!Q73+RECLASS!Q73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  <c r="AF73" s="127">
        <f>+Actuals!AC35</f>
        <v>0</v>
      </c>
      <c r="AG73" s="128">
        <f>+Actuals!AD35</f>
        <v>0</v>
      </c>
      <c r="AH73" s="127">
        <f>+Actuals!AE35</f>
        <v>0</v>
      </c>
      <c r="AI73" s="128">
        <f>+Actuals!AF35</f>
        <v>0</v>
      </c>
      <c r="AJ73" s="127">
        <f>+Actuals!AG35</f>
        <v>0</v>
      </c>
      <c r="AK73" s="128">
        <f>+Actuals!AH35</f>
        <v>0</v>
      </c>
      <c r="AL73" s="127">
        <f>+Actuals!AI35</f>
        <v>0</v>
      </c>
      <c r="AM73" s="128">
        <f>+Actuals!AJ35</f>
        <v>0</v>
      </c>
      <c r="AN73" s="127">
        <f>+Actuals!AK35</f>
        <v>0</v>
      </c>
      <c r="AO73" s="128">
        <f>+Actuals!AL35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0</v>
      </c>
      <c r="F74" s="60">
        <f>'TIE-OUT'!P74+RECLASS!P74</f>
        <v>0</v>
      </c>
      <c r="G74" s="60">
        <f>'TIE-OUT'!Q74+RECLASS!Q74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  <c r="AF74" s="127">
        <f>+Actuals!AC36</f>
        <v>0</v>
      </c>
      <c r="AG74" s="128">
        <f>+Actuals!AD36</f>
        <v>0</v>
      </c>
      <c r="AH74" s="127">
        <f>+Actuals!AE36</f>
        <v>0</v>
      </c>
      <c r="AI74" s="128">
        <f>+Actuals!AF36</f>
        <v>0</v>
      </c>
      <c r="AJ74" s="127">
        <f>+Actuals!AG36</f>
        <v>0</v>
      </c>
      <c r="AK74" s="128">
        <f>+Actuals!AH36</f>
        <v>0</v>
      </c>
      <c r="AL74" s="127">
        <f>+Actuals!AI36</f>
        <v>0</v>
      </c>
      <c r="AM74" s="128">
        <f>+Actuals!AJ36</f>
        <v>0</v>
      </c>
      <c r="AN74" s="127">
        <f>+Actuals!AK36</f>
        <v>0</v>
      </c>
      <c r="AO74" s="128">
        <f>+Actuals!AL36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0</v>
      </c>
      <c r="F75" s="60">
        <f>'TIE-OUT'!P75+RECLASS!P75</f>
        <v>0</v>
      </c>
      <c r="G75" s="60">
        <f>'TIE-OUT'!Q75+RECLASS!Q75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  <c r="AF75" s="127">
        <f>+Actuals!AC37</f>
        <v>0</v>
      </c>
      <c r="AG75" s="128">
        <f>+Actuals!AD37</f>
        <v>0</v>
      </c>
      <c r="AH75" s="127">
        <f>+Actuals!AE37</f>
        <v>0</v>
      </c>
      <c r="AI75" s="128">
        <f>+Actuals!AF37</f>
        <v>0</v>
      </c>
      <c r="AJ75" s="127">
        <f>+Actuals!AG37</f>
        <v>0</v>
      </c>
      <c r="AK75" s="128">
        <f>+Actuals!AH37</f>
        <v>0</v>
      </c>
      <c r="AL75" s="127">
        <f>+Actuals!AI37</f>
        <v>0</v>
      </c>
      <c r="AM75" s="128">
        <f>+Actuals!AJ37</f>
        <v>0</v>
      </c>
      <c r="AN75" s="127">
        <f>+Actuals!AK37</f>
        <v>0</v>
      </c>
      <c r="AO75" s="128">
        <f>+Actuals!AL37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0</v>
      </c>
      <c r="F76" s="60">
        <f>'TIE-OUT'!P76+RECLASS!P76</f>
        <v>0</v>
      </c>
      <c r="G76" s="60">
        <f>'TIE-OUT'!Q76+RECLASS!Q76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  <c r="AF76" s="127">
        <f>+Actuals!AC38</f>
        <v>0</v>
      </c>
      <c r="AG76" s="128">
        <f>+Actuals!AD38</f>
        <v>0</v>
      </c>
      <c r="AH76" s="127">
        <f>+Actuals!AE38</f>
        <v>0</v>
      </c>
      <c r="AI76" s="128">
        <f>+Actuals!AF38</f>
        <v>0</v>
      </c>
      <c r="AJ76" s="127">
        <f>+Actuals!AG38</f>
        <v>0</v>
      </c>
      <c r="AK76" s="128">
        <f>+Actuals!AH38</f>
        <v>0</v>
      </c>
      <c r="AL76" s="127">
        <f>+Actuals!AI38</f>
        <v>0</v>
      </c>
      <c r="AM76" s="128">
        <f>+Actuals!AJ38</f>
        <v>0</v>
      </c>
      <c r="AN76" s="127">
        <f>+Actuals!AK38</f>
        <v>0</v>
      </c>
      <c r="AO76" s="128">
        <f>+Actuals!AL38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60">
        <f>'TIE-OUT'!P77+RECLASS!P77</f>
        <v>0</v>
      </c>
      <c r="G77" s="60">
        <f>'TIE-OUT'!Q77+RECLASS!Q77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  <c r="AF77" s="127">
        <f>+Actuals!AC39</f>
        <v>0</v>
      </c>
      <c r="AG77" s="128">
        <f>+Actuals!AD39</f>
        <v>0</v>
      </c>
      <c r="AH77" s="127">
        <f>+Actuals!AE39</f>
        <v>0</v>
      </c>
      <c r="AI77" s="128">
        <f>+Actuals!AF39</f>
        <v>0</v>
      </c>
      <c r="AJ77" s="127">
        <f>+Actuals!AG39</f>
        <v>0</v>
      </c>
      <c r="AK77" s="128">
        <f>+Actuals!AH39</f>
        <v>0</v>
      </c>
      <c r="AL77" s="127">
        <f>+Actuals!AI39</f>
        <v>0</v>
      </c>
      <c r="AM77" s="128">
        <f>+Actuals!AJ39</f>
        <v>0</v>
      </c>
      <c r="AN77" s="127">
        <f>+Actuals!AK39</f>
        <v>0</v>
      </c>
      <c r="AO77" s="128">
        <f>+Actuals!AL39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'TIE-OUT'!P78+RECLASS!P78</f>
        <v>0</v>
      </c>
      <c r="G78" s="60">
        <f>'TIE-OUT'!Q78+RECLASS!Q78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  <c r="AF78" s="127">
        <f>+Actuals!AC40</f>
        <v>0</v>
      </c>
      <c r="AG78" s="128">
        <f>+Actuals!AD40</f>
        <v>0</v>
      </c>
      <c r="AH78" s="127">
        <f>+Actuals!AE40</f>
        <v>0</v>
      </c>
      <c r="AI78" s="128">
        <f>+Actuals!AF40</f>
        <v>0</v>
      </c>
      <c r="AJ78" s="127">
        <f>+Actuals!AG40</f>
        <v>0</v>
      </c>
      <c r="AK78" s="128">
        <f>+Actuals!AH40</f>
        <v>0</v>
      </c>
      <c r="AL78" s="127">
        <f>+Actuals!AI40</f>
        <v>0</v>
      </c>
      <c r="AM78" s="128">
        <f>+Actuals!AJ40</f>
        <v>0</v>
      </c>
      <c r="AN78" s="127">
        <f>+Actuals!AK40</f>
        <v>0</v>
      </c>
      <c r="AO78" s="128">
        <f>+Actuals!AL40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'TIE-OUT'!P79+RECLASS!P79</f>
        <v>0</v>
      </c>
      <c r="G79" s="60">
        <f>'TIE-OUT'!Q79+RECLASS!Q79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  <c r="AF79" s="127">
        <f>+Actuals!AC41</f>
        <v>0</v>
      </c>
      <c r="AG79" s="128">
        <f>+Actuals!AD41</f>
        <v>0</v>
      </c>
      <c r="AH79" s="127">
        <f>+Actuals!AE41</f>
        <v>0</v>
      </c>
      <c r="AI79" s="128">
        <f>+Actuals!AF41</f>
        <v>0</v>
      </c>
      <c r="AJ79" s="127">
        <f>+Actuals!AG41</f>
        <v>0</v>
      </c>
      <c r="AK79" s="128">
        <f>+Actuals!AH41</f>
        <v>0</v>
      </c>
      <c r="AL79" s="127">
        <f>+Actuals!AI41</f>
        <v>0</v>
      </c>
      <c r="AM79" s="128">
        <f>+Actuals!AJ41</f>
        <v>0</v>
      </c>
      <c r="AN79" s="127">
        <f>+Actuals!AK41</f>
        <v>0</v>
      </c>
      <c r="AO79" s="128">
        <f>+Actuals!AL41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'TIE-OUT'!P80+RECLASS!P80</f>
        <v>0</v>
      </c>
      <c r="G80" s="60">
        <f>'TIE-OUT'!Q80+RECLASS!Q80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  <c r="AF80" s="127">
        <f>+Actuals!AC42</f>
        <v>0</v>
      </c>
      <c r="AG80" s="128">
        <f>+Actuals!AD42</f>
        <v>0</v>
      </c>
      <c r="AH80" s="127">
        <f>+Actuals!AE42</f>
        <v>0</v>
      </c>
      <c r="AI80" s="128">
        <f>+Actuals!AF42</f>
        <v>0</v>
      </c>
      <c r="AJ80" s="127">
        <f>+Actuals!AG42</f>
        <v>0</v>
      </c>
      <c r="AK80" s="128">
        <f>+Actuals!AH42</f>
        <v>0</v>
      </c>
      <c r="AL80" s="127">
        <f>+Actuals!AI42</f>
        <v>0</v>
      </c>
      <c r="AM80" s="128">
        <f>+Actuals!AJ42</f>
        <v>0</v>
      </c>
      <c r="AN80" s="127">
        <f>+Actuals!AK42</f>
        <v>0</v>
      </c>
      <c r="AO80" s="128">
        <f>+Actuals!AL42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31161</v>
      </c>
      <c r="F81" s="60">
        <f>'TIE-OUT'!P81+RECLASS!P81</f>
        <v>0</v>
      </c>
      <c r="G81" s="60">
        <f>'TIE-OUT'!Q81+RECLASS!Q81</f>
        <v>0</v>
      </c>
      <c r="H81" s="127">
        <f>+Actuals!E43</f>
        <v>0</v>
      </c>
      <c r="I81" s="160">
        <f>+Actuals!F43+31161</f>
        <v>31161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  <c r="AF81" s="127">
        <f>+Actuals!AC43</f>
        <v>0</v>
      </c>
      <c r="AG81" s="128">
        <f>+Actuals!AD43</f>
        <v>0</v>
      </c>
      <c r="AH81" s="127">
        <f>+Actuals!AE43</f>
        <v>0</v>
      </c>
      <c r="AI81" s="128">
        <f>+Actuals!AF43</f>
        <v>0</v>
      </c>
      <c r="AJ81" s="127">
        <f>+Actuals!AG43</f>
        <v>0</v>
      </c>
      <c r="AK81" s="128">
        <f>+Actuals!AH43</f>
        <v>0</v>
      </c>
      <c r="AL81" s="127">
        <f>+Actuals!AI43</f>
        <v>0</v>
      </c>
      <c r="AM81" s="128">
        <f>+Actuals!AJ43</f>
        <v>0</v>
      </c>
      <c r="AN81" s="127">
        <f>+Actuals!AK43</f>
        <v>0</v>
      </c>
      <c r="AO81" s="128">
        <f>+Actuals!AL43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-572523.98539999989</v>
      </c>
      <c r="F82" s="92">
        <f>F16+F24+F29+F36+F43+F45+F47+F49</f>
        <v>0</v>
      </c>
      <c r="G82" s="93">
        <f>SUM(G72:G81)+G16+G24+G29+G36+G43+G45+G47+G49+G51+G56+G61+G66</f>
        <v>-1190392.3599999999</v>
      </c>
      <c r="H82" s="92">
        <f>H16+H24+H29+H36+H43+H45+H47+H49</f>
        <v>0</v>
      </c>
      <c r="I82" s="93">
        <f>SUM(I72:I81)+I16+I24+I29+I36+I43+I45+I47+I49+I51+I56+I61+I66</f>
        <v>247350.4200000001</v>
      </c>
      <c r="J82" s="92">
        <f>J16+J24+J29+J36+J43+J45+J47+J49</f>
        <v>0</v>
      </c>
      <c r="K82" s="112">
        <f>SUM(K72:K81)+K16+K24+K29+K36+K43+K45+K47+K49+K51+K56+K61+K66</f>
        <v>68897.794399999955</v>
      </c>
      <c r="L82" s="92">
        <f>L16+L24+L29+L36+L43+L45+L47+L49</f>
        <v>0</v>
      </c>
      <c r="M82" s="93">
        <f>SUM(M72:M81)+M16+M24+M29+M36+M43+M45+M47+M49+M51+M56+M61+M66</f>
        <v>325361.02759999997</v>
      </c>
      <c r="N82" s="92">
        <f>N16+N24+N29+N36+N43+N45+N47+N49</f>
        <v>0</v>
      </c>
      <c r="O82" s="93">
        <f>SUM(O72:O81)+O16+O24+O29+O36+O43+O45+O47+O49+O51+O56+O61+O66</f>
        <v>578.01760000000002</v>
      </c>
      <c r="P82" s="92">
        <f>P16+P24+P29+P36+P43+P45+P47+P49</f>
        <v>0</v>
      </c>
      <c r="Q82" s="93">
        <f>SUM(Q72:Q81)+Q16+Q24+Q29+Q36+Q43+Q45+Q47+Q49+Q51+Q56+Q61+Q66</f>
        <v>-9722.0007999999998</v>
      </c>
      <c r="R82" s="92">
        <f>R16+R24+R29+R36+R43+R45+R47+R49</f>
        <v>0</v>
      </c>
      <c r="S82" s="93">
        <f>SUM(S72:S81)+S16+S24+S29+S36+S43+S45+S47+S49+S51+S56+S61+S66</f>
        <v>-17498.202000000008</v>
      </c>
      <c r="T82" s="92">
        <f>T16+T24+T29+T36+T43+T45+T47+T49</f>
        <v>0</v>
      </c>
      <c r="U82" s="93">
        <f>SUM(U72:U81)+U16+U24+U29+U36+U43+U45+U47+U49+U51+U56+U61+U66</f>
        <v>1001.712</v>
      </c>
      <c r="V82" s="92">
        <f>V16+V24+V29+V36+V43+V45+V47+V49</f>
        <v>0</v>
      </c>
      <c r="W82" s="93">
        <f>SUM(W72:W81)+W16+W24+W29+W36+W43+W45+W47+W49+W51+W56+W61+W66</f>
        <v>0.64800000000000002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-1975.2986000000019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-26.183599999999956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3900.4400000000028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U187"/>
  <sheetViews>
    <sheetView zoomScale="75" workbookViewId="0">
      <pane xSplit="3" ySplit="9" topLeftCell="M73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27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50490864</v>
      </c>
      <c r="E11" s="38">
        <f t="shared" si="0"/>
        <v>120072874.70999999</v>
      </c>
      <c r="F11" s="60">
        <f>('TIE-OUT'!P11+'TIE-OUT'!R11)+(RECLASS!P11+RECLASS!R11)</f>
        <v>0</v>
      </c>
      <c r="G11" s="38">
        <f>('TIE-OUT'!Q11+'TIE-OUT'!S11)+(RECLASS!Q11+RECLASS!S11)</f>
        <v>1401510</v>
      </c>
      <c r="H11" s="60">
        <f>'TX-EGM-GL'!H11+'TX-HPL-GL '!H11</f>
        <v>47529386</v>
      </c>
      <c r="I11" s="38">
        <f>'TX-EGM-GL'!I11+'TX-HPL-GL '!I11</f>
        <v>112209712.28999998</v>
      </c>
      <c r="J11" s="60">
        <f>'TX-EGM-GL'!J11+'TX-HPL-GL '!J11</f>
        <v>3083385</v>
      </c>
      <c r="K11" s="38">
        <f>'TX-EGM-GL'!K11+'TX-HPL-GL '!K11</f>
        <v>6876059.79</v>
      </c>
      <c r="L11" s="60">
        <f>'TX-EGM-GL'!L11+'TX-HPL-GL '!L11</f>
        <v>1903709</v>
      </c>
      <c r="M11" s="38">
        <f>'TX-EGM-GL'!M11+'TX-HPL-GL '!M11</f>
        <v>4017634.18</v>
      </c>
      <c r="N11" s="60">
        <f>'TX-EGM-GL'!N11+'TX-HPL-GL '!N11</f>
        <v>-1923683</v>
      </c>
      <c r="O11" s="38">
        <f>'TX-EGM-GL'!O11+'TX-HPL-GL '!O11</f>
        <v>-4443613.5199999996</v>
      </c>
      <c r="P11" s="60">
        <f>'TX-EGM-GL'!P11+'TX-HPL-GL '!P11</f>
        <v>342523</v>
      </c>
      <c r="Q11" s="38">
        <f>'TX-EGM-GL'!Q11+'TX-HPL-GL '!Q11</f>
        <v>801864.62</v>
      </c>
      <c r="R11" s="60">
        <f>'TX-EGM-GL'!R11+'TX-HPL-GL '!R11</f>
        <v>-159091</v>
      </c>
      <c r="S11" s="38">
        <f>'TX-EGM-GL'!S11+'TX-HPL-GL '!S11</f>
        <v>-221737.46</v>
      </c>
      <c r="T11" s="60">
        <f>'TX-EGM-GL'!T11+'TX-HPL-GL '!T11</f>
        <v>70695</v>
      </c>
      <c r="U11" s="38">
        <f>'TX-EGM-GL'!U11+'TX-HPL-GL '!U11</f>
        <v>291010.61</v>
      </c>
      <c r="V11" s="60">
        <f>'TX-EGM-GL'!V11+'TX-HPL-GL '!V11</f>
        <v>5491</v>
      </c>
      <c r="W11" s="38">
        <f>'TX-EGM-GL'!W11+'TX-HPL-GL '!W11</f>
        <v>11557.05</v>
      </c>
      <c r="X11" s="60">
        <f>'TX-EGM-GL'!X11+'TX-HPL-GL '!X11</f>
        <v>-11513</v>
      </c>
      <c r="Y11" s="38">
        <f>'TX-EGM-GL'!Y11+'TX-HPL-GL '!Y11</f>
        <v>-29704.17</v>
      </c>
      <c r="Z11" s="60">
        <f>'TX-EGM-GL'!Z11+'TX-HPL-GL '!Z11</f>
        <v>-32087</v>
      </c>
      <c r="AA11" s="38">
        <f>'TX-EGM-GL'!AA11+'TX-HPL-GL '!AA11</f>
        <v>-78405.78</v>
      </c>
      <c r="AB11" s="60">
        <f>'TX-EGM-GL'!AB11+'TX-HPL-GL '!AB11</f>
        <v>0</v>
      </c>
      <c r="AC11" s="38">
        <f>'TX-EGM-GL'!AC11+'TX-HPL-GL '!AC11</f>
        <v>0</v>
      </c>
      <c r="AD11" s="60">
        <f>'TX-EGM-GL'!AD11+'TX-HPL-GL '!AD11</f>
        <v>-23663</v>
      </c>
      <c r="AE11" s="38">
        <f>'TX-EGM-GL'!AE11+'TX-HPL-GL '!AE11</f>
        <v>-59752.29</v>
      </c>
      <c r="AF11" s="60">
        <f>'TX-EGM-GL'!AH11+'TX-HPL-GL '!AH11</f>
        <v>-294288</v>
      </c>
      <c r="AG11" s="38">
        <f>'TX-EGM-GL'!AI11+'TX-HPL-GL '!AI11</f>
        <v>-703261.61</v>
      </c>
      <c r="AH11" s="60">
        <f>'TX-EGM-GL'!AL11+'TX-HPL-GL '!AL11</f>
        <v>0</v>
      </c>
      <c r="AI11" s="38">
        <f>'TX-EGM-GL'!AM11+'TX-HPL-GL '!AM11</f>
        <v>1</v>
      </c>
      <c r="AJ11" s="60">
        <f>'TX-EGM-GL'!AP11+'TX-HPL-GL '!AP11</f>
        <v>0</v>
      </c>
      <c r="AK11" s="38">
        <f>'TX-EGM-GL'!AQ11+'TX-HPL-GL '!AQ11</f>
        <v>0</v>
      </c>
      <c r="AL11" s="60">
        <f>'TX-EGM-GL'!AR11+'TX-HPL-GL '!AR11</f>
        <v>0</v>
      </c>
      <c r="AM11" s="38">
        <f>'TX-EGM-GL'!AS11+'TX-HPL-GL '!AS11</f>
        <v>0</v>
      </c>
      <c r="AN11" s="60">
        <f>'TX-EGM-GL'!AT11+'TX-HPL-GL '!AT11</f>
        <v>0</v>
      </c>
      <c r="AO11" s="38">
        <f>'TX-EGM-GL'!AU11+'TX-HPL-GL '!AU11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-3057392.79</v>
      </c>
      <c r="F12" s="60">
        <f>('TIE-OUT'!P12+'TIE-OUT'!R12)+(RECLASS!P12+RECLASS!R12)</f>
        <v>0</v>
      </c>
      <c r="G12" s="38">
        <f>('TIE-OUT'!Q12+'TIE-OUT'!S12)+(RECLASS!Q12+RECLASS!S12)</f>
        <v>-3039903.21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-17489.580000000002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'TX-EGM-GL'!AH12+'TX-HPL-GL '!AH12</f>
        <v>0</v>
      </c>
      <c r="AG12" s="38">
        <f>'TX-EGM-GL'!AI12+'TX-HPL-GL '!AI12</f>
        <v>0</v>
      </c>
      <c r="AH12" s="60">
        <f>'TX-EGM-GL'!AL12+'TX-HPL-GL '!AL12</f>
        <v>0</v>
      </c>
      <c r="AI12" s="38">
        <f>'TX-EGM-GL'!AM12+'TX-HPL-GL '!AM12</f>
        <v>0</v>
      </c>
      <c r="AJ12" s="60">
        <f>'TX-EGM-GL'!AP12+'TX-HPL-GL '!AP12</f>
        <v>0</v>
      </c>
      <c r="AK12" s="38">
        <f>'TX-EGM-GL'!AQ12+'TX-HPL-GL '!AQ12</f>
        <v>0</v>
      </c>
      <c r="AL12" s="60">
        <f>'TX-EGM-GL'!AR12+'TX-HPL-GL '!AR12</f>
        <v>0</v>
      </c>
      <c r="AM12" s="38">
        <f>'TX-EGM-GL'!AS12+'TX-HPL-GL '!AS12</f>
        <v>0</v>
      </c>
      <c r="AN12" s="60">
        <f>'TX-EGM-GL'!AT12+'TX-HPL-GL '!AT12</f>
        <v>0</v>
      </c>
      <c r="AO12" s="38">
        <f>'TX-EGM-GL'!AU12+'TX-HPL-GL '!AU12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33068401</v>
      </c>
      <c r="E13" s="38">
        <f t="shared" si="0"/>
        <v>74404619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33068401</v>
      </c>
      <c r="I13" s="38">
        <f>'TX-EGM-GL'!I13+'TX-HPL-GL '!I13</f>
        <v>74404619</v>
      </c>
      <c r="J13" s="60">
        <f>'TX-EGM-GL'!J13+'TX-HPL-GL '!J13</f>
        <v>-2000</v>
      </c>
      <c r="K13" s="38">
        <f>'TX-EGM-GL'!K13+'TX-HPL-GL '!K13</f>
        <v>-4399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71127</v>
      </c>
      <c r="S13" s="38">
        <f>'TX-EGM-GL'!S13+'TX-HPL-GL '!S13</f>
        <v>159945</v>
      </c>
      <c r="T13" s="60">
        <f>'TX-EGM-GL'!T13+'TX-HPL-GL '!T13</f>
        <v>71127</v>
      </c>
      <c r="U13" s="38">
        <f>'TX-EGM-GL'!U13+'TX-HPL-GL '!U13</f>
        <v>159945</v>
      </c>
      <c r="V13" s="60">
        <f>'TX-EGM-GL'!V13+'TX-HPL-GL '!V13</f>
        <v>-140254</v>
      </c>
      <c r="W13" s="38">
        <f>'TX-EGM-GL'!W13+'TX-HPL-GL '!W13</f>
        <v>-315491</v>
      </c>
      <c r="X13" s="60">
        <f>'TX-EGM-GL'!X13+'TX-HPL-GL '!X13</f>
        <v>140254</v>
      </c>
      <c r="Y13" s="38">
        <f>'TX-EGM-GL'!Y13+'TX-HPL-GL '!Y13</f>
        <v>315491</v>
      </c>
      <c r="Z13" s="60">
        <f>'TX-EGM-GL'!Z13+'TX-HPL-GL '!Z13</f>
        <v>0</v>
      </c>
      <c r="AA13" s="38">
        <f>'TX-EGM-GL'!AA13+'TX-HPL-GL '!AA13</f>
        <v>0</v>
      </c>
      <c r="AB13" s="60">
        <f>'TX-EGM-GL'!AB13+'TX-HPL-GL '!AB13</f>
        <v>-140254</v>
      </c>
      <c r="AC13" s="38">
        <f>'TX-EGM-GL'!AC13+'TX-HPL-GL '!AC13</f>
        <v>-315491</v>
      </c>
      <c r="AD13" s="60">
        <f>'TX-EGM-GL'!AD13+'TX-HPL-GL '!AD13</f>
        <v>0</v>
      </c>
      <c r="AE13" s="38">
        <f>'TX-EGM-GL'!AE13+'TX-HPL-GL '!AE13</f>
        <v>0</v>
      </c>
      <c r="AF13" s="60">
        <f>'TX-EGM-GL'!AH13+'TX-HPL-GL '!AH13</f>
        <v>0</v>
      </c>
      <c r="AG13" s="38">
        <f>'TX-EGM-GL'!AI13+'TX-HPL-GL '!AI13</f>
        <v>0</v>
      </c>
      <c r="AH13" s="60">
        <f>'TX-EGM-GL'!AL13+'TX-HPL-GL '!AL13</f>
        <v>0</v>
      </c>
      <c r="AI13" s="38">
        <f>'TX-EGM-GL'!AM13+'TX-HPL-GL '!AM13</f>
        <v>0</v>
      </c>
      <c r="AJ13" s="60">
        <f>'TX-EGM-GL'!AP13+'TX-HPL-GL '!AP13</f>
        <v>0</v>
      </c>
      <c r="AK13" s="38">
        <f>'TX-EGM-GL'!AQ13+'TX-HPL-GL '!AQ13</f>
        <v>0</v>
      </c>
      <c r="AL13" s="60">
        <f>'TX-EGM-GL'!AR13+'TX-HPL-GL '!AR13</f>
        <v>0</v>
      </c>
      <c r="AM13" s="38">
        <f>'TX-EGM-GL'!AS13+'TX-HPL-GL '!AS13</f>
        <v>0</v>
      </c>
      <c r="AN13" s="60">
        <f>'TX-EGM-GL'!AT13+'TX-HPL-GL '!AT13</f>
        <v>0</v>
      </c>
      <c r="AO13" s="38">
        <f>'TX-EGM-GL'!AU13+'TX-HPL-GL '!AU13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'TX-EGM-GL'!AH14+'TX-HPL-GL '!AH14</f>
        <v>0</v>
      </c>
      <c r="AG14" s="38">
        <f>'TX-EGM-GL'!AI14+'TX-HPL-GL '!AI14</f>
        <v>0</v>
      </c>
      <c r="AH14" s="60">
        <f>'TX-EGM-GL'!AL14+'TX-HPL-GL '!AL14</f>
        <v>0</v>
      </c>
      <c r="AI14" s="38">
        <f>'TX-EGM-GL'!AM14+'TX-HPL-GL '!AM14</f>
        <v>0</v>
      </c>
      <c r="AJ14" s="60">
        <f>'TX-EGM-GL'!AP14+'TX-HPL-GL '!AP14</f>
        <v>0</v>
      </c>
      <c r="AK14" s="38">
        <f>'TX-EGM-GL'!AQ14+'TX-HPL-GL '!AQ14</f>
        <v>0</v>
      </c>
      <c r="AL14" s="60">
        <f>'TX-EGM-GL'!AR14+'TX-HPL-GL '!AR14</f>
        <v>0</v>
      </c>
      <c r="AM14" s="38">
        <f>'TX-EGM-GL'!AS14+'TX-HPL-GL '!AS14</f>
        <v>0</v>
      </c>
      <c r="AN14" s="60">
        <f>'TX-EGM-GL'!AT14+'TX-HPL-GL '!AT14</f>
        <v>0</v>
      </c>
      <c r="AO14" s="38">
        <f>'TX-EGM-GL'!AU14+'TX-HPL-GL '!AU14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'TX-EGM-GL'!AH15+'TX-HPL-GL '!AH15</f>
        <v>0</v>
      </c>
      <c r="AG15" s="38">
        <f>'TX-EGM-GL'!AI15+'TX-HPL-GL '!AI15</f>
        <v>0</v>
      </c>
      <c r="AH15" s="60">
        <f>'TX-EGM-GL'!AL15+'TX-HPL-GL '!AL15</f>
        <v>0</v>
      </c>
      <c r="AI15" s="38">
        <f>'TX-EGM-GL'!AM15+'TX-HPL-GL '!AM15</f>
        <v>0</v>
      </c>
      <c r="AJ15" s="60">
        <f>'TX-EGM-GL'!AP15+'TX-HPL-GL '!AP15</f>
        <v>0</v>
      </c>
      <c r="AK15" s="38">
        <f>'TX-EGM-GL'!AQ15+'TX-HPL-GL '!AQ15</f>
        <v>0</v>
      </c>
      <c r="AL15" s="60">
        <f>'TX-EGM-GL'!AR15+'TX-HPL-GL '!AR15</f>
        <v>0</v>
      </c>
      <c r="AM15" s="38">
        <f>'TX-EGM-GL'!AS15+'TX-HPL-GL '!AS15</f>
        <v>0</v>
      </c>
      <c r="AN15" s="60">
        <f>'TX-EGM-GL'!AT15+'TX-HPL-GL '!AT15</f>
        <v>0</v>
      </c>
      <c r="AO15" s="38">
        <f>'TX-EGM-GL'!AU15+'TX-HPL-GL '!AU15</f>
        <v>0</v>
      </c>
    </row>
    <row r="16" spans="1:41" x14ac:dyDescent="0.2">
      <c r="A16" s="9"/>
      <c r="B16" s="7" t="s">
        <v>32</v>
      </c>
      <c r="C16" s="6"/>
      <c r="D16" s="61">
        <f>SUM(D11:D15)</f>
        <v>83559265</v>
      </c>
      <c r="E16" s="39">
        <f>SUM(E11:E15)</f>
        <v>191420100.91999999</v>
      </c>
      <c r="F16" s="61">
        <f t="shared" ref="F16:X16" si="1">SUM(F11:F15)</f>
        <v>0</v>
      </c>
      <c r="G16" s="39">
        <f t="shared" si="1"/>
        <v>-1638393.21</v>
      </c>
      <c r="H16" s="61">
        <f t="shared" si="1"/>
        <v>80597787</v>
      </c>
      <c r="I16" s="39">
        <f t="shared" si="1"/>
        <v>186614331.28999996</v>
      </c>
      <c r="J16" s="61">
        <f t="shared" si="1"/>
        <v>3081385</v>
      </c>
      <c r="K16" s="39">
        <f t="shared" si="1"/>
        <v>6854171.21</v>
      </c>
      <c r="L16" s="61">
        <f t="shared" si="1"/>
        <v>1903709</v>
      </c>
      <c r="M16" s="39">
        <f t="shared" si="1"/>
        <v>4017634.18</v>
      </c>
      <c r="N16" s="61">
        <f t="shared" si="1"/>
        <v>-1923683</v>
      </c>
      <c r="O16" s="39">
        <f t="shared" si="1"/>
        <v>-4443613.5199999996</v>
      </c>
      <c r="P16" s="61">
        <f t="shared" si="1"/>
        <v>342523</v>
      </c>
      <c r="Q16" s="39">
        <f t="shared" si="1"/>
        <v>801864.62</v>
      </c>
      <c r="R16" s="61">
        <f t="shared" si="1"/>
        <v>-87964</v>
      </c>
      <c r="S16" s="39">
        <f t="shared" si="1"/>
        <v>-61792.459999999992</v>
      </c>
      <c r="T16" s="61">
        <f t="shared" si="1"/>
        <v>141822</v>
      </c>
      <c r="U16" s="39">
        <f>SUM(U11:U15)</f>
        <v>450955.61</v>
      </c>
      <c r="V16" s="61">
        <f t="shared" si="1"/>
        <v>-134763</v>
      </c>
      <c r="W16" s="39">
        <f>SUM(W11:W15)</f>
        <v>-303933.95</v>
      </c>
      <c r="X16" s="61">
        <f t="shared" si="1"/>
        <v>128741</v>
      </c>
      <c r="Y16" s="39">
        <f t="shared" ref="Y16:AE16" si="2">SUM(Y11:Y15)</f>
        <v>285786.83</v>
      </c>
      <c r="Z16" s="61">
        <f t="shared" si="2"/>
        <v>-32087</v>
      </c>
      <c r="AA16" s="39">
        <f t="shared" si="2"/>
        <v>-78405.78</v>
      </c>
      <c r="AB16" s="61">
        <f t="shared" si="2"/>
        <v>-140254</v>
      </c>
      <c r="AC16" s="39">
        <f t="shared" si="2"/>
        <v>-315491</v>
      </c>
      <c r="AD16" s="61">
        <f t="shared" si="2"/>
        <v>-23663</v>
      </c>
      <c r="AE16" s="39">
        <f t="shared" si="2"/>
        <v>-59752.29</v>
      </c>
      <c r="AF16" s="61">
        <f t="shared" ref="AF16:AK16" si="3">SUM(AF11:AF15)</f>
        <v>-294288</v>
      </c>
      <c r="AG16" s="39">
        <f t="shared" si="3"/>
        <v>-703261.61</v>
      </c>
      <c r="AH16" s="61">
        <f t="shared" si="3"/>
        <v>0</v>
      </c>
      <c r="AI16" s="39">
        <f t="shared" si="3"/>
        <v>1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-41827370</v>
      </c>
      <c r="E19" s="38">
        <f t="shared" si="4"/>
        <v>-94152377.339999989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-37219222</v>
      </c>
      <c r="I19" s="38">
        <f>'TX-EGM-GL'!I19+'TX-HPL-GL '!I19</f>
        <v>-83034743.13000001</v>
      </c>
      <c r="J19" s="60">
        <f>'TX-EGM-GL'!J19+'TX-HPL-GL '!J19</f>
        <v>-4730536</v>
      </c>
      <c r="K19" s="38">
        <f>'TX-EGM-GL'!K19+'TX-HPL-GL '!K19</f>
        <v>-11417859.790000001</v>
      </c>
      <c r="L19" s="60">
        <f>'TX-EGM-GL'!L19+'TX-HPL-GL '!L19</f>
        <v>-106272</v>
      </c>
      <c r="M19" s="38">
        <f>'TX-EGM-GL'!M19+'TX-HPL-GL '!M19</f>
        <v>-226603.58000000002</v>
      </c>
      <c r="N19" s="60">
        <f>'TX-EGM-GL'!N19+'TX-HPL-GL '!N19</f>
        <v>181043</v>
      </c>
      <c r="O19" s="38">
        <f>'TX-EGM-GL'!O19+'TX-HPL-GL '!O19</f>
        <v>421251.12</v>
      </c>
      <c r="P19" s="60">
        <f>'TX-EGM-GL'!P19+'TX-HPL-GL '!P19</f>
        <v>-55969</v>
      </c>
      <c r="Q19" s="38">
        <f>'TX-EGM-GL'!Q19+'TX-HPL-GL '!Q19</f>
        <v>-122018.08</v>
      </c>
      <c r="R19" s="60">
        <f>'TX-EGM-GL'!R19+'TX-HPL-GL '!R19</f>
        <v>96244</v>
      </c>
      <c r="S19" s="38">
        <f>'TX-EGM-GL'!S19+'TX-HPL-GL '!S19</f>
        <v>208669.91</v>
      </c>
      <c r="T19" s="60">
        <f>'TX-EGM-GL'!T19+'TX-HPL-GL '!T19</f>
        <v>-81250</v>
      </c>
      <c r="U19" s="38">
        <f>'TX-EGM-GL'!U19+'TX-HPL-GL '!U19</f>
        <v>-179348.03</v>
      </c>
      <c r="V19" s="60">
        <f>'TX-EGM-GL'!V19+'TX-HPL-GL '!V19</f>
        <v>-5491</v>
      </c>
      <c r="W19" s="38">
        <f>'TX-EGM-GL'!W19+'TX-HPL-GL '!W19</f>
        <v>-11833.1</v>
      </c>
      <c r="X19" s="60">
        <f>'TX-EGM-GL'!X19+'TX-HPL-GL '!X19</f>
        <v>11513</v>
      </c>
      <c r="Y19" s="38">
        <f>'TX-EGM-GL'!Y19+'TX-HPL-GL '!Y19</f>
        <v>26036.79</v>
      </c>
      <c r="Z19" s="60">
        <f>'TX-EGM-GL'!Z19+'TX-HPL-GL '!Z19</f>
        <v>31962</v>
      </c>
      <c r="AA19" s="38">
        <f>'TX-EGM-GL'!AA19+'TX-HPL-GL '!AA19</f>
        <v>69720.149999999994</v>
      </c>
      <c r="AB19" s="60">
        <f>'TX-EGM-GL'!AB19+'TX-HPL-GL '!AB19</f>
        <v>-100</v>
      </c>
      <c r="AC19" s="38">
        <f>'TX-EGM-GL'!AC19+'TX-HPL-GL '!AC19</f>
        <v>-216</v>
      </c>
      <c r="AD19" s="60">
        <f>'TX-EGM-GL'!AD19+'TX-HPL-GL '!AD19</f>
        <v>0</v>
      </c>
      <c r="AE19" s="38">
        <f>'TX-EGM-GL'!AE19+'TX-HPL-GL '!AE19</f>
        <v>0</v>
      </c>
      <c r="AF19" s="60">
        <f>'TX-EGM-GL'!AH19+'TX-HPL-GL '!AH19</f>
        <v>-8342</v>
      </c>
      <c r="AG19" s="38">
        <f>'TX-EGM-GL'!AI19+'TX-HPL-GL '!AI19</f>
        <v>-19016.599999999999</v>
      </c>
      <c r="AH19" s="60">
        <f>'TX-EGM-GL'!AL19+'TX-HPL-GL '!AL19</f>
        <v>59050</v>
      </c>
      <c r="AI19" s="38">
        <f>'TX-EGM-GL'!AM19+'TX-HPL-GL '!AM19</f>
        <v>133583</v>
      </c>
      <c r="AJ19" s="60">
        <f>'TX-EGM-GL'!AP19+'TX-HPL-GL '!AP19</f>
        <v>0</v>
      </c>
      <c r="AK19" s="38">
        <f>'TX-EGM-GL'!AQ19+'TX-HPL-GL '!AQ19</f>
        <v>0</v>
      </c>
      <c r="AL19" s="60">
        <f>'TX-EGM-GL'!AR19+'TX-HPL-GL '!AR19</f>
        <v>0</v>
      </c>
      <c r="AM19" s="38">
        <f>'TX-EGM-GL'!AS19+'TX-HPL-GL '!AS19</f>
        <v>0</v>
      </c>
      <c r="AN19" s="60">
        <f>'TX-EGM-GL'!AT19+'TX-HPL-GL '!AT19</f>
        <v>0</v>
      </c>
      <c r="AO19" s="38">
        <f>'TX-EGM-GL'!AU19+'TX-HPL-GL '!AU19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-615196.24000000011</v>
      </c>
      <c r="F20" s="60">
        <f>('TIE-OUT'!P20+'TIE-OUT'!R20)+(RECLASS!P20+RECLASS!R20)</f>
        <v>0</v>
      </c>
      <c r="G20" s="38">
        <f>('TIE-OUT'!Q20+'TIE-OUT'!S20)+(RECLASS!Q20+RECLASS!S20)</f>
        <v>-615196.24000000011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'TX-EGM-GL'!AH20+'TX-HPL-GL '!AH20</f>
        <v>0</v>
      </c>
      <c r="AG20" s="38">
        <f>'TX-EGM-GL'!AI20+'TX-HPL-GL '!AI20</f>
        <v>0</v>
      </c>
      <c r="AH20" s="60">
        <f>'TX-EGM-GL'!AL20+'TX-HPL-GL '!AL20</f>
        <v>0</v>
      </c>
      <c r="AI20" s="38">
        <f>'TX-EGM-GL'!AM20+'TX-HPL-GL '!AM20</f>
        <v>0</v>
      </c>
      <c r="AJ20" s="60">
        <f>'TX-EGM-GL'!AP20+'TX-HPL-GL '!AP20</f>
        <v>0</v>
      </c>
      <c r="AK20" s="38">
        <f>'TX-EGM-GL'!AQ20+'TX-HPL-GL '!AQ20</f>
        <v>0</v>
      </c>
      <c r="AL20" s="60">
        <f>'TX-EGM-GL'!AR20+'TX-HPL-GL '!AR20</f>
        <v>0</v>
      </c>
      <c r="AM20" s="38">
        <f>'TX-EGM-GL'!AS20+'TX-HPL-GL '!AS20</f>
        <v>0</v>
      </c>
      <c r="AN20" s="60">
        <f>'TX-EGM-GL'!AT20+'TX-HPL-GL '!AT20</f>
        <v>0</v>
      </c>
      <c r="AO20" s="38">
        <f>'TX-EGM-GL'!AU20+'TX-HPL-GL '!AU20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-35034400</v>
      </c>
      <c r="E21" s="38">
        <f t="shared" si="4"/>
        <v>-78683911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-35034400</v>
      </c>
      <c r="I21" s="38">
        <f>'TX-EGM-GL'!I21+'TX-HPL-GL '!I21</f>
        <v>-78683911</v>
      </c>
      <c r="J21" s="60">
        <f>'TX-EGM-GL'!J21+'TX-HPL-GL '!J21</f>
        <v>395139</v>
      </c>
      <c r="K21" s="38">
        <f>'TX-EGM-GL'!K21+'TX-HPL-GL '!K21</f>
        <v>865067</v>
      </c>
      <c r="L21" s="60">
        <f>'TX-EGM-GL'!L21+'TX-HPL-GL '!L21</f>
        <v>0</v>
      </c>
      <c r="M21" s="38">
        <f>'TX-EGM-GL'!M21+'TX-HPL-GL '!M21</f>
        <v>0</v>
      </c>
      <c r="N21" s="60">
        <f>'TX-EGM-GL'!N21+'TX-HPL-GL '!N21</f>
        <v>-20682</v>
      </c>
      <c r="O21" s="38">
        <f>'TX-EGM-GL'!O21+'TX-HPL-GL '!O21</f>
        <v>-43946</v>
      </c>
      <c r="P21" s="60">
        <f>'TX-EGM-GL'!P21+'TX-HPL-GL '!P21</f>
        <v>0</v>
      </c>
      <c r="Q21" s="38">
        <f>'TX-EGM-GL'!Q21+'TX-HPL-GL '!Q21</f>
        <v>0</v>
      </c>
      <c r="R21" s="60">
        <f>'TX-EGM-GL'!R21+'TX-HPL-GL '!R21</f>
        <v>-71127</v>
      </c>
      <c r="S21" s="38">
        <f>'TX-EGM-GL'!S21+'TX-HPL-GL '!S21</f>
        <v>-159945</v>
      </c>
      <c r="T21" s="60">
        <f>'TX-EGM-GL'!T21+'TX-HPL-GL '!T21</f>
        <v>-71127</v>
      </c>
      <c r="U21" s="38">
        <f>'TX-EGM-GL'!U21+'TX-HPL-GL '!U21</f>
        <v>-159945</v>
      </c>
      <c r="V21" s="60">
        <f>'TX-EGM-GL'!V21+'TX-HPL-GL '!V21</f>
        <v>-232203</v>
      </c>
      <c r="W21" s="38">
        <f>'TX-EGM-GL'!W21+'TX-HPL-GL '!W21</f>
        <v>-501231</v>
      </c>
      <c r="X21" s="60">
        <f>'TX-EGM-GL'!X21+'TX-HPL-GL '!X21</f>
        <v>232203</v>
      </c>
      <c r="Y21" s="38">
        <f>'TX-EGM-GL'!Y21+'TX-HPL-GL '!Y21</f>
        <v>501231</v>
      </c>
      <c r="Z21" s="60">
        <f>'TX-EGM-GL'!Z21+'TX-HPL-GL '!Z21</f>
        <v>0</v>
      </c>
      <c r="AA21" s="38">
        <f>'TX-EGM-GL'!AA21+'TX-HPL-GL '!AA21</f>
        <v>0</v>
      </c>
      <c r="AB21" s="60">
        <f>'TX-EGM-GL'!AB21+'TX-HPL-GL '!AB21</f>
        <v>-232203</v>
      </c>
      <c r="AC21" s="38">
        <f>'TX-EGM-GL'!AC21+'TX-HPL-GL '!AC21</f>
        <v>-501231</v>
      </c>
      <c r="AD21" s="60">
        <f>'TX-EGM-GL'!AD21+'TX-HPL-GL '!AD21</f>
        <v>0</v>
      </c>
      <c r="AE21" s="38">
        <f>'TX-EGM-GL'!AE21+'TX-HPL-GL '!AE21</f>
        <v>0</v>
      </c>
      <c r="AF21" s="60">
        <f>'TX-EGM-GL'!AH21+'TX-HPL-GL '!AH21</f>
        <v>0</v>
      </c>
      <c r="AG21" s="38">
        <f>'TX-EGM-GL'!AI21+'TX-HPL-GL '!AI21</f>
        <v>0</v>
      </c>
      <c r="AH21" s="60">
        <f>'TX-EGM-GL'!AL21+'TX-HPL-GL '!AL21</f>
        <v>0</v>
      </c>
      <c r="AI21" s="38">
        <f>'TX-EGM-GL'!AM21+'TX-HPL-GL '!AM21</f>
        <v>0</v>
      </c>
      <c r="AJ21" s="60">
        <f>'TX-EGM-GL'!AP21+'TX-HPL-GL '!AP21</f>
        <v>0</v>
      </c>
      <c r="AK21" s="38">
        <f>'TX-EGM-GL'!AQ21+'TX-HPL-GL '!AQ21</f>
        <v>0</v>
      </c>
      <c r="AL21" s="60">
        <f>'TX-EGM-GL'!AR21+'TX-HPL-GL '!AR21</f>
        <v>0</v>
      </c>
      <c r="AM21" s="38">
        <f>'TX-EGM-GL'!AS21+'TX-HPL-GL '!AS21</f>
        <v>0</v>
      </c>
      <c r="AN21" s="60">
        <f>'TX-EGM-GL'!AT21+'TX-HPL-GL '!AT21</f>
        <v>0</v>
      </c>
      <c r="AO21" s="38">
        <f>'TX-EGM-GL'!AU21+'TX-HPL-GL '!AU21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'TX-EGM-GL'!AH22+'TX-HPL-GL '!AH22</f>
        <v>0</v>
      </c>
      <c r="AG22" s="38">
        <f>'TX-EGM-GL'!AI22+'TX-HPL-GL '!AI22</f>
        <v>0</v>
      </c>
      <c r="AH22" s="60">
        <f>'TX-EGM-GL'!AL22+'TX-HPL-GL '!AL22</f>
        <v>0</v>
      </c>
      <c r="AI22" s="38">
        <f>'TX-EGM-GL'!AM22+'TX-HPL-GL '!AM22</f>
        <v>0</v>
      </c>
      <c r="AJ22" s="60">
        <f>'TX-EGM-GL'!AP22+'TX-HPL-GL '!AP22</f>
        <v>0</v>
      </c>
      <c r="AK22" s="38">
        <f>'TX-EGM-GL'!AQ22+'TX-HPL-GL '!AQ22</f>
        <v>0</v>
      </c>
      <c r="AL22" s="60">
        <f>'TX-EGM-GL'!AR22+'TX-HPL-GL '!AR22</f>
        <v>0</v>
      </c>
      <c r="AM22" s="38">
        <f>'TX-EGM-GL'!AS22+'TX-HPL-GL '!AS22</f>
        <v>0</v>
      </c>
      <c r="AN22" s="60">
        <f>'TX-EGM-GL'!AT22+'TX-HPL-GL '!AT22</f>
        <v>0</v>
      </c>
      <c r="AO22" s="38">
        <f>'TX-EGM-GL'!AU22+'TX-HPL-GL '!AU22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11841</v>
      </c>
      <c r="E23" s="38">
        <f t="shared" si="4"/>
        <v>27092.21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3105</v>
      </c>
      <c r="I23" s="38">
        <f>'TX-EGM-GL'!I23+'TX-HPL-GL '!I23</f>
        <v>7104.24</v>
      </c>
      <c r="J23" s="60">
        <f>'TX-EGM-GL'!J23+'TX-HPL-GL '!J23</f>
        <v>8735</v>
      </c>
      <c r="K23" s="38">
        <f>'TX-EGM-GL'!K23+'TX-HPL-GL '!K23</f>
        <v>19985.68</v>
      </c>
      <c r="L23" s="60">
        <f>'TX-EGM-GL'!L23+'TX-HPL-GL '!L23</f>
        <v>1</v>
      </c>
      <c r="M23" s="38">
        <f>'TX-EGM-GL'!M23+'TX-HPL-GL '!M23</f>
        <v>2.29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'TX-EGM-GL'!AH23+'TX-HPL-GL '!AH23</f>
        <v>0</v>
      </c>
      <c r="AG23" s="38">
        <f>'TX-EGM-GL'!AI23+'TX-HPL-GL '!AI23</f>
        <v>0</v>
      </c>
      <c r="AH23" s="60">
        <f>'TX-EGM-GL'!AL23+'TX-HPL-GL '!AL23</f>
        <v>0</v>
      </c>
      <c r="AI23" s="38">
        <f>'TX-EGM-GL'!AM23+'TX-HPL-GL '!AM23</f>
        <v>0</v>
      </c>
      <c r="AJ23" s="60">
        <f>'TX-EGM-GL'!AP23+'TX-HPL-GL '!AP23</f>
        <v>0</v>
      </c>
      <c r="AK23" s="38">
        <f>'TX-EGM-GL'!AQ23+'TX-HPL-GL '!AQ23</f>
        <v>0</v>
      </c>
      <c r="AL23" s="60">
        <f>'TX-EGM-GL'!AR23+'TX-HPL-GL '!AR23</f>
        <v>0</v>
      </c>
      <c r="AM23" s="38">
        <f>'TX-EGM-GL'!AS23+'TX-HPL-GL '!AS23</f>
        <v>0</v>
      </c>
      <c r="AN23" s="60">
        <f>'TX-EGM-GL'!AT23+'TX-HPL-GL '!AT23</f>
        <v>0</v>
      </c>
      <c r="AO23" s="38">
        <f>'TX-EGM-GL'!AU23+'TX-HPL-GL '!AU23</f>
        <v>0</v>
      </c>
    </row>
    <row r="24" spans="1:41" x14ac:dyDescent="0.2">
      <c r="A24" s="9"/>
      <c r="B24" s="7" t="s">
        <v>35</v>
      </c>
      <c r="C24" s="6"/>
      <c r="D24" s="61">
        <f>SUM(D19:D23)</f>
        <v>-76849929</v>
      </c>
      <c r="E24" s="39">
        <f>SUM(E19:E23)</f>
        <v>-173424392.36999997</v>
      </c>
      <c r="F24" s="61">
        <f t="shared" ref="F24:X24" si="5">SUM(F19:F23)</f>
        <v>0</v>
      </c>
      <c r="G24" s="39">
        <f t="shared" si="5"/>
        <v>-615196.24000000011</v>
      </c>
      <c r="H24" s="61">
        <f t="shared" si="5"/>
        <v>-72250517</v>
      </c>
      <c r="I24" s="39">
        <f t="shared" si="5"/>
        <v>-161711549.88999999</v>
      </c>
      <c r="J24" s="61">
        <f t="shared" si="5"/>
        <v>-4326662</v>
      </c>
      <c r="K24" s="39">
        <f t="shared" si="5"/>
        <v>-10532807.110000001</v>
      </c>
      <c r="L24" s="61">
        <f t="shared" si="5"/>
        <v>-106271</v>
      </c>
      <c r="M24" s="39">
        <f t="shared" si="5"/>
        <v>-226601.29</v>
      </c>
      <c r="N24" s="61">
        <f t="shared" si="5"/>
        <v>160361</v>
      </c>
      <c r="O24" s="39">
        <f t="shared" si="5"/>
        <v>377305.12</v>
      </c>
      <c r="P24" s="61">
        <f t="shared" si="5"/>
        <v>-55969</v>
      </c>
      <c r="Q24" s="39">
        <f t="shared" si="5"/>
        <v>-122018.08</v>
      </c>
      <c r="R24" s="61">
        <f t="shared" si="5"/>
        <v>25117</v>
      </c>
      <c r="S24" s="39">
        <f t="shared" si="5"/>
        <v>48724.91</v>
      </c>
      <c r="T24" s="61">
        <f t="shared" si="5"/>
        <v>-152377</v>
      </c>
      <c r="U24" s="39">
        <f>SUM(U19:U23)</f>
        <v>-339293.03</v>
      </c>
      <c r="V24" s="61">
        <f t="shared" si="5"/>
        <v>-237694</v>
      </c>
      <c r="W24" s="39">
        <f>SUM(W19:W23)</f>
        <v>-513064.1</v>
      </c>
      <c r="X24" s="61">
        <f t="shared" si="5"/>
        <v>243716</v>
      </c>
      <c r="Y24" s="39">
        <f t="shared" ref="Y24:AE24" si="6">SUM(Y19:Y23)</f>
        <v>527267.79</v>
      </c>
      <c r="Z24" s="61">
        <f t="shared" si="6"/>
        <v>31962</v>
      </c>
      <c r="AA24" s="39">
        <f t="shared" si="6"/>
        <v>69720.149999999994</v>
      </c>
      <c r="AB24" s="61">
        <f t="shared" si="6"/>
        <v>-232303</v>
      </c>
      <c r="AC24" s="39">
        <f t="shared" si="6"/>
        <v>-501447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-8342</v>
      </c>
      <c r="AG24" s="39">
        <f t="shared" si="7"/>
        <v>-19016.599999999999</v>
      </c>
      <c r="AH24" s="61">
        <f t="shared" si="7"/>
        <v>59050</v>
      </c>
      <c r="AI24" s="39">
        <f t="shared" si="7"/>
        <v>133583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396028</v>
      </c>
      <c r="E27" s="38">
        <f>SUM(G27,I27,K27,M27,O27,Q27,S27,U27,W27,Y27,AA27,AC27,AE27,AG27,AI27,AK27,AM27,AO27)</f>
        <v>931298.08819999988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231128</v>
      </c>
      <c r="I27" s="38">
        <f>'TX-EGM-GL'!I27+'TX-HPL-GL '!I27</f>
        <v>543150.78</v>
      </c>
      <c r="J27" s="60">
        <f>'TX-EGM-GL'!J27+'TX-HPL-GL '!J27</f>
        <v>149666</v>
      </c>
      <c r="K27" s="38">
        <f>'TX-EGM-GL'!K27+'TX-HPL-GL '!K27</f>
        <v>355006.67439999996</v>
      </c>
      <c r="L27" s="60">
        <f>'TX-EGM-GL'!L27+'TX-HPL-GL '!L27</f>
        <v>15120</v>
      </c>
      <c r="M27" s="38">
        <f>'TX-EGM-GL'!M27+'TX-HPL-GL '!M27</f>
        <v>34910.823600000003</v>
      </c>
      <c r="N27" s="60">
        <f>'TX-EGM-GL'!N27+'TX-HPL-GL '!N27</f>
        <v>527</v>
      </c>
      <c r="O27" s="38">
        <f>'TX-EGM-GL'!O27+'TX-HPL-GL '!O27</f>
        <v>1171.4156</v>
      </c>
      <c r="P27" s="60">
        <f>'TX-EGM-GL'!P27+'TX-HPL-GL '!P27</f>
        <v>-31</v>
      </c>
      <c r="Q27" s="38">
        <f>'TX-EGM-GL'!Q27+'TX-HPL-GL '!Q27</f>
        <v>-68.906800000000004</v>
      </c>
      <c r="R27" s="60">
        <f>'TX-EGM-GL'!R27+'TX-HPL-GL '!R27</f>
        <v>0</v>
      </c>
      <c r="S27" s="38">
        <f>'TX-EGM-GL'!S27+'TX-HPL-GL '!S27</f>
        <v>0</v>
      </c>
      <c r="T27" s="60">
        <f>'TX-EGM-GL'!T27+'TX-HPL-GL '!T27</f>
        <v>-384</v>
      </c>
      <c r="U27" s="38">
        <f>'TX-EGM-GL'!U27+'TX-HPL-GL '!U27</f>
        <v>-902.4</v>
      </c>
      <c r="V27" s="60">
        <f>'TX-EGM-GL'!V27+'TX-HPL-GL '!V27</f>
        <v>0</v>
      </c>
      <c r="W27" s="38">
        <f>'TX-EGM-GL'!W27+'TX-HPL-GL '!W27</f>
        <v>0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-1975.2986000000019</v>
      </c>
      <c r="AD27" s="60">
        <f>'TX-EGM-GL'!AD27+'TX-HPL-GL '!AD27</f>
        <v>0</v>
      </c>
      <c r="AE27" s="38">
        <f>'TX-EGM-GL'!AE27+'TX-HPL-GL '!AE27</f>
        <v>0</v>
      </c>
      <c r="AF27" s="60">
        <f>'TX-EGM-GL'!AH27+'TX-HPL-GL '!AH27</f>
        <v>0</v>
      </c>
      <c r="AG27" s="38">
        <f>'TX-EGM-GL'!AI27+'TX-HPL-GL '!AI27</f>
        <v>0</v>
      </c>
      <c r="AH27" s="60">
        <f>'TX-EGM-GL'!AL27+'TX-HPL-GL '!AL27</f>
        <v>2</v>
      </c>
      <c r="AI27" s="38">
        <f>'TX-EGM-GL'!AM27+'TX-HPL-GL '!AM27</f>
        <v>5</v>
      </c>
      <c r="AJ27" s="60">
        <f>'TX-EGM-GL'!AP27+'TX-HPL-GL '!AP27</f>
        <v>0</v>
      </c>
      <c r="AK27" s="38">
        <f>'TX-EGM-GL'!AQ27+'TX-HPL-GL '!AQ27</f>
        <v>0</v>
      </c>
      <c r="AL27" s="60">
        <f>'TX-EGM-GL'!AR27+'TX-HPL-GL '!AR27</f>
        <v>0</v>
      </c>
      <c r="AM27" s="38">
        <f>'TX-EGM-GL'!AS27+'TX-HPL-GL '!AS27</f>
        <v>0</v>
      </c>
      <c r="AN27" s="60">
        <f>'TX-EGM-GL'!AT27+'TX-HPL-GL '!AT27</f>
        <v>0</v>
      </c>
      <c r="AO27" s="38">
        <f>'TX-EGM-GL'!AU27+'TX-HPL-GL '!AU27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-15253906</v>
      </c>
      <c r="E28" s="38">
        <f>SUM(G28,I28,K28,M28,O28,Q28,S28,U28,W28,Y28,AA28,AC28,AE28,AG28,AI28,AK28,AM28,AO28)</f>
        <v>-35714289.750000015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-15278251</v>
      </c>
      <c r="I28" s="38">
        <f>'TX-EGM-GL'!I28+'TX-HPL-GL '!I28</f>
        <v>-35737134.200000003</v>
      </c>
      <c r="J28" s="60">
        <f>'TX-EGM-GL'!J28+'TX-HPL-GL '!J28</f>
        <v>-141550</v>
      </c>
      <c r="K28" s="38">
        <f>'TX-EGM-GL'!K28+'TX-HPL-GL '!K28</f>
        <v>-333877.56</v>
      </c>
      <c r="L28" s="60">
        <f>'TX-EGM-GL'!L28+'TX-HPL-GL '!L28</f>
        <v>-694255</v>
      </c>
      <c r="M28" s="38">
        <f>'TX-EGM-GL'!M28+'TX-HPL-GL '!M28</f>
        <v>-716.57</v>
      </c>
      <c r="N28" s="60">
        <f>'TX-EGM-GL'!N28+'TX-HPL-GL '!N28</f>
        <v>690698</v>
      </c>
      <c r="O28" s="38">
        <f>'TX-EGM-GL'!O28+'TX-HPL-GL '!O28</f>
        <v>-7760.43</v>
      </c>
      <c r="P28" s="60">
        <f>'TX-EGM-GL'!P28+'TX-HPL-GL '!P28</f>
        <v>0</v>
      </c>
      <c r="Q28" s="38">
        <f>'TX-EGM-GL'!Q28+'TX-HPL-GL '!Q28</f>
        <v>0</v>
      </c>
      <c r="R28" s="60">
        <f>'TX-EGM-GL'!R28+'TX-HPL-GL '!R28</f>
        <v>138080</v>
      </c>
      <c r="S28" s="38">
        <f>'TX-EGM-GL'!S28+'TX-HPL-GL '!S28</f>
        <v>291468</v>
      </c>
      <c r="T28" s="60">
        <f>'TX-EGM-GL'!T28+'TX-HPL-GL '!T28</f>
        <v>10233</v>
      </c>
      <c r="U28" s="38">
        <f>'TX-EGM-GL'!U28+'TX-HPL-GL '!U28</f>
        <v>24047.55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21218</v>
      </c>
      <c r="AC28" s="38">
        <f>'TX-EGM-GL'!AC28+'TX-HPL-GL '!AC28</f>
        <v>49862.3</v>
      </c>
      <c r="AD28" s="60">
        <f>'TX-EGM-GL'!AD28+'TX-HPL-GL '!AD28</f>
        <v>0</v>
      </c>
      <c r="AE28" s="38">
        <f>'TX-EGM-GL'!AE28+'TX-HPL-GL '!AE28</f>
        <v>0</v>
      </c>
      <c r="AF28" s="60">
        <f>'TX-EGM-GL'!AH28+'TX-HPL-GL '!AH28</f>
        <v>-79</v>
      </c>
      <c r="AG28" s="38">
        <f>'TX-EGM-GL'!AI28+'TX-HPL-GL '!AI28</f>
        <v>-178.84</v>
      </c>
      <c r="AH28" s="60">
        <f>'TX-EGM-GL'!AL28+'TX-HPL-GL '!AL28</f>
        <v>0</v>
      </c>
      <c r="AI28" s="38">
        <f>'TX-EGM-GL'!AM28+'TX-HPL-GL '!AM28</f>
        <v>0</v>
      </c>
      <c r="AJ28" s="60">
        <f>'TX-EGM-GL'!AP28+'TX-HPL-GL '!AP28</f>
        <v>0</v>
      </c>
      <c r="AK28" s="38">
        <f>'TX-EGM-GL'!AQ28+'TX-HPL-GL '!AQ28</f>
        <v>0</v>
      </c>
      <c r="AL28" s="60">
        <f>'TX-EGM-GL'!AR28+'TX-HPL-GL '!AR28</f>
        <v>0</v>
      </c>
      <c r="AM28" s="38">
        <f>'TX-EGM-GL'!AS28+'TX-HPL-GL '!AS28</f>
        <v>0</v>
      </c>
      <c r="AN28" s="60">
        <f>'TX-EGM-GL'!AT28+'TX-HPL-GL '!AT28</f>
        <v>0</v>
      </c>
      <c r="AO28" s="38">
        <f>'TX-EGM-GL'!AU28+'TX-HPL-GL '!AU28</f>
        <v>0</v>
      </c>
    </row>
    <row r="29" spans="1:41" x14ac:dyDescent="0.2">
      <c r="A29" s="9"/>
      <c r="B29" s="7" t="s">
        <v>39</v>
      </c>
      <c r="C29" s="18"/>
      <c r="D29" s="61">
        <f>SUM(D27:D28)</f>
        <v>-14857878</v>
      </c>
      <c r="E29" s="39">
        <f>SUM(E27:E28)</f>
        <v>-34782991.661800012</v>
      </c>
      <c r="F29" s="61">
        <f t="shared" ref="F29:X29" si="8">SUM(F27:F28)</f>
        <v>0</v>
      </c>
      <c r="G29" s="39">
        <f t="shared" si="8"/>
        <v>0</v>
      </c>
      <c r="H29" s="61">
        <f t="shared" si="8"/>
        <v>-15047123</v>
      </c>
      <c r="I29" s="39">
        <f t="shared" si="8"/>
        <v>-35193983.420000002</v>
      </c>
      <c r="J29" s="61">
        <f t="shared" si="8"/>
        <v>8116</v>
      </c>
      <c r="K29" s="39">
        <f t="shared" si="8"/>
        <v>21129.114399999962</v>
      </c>
      <c r="L29" s="61">
        <f t="shared" si="8"/>
        <v>-679135</v>
      </c>
      <c r="M29" s="39">
        <f t="shared" si="8"/>
        <v>34194.253600000004</v>
      </c>
      <c r="N29" s="61">
        <f t="shared" si="8"/>
        <v>691225</v>
      </c>
      <c r="O29" s="39">
        <f t="shared" si="8"/>
        <v>-6589.0144</v>
      </c>
      <c r="P29" s="61">
        <f t="shared" si="8"/>
        <v>-31</v>
      </c>
      <c r="Q29" s="39">
        <f t="shared" si="8"/>
        <v>-68.906800000000004</v>
      </c>
      <c r="R29" s="61">
        <f t="shared" si="8"/>
        <v>138080</v>
      </c>
      <c r="S29" s="39">
        <f t="shared" si="8"/>
        <v>291468</v>
      </c>
      <c r="T29" s="61">
        <f t="shared" si="8"/>
        <v>9849</v>
      </c>
      <c r="U29" s="39">
        <f>SUM(U27:U28)</f>
        <v>23145.149999999998</v>
      </c>
      <c r="V29" s="61">
        <f t="shared" si="8"/>
        <v>0</v>
      </c>
      <c r="W29" s="39">
        <f>SUM(W27:W28)</f>
        <v>0</v>
      </c>
      <c r="X29" s="61">
        <f t="shared" si="8"/>
        <v>0</v>
      </c>
      <c r="Y29" s="39">
        <f t="shared" ref="Y29:AE29" si="9">SUM(Y27:Y28)</f>
        <v>0</v>
      </c>
      <c r="Z29" s="61">
        <f t="shared" si="9"/>
        <v>0</v>
      </c>
      <c r="AA29" s="39">
        <f t="shared" si="9"/>
        <v>0</v>
      </c>
      <c r="AB29" s="61">
        <f t="shared" si="9"/>
        <v>21218</v>
      </c>
      <c r="AC29" s="39">
        <f t="shared" si="9"/>
        <v>47887.001400000001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-79</v>
      </c>
      <c r="AG29" s="39">
        <f t="shared" si="10"/>
        <v>-178.84</v>
      </c>
      <c r="AH29" s="61">
        <f t="shared" si="10"/>
        <v>2</v>
      </c>
      <c r="AI29" s="39">
        <f t="shared" si="10"/>
        <v>5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-44168</v>
      </c>
      <c r="E32" s="38">
        <f t="shared" si="11"/>
        <v>-101057.34199999983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-10813</v>
      </c>
      <c r="I32" s="38">
        <f>'TX-EGM-GL'!I32+'TX-HPL-GL '!I32</f>
        <v>-24740.14</v>
      </c>
      <c r="J32" s="60">
        <f>'TX-EGM-GL'!J32+'TX-HPL-GL '!J32</f>
        <v>-157210</v>
      </c>
      <c r="K32" s="38">
        <f>'TX-EGM-GL'!K32+'TX-HPL-GL '!K32</f>
        <v>-341717.17</v>
      </c>
      <c r="L32" s="60">
        <f>'TX-EGM-GL'!L32+'TX-HPL-GL '!L32</f>
        <v>6106</v>
      </c>
      <c r="M32" s="38">
        <f>'TX-EGM-GL'!M32+'TX-HPL-GL '!M32</f>
        <v>13737.644</v>
      </c>
      <c r="N32" s="60">
        <f>'TX-EGM-GL'!N32+'TX-HPL-GL '!N32</f>
        <v>-443388</v>
      </c>
      <c r="O32" s="38">
        <f>'TX-EGM-GL'!O32+'TX-HPL-GL '!O32</f>
        <v>-1275733.7960000001</v>
      </c>
      <c r="P32" s="60">
        <f>'TX-EGM-GL'!P32+'TX-HPL-GL '!P32</f>
        <v>108550</v>
      </c>
      <c r="Q32" s="38">
        <f>'TX-EGM-GL'!Q32+'TX-HPL-GL '!Q32</f>
        <v>319194.84600000002</v>
      </c>
      <c r="R32" s="60">
        <f>'TX-EGM-GL'!R32+'TX-HPL-GL '!R32</f>
        <v>196616</v>
      </c>
      <c r="S32" s="38">
        <f>'TX-EGM-GL'!S32+'TX-HPL-GL '!S32</f>
        <v>640524.00800000003</v>
      </c>
      <c r="T32" s="60">
        <f>'TX-EGM-GL'!T32+'TX-HPL-GL '!T32</f>
        <v>-180053</v>
      </c>
      <c r="U32" s="38">
        <f>'TX-EGM-GL'!U32+'TX-HPL-GL '!U32</f>
        <v>-411966.55200000003</v>
      </c>
      <c r="V32" s="60">
        <f>'TX-EGM-GL'!V32+'TX-HPL-GL '!V32</f>
        <v>0</v>
      </c>
      <c r="W32" s="38">
        <f>'TX-EGM-GL'!W32+'TX-HPL-GL '!W32</f>
        <v>0.64800000000000002</v>
      </c>
      <c r="X32" s="60">
        <f>'TX-EGM-GL'!X32+'TX-HPL-GL '!X32</f>
        <v>0</v>
      </c>
      <c r="Y32" s="38">
        <f>'TX-EGM-GL'!Y32+'TX-HPL-GL '!Y32</f>
        <v>0</v>
      </c>
      <c r="Z32" s="60">
        <f>'TX-EGM-GL'!Z32+'TX-HPL-GL '!Z32</f>
        <v>168031</v>
      </c>
      <c r="AA32" s="38">
        <f>'TX-EGM-GL'!AA32+'TX-HPL-GL '!AA32</f>
        <v>366475.61</v>
      </c>
      <c r="AB32" s="60">
        <f>'TX-EGM-GL'!AB32+'TX-HPL-GL '!AB32</f>
        <v>100</v>
      </c>
      <c r="AC32" s="38">
        <f>'TX-EGM-GL'!AC32+'TX-HPL-GL '!AC32</f>
        <v>228.8</v>
      </c>
      <c r="AD32" s="60">
        <f>'TX-EGM-GL'!AD32+'TX-HPL-GL '!AD32</f>
        <v>-34010</v>
      </c>
      <c r="AE32" s="38">
        <f>'TX-EGM-GL'!AE32+'TX-HPL-GL '!AE32</f>
        <v>-77814.880000000005</v>
      </c>
      <c r="AF32" s="60">
        <f>'TX-EGM-GL'!AH32+'TX-HPL-GL '!AH32</f>
        <v>301905</v>
      </c>
      <c r="AG32" s="38">
        <f>'TX-EGM-GL'!AI32+'TX-HPL-GL '!AI32</f>
        <v>690758.64</v>
      </c>
      <c r="AH32" s="60">
        <f>'TX-EGM-GL'!AL32+'TX-HPL-GL '!AL32</f>
        <v>-2</v>
      </c>
      <c r="AI32" s="38">
        <f>'TX-EGM-GL'!AM32+'TX-HPL-GL '!AM32</f>
        <v>-5</v>
      </c>
      <c r="AJ32" s="60">
        <f>'TX-EGM-GL'!AP32+'TX-HPL-GL '!AP32</f>
        <v>0</v>
      </c>
      <c r="AK32" s="38">
        <f>'TX-EGM-GL'!AQ32+'TX-HPL-GL '!AQ32</f>
        <v>0</v>
      </c>
      <c r="AL32" s="60">
        <f>'TX-EGM-GL'!AR32+'TX-HPL-GL '!AR32</f>
        <v>0</v>
      </c>
      <c r="AM32" s="38">
        <f>'TX-EGM-GL'!AS32+'TX-HPL-GL '!AS32</f>
        <v>0</v>
      </c>
      <c r="AN32" s="60">
        <f>'TX-EGM-GL'!AT32+'TX-HPL-GL '!AT32</f>
        <v>0</v>
      </c>
      <c r="AO32" s="38">
        <f>'TX-EGM-GL'!AU32+'TX-HPL-GL '!AU32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'TX-EGM-GL'!AH33+'TX-HPL-GL '!AH33</f>
        <v>0</v>
      </c>
      <c r="AG33" s="38">
        <f>'TX-EGM-GL'!AI33+'TX-HPL-GL '!AI33</f>
        <v>0</v>
      </c>
      <c r="AH33" s="60">
        <f>'TX-EGM-GL'!AL33+'TX-HPL-GL '!AL33</f>
        <v>0</v>
      </c>
      <c r="AI33" s="38">
        <f>'TX-EGM-GL'!AM33+'TX-HPL-GL '!AM33</f>
        <v>0</v>
      </c>
      <c r="AJ33" s="60">
        <f>'TX-EGM-GL'!AP33+'TX-HPL-GL '!AP33</f>
        <v>0</v>
      </c>
      <c r="AK33" s="38">
        <f>'TX-EGM-GL'!AQ33+'TX-HPL-GL '!AQ33</f>
        <v>0</v>
      </c>
      <c r="AL33" s="60">
        <f>'TX-EGM-GL'!AR33+'TX-HPL-GL '!AR33</f>
        <v>0</v>
      </c>
      <c r="AM33" s="38">
        <f>'TX-EGM-GL'!AS33+'TX-HPL-GL '!AS33</f>
        <v>0</v>
      </c>
      <c r="AN33" s="60">
        <f>'TX-EGM-GL'!AT33+'TX-HPL-GL '!AT33</f>
        <v>0</v>
      </c>
      <c r="AO33" s="38">
        <f>'TX-EGM-GL'!AU33+'TX-HPL-GL '!AU33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'TX-EGM-GL'!AH34+'TX-HPL-GL '!AH34</f>
        <v>0</v>
      </c>
      <c r="AG34" s="38">
        <f>'TX-EGM-GL'!AI34+'TX-HPL-GL '!AI34</f>
        <v>0</v>
      </c>
      <c r="AH34" s="60">
        <f>'TX-EGM-GL'!AL34+'TX-HPL-GL '!AL34</f>
        <v>0</v>
      </c>
      <c r="AI34" s="38">
        <f>'TX-EGM-GL'!AM34+'TX-HPL-GL '!AM34</f>
        <v>0</v>
      </c>
      <c r="AJ34" s="60">
        <f>'TX-EGM-GL'!AP34+'TX-HPL-GL '!AP34</f>
        <v>0</v>
      </c>
      <c r="AK34" s="38">
        <f>'TX-EGM-GL'!AQ34+'TX-HPL-GL '!AQ34</f>
        <v>0</v>
      </c>
      <c r="AL34" s="60">
        <f>'TX-EGM-GL'!AR34+'TX-HPL-GL '!AR34</f>
        <v>0</v>
      </c>
      <c r="AM34" s="38">
        <f>'TX-EGM-GL'!AS34+'TX-HPL-GL '!AS34</f>
        <v>0</v>
      </c>
      <c r="AN34" s="60">
        <f>'TX-EGM-GL'!AT34+'TX-HPL-GL '!AT34</f>
        <v>0</v>
      </c>
      <c r="AO34" s="38">
        <f>'TX-EGM-GL'!AU34+'TX-HPL-GL '!AU34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'TX-EGM-GL'!AH35+'TX-HPL-GL '!AH35</f>
        <v>0</v>
      </c>
      <c r="AG35" s="38">
        <f>'TX-EGM-GL'!AI35+'TX-HPL-GL '!AI35</f>
        <v>0</v>
      </c>
      <c r="AH35" s="60">
        <f>'TX-EGM-GL'!AL35+'TX-HPL-GL '!AL35</f>
        <v>0</v>
      </c>
      <c r="AI35" s="38">
        <f>'TX-EGM-GL'!AM35+'TX-HPL-GL '!AM35</f>
        <v>0</v>
      </c>
      <c r="AJ35" s="60">
        <f>'TX-EGM-GL'!AP35+'TX-HPL-GL '!AP35</f>
        <v>0</v>
      </c>
      <c r="AK35" s="38">
        <f>'TX-EGM-GL'!AQ35+'TX-HPL-GL '!AQ35</f>
        <v>0</v>
      </c>
      <c r="AL35" s="60">
        <f>'TX-EGM-GL'!AR35+'TX-HPL-GL '!AR35</f>
        <v>0</v>
      </c>
      <c r="AM35" s="38">
        <f>'TX-EGM-GL'!AS35+'TX-HPL-GL '!AS35</f>
        <v>0</v>
      </c>
      <c r="AN35" s="60">
        <f>'TX-EGM-GL'!AT35+'TX-HPL-GL '!AT35</f>
        <v>0</v>
      </c>
      <c r="AO35" s="38">
        <f>'TX-EGM-GL'!AU35+'TX-HPL-GL '!AU35</f>
        <v>0</v>
      </c>
    </row>
    <row r="36" spans="1:41" x14ac:dyDescent="0.2">
      <c r="A36" s="9"/>
      <c r="B36" s="7" t="s">
        <v>45</v>
      </c>
      <c r="C36" s="6"/>
      <c r="D36" s="61">
        <f>SUM(D32:D35)</f>
        <v>-44168</v>
      </c>
      <c r="E36" s="39">
        <f>SUM(E32:E35)</f>
        <v>-101057.33199999983</v>
      </c>
      <c r="F36" s="61">
        <f t="shared" ref="F36:X36" si="12">SUM(F32:F35)</f>
        <v>0</v>
      </c>
      <c r="G36" s="39">
        <f t="shared" si="12"/>
        <v>0</v>
      </c>
      <c r="H36" s="61">
        <f t="shared" si="12"/>
        <v>-10813</v>
      </c>
      <c r="I36" s="39">
        <f t="shared" si="12"/>
        <v>-24740.13</v>
      </c>
      <c r="J36" s="61">
        <f t="shared" si="12"/>
        <v>-157210</v>
      </c>
      <c r="K36" s="39">
        <f t="shared" si="12"/>
        <v>-341717.17</v>
      </c>
      <c r="L36" s="61">
        <f t="shared" si="12"/>
        <v>6106</v>
      </c>
      <c r="M36" s="39">
        <f t="shared" si="12"/>
        <v>13737.644</v>
      </c>
      <c r="N36" s="61">
        <f t="shared" si="12"/>
        <v>-443388</v>
      </c>
      <c r="O36" s="39">
        <f t="shared" si="12"/>
        <v>-1275733.7960000001</v>
      </c>
      <c r="P36" s="61">
        <f t="shared" si="12"/>
        <v>108550</v>
      </c>
      <c r="Q36" s="39">
        <f t="shared" si="12"/>
        <v>319194.84600000002</v>
      </c>
      <c r="R36" s="61">
        <f t="shared" si="12"/>
        <v>196616</v>
      </c>
      <c r="S36" s="39">
        <f t="shared" si="12"/>
        <v>640524.00800000003</v>
      </c>
      <c r="T36" s="61">
        <f t="shared" si="12"/>
        <v>-180053</v>
      </c>
      <c r="U36" s="39">
        <f>SUM(U32:U35)</f>
        <v>-411966.55200000003</v>
      </c>
      <c r="V36" s="61">
        <f t="shared" si="12"/>
        <v>0</v>
      </c>
      <c r="W36" s="39">
        <f>SUM(W32:W35)</f>
        <v>0.64800000000000002</v>
      </c>
      <c r="X36" s="61">
        <f t="shared" si="12"/>
        <v>0</v>
      </c>
      <c r="Y36" s="39">
        <f t="shared" ref="Y36:AE36" si="13">SUM(Y32:Y35)</f>
        <v>0</v>
      </c>
      <c r="Z36" s="61">
        <f t="shared" si="13"/>
        <v>168031</v>
      </c>
      <c r="AA36" s="39">
        <f t="shared" si="13"/>
        <v>366475.61</v>
      </c>
      <c r="AB36" s="61">
        <f t="shared" si="13"/>
        <v>100</v>
      </c>
      <c r="AC36" s="39">
        <f t="shared" si="13"/>
        <v>228.8</v>
      </c>
      <c r="AD36" s="61">
        <f t="shared" si="13"/>
        <v>-34010</v>
      </c>
      <c r="AE36" s="39">
        <f t="shared" si="13"/>
        <v>-77814.880000000005</v>
      </c>
      <c r="AF36" s="61">
        <f t="shared" ref="AF36:AK36" si="14">SUM(AF32:AF35)</f>
        <v>301905</v>
      </c>
      <c r="AG36" s="39">
        <f t="shared" si="14"/>
        <v>690758.64</v>
      </c>
      <c r="AH36" s="61">
        <f t="shared" si="14"/>
        <v>-2</v>
      </c>
      <c r="AI36" s="39">
        <f t="shared" si="14"/>
        <v>-5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8202246</v>
      </c>
      <c r="E39" s="38">
        <f t="shared" si="15"/>
        <v>19716382.490000002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8140904</v>
      </c>
      <c r="I39" s="38">
        <f>'TX-EGM-GL'!I39+'TX-HPL-GL '!I39</f>
        <v>19569417.440000001</v>
      </c>
      <c r="J39" s="60">
        <f>'TX-EGM-GL'!J39+'TX-HPL-GL '!J39</f>
        <v>44324</v>
      </c>
      <c r="K39" s="38">
        <f>'TX-EGM-GL'!K39+'TX-HPL-GL '!K39</f>
        <v>66613.11</v>
      </c>
      <c r="L39" s="60">
        <f>'TX-EGM-GL'!L39+'TX-HPL-GL '!L39</f>
        <v>44787</v>
      </c>
      <c r="M39" s="38">
        <f>'TX-EGM-GL'!M39+'TX-HPL-GL '!M39</f>
        <v>67791.56</v>
      </c>
      <c r="N39" s="60">
        <f>'TX-EGM-GL'!N39+'TX-HPL-GL '!N39</f>
        <v>45916</v>
      </c>
      <c r="O39" s="38">
        <f>'TX-EGM-GL'!O39+'TX-HPL-GL '!O39</f>
        <v>148453.54999999999</v>
      </c>
      <c r="P39" s="60">
        <f>'TX-EGM-GL'!P39+'TX-HPL-GL '!P39</f>
        <v>8286</v>
      </c>
      <c r="Q39" s="38">
        <f>'TX-EGM-GL'!Q39+'TX-HPL-GL '!Q39</f>
        <v>19703.099999999999</v>
      </c>
      <c r="R39" s="60">
        <f>'TX-EGM-GL'!R39+'TX-HPL-GL '!R39</f>
        <v>-84483</v>
      </c>
      <c r="S39" s="38">
        <f>'TX-EGM-GL'!S39+'TX-HPL-GL '!S39</f>
        <v>-202735.91</v>
      </c>
      <c r="T39" s="60">
        <f>'TX-EGM-GL'!T39+'TX-HPL-GL '!T39</f>
        <v>1759</v>
      </c>
      <c r="U39" s="38">
        <f>'TX-EGM-GL'!U39+'TX-HPL-GL '!U39</f>
        <v>4024.59</v>
      </c>
      <c r="V39" s="60">
        <f>'TX-EGM-GL'!V39+'TX-HPL-GL '!V39</f>
        <v>0</v>
      </c>
      <c r="W39" s="38">
        <f>'TX-EGM-GL'!W39+'TX-HPL-GL '!W39</f>
        <v>22343.32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-1759</v>
      </c>
      <c r="AC39" s="38">
        <f>'TX-EGM-GL'!AC39+'TX-HPL-GL '!AC39</f>
        <v>-4024.59</v>
      </c>
      <c r="AD39" s="60">
        <f>'TX-EGM-GL'!AD39+'TX-HPL-GL '!AD39</f>
        <v>1650</v>
      </c>
      <c r="AE39" s="38">
        <f>'TX-EGM-GL'!AE39+'TX-HPL-GL '!AE39</f>
        <v>22723.25</v>
      </c>
      <c r="AF39" s="60">
        <f>'TX-EGM-GL'!AH39+'TX-HPL-GL '!AH39</f>
        <v>773</v>
      </c>
      <c r="AG39" s="38">
        <f>'TX-EGM-GL'!AI39+'TX-HPL-GL '!AI39</f>
        <v>1859.07</v>
      </c>
      <c r="AH39" s="60">
        <f>'TX-EGM-GL'!AL39+'TX-HPL-GL '!AL39</f>
        <v>89</v>
      </c>
      <c r="AI39" s="38">
        <f>'TX-EGM-GL'!AM39+'TX-HPL-GL '!AM39</f>
        <v>214</v>
      </c>
      <c r="AJ39" s="60">
        <f>'TX-EGM-GL'!AP39+'TX-HPL-GL '!AP39</f>
        <v>0</v>
      </c>
      <c r="AK39" s="38">
        <f>'TX-EGM-GL'!AQ39+'TX-HPL-GL '!AQ39</f>
        <v>0</v>
      </c>
      <c r="AL39" s="60">
        <f>'TX-EGM-GL'!AR39+'TX-HPL-GL '!AR39</f>
        <v>0</v>
      </c>
      <c r="AM39" s="38">
        <f>'TX-EGM-GL'!AS39+'TX-HPL-GL '!AS39</f>
        <v>0</v>
      </c>
      <c r="AN39" s="60">
        <f>'TX-EGM-GL'!AT39+'TX-HPL-GL '!AT39</f>
        <v>0</v>
      </c>
      <c r="AO39" s="38">
        <f>'TX-EGM-GL'!AU39+'TX-HPL-GL '!AU39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1403.45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0</v>
      </c>
      <c r="K40" s="38">
        <f>'TX-EGM-GL'!K40+'TX-HPL-GL '!K40</f>
        <v>0</v>
      </c>
      <c r="L40" s="60">
        <f>'TX-EGM-GL'!L40+'TX-HPL-GL '!L40</f>
        <v>0</v>
      </c>
      <c r="M40" s="38">
        <f>'TX-EGM-GL'!M40+'TX-HPL-GL '!M40</f>
        <v>0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'TX-EGM-GL'!AH40+'TX-HPL-GL '!AH40</f>
        <v>0</v>
      </c>
      <c r="AG40" s="38">
        <f>'TX-EGM-GL'!AI40+'TX-HPL-GL '!AI40</f>
        <v>0</v>
      </c>
      <c r="AH40" s="60">
        <f>'TX-EGM-GL'!AL40+'TX-HPL-GL '!AL40</f>
        <v>0</v>
      </c>
      <c r="AI40" s="38">
        <f>'TX-EGM-GL'!AM40+'TX-HPL-GL '!AM40</f>
        <v>1403.45</v>
      </c>
      <c r="AJ40" s="60">
        <f>'TX-EGM-GL'!AP40+'TX-HPL-GL '!AP40</f>
        <v>0</v>
      </c>
      <c r="AK40" s="38">
        <f>'TX-EGM-GL'!AQ40+'TX-HPL-GL '!AQ40</f>
        <v>0</v>
      </c>
      <c r="AL40" s="60">
        <f>'TX-EGM-GL'!AR40+'TX-HPL-GL '!AR40</f>
        <v>0</v>
      </c>
      <c r="AM40" s="38">
        <f>'TX-EGM-GL'!AS40+'TX-HPL-GL '!AS40</f>
        <v>0</v>
      </c>
      <c r="AN40" s="60">
        <f>'TX-EGM-GL'!AT40+'TX-HPL-GL '!AT40</f>
        <v>0</v>
      </c>
      <c r="AO40" s="38">
        <f>'TX-EGM-GL'!AU40+'TX-HPL-GL '!AU40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-22343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-22343</v>
      </c>
      <c r="AD41" s="60">
        <f>'TX-EGM-GL'!AD41+'TX-HPL-GL '!AD41</f>
        <v>0</v>
      </c>
      <c r="AE41" s="38">
        <f>'TX-EGM-GL'!AE41+'TX-HPL-GL '!AE41</f>
        <v>0</v>
      </c>
      <c r="AF41" s="60">
        <f>'TX-EGM-GL'!AH41+'TX-HPL-GL '!AH41</f>
        <v>0</v>
      </c>
      <c r="AG41" s="38">
        <f>'TX-EGM-GL'!AI41+'TX-HPL-GL '!AI41</f>
        <v>0</v>
      </c>
      <c r="AH41" s="60">
        <f>'TX-EGM-GL'!AL41+'TX-HPL-GL '!AL41</f>
        <v>0</v>
      </c>
      <c r="AI41" s="38">
        <f>'TX-EGM-GL'!AM41+'TX-HPL-GL '!AM41</f>
        <v>0</v>
      </c>
      <c r="AJ41" s="60">
        <f>'TX-EGM-GL'!AP41+'TX-HPL-GL '!AP41</f>
        <v>0</v>
      </c>
      <c r="AK41" s="38">
        <f>'TX-EGM-GL'!AQ41+'TX-HPL-GL '!AQ41</f>
        <v>0</v>
      </c>
      <c r="AL41" s="60">
        <f>'TX-EGM-GL'!AR41+'TX-HPL-GL '!AR41</f>
        <v>0</v>
      </c>
      <c r="AM41" s="38">
        <f>'TX-EGM-GL'!AS41+'TX-HPL-GL '!AS41</f>
        <v>0</v>
      </c>
      <c r="AN41" s="60">
        <f>'TX-EGM-GL'!AT41+'TX-HPL-GL '!AT41</f>
        <v>0</v>
      </c>
      <c r="AO41" s="38">
        <f>'TX-EGM-GL'!AU41+'TX-HPL-GL '!AU41</f>
        <v>0</v>
      </c>
    </row>
    <row r="42" spans="1:41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-20939.55</v>
      </c>
      <c r="F42" s="61">
        <f t="shared" ref="F42:X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>SUM(W40:W41)</f>
        <v>0</v>
      </c>
      <c r="X42" s="61">
        <f t="shared" si="16"/>
        <v>0</v>
      </c>
      <c r="Y42" s="39">
        <f t="shared" ref="Y42:AE42" si="17">SUM(Y40:Y41)</f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-22343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1403.45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>D42+D39</f>
        <v>8202246</v>
      </c>
      <c r="E43" s="39">
        <f>E42+E39</f>
        <v>19695442.940000001</v>
      </c>
      <c r="F43" s="61">
        <f t="shared" ref="F43:X43" si="19">F42+F39</f>
        <v>0</v>
      </c>
      <c r="G43" s="39">
        <f t="shared" si="19"/>
        <v>0</v>
      </c>
      <c r="H43" s="61">
        <f t="shared" si="19"/>
        <v>8140904</v>
      </c>
      <c r="I43" s="39">
        <f t="shared" si="19"/>
        <v>19569417.440000001</v>
      </c>
      <c r="J43" s="61">
        <f t="shared" si="19"/>
        <v>44324</v>
      </c>
      <c r="K43" s="39">
        <f t="shared" si="19"/>
        <v>66613.11</v>
      </c>
      <c r="L43" s="61">
        <f t="shared" si="19"/>
        <v>44787</v>
      </c>
      <c r="M43" s="39">
        <f t="shared" si="19"/>
        <v>67791.56</v>
      </c>
      <c r="N43" s="61">
        <f t="shared" si="19"/>
        <v>45916</v>
      </c>
      <c r="O43" s="39">
        <f t="shared" si="19"/>
        <v>148453.54999999999</v>
      </c>
      <c r="P43" s="61">
        <f t="shared" si="19"/>
        <v>8286</v>
      </c>
      <c r="Q43" s="39">
        <f t="shared" si="19"/>
        <v>19703.099999999999</v>
      </c>
      <c r="R43" s="61">
        <f t="shared" si="19"/>
        <v>-84483</v>
      </c>
      <c r="S43" s="39">
        <f t="shared" si="19"/>
        <v>-202735.91</v>
      </c>
      <c r="T43" s="61">
        <f t="shared" si="19"/>
        <v>1759</v>
      </c>
      <c r="U43" s="39">
        <f>U42+U39</f>
        <v>4024.59</v>
      </c>
      <c r="V43" s="61">
        <f t="shared" si="19"/>
        <v>0</v>
      </c>
      <c r="W43" s="39">
        <f>W42+W39</f>
        <v>22343.32</v>
      </c>
      <c r="X43" s="61">
        <f t="shared" si="19"/>
        <v>0</v>
      </c>
      <c r="Y43" s="39">
        <f t="shared" ref="Y43:AE43" si="20">Y42+Y39</f>
        <v>0</v>
      </c>
      <c r="Z43" s="61">
        <f t="shared" si="20"/>
        <v>0</v>
      </c>
      <c r="AA43" s="39">
        <f t="shared" si="20"/>
        <v>0</v>
      </c>
      <c r="AB43" s="61">
        <f t="shared" si="20"/>
        <v>-1759</v>
      </c>
      <c r="AC43" s="39">
        <f t="shared" si="20"/>
        <v>-26367.59</v>
      </c>
      <c r="AD43" s="61">
        <f t="shared" si="20"/>
        <v>1650</v>
      </c>
      <c r="AE43" s="39">
        <f t="shared" si="20"/>
        <v>22723.25</v>
      </c>
      <c r="AF43" s="61">
        <f t="shared" ref="AF43:AK43" si="21">AF42+AF39</f>
        <v>773</v>
      </c>
      <c r="AG43" s="39">
        <f t="shared" si="21"/>
        <v>1859.07</v>
      </c>
      <c r="AH43" s="61">
        <f t="shared" si="21"/>
        <v>89</v>
      </c>
      <c r="AI43" s="39">
        <f t="shared" si="21"/>
        <v>1617.45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'TX-EGM-GL'!AH45+'TX-HPL-GL '!AH45</f>
        <v>0</v>
      </c>
      <c r="AG45" s="38">
        <f>'TX-EGM-GL'!AI45+'TX-HPL-GL '!AI45</f>
        <v>0</v>
      </c>
      <c r="AH45" s="60">
        <f>'TX-EGM-GL'!AL45+'TX-HPL-GL '!AL45</f>
        <v>0</v>
      </c>
      <c r="AI45" s="38">
        <f>'TX-EGM-GL'!AM45+'TX-HPL-GL '!AM45</f>
        <v>0</v>
      </c>
      <c r="AJ45" s="60">
        <f>'TX-EGM-GL'!AP45+'TX-HPL-GL '!AP45</f>
        <v>0</v>
      </c>
      <c r="AK45" s="38">
        <f>'TX-EGM-GL'!AQ45+'TX-HPL-GL '!AQ45</f>
        <v>0</v>
      </c>
      <c r="AL45" s="60">
        <f>'TX-EGM-GL'!AR45+'TX-HPL-GL '!AR45</f>
        <v>0</v>
      </c>
      <c r="AM45" s="38">
        <f>'TX-EGM-GL'!AS45+'TX-HPL-GL '!AS45</f>
        <v>0</v>
      </c>
      <c r="AN45" s="60">
        <f>'TX-EGM-GL'!AT45+'TX-HPL-GL '!AT45</f>
        <v>0</v>
      </c>
      <c r="AO45" s="38">
        <f>'TX-EGM-GL'!AU45+'TX-HPL-GL '!AU45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-9718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0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-9718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'TX-EGM-GL'!AH47+'TX-HPL-GL '!AH47</f>
        <v>0</v>
      </c>
      <c r="AG47" s="38">
        <f>'TX-EGM-GL'!AI47+'TX-HPL-GL '!AI47</f>
        <v>0</v>
      </c>
      <c r="AH47" s="60">
        <f>'TX-EGM-GL'!AL47+'TX-HPL-GL '!AL47</f>
        <v>0</v>
      </c>
      <c r="AI47" s="38">
        <f>'TX-EGM-GL'!AM47+'TX-HPL-GL '!AM47</f>
        <v>0</v>
      </c>
      <c r="AJ47" s="60">
        <f>'TX-EGM-GL'!AP47+'TX-HPL-GL '!AP47</f>
        <v>0</v>
      </c>
      <c r="AK47" s="38">
        <f>'TX-EGM-GL'!AQ47+'TX-HPL-GL '!AQ47</f>
        <v>0</v>
      </c>
      <c r="AL47" s="60">
        <f>'TX-EGM-GL'!AR47+'TX-HPL-GL '!AR47</f>
        <v>0</v>
      </c>
      <c r="AM47" s="38">
        <f>'TX-EGM-GL'!AS47+'TX-HPL-GL '!AS47</f>
        <v>0</v>
      </c>
      <c r="AN47" s="60">
        <f>'TX-EGM-GL'!AT47+'TX-HPL-GL '!AT47</f>
        <v>0</v>
      </c>
      <c r="AO47" s="38">
        <f>'TX-EGM-GL'!AU47+'TX-HPL-GL '!AU47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-9536</v>
      </c>
      <c r="E49" s="38">
        <f t="shared" si="22"/>
        <v>-17159.085999999923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-1430238</v>
      </c>
      <c r="I49" s="38">
        <f>'TX-EGM-GL'!I49+'TX-HPL-GL '!I49</f>
        <v>-3272384.5440000002</v>
      </c>
      <c r="J49" s="60">
        <f>'TX-EGM-GL'!J49+'TX-HPL-GL '!J49</f>
        <v>1350047</v>
      </c>
      <c r="K49" s="38">
        <f>'TX-EGM-GL'!K49+'TX-HPL-GL '!K49</f>
        <v>3088907.5360000003</v>
      </c>
      <c r="L49" s="60">
        <f>'TX-EGM-GL'!L49+'TX-HPL-GL '!L49</f>
        <v>-1169196</v>
      </c>
      <c r="M49" s="38">
        <f>'TX-EGM-GL'!M49+'TX-HPL-GL '!M49</f>
        <v>-2675120.4479999999</v>
      </c>
      <c r="N49" s="60">
        <f>'TX-EGM-GL'!N49+'TX-HPL-GL '!N49</f>
        <v>1469569</v>
      </c>
      <c r="O49" s="38">
        <f>'TX-EGM-GL'!O49+'TX-HPL-GL '!O49</f>
        <v>3362373.872</v>
      </c>
      <c r="P49" s="60">
        <f>'TX-EGM-GL'!P49+'TX-HPL-GL '!P49</f>
        <v>-403359</v>
      </c>
      <c r="Q49" s="38">
        <f>'TX-EGM-GL'!Q49+'TX-HPL-GL '!Q49</f>
        <v>-922885.39199999999</v>
      </c>
      <c r="R49" s="60">
        <f>'TX-EGM-GL'!R49+'TX-HPL-GL '!R49</f>
        <v>-187366</v>
      </c>
      <c r="S49" s="38">
        <f>'TX-EGM-GL'!S49+'TX-HPL-GL '!S49</f>
        <v>-428693.408</v>
      </c>
      <c r="T49" s="60">
        <f>'TX-EGM-GL'!T49+'TX-HPL-GL '!T49</f>
        <v>179000</v>
      </c>
      <c r="U49" s="38">
        <f>'TX-EGM-GL'!U49+'TX-HPL-GL '!U49</f>
        <v>409552</v>
      </c>
      <c r="V49" s="60">
        <f>'TX-EGM-GL'!V49+'TX-HPL-GL '!V49</f>
        <v>372457</v>
      </c>
      <c r="W49" s="38">
        <f>'TX-EGM-GL'!W49+'TX-HPL-GL '!W49</f>
        <v>852181.61600000004</v>
      </c>
      <c r="X49" s="60">
        <f>'TX-EGM-GL'!X49+'TX-HPL-GL '!X49</f>
        <v>-372457</v>
      </c>
      <c r="Y49" s="38">
        <f>'TX-EGM-GL'!Y49+'TX-HPL-GL '!Y49</f>
        <v>-852181.61600000004</v>
      </c>
      <c r="Z49" s="60">
        <f>'TX-EGM-GL'!Z49+'TX-HPL-GL '!Z49</f>
        <v>-167906</v>
      </c>
      <c r="AA49" s="38">
        <f>'TX-EGM-GL'!AA49+'TX-HPL-GL '!AA49</f>
        <v>-384168.92800000001</v>
      </c>
      <c r="AB49" s="60">
        <f>'TX-EGM-GL'!AB49+'TX-HPL-GL '!AB49</f>
        <v>352998</v>
      </c>
      <c r="AC49" s="38">
        <f>'TX-EGM-GL'!AC49+'TX-HPL-GL '!AC49</f>
        <v>807659.424</v>
      </c>
      <c r="AD49" s="60">
        <f>'TX-EGM-GL'!AD49+'TX-HPL-GL '!AD49</f>
        <v>56023</v>
      </c>
      <c r="AE49" s="38">
        <f>'TX-EGM-GL'!AE49+'TX-HPL-GL '!AE49</f>
        <v>128180.624</v>
      </c>
      <c r="AF49" s="60">
        <f>'TX-EGM-GL'!AH49+'TX-HPL-GL '!AH49</f>
        <v>31</v>
      </c>
      <c r="AG49" s="38">
        <f>'TX-EGM-GL'!AI49+'TX-HPL-GL '!AI49</f>
        <v>70.927999999999997</v>
      </c>
      <c r="AH49" s="60">
        <f>'TX-EGM-GL'!AL49+'TX-HPL-GL '!AL49</f>
        <v>-59139</v>
      </c>
      <c r="AI49" s="38">
        <f>'TX-EGM-GL'!AM49+'TX-HPL-GL '!AM49</f>
        <v>-130650.75</v>
      </c>
      <c r="AJ49" s="60">
        <f>'TX-EGM-GL'!AP49+'TX-HPL-GL '!AP49</f>
        <v>0</v>
      </c>
      <c r="AK49" s="38">
        <f>'TX-EGM-GL'!AQ49+'TX-HPL-GL '!AQ49</f>
        <v>0</v>
      </c>
      <c r="AL49" s="60">
        <f>'TX-EGM-GL'!AR49+'TX-HPL-GL '!AR49</f>
        <v>0</v>
      </c>
      <c r="AM49" s="38">
        <f>'TX-EGM-GL'!AS49+'TX-HPL-GL '!AS49</f>
        <v>0</v>
      </c>
      <c r="AN49" s="60">
        <f>'TX-EGM-GL'!AT49+'TX-HPL-GL '!AT49</f>
        <v>0</v>
      </c>
      <c r="AO49" s="38">
        <f>'TX-EGM-GL'!AU49+'TX-HPL-GL '!AU49</f>
        <v>0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-11841</v>
      </c>
      <c r="E51" s="38">
        <f t="shared" si="22"/>
        <v>-8201.2100000000009</v>
      </c>
      <c r="F51" s="60">
        <f>('TIE-OUT'!P51+'TIE-OUT'!R51)+(RECLASS!P51+RECLASS!R51)</f>
        <v>0</v>
      </c>
      <c r="G51" s="38">
        <f>('TIE-OUT'!Q51+'TIE-OUT'!S51)+(RECLASS!Q51+RECLASS!S51)</f>
        <v>18891</v>
      </c>
      <c r="H51" s="60">
        <f>'TX-EGM-GL'!H51+'TX-HPL-GL '!H51</f>
        <v>-3105</v>
      </c>
      <c r="I51" s="38">
        <f>'TX-EGM-GL'!I51+'TX-HPL-GL '!I51</f>
        <v>-7104.24</v>
      </c>
      <c r="J51" s="60">
        <f>'TX-EGM-GL'!J51+'TX-HPL-GL '!J51</f>
        <v>-8735</v>
      </c>
      <c r="K51" s="38">
        <f>'TX-EGM-GL'!K51+'TX-HPL-GL '!K51</f>
        <v>-19985.68</v>
      </c>
      <c r="L51" s="60">
        <f>'TX-EGM-GL'!L51+'TX-HPL-GL '!L51</f>
        <v>-1</v>
      </c>
      <c r="M51" s="38">
        <f>'TX-EGM-GL'!M51+'TX-HPL-GL '!M51</f>
        <v>-2.29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'TX-EGM-GL'!AH51+'TX-HPL-GL '!AH51</f>
        <v>0</v>
      </c>
      <c r="AG51" s="38">
        <f>'TX-EGM-GL'!AI51+'TX-HPL-GL '!AI51</f>
        <v>0</v>
      </c>
      <c r="AH51" s="60">
        <f>'TX-EGM-GL'!AL51+'TX-HPL-GL '!AL51</f>
        <v>0</v>
      </c>
      <c r="AI51" s="38">
        <f>'TX-EGM-GL'!AM51+'TX-HPL-GL '!AM51</f>
        <v>0</v>
      </c>
      <c r="AJ51" s="60">
        <f>'TX-EGM-GL'!AP51+'TX-HPL-GL '!AP51</f>
        <v>0</v>
      </c>
      <c r="AK51" s="38">
        <f>'TX-EGM-GL'!AQ51+'TX-HPL-GL '!AQ51</f>
        <v>0</v>
      </c>
      <c r="AL51" s="60">
        <f>'TX-EGM-GL'!AR51+'TX-HPL-GL '!AR51</f>
        <v>0</v>
      </c>
      <c r="AM51" s="38">
        <f>'TX-EGM-GL'!AS51+'TX-HPL-GL '!AS51</f>
        <v>0</v>
      </c>
      <c r="AN51" s="60">
        <f>'TX-EGM-GL'!AT51+'TX-HPL-GL '!AT51</f>
        <v>0</v>
      </c>
      <c r="AO51" s="38">
        <f>'TX-EGM-GL'!AU51+'TX-HPL-GL '!AU51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-7469127</v>
      </c>
      <c r="E54" s="38">
        <f>SUM(G54,I54,K54,M54,O54,Q54,S54,U54,W54,Y54,AA54,AC54,AE54,AG54,AI54,AK54,AM54,AO54)</f>
        <v>-356479.79999999993</v>
      </c>
      <c r="F54" s="64">
        <f>('TIE-OUT'!P54+'TIE-OUT'!R54)+(RECLASS!P54+RECLASS!R54)</f>
        <v>0</v>
      </c>
      <c r="G54" s="68">
        <f>('TIE-OUT'!Q54+'TIE-OUT'!S54)+(RECLASS!Q54+RECLASS!S54)</f>
        <v>44824</v>
      </c>
      <c r="H54" s="60">
        <f>'TX-EGM-GL'!H54+'TX-HPL-GL '!H54</f>
        <v>-5201676</v>
      </c>
      <c r="I54" s="38">
        <f>'TX-EGM-GL'!I54+'TX-HPL-GL '!I54</f>
        <v>-435950.66</v>
      </c>
      <c r="J54" s="60">
        <f>'TX-EGM-GL'!J54+'TX-HPL-GL '!J54</f>
        <v>-1788865</v>
      </c>
      <c r="K54" s="38">
        <f>'TX-EGM-GL'!K54+'TX-HPL-GL '!K54</f>
        <v>39324.92</v>
      </c>
      <c r="L54" s="60">
        <f>'TX-EGM-GL'!L54+'TX-HPL-GL '!L54</f>
        <v>-326742</v>
      </c>
      <c r="M54" s="38">
        <f>'TX-EGM-GL'!M54+'TX-HPL-GL '!M54</f>
        <v>-6180</v>
      </c>
      <c r="N54" s="60">
        <f>'TX-EGM-GL'!N54+'TX-HPL-GL '!N54</f>
        <v>140</v>
      </c>
      <c r="O54" s="38">
        <f>'TX-EGM-GL'!O54+'TX-HPL-GL '!O54</f>
        <v>11</v>
      </c>
      <c r="P54" s="60">
        <f>'TX-EGM-GL'!P54+'TX-HPL-GL '!P54</f>
        <v>129677</v>
      </c>
      <c r="Q54" s="38">
        <f>'TX-EGM-GL'!Q54+'TX-HPL-GL '!Q54</f>
        <v>1149.75</v>
      </c>
      <c r="R54" s="60">
        <f>'TX-EGM-GL'!R54+'TX-HPL-GL '!R54</f>
        <v>-295557</v>
      </c>
      <c r="S54" s="38">
        <f>'TX-EGM-GL'!S54+'TX-HPL-GL '!S54</f>
        <v>51333.279999999999</v>
      </c>
      <c r="T54" s="60">
        <f>'TX-EGM-GL'!T54+'TX-HPL-GL '!T54</f>
        <v>3066</v>
      </c>
      <c r="U54" s="38">
        <f>'TX-EGM-GL'!U54+'TX-HPL-GL '!U54</f>
        <v>-49904.7</v>
      </c>
      <c r="V54" s="60">
        <f>'TX-EGM-GL'!V54+'TX-HPL-GL '!V54</f>
        <v>4723</v>
      </c>
      <c r="W54" s="38">
        <f>'TX-EGM-GL'!W54+'TX-HPL-GL '!W54</f>
        <v>944.59</v>
      </c>
      <c r="X54" s="60">
        <f>'TX-EGM-GL'!X54+'TX-HPL-GL '!X54</f>
        <v>-4723</v>
      </c>
      <c r="Y54" s="38">
        <f>'TX-EGM-GL'!Y54+'TX-HPL-GL '!Y54</f>
        <v>-944.61</v>
      </c>
      <c r="Z54" s="60">
        <f>'TX-EGM-GL'!Z54+'TX-HPL-GL '!Z54</f>
        <v>148567</v>
      </c>
      <c r="AA54" s="38">
        <f>'TX-EGM-GL'!AA54+'TX-HPL-GL '!AA54</f>
        <v>13371.03</v>
      </c>
      <c r="AB54" s="60">
        <f>'TX-EGM-GL'!AB54+'TX-HPL-GL '!AB54</f>
        <v>-148667</v>
      </c>
      <c r="AC54" s="38">
        <f>'TX-EGM-GL'!AC54+'TX-HPL-GL '!AC54</f>
        <v>-13369.53</v>
      </c>
      <c r="AD54" s="60">
        <f>'TX-EGM-GL'!AD54+'TX-HPL-GL '!AD54</f>
        <v>-1650</v>
      </c>
      <c r="AE54" s="38">
        <f>'TX-EGM-GL'!AE54+'TX-HPL-GL '!AE54</f>
        <v>276.01</v>
      </c>
      <c r="AF54" s="60">
        <f>'TX-EGM-GL'!AH54+'TX-HPL-GL '!AH54</f>
        <v>-2032</v>
      </c>
      <c r="AG54" s="38">
        <f>'TX-EGM-GL'!AI54+'TX-HPL-GL '!AI54</f>
        <v>-616.88</v>
      </c>
      <c r="AH54" s="60">
        <f>'TX-EGM-GL'!AL54+'TX-HPL-GL '!AL54</f>
        <v>14612</v>
      </c>
      <c r="AI54" s="38">
        <f>'TX-EGM-GL'!AM54+'TX-HPL-GL '!AM54</f>
        <v>-748</v>
      </c>
      <c r="AJ54" s="60">
        <f>'TX-EGM-GL'!AP54+'TX-HPL-GL '!AP54</f>
        <v>0</v>
      </c>
      <c r="AK54" s="38">
        <f>'TX-EGM-GL'!AQ54+'TX-HPL-GL '!AQ54</f>
        <v>0</v>
      </c>
      <c r="AL54" s="60">
        <f>'TX-EGM-GL'!AR54+'TX-HPL-GL '!AR54</f>
        <v>0</v>
      </c>
      <c r="AM54" s="38">
        <f>'TX-EGM-GL'!AS54+'TX-HPL-GL '!AS54</f>
        <v>0</v>
      </c>
      <c r="AN54" s="60">
        <f>'TX-EGM-GL'!AT54+'TX-HPL-GL '!AT54</f>
        <v>0</v>
      </c>
      <c r="AO54" s="38">
        <f>'TX-EGM-GL'!AU54+'TX-HPL-GL '!AU54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684</v>
      </c>
      <c r="E55" s="38">
        <f>SUM(G55,I55,K55,M55,O55,Q55,S55,U55,W55,Y55,AA55,AC55,AE55,AG55,AI55,AK55,AM55,AO55)</f>
        <v>-669772.48</v>
      </c>
      <c r="F55" s="81">
        <f>('TIE-OUT'!P55+'TIE-OUT'!R55)+(RECLASS!P55+RECLASS!R55)</f>
        <v>0</v>
      </c>
      <c r="G55" s="82">
        <f>('TIE-OUT'!Q55+'TIE-OUT'!S55)+(RECLASS!Q55+RECLASS!S55)</f>
        <v>-992568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322775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-93300</v>
      </c>
      <c r="X55" s="60">
        <f>'TX-EGM-GL'!X55+'TX-HPL-GL '!X55</f>
        <v>0</v>
      </c>
      <c r="Y55" s="38">
        <f>'TX-EGM-GL'!Y55+'TX-HPL-GL '!Y55</f>
        <v>93300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'TX-EGM-GL'!AH55+'TX-HPL-GL '!AH55</f>
        <v>0</v>
      </c>
      <c r="AG55" s="38">
        <f>'TX-EGM-GL'!AI55+'TX-HPL-GL '!AI55</f>
        <v>0</v>
      </c>
      <c r="AH55" s="60">
        <f>'TX-EGM-GL'!AL55+'TX-HPL-GL '!AL55</f>
        <v>684</v>
      </c>
      <c r="AI55" s="38">
        <f>'TX-EGM-GL'!AM55+'TX-HPL-GL '!AM55</f>
        <v>20.52</v>
      </c>
      <c r="AJ55" s="60">
        <f>'TX-EGM-GL'!AP55+'TX-HPL-GL '!AP55</f>
        <v>0</v>
      </c>
      <c r="AK55" s="38">
        <f>'TX-EGM-GL'!AQ55+'TX-HPL-GL '!AQ55</f>
        <v>0</v>
      </c>
      <c r="AL55" s="60">
        <f>'TX-EGM-GL'!AR55+'TX-HPL-GL '!AR55</f>
        <v>0</v>
      </c>
      <c r="AM55" s="38">
        <f>'TX-EGM-GL'!AS55+'TX-HPL-GL '!AS55</f>
        <v>0</v>
      </c>
      <c r="AN55" s="60">
        <f>'TX-EGM-GL'!AT55+'TX-HPL-GL '!AT55</f>
        <v>0</v>
      </c>
      <c r="AO55" s="38">
        <f>'TX-EGM-GL'!AU55+'TX-HPL-GL '!AU55</f>
        <v>0</v>
      </c>
    </row>
    <row r="56" spans="1:41" x14ac:dyDescent="0.2">
      <c r="A56" s="9"/>
      <c r="B56" s="7" t="s">
        <v>59</v>
      </c>
      <c r="C56" s="6"/>
      <c r="D56" s="61">
        <f>SUM(D54:D55)</f>
        <v>-7468443</v>
      </c>
      <c r="E56" s="39">
        <f>SUM(E54:E55)</f>
        <v>-1026252.2799999999</v>
      </c>
      <c r="F56" s="61">
        <f t="shared" ref="F56:X56" si="23">SUM(F54:F55)</f>
        <v>0</v>
      </c>
      <c r="G56" s="39">
        <f t="shared" si="23"/>
        <v>-947744</v>
      </c>
      <c r="H56" s="61">
        <f t="shared" si="23"/>
        <v>-5201676</v>
      </c>
      <c r="I56" s="39">
        <f t="shared" si="23"/>
        <v>-435950.66</v>
      </c>
      <c r="J56" s="61">
        <f t="shared" si="23"/>
        <v>-1788865</v>
      </c>
      <c r="K56" s="39">
        <f t="shared" si="23"/>
        <v>39324.92</v>
      </c>
      <c r="L56" s="61">
        <f t="shared" si="23"/>
        <v>-326742</v>
      </c>
      <c r="M56" s="39">
        <f t="shared" si="23"/>
        <v>316595</v>
      </c>
      <c r="N56" s="61">
        <f t="shared" si="23"/>
        <v>140</v>
      </c>
      <c r="O56" s="39">
        <f t="shared" si="23"/>
        <v>11</v>
      </c>
      <c r="P56" s="61">
        <f t="shared" si="23"/>
        <v>129677</v>
      </c>
      <c r="Q56" s="39">
        <f t="shared" si="23"/>
        <v>1149.75</v>
      </c>
      <c r="R56" s="61">
        <f t="shared" si="23"/>
        <v>-295557</v>
      </c>
      <c r="S56" s="39">
        <f t="shared" si="23"/>
        <v>51333.279999999999</v>
      </c>
      <c r="T56" s="61">
        <f t="shared" si="23"/>
        <v>3066</v>
      </c>
      <c r="U56" s="39">
        <f>SUM(U54:U55)</f>
        <v>-49904.7</v>
      </c>
      <c r="V56" s="61">
        <f t="shared" si="23"/>
        <v>4723</v>
      </c>
      <c r="W56" s="39">
        <f>SUM(W54:W55)</f>
        <v>-92355.41</v>
      </c>
      <c r="X56" s="61">
        <f t="shared" si="23"/>
        <v>-4723</v>
      </c>
      <c r="Y56" s="39">
        <f t="shared" ref="Y56:AE56" si="24">SUM(Y54:Y55)</f>
        <v>92355.39</v>
      </c>
      <c r="Z56" s="61">
        <f t="shared" si="24"/>
        <v>148567</v>
      </c>
      <c r="AA56" s="39">
        <f t="shared" si="24"/>
        <v>13371.03</v>
      </c>
      <c r="AB56" s="61">
        <f t="shared" si="24"/>
        <v>-148667</v>
      </c>
      <c r="AC56" s="39">
        <f t="shared" si="24"/>
        <v>-13369.53</v>
      </c>
      <c r="AD56" s="61">
        <f t="shared" si="24"/>
        <v>-1650</v>
      </c>
      <c r="AE56" s="39">
        <f t="shared" si="24"/>
        <v>276.01</v>
      </c>
      <c r="AF56" s="61">
        <f t="shared" ref="AF56:AK56" si="25">SUM(AF54:AF55)</f>
        <v>-2032</v>
      </c>
      <c r="AG56" s="39">
        <f t="shared" si="25"/>
        <v>-616.88</v>
      </c>
      <c r="AH56" s="61">
        <f t="shared" si="25"/>
        <v>15296</v>
      </c>
      <c r="AI56" s="39">
        <f t="shared" si="25"/>
        <v>-727.48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3661.8599999999997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312.5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200</v>
      </c>
      <c r="P59" s="60">
        <f>'TX-EGM-GL'!P59+'TX-HPL-GL '!P59</f>
        <v>0</v>
      </c>
      <c r="Q59" s="38">
        <f>'TX-EGM-GL'!Q59+'TX-HPL-GL '!Q59</f>
        <v>-200</v>
      </c>
      <c r="R59" s="60">
        <f>'TX-EGM-GL'!R59+'TX-HPL-GL '!R59</f>
        <v>0</v>
      </c>
      <c r="S59" s="38">
        <f>'TX-EGM-GL'!S59+'TX-HPL-GL '!S59</f>
        <v>-4542.88</v>
      </c>
      <c r="T59" s="60">
        <f>'TX-EGM-GL'!T59+'TX-HPL-GL '!T59</f>
        <v>0</v>
      </c>
      <c r="U59" s="38">
        <f>'TX-EGM-GL'!U59+'TX-HPL-GL '!U59</f>
        <v>1357.25</v>
      </c>
      <c r="V59" s="60">
        <f>'TX-EGM-GL'!V59+'TX-HPL-GL '!V59</f>
        <v>0</v>
      </c>
      <c r="W59" s="38">
        <f>'TX-EGM-GL'!W59+'TX-HPL-GL '!W59</f>
        <v>6184.99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  <c r="AF59" s="60">
        <f>'TX-EGM-GL'!AH59+'TX-HPL-GL '!AH59</f>
        <v>0</v>
      </c>
      <c r="AG59" s="38">
        <f>'TX-EGM-GL'!AI59+'TX-HPL-GL '!AI59</f>
        <v>0</v>
      </c>
      <c r="AH59" s="60">
        <f>'TX-EGM-GL'!AL59+'TX-HPL-GL '!AL59</f>
        <v>0</v>
      </c>
      <c r="AI59" s="38">
        <f>'TX-EGM-GL'!AM59+'TX-HPL-GL '!AM59</f>
        <v>0</v>
      </c>
      <c r="AJ59" s="60">
        <f>'TX-EGM-GL'!AP59+'TX-HPL-GL '!AP59</f>
        <v>0</v>
      </c>
      <c r="AK59" s="38">
        <f>'TX-EGM-GL'!AQ59+'TX-HPL-GL '!AQ59</f>
        <v>0</v>
      </c>
      <c r="AL59" s="60">
        <f>'TX-EGM-GL'!AR59+'TX-HPL-GL '!AR59</f>
        <v>0</v>
      </c>
      <c r="AM59" s="38">
        <f>'TX-EGM-GL'!AS59+'TX-HPL-GL '!AS59</f>
        <v>0</v>
      </c>
      <c r="AN59" s="60">
        <f>'TX-EGM-GL'!AT59+'TX-HPL-GL '!AT59</f>
        <v>0</v>
      </c>
      <c r="AO59" s="38">
        <f>'TX-EGM-GL'!AU59+'TX-HPL-GL '!AU59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'TX-EGM-GL'!AH60+'TX-HPL-GL '!AH60</f>
        <v>0</v>
      </c>
      <c r="AG60" s="38">
        <f>'TX-EGM-GL'!AI60+'TX-HPL-GL '!AI60</f>
        <v>0</v>
      </c>
      <c r="AH60" s="60">
        <f>'TX-EGM-GL'!AL60+'TX-HPL-GL '!AL60</f>
        <v>0</v>
      </c>
      <c r="AI60" s="38">
        <f>'TX-EGM-GL'!AM60+'TX-HPL-GL '!AM60</f>
        <v>0</v>
      </c>
      <c r="AJ60" s="60">
        <f>'TX-EGM-GL'!AP60+'TX-HPL-GL '!AP60</f>
        <v>0</v>
      </c>
      <c r="AK60" s="38">
        <f>'TX-EGM-GL'!AQ60+'TX-HPL-GL '!AQ60</f>
        <v>0</v>
      </c>
      <c r="AL60" s="60">
        <f>'TX-EGM-GL'!AR60+'TX-HPL-GL '!AR60</f>
        <v>0</v>
      </c>
      <c r="AM60" s="38">
        <f>'TX-EGM-GL'!AS60+'TX-HPL-GL '!AS60</f>
        <v>0</v>
      </c>
      <c r="AN60" s="60">
        <f>'TX-EGM-GL'!AT60+'TX-HPL-GL '!AT60</f>
        <v>0</v>
      </c>
      <c r="AO60" s="38">
        <f>'TX-EGM-GL'!AU60+'TX-HPL-GL '!AU60</f>
        <v>0</v>
      </c>
    </row>
    <row r="61" spans="1:41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3661.8599999999997</v>
      </c>
      <c r="F61" s="61">
        <f t="shared" ref="F61:X61" si="26">SUM(F59:F60)</f>
        <v>0</v>
      </c>
      <c r="G61" s="39">
        <f t="shared" si="26"/>
        <v>0</v>
      </c>
      <c r="H61" s="61">
        <f t="shared" si="26"/>
        <v>0</v>
      </c>
      <c r="I61" s="39">
        <f t="shared" si="26"/>
        <v>350</v>
      </c>
      <c r="J61" s="61">
        <f t="shared" si="26"/>
        <v>0</v>
      </c>
      <c r="K61" s="39">
        <f t="shared" si="26"/>
        <v>312.5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200</v>
      </c>
      <c r="P61" s="61">
        <f t="shared" si="26"/>
        <v>0</v>
      </c>
      <c r="Q61" s="39">
        <f t="shared" si="26"/>
        <v>-200</v>
      </c>
      <c r="R61" s="61">
        <f t="shared" si="26"/>
        <v>0</v>
      </c>
      <c r="S61" s="39">
        <f t="shared" si="26"/>
        <v>-4542.88</v>
      </c>
      <c r="T61" s="61">
        <f t="shared" si="26"/>
        <v>0</v>
      </c>
      <c r="U61" s="39">
        <f>SUM(U59:U60)</f>
        <v>1357.25</v>
      </c>
      <c r="V61" s="61">
        <f t="shared" si="26"/>
        <v>0</v>
      </c>
      <c r="W61" s="39">
        <f>SUM(W59:W60)</f>
        <v>6184.99</v>
      </c>
      <c r="X61" s="61">
        <f t="shared" si="26"/>
        <v>0</v>
      </c>
      <c r="Y61" s="39">
        <f t="shared" ref="Y61:AE61" si="27">SUM(Y59:Y60)</f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-58762415</v>
      </c>
      <c r="E64" s="38">
        <f>SUM(G64,I64,K64,M64,O64,Q64,S64,U64,W64,Y64,AA64,AC64,AE64,AG64,AI64,AK64,AM64,AO64)</f>
        <v>-1216030.3900000001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-36464386</v>
      </c>
      <c r="I64" s="38">
        <f>'TX-EGM-GL'!I64+'TX-HPL-GL '!I64</f>
        <v>-720852.65</v>
      </c>
      <c r="J64" s="60">
        <f>'TX-EGM-GL'!J64+'TX-HPL-GL '!J64</f>
        <v>-22468696</v>
      </c>
      <c r="K64" s="38">
        <f>'TX-EGM-GL'!K64+'TX-HPL-GL '!K64</f>
        <v>-220039.18</v>
      </c>
      <c r="L64" s="60">
        <f>'TX-EGM-GL'!L64+'TX-HPL-GL '!L64</f>
        <v>29333</v>
      </c>
      <c r="M64" s="38">
        <f>'TX-EGM-GL'!M64+'TX-HPL-GL '!M64</f>
        <v>-7435.02</v>
      </c>
      <c r="N64" s="60">
        <f>'TX-EGM-GL'!N64+'TX-HPL-GL '!N64</f>
        <v>64610</v>
      </c>
      <c r="O64" s="38">
        <f>'TX-EGM-GL'!O64+'TX-HPL-GL '!O64</f>
        <v>-260641.27</v>
      </c>
      <c r="P64" s="60">
        <f>'TX-EGM-GL'!P64+'TX-HPL-GL '!P64</f>
        <v>-6000</v>
      </c>
      <c r="Q64" s="38">
        <f>'TX-EGM-GL'!Q64+'TX-HPL-GL '!Q64</f>
        <v>0.28999999999999998</v>
      </c>
      <c r="R64" s="60">
        <f>'TX-EGM-GL'!R64+'TX-HPL-GL '!R64</f>
        <v>82724</v>
      </c>
      <c r="S64" s="38">
        <f>'TX-EGM-GL'!S64+'TX-HPL-GL '!S64</f>
        <v>0</v>
      </c>
      <c r="T64" s="60">
        <f>'TX-EGM-GL'!T64+'TX-HPL-GL '!T64</f>
        <v>0</v>
      </c>
      <c r="U64" s="38">
        <f>'TX-EGM-GL'!U64+'TX-HPL-GL '!U64</f>
        <v>0.01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</v>
      </c>
      <c r="AD64" s="60">
        <f>'TX-EGM-GL'!AD64+'TX-HPL-GL '!AD64</f>
        <v>0</v>
      </c>
      <c r="AE64" s="38">
        <f>'TX-EGM-GL'!AE64+'TX-HPL-GL '!AE64</f>
        <v>1.63</v>
      </c>
      <c r="AF64" s="60">
        <f>'TX-EGM-GL'!AH64+'TX-HPL-GL '!AH64</f>
        <v>0</v>
      </c>
      <c r="AG64" s="38">
        <f>'TX-EGM-GL'!AI64+'TX-HPL-GL '!AI64</f>
        <v>-7064.2</v>
      </c>
      <c r="AH64" s="60">
        <f>'TX-EGM-GL'!AL64+'TX-HPL-GL '!AL64</f>
        <v>0</v>
      </c>
      <c r="AI64" s="38">
        <f>'TX-EGM-GL'!AM64+'TX-HPL-GL '!AM64</f>
        <v>0</v>
      </c>
      <c r="AJ64" s="60">
        <f>'TX-EGM-GL'!AP64+'TX-HPL-GL '!AP64</f>
        <v>0</v>
      </c>
      <c r="AK64" s="38">
        <f>'TX-EGM-GL'!AQ64+'TX-HPL-GL '!AQ64</f>
        <v>0</v>
      </c>
      <c r="AL64" s="60">
        <f>'TX-EGM-GL'!AR64+'TX-HPL-GL '!AR64</f>
        <v>0</v>
      </c>
      <c r="AM64" s="38">
        <f>'TX-EGM-GL'!AS64+'TX-HPL-GL '!AS64</f>
        <v>0</v>
      </c>
      <c r="AN64" s="60">
        <f>'TX-EGM-GL'!AT64+'TX-HPL-GL '!AT64</f>
        <v>0</v>
      </c>
      <c r="AO64" s="38">
        <f>'TX-EGM-GL'!AU64+'TX-HPL-GL '!AU64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1208823</v>
      </c>
      <c r="F65" s="81">
        <f>('TIE-OUT'!P65+'TIE-OUT'!R65)+(RECLASS!P65+RECLASS!R65)</f>
        <v>0</v>
      </c>
      <c r="G65" s="82">
        <f>('TIE-OUT'!Q65+'TIE-OUT'!S65)+(RECLASS!Q65+RECLASS!S65)</f>
        <v>718772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482987</v>
      </c>
      <c r="L65" s="60">
        <f>'TX-EGM-GL'!L65+'TX-HPL-GL '!L65</f>
        <v>0</v>
      </c>
      <c r="M65" s="38">
        <f>'TX-EGM-GL'!M65+'TX-HPL-GL '!M65</f>
        <v>0</v>
      </c>
      <c r="N65" s="60">
        <f>'TX-EGM-GL'!N65+'TX-HPL-GL '!N65</f>
        <v>0</v>
      </c>
      <c r="O65" s="38">
        <f>'TX-EGM-GL'!O65+'TX-HPL-GL '!O65</f>
        <v>3031</v>
      </c>
      <c r="P65" s="60">
        <f>'TX-EGM-GL'!P65+'TX-HPL-GL '!P65</f>
        <v>0</v>
      </c>
      <c r="Q65" s="38">
        <f>'TX-EGM-GL'!Q65+'TX-HPL-GL '!Q65</f>
        <v>7038</v>
      </c>
      <c r="R65" s="60">
        <f>'TX-EGM-GL'!R65+'TX-HPL-GL '!R65</f>
        <v>0</v>
      </c>
      <c r="S65" s="38">
        <f>'TX-EGM-GL'!S65+'TX-HPL-GL '!S65</f>
        <v>0</v>
      </c>
      <c r="T65" s="60">
        <f>'TX-EGM-GL'!T65+'TX-HPL-GL '!T65</f>
        <v>0</v>
      </c>
      <c r="U65" s="38">
        <f>'TX-EGM-GL'!U65+'TX-HPL-GL '!U65</f>
        <v>-3005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'TX-EGM-GL'!AH65+'TX-HPL-GL '!AH65</f>
        <v>0</v>
      </c>
      <c r="AG65" s="38">
        <f>'TX-EGM-GL'!AI65+'TX-HPL-GL '!AI65</f>
        <v>0</v>
      </c>
      <c r="AH65" s="60">
        <f>'TX-EGM-GL'!AL65+'TX-HPL-GL '!AL65</f>
        <v>0</v>
      </c>
      <c r="AI65" s="38">
        <f>'TX-EGM-GL'!AM65+'TX-HPL-GL '!AM65</f>
        <v>0</v>
      </c>
      <c r="AJ65" s="60">
        <f>'TX-EGM-GL'!AP65+'TX-HPL-GL '!AP65</f>
        <v>0</v>
      </c>
      <c r="AK65" s="38">
        <f>'TX-EGM-GL'!AQ65+'TX-HPL-GL '!AQ65</f>
        <v>0</v>
      </c>
      <c r="AL65" s="60">
        <f>'TX-EGM-GL'!AR65+'TX-HPL-GL '!AR65</f>
        <v>0</v>
      </c>
      <c r="AM65" s="38">
        <f>'TX-EGM-GL'!AS65+'TX-HPL-GL '!AS65</f>
        <v>0</v>
      </c>
      <c r="AN65" s="60">
        <f>'TX-EGM-GL'!AT65+'TX-HPL-GL '!AT65</f>
        <v>0</v>
      </c>
      <c r="AO65" s="38">
        <f>'TX-EGM-GL'!AU65+'TX-HPL-GL '!AU65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-58762415</v>
      </c>
      <c r="E66" s="39">
        <f>SUM(G66,I66,K66,M66,O66,Q66,S66,U66,W66,Y66,AA66,AC66,AE66,AG66,AI66)</f>
        <v>-7207.3899999999949</v>
      </c>
      <c r="F66" s="61">
        <f t="shared" ref="F66:X66" si="29">SUM(F64:F65)</f>
        <v>0</v>
      </c>
      <c r="G66" s="39">
        <f t="shared" si="29"/>
        <v>718772</v>
      </c>
      <c r="H66" s="61">
        <f t="shared" si="29"/>
        <v>-36464386</v>
      </c>
      <c r="I66" s="39">
        <f t="shared" si="29"/>
        <v>-720852.65</v>
      </c>
      <c r="J66" s="61">
        <f t="shared" si="29"/>
        <v>-22468696</v>
      </c>
      <c r="K66" s="39">
        <f t="shared" si="29"/>
        <v>262947.82</v>
      </c>
      <c r="L66" s="61">
        <f t="shared" si="29"/>
        <v>29333</v>
      </c>
      <c r="M66" s="39">
        <f t="shared" si="29"/>
        <v>-7435.02</v>
      </c>
      <c r="N66" s="61">
        <f t="shared" si="29"/>
        <v>64610</v>
      </c>
      <c r="O66" s="39">
        <f t="shared" si="29"/>
        <v>-257610.27</v>
      </c>
      <c r="P66" s="61">
        <f t="shared" si="29"/>
        <v>-6000</v>
      </c>
      <c r="Q66" s="39">
        <f t="shared" si="29"/>
        <v>7038.29</v>
      </c>
      <c r="R66" s="61">
        <f t="shared" si="29"/>
        <v>82724</v>
      </c>
      <c r="S66" s="39">
        <f t="shared" si="29"/>
        <v>0</v>
      </c>
      <c r="T66" s="61">
        <f t="shared" si="29"/>
        <v>0</v>
      </c>
      <c r="U66" s="39">
        <f>SUM(U64:U65)</f>
        <v>-3004.99</v>
      </c>
      <c r="V66" s="61">
        <f t="shared" si="29"/>
        <v>0</v>
      </c>
      <c r="W66" s="39">
        <f>SUM(W64:W65)</f>
        <v>0</v>
      </c>
      <c r="X66" s="61">
        <f t="shared" si="29"/>
        <v>0</v>
      </c>
      <c r="Y66" s="39">
        <f t="shared" ref="Y66:AE66" si="30">SUM(Y64:Y65)</f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1.63</v>
      </c>
      <c r="AF66" s="61">
        <f t="shared" ref="AF66:AK66" si="31">SUM(AF64:AF65)</f>
        <v>0</v>
      </c>
      <c r="AG66" s="39">
        <f t="shared" si="31"/>
        <v>-7064.2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250999.06</v>
      </c>
      <c r="F70" s="64">
        <f>('TIE-OUT'!P70+'TIE-OUT'!R70)+(RECLASS!P70+RECLASS!R70)</f>
        <v>0</v>
      </c>
      <c r="G70" s="68">
        <f>('TIE-OUT'!Q70+'TIE-OUT'!S70)+(RECLASS!Q70+RECLASS!S70)</f>
        <v>250999.06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'TX-EGM-GL'!AH70+'TX-HPL-GL '!AH70</f>
        <v>0</v>
      </c>
      <c r="AG70" s="38">
        <f>'TX-EGM-GL'!AI70+'TX-HPL-GL '!AI70</f>
        <v>0</v>
      </c>
      <c r="AH70" s="60">
        <f>'TX-EGM-GL'!AL70+'TX-HPL-GL '!AL70</f>
        <v>0</v>
      </c>
      <c r="AI70" s="38">
        <f>'TX-EGM-GL'!AM70+'TX-HPL-GL '!AM70</f>
        <v>0</v>
      </c>
      <c r="AJ70" s="60">
        <f>'TX-EGM-GL'!AP70+'TX-HPL-GL '!AP70</f>
        <v>0</v>
      </c>
      <c r="AK70" s="38">
        <f>'TX-EGM-GL'!AQ70+'TX-HPL-GL '!AQ70</f>
        <v>0</v>
      </c>
      <c r="AL70" s="60">
        <f>'TX-EGM-GL'!AR70+'TX-HPL-GL '!AR70</f>
        <v>0</v>
      </c>
      <c r="AM70" s="38">
        <f>'TX-EGM-GL'!AS70+'TX-HPL-GL '!AS70</f>
        <v>0</v>
      </c>
      <c r="AN70" s="60">
        <f>'TX-EGM-GL'!AT70+'TX-HPL-GL '!AT70</f>
        <v>0</v>
      </c>
      <c r="AO70" s="38">
        <f>'TX-EGM-GL'!AU70+'TX-HPL-GL '!AU70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-1054678.81</v>
      </c>
      <c r="F71" s="81">
        <f>('TIE-OUT'!P71+'TIE-OUT'!R71)+(RECLASS!P71+RECLASS!R71)</f>
        <v>0</v>
      </c>
      <c r="G71" s="82">
        <f>('TIE-OUT'!Q71+'TIE-OUT'!S71)+(RECLASS!Q71+RECLASS!S71)</f>
        <v>-1054678.81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'TX-EGM-GL'!AH71+'TX-HPL-GL '!AH71</f>
        <v>0</v>
      </c>
      <c r="AG71" s="38">
        <f>'TX-EGM-GL'!AI71+'TX-HPL-GL '!AI71</f>
        <v>0</v>
      </c>
      <c r="AH71" s="60">
        <f>'TX-EGM-GL'!AL71+'TX-HPL-GL '!AL71</f>
        <v>0</v>
      </c>
      <c r="AI71" s="38">
        <f>'TX-EGM-GL'!AM71+'TX-HPL-GL '!AM71</f>
        <v>0</v>
      </c>
      <c r="AJ71" s="60">
        <f>'TX-EGM-GL'!AP71+'TX-HPL-GL '!AP71</f>
        <v>0</v>
      </c>
      <c r="AK71" s="38">
        <f>'TX-EGM-GL'!AQ71+'TX-HPL-GL '!AQ71</f>
        <v>0</v>
      </c>
      <c r="AL71" s="60">
        <f>'TX-EGM-GL'!AR71+'TX-HPL-GL '!AR71</f>
        <v>0</v>
      </c>
      <c r="AM71" s="38">
        <f>'TX-EGM-GL'!AS71+'TX-HPL-GL '!AS71</f>
        <v>0</v>
      </c>
      <c r="AN71" s="60">
        <f>'TX-EGM-GL'!AT71+'TX-HPL-GL '!AT71</f>
        <v>0</v>
      </c>
      <c r="AO71" s="38">
        <f>'TX-EGM-GL'!AU71+'TX-HPL-GL '!AU71</f>
        <v>0</v>
      </c>
    </row>
    <row r="72" spans="1:41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-803679.75</v>
      </c>
      <c r="F72" s="61">
        <f t="shared" ref="F72:X72" si="32">SUM(F70:F71)</f>
        <v>0</v>
      </c>
      <c r="G72" s="39">
        <f t="shared" si="32"/>
        <v>-803679.75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>SUM(U70:U71)</f>
        <v>0</v>
      </c>
      <c r="V72" s="61">
        <f t="shared" si="32"/>
        <v>0</v>
      </c>
      <c r="W72" s="39">
        <f>SUM(W70:W71)</f>
        <v>0</v>
      </c>
      <c r="X72" s="61">
        <f t="shared" si="32"/>
        <v>0</v>
      </c>
      <c r="Y72" s="39">
        <f t="shared" ref="Y72:AE72" si="33">SUM(Y70:Y71)</f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'TX-EGM-GL'!AH73+'TX-HPL-GL '!AH73</f>
        <v>0</v>
      </c>
      <c r="AG73" s="38">
        <f>'TX-EGM-GL'!AI73+'TX-HPL-GL '!AI73</f>
        <v>0</v>
      </c>
      <c r="AH73" s="60">
        <f>'TX-EGM-GL'!AL73+'TX-HPL-GL '!AL73</f>
        <v>0</v>
      </c>
      <c r="AI73" s="38">
        <f>'TX-EGM-GL'!AM73+'TX-HPL-GL '!AM73</f>
        <v>0</v>
      </c>
      <c r="AJ73" s="60">
        <f>'TX-EGM-GL'!AP73+'TX-HPL-GL '!AP73</f>
        <v>0</v>
      </c>
      <c r="AK73" s="38">
        <f>'TX-EGM-GL'!AQ73+'TX-HPL-GL '!AQ73</f>
        <v>0</v>
      </c>
      <c r="AL73" s="60">
        <f>'TX-EGM-GL'!AR73+'TX-HPL-GL '!AR73</f>
        <v>0</v>
      </c>
      <c r="AM73" s="38">
        <f>'TX-EGM-GL'!AS73+'TX-HPL-GL '!AS73</f>
        <v>0</v>
      </c>
      <c r="AN73" s="60">
        <f>'TX-EGM-GL'!AT73+'TX-HPL-GL '!AT73</f>
        <v>0</v>
      </c>
      <c r="AO73" s="38">
        <f>'TX-EGM-GL'!AU73+'TX-HPL-GL '!AU73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1009624.5</v>
      </c>
      <c r="F74" s="60">
        <f>('TIE-OUT'!P74+'TIE-OUT'!R74)+(RECLASS!P74+RECLASS!R74)</f>
        <v>0</v>
      </c>
      <c r="G74" s="60">
        <f>('TIE-OUT'!Q74+'TIE-OUT'!S74)+(RECLASS!Q74+RECLASS!S74)</f>
        <v>858169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-3146.5</v>
      </c>
      <c r="L74" s="60">
        <f>'TX-EGM-GL'!L74+'TX-HPL-GL '!L74</f>
        <v>0</v>
      </c>
      <c r="M74" s="38">
        <f>'TX-EGM-GL'!M74+'TX-HPL-GL '!M74</f>
        <v>0</v>
      </c>
      <c r="N74" s="60">
        <f>'TX-EGM-GL'!N74+'TX-HPL-GL '!N74</f>
        <v>0</v>
      </c>
      <c r="O74" s="38">
        <f>'TX-EGM-GL'!O74+'TX-HPL-GL '!O74</f>
        <v>154602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'TX-EGM-GL'!AH74+'TX-HPL-GL '!AH74</f>
        <v>0</v>
      </c>
      <c r="AG74" s="38">
        <f>'TX-EGM-GL'!AI74+'TX-HPL-GL '!AI74</f>
        <v>0</v>
      </c>
      <c r="AH74" s="60">
        <f>'TX-EGM-GL'!AL74+'TX-HPL-GL '!AL74</f>
        <v>0</v>
      </c>
      <c r="AI74" s="38">
        <f>'TX-EGM-GL'!AM74+'TX-HPL-GL '!AM74</f>
        <v>0</v>
      </c>
      <c r="AJ74" s="60">
        <f>'TX-EGM-GL'!AP74+'TX-HPL-GL '!AP74</f>
        <v>0</v>
      </c>
      <c r="AK74" s="38">
        <f>'TX-EGM-GL'!AQ74+'TX-HPL-GL '!AQ74</f>
        <v>0</v>
      </c>
      <c r="AL74" s="60">
        <f>'TX-EGM-GL'!AR74+'TX-HPL-GL '!AR74</f>
        <v>0</v>
      </c>
      <c r="AM74" s="38">
        <f>'TX-EGM-GL'!AS74+'TX-HPL-GL '!AS74</f>
        <v>0</v>
      </c>
      <c r="AN74" s="60">
        <f>'TX-EGM-GL'!AT74+'TX-HPL-GL '!AT74</f>
        <v>0</v>
      </c>
      <c r="AO74" s="38">
        <f>'TX-EGM-GL'!AU74+'TX-HPL-GL '!AU74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81300</v>
      </c>
      <c r="F75" s="60">
        <f>('TIE-OUT'!P75+'TIE-OUT'!R75)+(RECLASS!P75+RECLASS!R75)</f>
        <v>0</v>
      </c>
      <c r="G75" s="60">
        <f>('TIE-OUT'!Q75+'TIE-OUT'!S75)+(RECLASS!Q75+RECLASS!S75)</f>
        <v>81300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'TX-EGM-GL'!AH75+'TX-HPL-GL '!AH75</f>
        <v>0</v>
      </c>
      <c r="AG75" s="38">
        <f>'TX-EGM-GL'!AI75+'TX-HPL-GL '!AI75</f>
        <v>0</v>
      </c>
      <c r="AH75" s="60">
        <f>'TX-EGM-GL'!AL75+'TX-HPL-GL '!AL75</f>
        <v>0</v>
      </c>
      <c r="AI75" s="38">
        <f>'TX-EGM-GL'!AM75+'TX-HPL-GL '!AM75</f>
        <v>0</v>
      </c>
      <c r="AJ75" s="60">
        <f>'TX-EGM-GL'!AP75+'TX-HPL-GL '!AP75</f>
        <v>0</v>
      </c>
      <c r="AK75" s="38">
        <f>'TX-EGM-GL'!AQ75+'TX-HPL-GL '!AQ75</f>
        <v>0</v>
      </c>
      <c r="AL75" s="60">
        <f>'TX-EGM-GL'!AR75+'TX-HPL-GL '!AR75</f>
        <v>0</v>
      </c>
      <c r="AM75" s="38">
        <f>'TX-EGM-GL'!AS75+'TX-HPL-GL '!AS75</f>
        <v>0</v>
      </c>
      <c r="AN75" s="60">
        <f>'TX-EGM-GL'!AT75+'TX-HPL-GL '!AT75</f>
        <v>0</v>
      </c>
      <c r="AO75" s="38">
        <f>'TX-EGM-GL'!AU75+'TX-HPL-GL '!AU75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-10059.73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-3750</v>
      </c>
      <c r="J76" s="60">
        <f>'TX-EGM-GL'!J76+'TX-HPL-GL '!J76</f>
        <v>0</v>
      </c>
      <c r="K76" s="38">
        <f>'TX-EGM-GL'!K76+'TX-HPL-GL '!K76</f>
        <v>-6309.73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'TX-EGM-GL'!AH76+'TX-HPL-GL '!AH76</f>
        <v>0</v>
      </c>
      <c r="AG76" s="38">
        <f>'TX-EGM-GL'!AI76+'TX-HPL-GL '!AI76</f>
        <v>0</v>
      </c>
      <c r="AH76" s="60">
        <f>'TX-EGM-GL'!AL76+'TX-HPL-GL '!AL76</f>
        <v>0</v>
      </c>
      <c r="AI76" s="38">
        <f>'TX-EGM-GL'!AM76+'TX-HPL-GL '!AM76</f>
        <v>0</v>
      </c>
      <c r="AJ76" s="60">
        <f>'TX-EGM-GL'!AP76+'TX-HPL-GL '!AP76</f>
        <v>0</v>
      </c>
      <c r="AK76" s="38">
        <f>'TX-EGM-GL'!AQ76+'TX-HPL-GL '!AQ76</f>
        <v>0</v>
      </c>
      <c r="AL76" s="60">
        <f>'TX-EGM-GL'!AR76+'TX-HPL-GL '!AR76</f>
        <v>0</v>
      </c>
      <c r="AM76" s="38">
        <f>'TX-EGM-GL'!AS76+'TX-HPL-GL '!AS76</f>
        <v>0</v>
      </c>
      <c r="AN76" s="60">
        <f>'TX-EGM-GL'!AT76+'TX-HPL-GL '!AT76</f>
        <v>0</v>
      </c>
      <c r="AO76" s="38">
        <f>'TX-EGM-GL'!AU76+'TX-HPL-GL '!AU76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'TX-EGM-GL'!AH77+'TX-HPL-GL '!AH77</f>
        <v>0</v>
      </c>
      <c r="AG77" s="38">
        <f>'TX-EGM-GL'!AI77+'TX-HPL-GL '!AI77</f>
        <v>0</v>
      </c>
      <c r="AH77" s="60">
        <f>'TX-EGM-GL'!AL77+'TX-HPL-GL '!AL77</f>
        <v>0</v>
      </c>
      <c r="AI77" s="38">
        <f>'TX-EGM-GL'!AM77+'TX-HPL-GL '!AM77</f>
        <v>0</v>
      </c>
      <c r="AJ77" s="60">
        <f>'TX-EGM-GL'!AP77+'TX-HPL-GL '!AP77</f>
        <v>0</v>
      </c>
      <c r="AK77" s="38">
        <f>'TX-EGM-GL'!AQ77+'TX-HPL-GL '!AQ77</f>
        <v>0</v>
      </c>
      <c r="AL77" s="60">
        <f>'TX-EGM-GL'!AR77+'TX-HPL-GL '!AR77</f>
        <v>0</v>
      </c>
      <c r="AM77" s="38">
        <f>'TX-EGM-GL'!AS77+'TX-HPL-GL '!AS77</f>
        <v>0</v>
      </c>
      <c r="AN77" s="60">
        <f>'TX-EGM-GL'!AT77+'TX-HPL-GL '!AT77</f>
        <v>0</v>
      </c>
      <c r="AO77" s="38">
        <f>'TX-EGM-GL'!AU77+'TX-HPL-GL '!AU77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'TX-EGM-GL'!AH78+'TX-HPL-GL '!AH78</f>
        <v>0</v>
      </c>
      <c r="AG78" s="38">
        <f>'TX-EGM-GL'!AI78+'TX-HPL-GL '!AI78</f>
        <v>0</v>
      </c>
      <c r="AH78" s="60">
        <f>'TX-EGM-GL'!AL78+'TX-HPL-GL '!AL78</f>
        <v>0</v>
      </c>
      <c r="AI78" s="38">
        <f>'TX-EGM-GL'!AM78+'TX-HPL-GL '!AM78</f>
        <v>0</v>
      </c>
      <c r="AJ78" s="60">
        <f>'TX-EGM-GL'!AP78+'TX-HPL-GL '!AP78</f>
        <v>0</v>
      </c>
      <c r="AK78" s="38">
        <f>'TX-EGM-GL'!AQ78+'TX-HPL-GL '!AQ78</f>
        <v>0</v>
      </c>
      <c r="AL78" s="60">
        <f>'TX-EGM-GL'!AR78+'TX-HPL-GL '!AR78</f>
        <v>0</v>
      </c>
      <c r="AM78" s="38">
        <f>'TX-EGM-GL'!AS78+'TX-HPL-GL '!AS78</f>
        <v>0</v>
      </c>
      <c r="AN78" s="60">
        <f>'TX-EGM-GL'!AT78+'TX-HPL-GL '!AT78</f>
        <v>0</v>
      </c>
      <c r="AO78" s="38">
        <f>'TX-EGM-GL'!AU78+'TX-HPL-GL '!AU78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'TX-EGM-GL'!AH79+'TX-HPL-GL '!AH79</f>
        <v>0</v>
      </c>
      <c r="AG79" s="38">
        <f>'TX-EGM-GL'!AI79+'TX-HPL-GL '!AI79</f>
        <v>0</v>
      </c>
      <c r="AH79" s="60">
        <f>'TX-EGM-GL'!AL79+'TX-HPL-GL '!AL79</f>
        <v>0</v>
      </c>
      <c r="AI79" s="38">
        <f>'TX-EGM-GL'!AM79+'TX-HPL-GL '!AM79</f>
        <v>0</v>
      </c>
      <c r="AJ79" s="60">
        <f>'TX-EGM-GL'!AP79+'TX-HPL-GL '!AP79</f>
        <v>0</v>
      </c>
      <c r="AK79" s="38">
        <f>'TX-EGM-GL'!AQ79+'TX-HPL-GL '!AQ79</f>
        <v>0</v>
      </c>
      <c r="AL79" s="60">
        <f>'TX-EGM-GL'!AR79+'TX-HPL-GL '!AR79</f>
        <v>0</v>
      </c>
      <c r="AM79" s="38">
        <f>'TX-EGM-GL'!AS79+'TX-HPL-GL '!AS79</f>
        <v>0</v>
      </c>
      <c r="AN79" s="60">
        <f>'TX-EGM-GL'!AT79+'TX-HPL-GL '!AT79</f>
        <v>0</v>
      </c>
      <c r="AO79" s="38">
        <f>'TX-EGM-GL'!AU79+'TX-HPL-GL '!AU79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'TX-EGM-GL'!AH80+'TX-HPL-GL '!AH80</f>
        <v>0</v>
      </c>
      <c r="AG80" s="38">
        <f>'TX-EGM-GL'!AI80+'TX-HPL-GL '!AI80</f>
        <v>0</v>
      </c>
      <c r="AH80" s="60">
        <f>'TX-EGM-GL'!AL80+'TX-HPL-GL '!AL80</f>
        <v>0</v>
      </c>
      <c r="AI80" s="38">
        <f>'TX-EGM-GL'!AM80+'TX-HPL-GL '!AM80</f>
        <v>0</v>
      </c>
      <c r="AJ80" s="60">
        <f>'TX-EGM-GL'!AP80+'TX-HPL-GL '!AP80</f>
        <v>0</v>
      </c>
      <c r="AK80" s="38">
        <f>'TX-EGM-GL'!AQ80+'TX-HPL-GL '!AQ80</f>
        <v>0</v>
      </c>
      <c r="AL80" s="60">
        <f>'TX-EGM-GL'!AR80+'TX-HPL-GL '!AR80</f>
        <v>0</v>
      </c>
      <c r="AM80" s="38">
        <f>'TX-EGM-GL'!AS80+'TX-HPL-GL '!AS80</f>
        <v>0</v>
      </c>
      <c r="AN80" s="60">
        <f>'TX-EGM-GL'!AT80+'TX-HPL-GL '!AT80</f>
        <v>0</v>
      </c>
      <c r="AO80" s="38">
        <f>'TX-EGM-GL'!AU80+'TX-HPL-GL '!AU80</f>
        <v>0</v>
      </c>
    </row>
    <row r="81" spans="1:73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31161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31161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'TX-EGM-GL'!AH81+'TX-HPL-GL '!AH81</f>
        <v>0</v>
      </c>
      <c r="AG81" s="38">
        <f>'TX-EGM-GL'!AI81+'TX-HPL-GL '!AI81</f>
        <v>0</v>
      </c>
      <c r="AH81" s="60">
        <f>'TX-EGM-GL'!AL81+'TX-HPL-GL '!AL81</f>
        <v>0</v>
      </c>
      <c r="AI81" s="38">
        <f>'TX-EGM-GL'!AM81+'TX-HPL-GL '!AM81</f>
        <v>0</v>
      </c>
      <c r="AJ81" s="60">
        <f>'TX-EGM-GL'!AP81+'TX-HPL-GL '!AP81</f>
        <v>0</v>
      </c>
      <c r="AK81" s="38">
        <f>'TX-EGM-GL'!AQ81+'TX-HPL-GL '!AQ81</f>
        <v>0</v>
      </c>
      <c r="AL81" s="60">
        <f>'TX-EGM-GL'!AR81+'TX-HPL-GL '!AR81</f>
        <v>0</v>
      </c>
      <c r="AM81" s="38">
        <f>'TX-EGM-GL'!AS81+'TX-HPL-GL '!AS81</f>
        <v>0</v>
      </c>
      <c r="AN81" s="60">
        <f>'TX-EGM-GL'!AT81+'TX-HPL-GL '!AT81</f>
        <v>0</v>
      </c>
      <c r="AO81" s="38">
        <f>'TX-EGM-GL'!AU81+'TX-HPL-GL '!AU81</f>
        <v>0</v>
      </c>
    </row>
    <row r="82" spans="1:7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2050572.4102000119</v>
      </c>
      <c r="F82" s="92">
        <f>F16+F24+F29+F36+F43+F45+F47+F49</f>
        <v>0</v>
      </c>
      <c r="G82" s="93">
        <f>SUM(G72:G81)+G16+G24+G29+G36+G43+G45+G47+G49+G51+G56+G61+G66</f>
        <v>-2327881.2000000002</v>
      </c>
      <c r="H82" s="92">
        <f>H16+H24+H29+H36+H43+H45+H47+H49</f>
        <v>0</v>
      </c>
      <c r="I82" s="93">
        <f>SUM(I72:I81)+I16+I24+I29+I36+I43+I45+I47+I49+I51+I56+I61+I66</f>
        <v>4844944.1959999744</v>
      </c>
      <c r="J82" s="92">
        <f>J16+J24+J29+J36+J43+J45+J47+J49</f>
        <v>0</v>
      </c>
      <c r="K82" s="93">
        <f>SUM(K72:K81)+K16+K24+K29+K36+K43+K45+K47+K49+K51+K56+K61+K66</f>
        <v>-570559.97960000159</v>
      </c>
      <c r="L82" s="92">
        <f>L16+L24+L29+L36+L43+L45+L47+L49</f>
        <v>0</v>
      </c>
      <c r="M82" s="93">
        <f>SUM(M72:M81)+M16+M24+M29+M36+M43+M45+M47+M49+M51+M56+M61+M66</f>
        <v>1540793.5896000001</v>
      </c>
      <c r="N82" s="92">
        <f>N16+N24+N29+N36+N43+N45+N47+N49</f>
        <v>0</v>
      </c>
      <c r="O82" s="93">
        <f>SUM(O72:O81)+O16+O24+O29+O36+O43+O45+O47+O49+O51+O56+O61+O66</f>
        <v>-1940601.0584000004</v>
      </c>
      <c r="P82" s="92">
        <f>P16+P24+P29+P36+P43+P45+P47+P49</f>
        <v>0</v>
      </c>
      <c r="Q82" s="93">
        <f>SUM(Q72:Q81)+Q16+Q24+Q29+Q36+Q43+Q45+Q47+Q49+Q51+Q56+Q61+Q66</f>
        <v>94060.227200000038</v>
      </c>
      <c r="R82" s="92">
        <f>R16+R24+R29+R36+R43+R45+R47+R49</f>
        <v>0</v>
      </c>
      <c r="S82" s="93">
        <f>SUM(S72:S81)+S16+S24+S29+S36+S43+S45+S47+S49+S51+S56+S61+S66</f>
        <v>334285.54000000004</v>
      </c>
      <c r="T82" s="92">
        <f>T16+T24+T29+T36+T43+T45+T47+T49</f>
        <v>0</v>
      </c>
      <c r="U82" s="93">
        <f>SUM(U72:U81)+U16+U24+U29+U36+U43+U45+U47+U49+U51+U56+U61+U66</f>
        <v>84865.32799999998</v>
      </c>
      <c r="V82" s="92">
        <f>V16+V24+V29+V36+V43+V45+V47+V49</f>
        <v>0</v>
      </c>
      <c r="W82" s="93">
        <f>SUM(W72:W81)+W16+W24+W29+W36+W43+W45+W47+W49+W51+W56+W61+W66</f>
        <v>-28642.88600000002</v>
      </c>
      <c r="X82" s="92">
        <f>X16+X24+X29+X36+X43+X45+X47+X49</f>
        <v>0</v>
      </c>
      <c r="Y82" s="93">
        <f>SUM(Y72:Y81)+Y16+Y24+Y29+Y36+Y43+Y45+Y47+Y49+Y51+Y56+Y61+Y66</f>
        <v>53228.394000000073</v>
      </c>
      <c r="Z82" s="92">
        <f>Z16+Z24+Z29+Z36+Z43+Z45+Z47+Z49</f>
        <v>0</v>
      </c>
      <c r="AA82" s="93">
        <f>SUM(AA72:AA81)+AA16+AA24+AA29+AA36+AA43+AA45+AA47+AA49+AA51+AA56+AA61+AA66</f>
        <v>-13007.918000000032</v>
      </c>
      <c r="AB82" s="92">
        <f>AB16+AB24+AB29+AB36+AB43+AB45+AB47+AB49</f>
        <v>0</v>
      </c>
      <c r="AC82" s="93">
        <f>SUM(AC72:AC81)+AC16+AC24+AC29+AC36+AC43+AC45+AC47+AC49+AC51+AC56+AC61+AC66</f>
        <v>-899.89459999997234</v>
      </c>
      <c r="AD82" s="92">
        <f>AD16+AD24+AD29+AD36+AD43+AD45+AD47+AD49</f>
        <v>0</v>
      </c>
      <c r="AE82" s="93">
        <f>SUM(AE72:AE81)+AE16+AE24+AE29+AE36+AE43+AE45+AE47+AE49+AE51+AE56+AE61+AE66</f>
        <v>13614.343999999983</v>
      </c>
      <c r="AF82" s="92">
        <f>AF16+AF24+AF29+AF36+AF43+AF45+AF47+AF49</f>
        <v>0</v>
      </c>
      <c r="AG82" s="93">
        <f>SUM(AG72:AG81)+AG16+AG24+AG29+AG36+AG43+AG45+AG47+AG49+AG51+AG56+AG61+AG66</f>
        <v>-37449.491999999918</v>
      </c>
      <c r="AH82" s="92">
        <f>AH16+AH24+AH29+AH36+AH43+AH45+AH47+AH49</f>
        <v>0</v>
      </c>
      <c r="AI82" s="93">
        <f>SUM(AI72:AI81)+AI16+AI24+AI29+AI36+AI43+AI45+AI47+AI49+AI51+AI56+AI61+AI66</f>
        <v>3823.2200000000116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73" ht="13.5" thickTop="1" x14ac:dyDescent="0.2">
      <c r="A83" s="4"/>
      <c r="B83" s="3"/>
    </row>
    <row r="84" spans="1:73" x14ac:dyDescent="0.2">
      <c r="A84" s="4"/>
      <c r="B84" s="3"/>
    </row>
    <row r="85" spans="1:73" x14ac:dyDescent="0.2">
      <c r="A85" s="4" t="s">
        <v>179</v>
      </c>
      <c r="B85" s="3"/>
      <c r="F85" s="31"/>
      <c r="G85" s="31"/>
      <c r="H85" s="31"/>
      <c r="I85" s="31"/>
      <c r="L85" s="45"/>
    </row>
    <row r="86" spans="1:73" s="3" customFormat="1" x14ac:dyDescent="0.2">
      <c r="A86" s="172"/>
      <c r="C86" s="10" t="s">
        <v>175</v>
      </c>
      <c r="D86" s="173">
        <f t="shared" ref="D86:E88" si="37">SUM(F86,H86,J86,L86,N86,P86,R86,T86,V86,X86,Z86,AB86,AD86)</f>
        <v>0</v>
      </c>
      <c r="E86" s="173">
        <f t="shared" si="37"/>
        <v>69330.429999999993</v>
      </c>
      <c r="F86" s="173">
        <f>'TX-EGM-GL'!F86+'TX-HPL-GL '!F86</f>
        <v>0</v>
      </c>
      <c r="G86" s="173">
        <f>'TX-EGM-GL'!G86+'TX-HPL-GL '!G86</f>
        <v>69330.429999999993</v>
      </c>
      <c r="H86" s="173">
        <f>'TX-EGM-GL'!H86+'TX-HPL-GL '!H86</f>
        <v>0</v>
      </c>
      <c r="I86" s="173">
        <f>'TX-EGM-GL'!I86+'TX-HPL-GL '!I86</f>
        <v>0</v>
      </c>
      <c r="J86" s="173">
        <f>'TX-EGM-GL'!J86+'TX-HPL-GL '!J86</f>
        <v>0</v>
      </c>
      <c r="K86" s="173">
        <f>'TX-EGM-GL'!K86+'TX-HPL-GL '!K86</f>
        <v>0</v>
      </c>
      <c r="L86" s="173">
        <f>'TX-EGM-GL'!L86+'TX-HPL-GL '!L86</f>
        <v>0</v>
      </c>
      <c r="M86" s="173">
        <f>'TX-EGM-GL'!M86+'TX-HPL-GL '!M86</f>
        <v>0</v>
      </c>
      <c r="N86" s="173">
        <f>'TX-EGM-GL'!N86+'TX-HPL-GL '!N86</f>
        <v>0</v>
      </c>
      <c r="O86" s="173">
        <f>'TX-EGM-GL'!O86+'TX-HPL-GL '!O86</f>
        <v>0</v>
      </c>
      <c r="P86" s="173">
        <f>'TX-EGM-GL'!P86+'TX-HPL-GL '!P86</f>
        <v>0</v>
      </c>
      <c r="Q86" s="173">
        <f>'TX-EGM-GL'!Q86+'TX-HPL-GL '!Q86</f>
        <v>0</v>
      </c>
      <c r="R86" s="173">
        <f>'TX-EGM-GL'!R86+'TX-HPL-GL '!R86</f>
        <v>0</v>
      </c>
      <c r="S86" s="173">
        <f>'TX-EGM-GL'!S86+'TX-HPL-GL '!S86</f>
        <v>0</v>
      </c>
      <c r="T86" s="173">
        <f>'TX-EGM-GL'!T86+'TX-HPL-GL '!T86</f>
        <v>0</v>
      </c>
      <c r="U86" s="173">
        <f>'TX-EGM-GL'!U86+'TX-HPL-GL '!U86</f>
        <v>0</v>
      </c>
      <c r="V86" s="173">
        <f>'TX-EGM-GL'!V86+'TX-HPL-GL '!V86</f>
        <v>0</v>
      </c>
      <c r="W86" s="173">
        <f>'TX-EGM-GL'!W86+'TX-HPL-GL '!W86</f>
        <v>0</v>
      </c>
      <c r="X86" s="173">
        <f>'TX-EGM-GL'!X86+'TX-HPL-GL '!X86</f>
        <v>0</v>
      </c>
      <c r="Y86" s="173">
        <f>'TX-EGM-GL'!Y86+'TX-HPL-GL '!Y86</f>
        <v>0</v>
      </c>
      <c r="Z86" s="173">
        <f>'TX-EGM-GL'!Z86+'TX-HPL-GL '!Z86</f>
        <v>0</v>
      </c>
      <c r="AA86" s="173">
        <f>'TX-EGM-GL'!AA86+'TX-HPL-GL '!AA86</f>
        <v>0</v>
      </c>
      <c r="AB86" s="173">
        <f>'TX-EGM-GL'!AB86+'TX-HPL-GL '!AB86</f>
        <v>0</v>
      </c>
      <c r="AC86" s="173">
        <f>'TX-EGM-GL'!AC86+'TX-HPL-GL '!AC86</f>
        <v>0</v>
      </c>
      <c r="AD86" s="173">
        <f>'TX-EGM-GL'!AD86+'TX-HPL-GL '!AD86</f>
        <v>0</v>
      </c>
      <c r="AE86" s="173">
        <f>'TX-EGM-GL'!AE86+'TX-HPL-GL '!AE86</f>
        <v>0</v>
      </c>
      <c r="AF86" s="173">
        <f>'TX-EGM-GL'!AH86+'TX-HPL-GL '!AH86</f>
        <v>0</v>
      </c>
      <c r="AG86" s="173">
        <f>'TX-EGM-GL'!AI86+'TX-HPL-GL '!AI86</f>
        <v>0</v>
      </c>
      <c r="AH86" s="173">
        <f>'TX-EGM-GL'!AL86+'TX-HPL-GL '!AL86</f>
        <v>0</v>
      </c>
      <c r="AI86" s="173">
        <f>'TX-EGM-GL'!AM86+'TX-HPL-GL '!AM86</f>
        <v>0</v>
      </c>
      <c r="AJ86" s="173">
        <f>'TX-EGM-GL'!AP86+'TX-HPL-GL '!AP86</f>
        <v>0</v>
      </c>
      <c r="AK86" s="173">
        <f>'TX-EGM-GL'!AQ86+'TX-HPL-GL '!AQ86</f>
        <v>0</v>
      </c>
      <c r="AL86" s="173">
        <f>'TX-EGM-GL'!AR86+'TX-HPL-GL '!AR86</f>
        <v>0</v>
      </c>
      <c r="AM86" s="173">
        <f>'TX-EGM-GL'!AS86+'TX-HPL-GL '!AS86</f>
        <v>0</v>
      </c>
      <c r="AN86" s="173">
        <f>'TX-EGM-GL'!AT86+'TX-HPL-GL '!AT86</f>
        <v>0</v>
      </c>
      <c r="AO86" s="173">
        <f>'TX-EGM-GL'!AU86+'TX-HPL-GL '!AU86</f>
        <v>0</v>
      </c>
    </row>
    <row r="87" spans="1:73" s="3" customFormat="1" x14ac:dyDescent="0.2">
      <c r="A87" s="172"/>
      <c r="C87" s="10" t="s">
        <v>73</v>
      </c>
      <c r="D87" s="174">
        <f t="shared" si="37"/>
        <v>0</v>
      </c>
      <c r="E87" s="174">
        <f t="shared" si="37"/>
        <v>0</v>
      </c>
      <c r="F87" s="174">
        <f>'TX-EGM-GL'!F87+'TX-HPL-GL '!F87</f>
        <v>0</v>
      </c>
      <c r="G87" s="174">
        <f>'TX-EGM-GL'!G87+'TX-HPL-GL '!G87</f>
        <v>0</v>
      </c>
      <c r="H87" s="174">
        <f>'TX-EGM-GL'!H87+'TX-HPL-GL '!H87</f>
        <v>0</v>
      </c>
      <c r="I87" s="174">
        <f>'TX-EGM-GL'!I87+'TX-HPL-GL '!I87</f>
        <v>0</v>
      </c>
      <c r="J87" s="174">
        <f>'TX-EGM-GL'!J87+'TX-HPL-GL '!J87</f>
        <v>0</v>
      </c>
      <c r="K87" s="174">
        <f>'TX-EGM-GL'!K87+'TX-HPL-GL '!K87</f>
        <v>0</v>
      </c>
      <c r="L87" s="174">
        <f>'TX-EGM-GL'!L87+'TX-HPL-GL '!L87</f>
        <v>0</v>
      </c>
      <c r="M87" s="174">
        <f>'TX-EGM-GL'!M87+'TX-HPL-GL '!M87</f>
        <v>0</v>
      </c>
      <c r="N87" s="174">
        <f>'TX-EGM-GL'!N87+'TX-HPL-GL '!N87</f>
        <v>0</v>
      </c>
      <c r="O87" s="174">
        <f>'TX-EGM-GL'!O87+'TX-HPL-GL '!O87</f>
        <v>0</v>
      </c>
      <c r="P87" s="174">
        <f>'TX-EGM-GL'!P87+'TX-HPL-GL '!P87</f>
        <v>0</v>
      </c>
      <c r="Q87" s="174">
        <f>'TX-EGM-GL'!Q87+'TX-HPL-GL '!Q87</f>
        <v>0</v>
      </c>
      <c r="R87" s="174">
        <f>'TX-EGM-GL'!R87+'TX-HPL-GL '!R87</f>
        <v>0</v>
      </c>
      <c r="S87" s="174">
        <f>'TX-EGM-GL'!S87+'TX-HPL-GL '!S87</f>
        <v>0</v>
      </c>
      <c r="T87" s="174">
        <f>'TX-EGM-GL'!T87+'TX-HPL-GL '!T87</f>
        <v>0</v>
      </c>
      <c r="U87" s="174">
        <f>'TX-EGM-GL'!U87+'TX-HPL-GL '!U87</f>
        <v>0</v>
      </c>
      <c r="V87" s="174">
        <f>'TX-EGM-GL'!V87+'TX-HPL-GL '!V87</f>
        <v>0</v>
      </c>
      <c r="W87" s="174">
        <f>'TX-EGM-GL'!W87+'TX-HPL-GL '!W87</f>
        <v>0</v>
      </c>
      <c r="X87" s="174">
        <f>'TX-EGM-GL'!X87+'TX-HPL-GL '!X87</f>
        <v>0</v>
      </c>
      <c r="Y87" s="174">
        <f>'TX-EGM-GL'!Y87+'TX-HPL-GL '!Y87</f>
        <v>0</v>
      </c>
      <c r="Z87" s="174">
        <f>'TX-EGM-GL'!Z87+'TX-HPL-GL '!Z87</f>
        <v>0</v>
      </c>
      <c r="AA87" s="174">
        <f>'TX-EGM-GL'!AA87+'TX-HPL-GL '!AA87</f>
        <v>0</v>
      </c>
      <c r="AB87" s="174">
        <f>'TX-EGM-GL'!AB87+'TX-HPL-GL '!AB87</f>
        <v>0</v>
      </c>
      <c r="AC87" s="174">
        <f>'TX-EGM-GL'!AC87+'TX-HPL-GL '!AC87</f>
        <v>0</v>
      </c>
      <c r="AD87" s="174">
        <f>'TX-EGM-GL'!AD87+'TX-HPL-GL '!AD87</f>
        <v>0</v>
      </c>
      <c r="AE87" s="174">
        <f>'TX-EGM-GL'!AE87+'TX-HPL-GL '!AE87</f>
        <v>0</v>
      </c>
      <c r="AF87" s="174">
        <f>'TX-EGM-GL'!AH87+'TX-HPL-GL '!AH87</f>
        <v>0</v>
      </c>
      <c r="AG87" s="174">
        <f>'TX-EGM-GL'!AI87+'TX-HPL-GL '!AI87</f>
        <v>0</v>
      </c>
      <c r="AH87" s="174">
        <f>'TX-EGM-GL'!AL87+'TX-HPL-GL '!AL87</f>
        <v>0</v>
      </c>
      <c r="AI87" s="174">
        <f>'TX-EGM-GL'!AM87+'TX-HPL-GL '!AM87</f>
        <v>0</v>
      </c>
      <c r="AJ87" s="174">
        <f>'TX-EGM-GL'!AP87+'TX-HPL-GL '!AP87</f>
        <v>0</v>
      </c>
      <c r="AK87" s="174">
        <f>'TX-EGM-GL'!AQ87+'TX-HPL-GL '!AQ87</f>
        <v>0</v>
      </c>
      <c r="AL87" s="174">
        <f>'TX-EGM-GL'!AR87+'TX-HPL-GL '!AR87</f>
        <v>0</v>
      </c>
      <c r="AM87" s="174">
        <f>'TX-EGM-GL'!AS87+'TX-HPL-GL '!AS87</f>
        <v>0</v>
      </c>
      <c r="AN87" s="174">
        <f>'TX-EGM-GL'!AT87+'TX-HPL-GL '!AT87</f>
        <v>0</v>
      </c>
      <c r="AO87" s="174">
        <f>'TX-EGM-GL'!AU87+'TX-HPL-GL '!AU87</f>
        <v>0</v>
      </c>
    </row>
    <row r="88" spans="1:73" s="3" customFormat="1" x14ac:dyDescent="0.2">
      <c r="A88" s="172"/>
      <c r="C88" s="10" t="s">
        <v>74</v>
      </c>
      <c r="D88" s="175">
        <f t="shared" si="37"/>
        <v>0</v>
      </c>
      <c r="E88" s="175">
        <f t="shared" si="37"/>
        <v>-35600</v>
      </c>
      <c r="F88" s="175">
        <f>'TX-EGM-GL'!F88+'TX-HPL-GL '!F88</f>
        <v>0</v>
      </c>
      <c r="G88" s="175">
        <f>'TX-EGM-GL'!G88+'TX-HPL-GL '!G88</f>
        <v>-35600</v>
      </c>
      <c r="H88" s="175">
        <f>'TX-EGM-GL'!H88+'TX-HPL-GL '!H88</f>
        <v>0</v>
      </c>
      <c r="I88" s="175">
        <f>'TX-EGM-GL'!I88+'TX-HPL-GL '!I88</f>
        <v>0</v>
      </c>
      <c r="J88" s="175">
        <f>'TX-EGM-GL'!J88+'TX-HPL-GL '!J88</f>
        <v>0</v>
      </c>
      <c r="K88" s="175">
        <f>'TX-EGM-GL'!K88+'TX-HPL-GL '!K88</f>
        <v>0</v>
      </c>
      <c r="L88" s="175">
        <f>'TX-EGM-GL'!L88+'TX-HPL-GL '!L88</f>
        <v>0</v>
      </c>
      <c r="M88" s="175">
        <f>'TX-EGM-GL'!M88+'TX-HPL-GL '!M88</f>
        <v>0</v>
      </c>
      <c r="N88" s="175">
        <f>'TX-EGM-GL'!N88+'TX-HPL-GL '!N88</f>
        <v>0</v>
      </c>
      <c r="O88" s="175">
        <f>'TX-EGM-GL'!O88+'TX-HPL-GL '!O88</f>
        <v>0</v>
      </c>
      <c r="P88" s="175">
        <f>'TX-EGM-GL'!P88+'TX-HPL-GL '!P88</f>
        <v>0</v>
      </c>
      <c r="Q88" s="175">
        <f>'TX-EGM-GL'!Q88+'TX-HPL-GL '!Q88</f>
        <v>0</v>
      </c>
      <c r="R88" s="175">
        <f>'TX-EGM-GL'!R88+'TX-HPL-GL '!R88</f>
        <v>0</v>
      </c>
      <c r="S88" s="175">
        <f>'TX-EGM-GL'!S88+'TX-HPL-GL '!S88</f>
        <v>0</v>
      </c>
      <c r="T88" s="175">
        <f>'TX-EGM-GL'!T88+'TX-HPL-GL '!T88</f>
        <v>0</v>
      </c>
      <c r="U88" s="175">
        <f>'TX-EGM-GL'!U88+'TX-HPL-GL '!U88</f>
        <v>0</v>
      </c>
      <c r="V88" s="175">
        <f>'TX-EGM-GL'!V88+'TX-HPL-GL '!V88</f>
        <v>0</v>
      </c>
      <c r="W88" s="175">
        <f>'TX-EGM-GL'!W88+'TX-HPL-GL '!W88</f>
        <v>0</v>
      </c>
      <c r="X88" s="175">
        <f>'TX-EGM-GL'!X88+'TX-HPL-GL '!X88</f>
        <v>0</v>
      </c>
      <c r="Y88" s="175">
        <f>'TX-EGM-GL'!Y88+'TX-HPL-GL '!Y88</f>
        <v>0</v>
      </c>
      <c r="Z88" s="175">
        <f>'TX-EGM-GL'!Z88+'TX-HPL-GL '!Z88</f>
        <v>0</v>
      </c>
      <c r="AA88" s="175">
        <f>'TX-EGM-GL'!AA88+'TX-HPL-GL '!AA88</f>
        <v>0</v>
      </c>
      <c r="AB88" s="175">
        <f>'TX-EGM-GL'!AB88+'TX-HPL-GL '!AB88</f>
        <v>0</v>
      </c>
      <c r="AC88" s="175">
        <f>'TX-EGM-GL'!AC88+'TX-HPL-GL '!AC88</f>
        <v>0</v>
      </c>
      <c r="AD88" s="175">
        <f>'TX-EGM-GL'!AD88+'TX-HPL-GL '!AD88</f>
        <v>0</v>
      </c>
      <c r="AE88" s="175">
        <f>'TX-EGM-GL'!AE88+'TX-HPL-GL '!AE88</f>
        <v>0</v>
      </c>
      <c r="AF88" s="175">
        <f>'TX-EGM-GL'!AH88+'TX-HPL-GL '!AH88</f>
        <v>0</v>
      </c>
      <c r="AG88" s="175">
        <f>'TX-EGM-GL'!AI88+'TX-HPL-GL '!AI88</f>
        <v>0</v>
      </c>
      <c r="AH88" s="175">
        <f>'TX-EGM-GL'!AL88+'TX-HPL-GL '!AL88</f>
        <v>0</v>
      </c>
      <c r="AI88" s="175">
        <f>'TX-EGM-GL'!AM88+'TX-HPL-GL '!AM88</f>
        <v>0</v>
      </c>
      <c r="AJ88" s="175">
        <f>'TX-EGM-GL'!AP88+'TX-HPL-GL '!AP88</f>
        <v>0</v>
      </c>
      <c r="AK88" s="175">
        <f>'TX-EGM-GL'!AQ88+'TX-HPL-GL '!AQ88</f>
        <v>0</v>
      </c>
      <c r="AL88" s="175">
        <f>'TX-EGM-GL'!AR88+'TX-HPL-GL '!AR88</f>
        <v>0</v>
      </c>
      <c r="AM88" s="175">
        <f>'TX-EGM-GL'!AS88+'TX-HPL-GL '!AS88</f>
        <v>0</v>
      </c>
      <c r="AN88" s="175">
        <f>'TX-EGM-GL'!AT88+'TX-HPL-GL '!AT88</f>
        <v>0</v>
      </c>
      <c r="AO88" s="175">
        <f>'TX-EGM-GL'!AU88+'TX-HPL-GL '!AU88</f>
        <v>0</v>
      </c>
    </row>
    <row r="89" spans="1:73" s="44" customFormat="1" ht="20.25" customHeight="1" x14ac:dyDescent="0.2">
      <c r="A89" s="179"/>
      <c r="B89" s="180"/>
      <c r="C89" s="185" t="s">
        <v>178</v>
      </c>
      <c r="D89" s="183">
        <f>SUM(D86:D88)</f>
        <v>0</v>
      </c>
      <c r="E89" s="183">
        <f t="shared" ref="E89:M89" si="38">SUM(E86:E88)</f>
        <v>33730.429999999993</v>
      </c>
      <c r="F89" s="183">
        <f t="shared" si="38"/>
        <v>0</v>
      </c>
      <c r="G89" s="183">
        <f t="shared" si="38"/>
        <v>33730.429999999993</v>
      </c>
      <c r="H89" s="183">
        <f t="shared" si="38"/>
        <v>0</v>
      </c>
      <c r="I89" s="183">
        <f t="shared" si="38"/>
        <v>0</v>
      </c>
      <c r="J89" s="183">
        <f t="shared" si="38"/>
        <v>0</v>
      </c>
      <c r="K89" s="183">
        <f t="shared" si="38"/>
        <v>0</v>
      </c>
      <c r="L89" s="183">
        <f t="shared" si="38"/>
        <v>0</v>
      </c>
      <c r="M89" s="183">
        <f t="shared" si="38"/>
        <v>0</v>
      </c>
      <c r="N89" s="183">
        <f t="shared" ref="N89:AE89" si="39">SUM(N86:N88)</f>
        <v>0</v>
      </c>
      <c r="O89" s="183">
        <f t="shared" si="39"/>
        <v>0</v>
      </c>
      <c r="P89" s="183">
        <f t="shared" si="39"/>
        <v>0</v>
      </c>
      <c r="Q89" s="183">
        <f t="shared" si="39"/>
        <v>0</v>
      </c>
      <c r="R89" s="183">
        <f t="shared" si="39"/>
        <v>0</v>
      </c>
      <c r="S89" s="183">
        <f t="shared" si="39"/>
        <v>0</v>
      </c>
      <c r="T89" s="183">
        <f t="shared" si="39"/>
        <v>0</v>
      </c>
      <c r="U89" s="183">
        <f t="shared" si="39"/>
        <v>0</v>
      </c>
      <c r="V89" s="183">
        <f t="shared" si="39"/>
        <v>0</v>
      </c>
      <c r="W89" s="183">
        <f t="shared" si="39"/>
        <v>0</v>
      </c>
      <c r="X89" s="183">
        <f t="shared" si="39"/>
        <v>0</v>
      </c>
      <c r="Y89" s="183">
        <f t="shared" si="39"/>
        <v>0</v>
      </c>
      <c r="Z89" s="183">
        <f t="shared" si="39"/>
        <v>0</v>
      </c>
      <c r="AA89" s="183">
        <f t="shared" si="39"/>
        <v>0</v>
      </c>
      <c r="AB89" s="183">
        <f t="shared" si="39"/>
        <v>0</v>
      </c>
      <c r="AC89" s="183">
        <f t="shared" si="39"/>
        <v>0</v>
      </c>
      <c r="AD89" s="183">
        <f t="shared" si="39"/>
        <v>0</v>
      </c>
      <c r="AE89" s="183">
        <f t="shared" si="39"/>
        <v>0</v>
      </c>
      <c r="AF89" s="183">
        <f t="shared" ref="AF89:AK89" si="40">SUM(AF86:AF88)</f>
        <v>0</v>
      </c>
      <c r="AG89" s="183">
        <f t="shared" si="40"/>
        <v>0</v>
      </c>
      <c r="AH89" s="183">
        <f t="shared" si="40"/>
        <v>0</v>
      </c>
      <c r="AI89" s="183">
        <f t="shared" si="40"/>
        <v>0</v>
      </c>
      <c r="AJ89" s="183">
        <f t="shared" si="40"/>
        <v>0</v>
      </c>
      <c r="AK89" s="183">
        <f t="shared" si="40"/>
        <v>0</v>
      </c>
      <c r="AL89" s="183">
        <f>SUM(AL86:AL88)</f>
        <v>0</v>
      </c>
      <c r="AM89" s="183">
        <f>SUM(AM86:AM88)</f>
        <v>0</v>
      </c>
      <c r="AN89" s="183">
        <f>SUM(AN86:AN88)</f>
        <v>0</v>
      </c>
      <c r="AO89" s="183">
        <f>SUM(AO86:AO88)</f>
        <v>0</v>
      </c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1:73" x14ac:dyDescent="0.2">
      <c r="A90" s="4"/>
      <c r="B90" s="3"/>
      <c r="F90" s="31"/>
      <c r="G90" s="31"/>
      <c r="H90" s="31"/>
      <c r="I90" s="31"/>
    </row>
    <row r="91" spans="1:73" s="44" customFormat="1" ht="20.25" customHeight="1" x14ac:dyDescent="0.2">
      <c r="A91" s="179"/>
      <c r="B91" s="180"/>
      <c r="C91" s="185" t="s">
        <v>181</v>
      </c>
      <c r="D91" s="183">
        <f>+D82+D89</f>
        <v>0</v>
      </c>
      <c r="E91" s="183">
        <f t="shared" ref="E91:M91" si="41">+E82+E89</f>
        <v>2084302.8402000119</v>
      </c>
      <c r="F91" s="183">
        <f t="shared" si="41"/>
        <v>0</v>
      </c>
      <c r="G91" s="183">
        <f t="shared" si="41"/>
        <v>-2294150.77</v>
      </c>
      <c r="H91" s="183">
        <f t="shared" si="41"/>
        <v>0</v>
      </c>
      <c r="I91" s="183">
        <f t="shared" si="41"/>
        <v>4844944.1959999744</v>
      </c>
      <c r="J91" s="183">
        <f t="shared" si="41"/>
        <v>0</v>
      </c>
      <c r="K91" s="183">
        <f t="shared" si="41"/>
        <v>-570559.97960000159</v>
      </c>
      <c r="L91" s="183">
        <f t="shared" si="41"/>
        <v>0</v>
      </c>
      <c r="M91" s="183">
        <f t="shared" si="41"/>
        <v>1540793.5896000001</v>
      </c>
      <c r="N91" s="183">
        <f t="shared" ref="N91:AE91" si="42">+N82+N89</f>
        <v>0</v>
      </c>
      <c r="O91" s="183">
        <f t="shared" si="42"/>
        <v>-1940601.0584000004</v>
      </c>
      <c r="P91" s="183">
        <f t="shared" si="42"/>
        <v>0</v>
      </c>
      <c r="Q91" s="183">
        <f t="shared" si="42"/>
        <v>94060.227200000038</v>
      </c>
      <c r="R91" s="183">
        <f t="shared" si="42"/>
        <v>0</v>
      </c>
      <c r="S91" s="183">
        <f t="shared" si="42"/>
        <v>334285.54000000004</v>
      </c>
      <c r="T91" s="183">
        <f t="shared" si="42"/>
        <v>0</v>
      </c>
      <c r="U91" s="183">
        <f t="shared" si="42"/>
        <v>84865.32799999998</v>
      </c>
      <c r="V91" s="183">
        <f t="shared" si="42"/>
        <v>0</v>
      </c>
      <c r="W91" s="183">
        <f t="shared" si="42"/>
        <v>-28642.88600000002</v>
      </c>
      <c r="X91" s="183">
        <f t="shared" si="42"/>
        <v>0</v>
      </c>
      <c r="Y91" s="183">
        <f t="shared" si="42"/>
        <v>53228.394000000073</v>
      </c>
      <c r="Z91" s="183">
        <f t="shared" si="42"/>
        <v>0</v>
      </c>
      <c r="AA91" s="183">
        <f t="shared" si="42"/>
        <v>-13007.918000000032</v>
      </c>
      <c r="AB91" s="183">
        <f t="shared" si="42"/>
        <v>0</v>
      </c>
      <c r="AC91" s="183">
        <f t="shared" si="42"/>
        <v>-899.89459999997234</v>
      </c>
      <c r="AD91" s="183">
        <f t="shared" si="42"/>
        <v>0</v>
      </c>
      <c r="AE91" s="183">
        <f t="shared" si="42"/>
        <v>13614.343999999983</v>
      </c>
      <c r="AF91" s="183">
        <f t="shared" ref="AF91:AK91" si="43">+AF82+AF89</f>
        <v>0</v>
      </c>
      <c r="AG91" s="183">
        <f t="shared" si="43"/>
        <v>-37449.491999999918</v>
      </c>
      <c r="AH91" s="183">
        <f t="shared" si="43"/>
        <v>0</v>
      </c>
      <c r="AI91" s="183">
        <f t="shared" si="43"/>
        <v>3823.2200000000116</v>
      </c>
      <c r="AJ91" s="183">
        <f t="shared" si="43"/>
        <v>0</v>
      </c>
      <c r="AK91" s="183">
        <f t="shared" si="43"/>
        <v>0</v>
      </c>
      <c r="AL91" s="183">
        <f>+AL82+AL89</f>
        <v>0</v>
      </c>
      <c r="AM91" s="183">
        <f>+AM82+AM89</f>
        <v>0</v>
      </c>
      <c r="AN91" s="183">
        <f>+AN82+AN89</f>
        <v>0</v>
      </c>
      <c r="AO91" s="183">
        <f>+AO82+AO89</f>
        <v>0</v>
      </c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1:73" x14ac:dyDescent="0.2">
      <c r="A92" s="4"/>
      <c r="B92" s="3"/>
    </row>
    <row r="93" spans="1:73" x14ac:dyDescent="0.2">
      <c r="A93" s="4"/>
      <c r="B93" s="3"/>
    </row>
    <row r="94" spans="1:73" x14ac:dyDescent="0.2">
      <c r="A94" s="4"/>
      <c r="B94" s="3"/>
    </row>
    <row r="95" spans="1:73" x14ac:dyDescent="0.2">
      <c r="A95" s="4"/>
      <c r="B95" s="3"/>
    </row>
    <row r="96" spans="1:7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O179"/>
  <sheetViews>
    <sheetView zoomScale="75" workbookViewId="0">
      <pane xSplit="3" ySplit="9" topLeftCell="AG79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N11" sqref="AN11:AO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27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32501259</v>
      </c>
      <c r="E11" s="38">
        <f t="shared" si="0"/>
        <v>67285977.589999989</v>
      </c>
      <c r="F11" s="60">
        <f>'TIE-OUT'!N11+RECLASS!N11</f>
        <v>0</v>
      </c>
      <c r="G11" s="38">
        <f>'TIE-OUT'!O11+RECLASS!O11</f>
        <v>0</v>
      </c>
      <c r="H11" s="127">
        <f>+Actuals!E284</f>
        <v>32514422</v>
      </c>
      <c r="I11" s="128">
        <f>+Actuals!F284</f>
        <v>68594901.099999994</v>
      </c>
      <c r="J11" s="127">
        <f>+Actuals!G284</f>
        <v>-15328</v>
      </c>
      <c r="K11" s="128">
        <f>+Actuals!H284</f>
        <v>-50455.83</v>
      </c>
      <c r="L11" s="127">
        <f>+Actuals!I284</f>
        <v>40636</v>
      </c>
      <c r="M11" s="128">
        <f>+Actuals!J284</f>
        <v>144310.38</v>
      </c>
      <c r="N11" s="127">
        <f>+Actuals!K284</f>
        <v>576</v>
      </c>
      <c r="O11" s="128">
        <f>+Actuals!L284</f>
        <v>3035.5</v>
      </c>
      <c r="P11" s="127">
        <f>+Actuals!M284</f>
        <v>12913</v>
      </c>
      <c r="Q11" s="128">
        <f>+Actuals!N284</f>
        <v>25144.19</v>
      </c>
      <c r="R11" s="127">
        <f>+Actuals!O284</f>
        <v>0</v>
      </c>
      <c r="S11" s="128">
        <f>+Actuals!P284</f>
        <v>0</v>
      </c>
      <c r="T11" s="127">
        <f>+Actuals!Q284</f>
        <v>0</v>
      </c>
      <c r="U11" s="128">
        <f>+Actuals!R284</f>
        <v>0</v>
      </c>
      <c r="V11" s="127">
        <f>+Actuals!S284</f>
        <v>0</v>
      </c>
      <c r="W11" s="128">
        <f>+Actuals!T284</f>
        <v>0</v>
      </c>
      <c r="X11" s="127">
        <f>+Actuals!U484</f>
        <v>0</v>
      </c>
      <c r="Y11" s="128">
        <f>+Actuals!V484</f>
        <v>-959372.83</v>
      </c>
      <c r="Z11" s="127">
        <f>+Actuals!W484</f>
        <v>0</v>
      </c>
      <c r="AA11" s="128">
        <f>+Actuals!X484</f>
        <v>0</v>
      </c>
      <c r="AB11" s="127">
        <f>+Actuals!Y484</f>
        <v>-30570</v>
      </c>
      <c r="AC11" s="128">
        <f>+Actuals!Z484+-209637</f>
        <v>-270471.3</v>
      </c>
      <c r="AD11" s="127">
        <f>+Actuals!AA484</f>
        <v>0</v>
      </c>
      <c r="AE11" s="128">
        <f>+Actuals!AB484</f>
        <v>0</v>
      </c>
      <c r="AF11" s="127">
        <f>+Actuals!AC484</f>
        <v>0</v>
      </c>
      <c r="AG11" s="128">
        <f>+Actuals!AD484</f>
        <v>-162611.62</v>
      </c>
      <c r="AH11" s="127">
        <f>+Actuals!AE484</f>
        <v>0</v>
      </c>
      <c r="AI11" s="128">
        <f>+Actuals!AF484</f>
        <v>0</v>
      </c>
      <c r="AJ11" s="127">
        <f>+Actuals!AG484</f>
        <v>0</v>
      </c>
      <c r="AK11" s="128">
        <f>+Actuals!AH484</f>
        <v>0</v>
      </c>
      <c r="AL11" s="127">
        <v>-21390</v>
      </c>
      <c r="AM11" s="128">
        <v>-38502</v>
      </c>
      <c r="AN11" s="127"/>
      <c r="AO11" s="128"/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862645.79</v>
      </c>
      <c r="F12" s="60">
        <f>'TIE-OUT'!N12+RECLASS!N12</f>
        <v>0</v>
      </c>
      <c r="G12" s="38">
        <f>'TIE-OUT'!O12+RECLASS!O12</f>
        <v>866214.79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60">
        <f>+Actuals!H285-3569</f>
        <v>-3569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127">
        <f>+Actuals!M285</f>
        <v>0</v>
      </c>
      <c r="Q12" s="128">
        <f>+Actuals!N285</f>
        <v>0</v>
      </c>
      <c r="R12" s="127">
        <f>+Actuals!O285</f>
        <v>0</v>
      </c>
      <c r="S12" s="128">
        <f>+Actuals!P285</f>
        <v>0</v>
      </c>
      <c r="T12" s="127">
        <f>+Actuals!Q285</f>
        <v>0</v>
      </c>
      <c r="U12" s="128">
        <f>+Actuals!R285</f>
        <v>0</v>
      </c>
      <c r="V12" s="127">
        <f>+Actuals!S285</f>
        <v>0</v>
      </c>
      <c r="W12" s="128">
        <f>+Actuals!T285</f>
        <v>0</v>
      </c>
      <c r="X12" s="127">
        <f>+Actuals!U485</f>
        <v>0</v>
      </c>
      <c r="Y12" s="128">
        <f>+Actuals!V485</f>
        <v>0</v>
      </c>
      <c r="Z12" s="127">
        <f>+Actuals!W485</f>
        <v>0</v>
      </c>
      <c r="AA12" s="128">
        <f>+Actuals!X485</f>
        <v>0</v>
      </c>
      <c r="AB12" s="127">
        <f>+Actuals!Y485</f>
        <v>0</v>
      </c>
      <c r="AC12" s="128">
        <f>+Actuals!Z485</f>
        <v>0</v>
      </c>
      <c r="AD12" s="127">
        <f>+Actuals!AA485</f>
        <v>0</v>
      </c>
      <c r="AE12" s="128">
        <f>+Actuals!AB485</f>
        <v>0</v>
      </c>
      <c r="AF12" s="127">
        <f>+Actuals!AC485</f>
        <v>0</v>
      </c>
      <c r="AG12" s="128">
        <f>+Actuals!AD485</f>
        <v>0</v>
      </c>
      <c r="AH12" s="127">
        <f>+Actuals!AE485</f>
        <v>0</v>
      </c>
      <c r="AI12" s="128">
        <f>+Actuals!AF485</f>
        <v>0</v>
      </c>
      <c r="AJ12" s="127">
        <f>+Actuals!AG485</f>
        <v>0</v>
      </c>
      <c r="AK12" s="128">
        <f>+Actuals!AH485</f>
        <v>0</v>
      </c>
      <c r="AL12" s="127">
        <f>+Actuals!AI485</f>
        <v>0</v>
      </c>
      <c r="AM12" s="128">
        <f>+Actuals!AJ485</f>
        <v>0</v>
      </c>
      <c r="AN12" s="127">
        <f>+Actuals!AK485</f>
        <v>0</v>
      </c>
      <c r="AO12" s="128">
        <f>+Actuals!AL485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22897735</v>
      </c>
      <c r="E13" s="38">
        <f t="shared" si="0"/>
        <v>48355097</v>
      </c>
      <c r="F13" s="60">
        <f>'TIE-OUT'!N13+RECLASS!N13</f>
        <v>0</v>
      </c>
      <c r="G13" s="38">
        <f>'TIE-OUT'!O13+RECLASS!O13</f>
        <v>0</v>
      </c>
      <c r="H13" s="127">
        <f>+Actuals!E286</f>
        <v>22897735</v>
      </c>
      <c r="I13" s="128">
        <f>+Actuals!F286</f>
        <v>48355097</v>
      </c>
      <c r="J13" s="127">
        <f>+Actuals!G286</f>
        <v>-433945</v>
      </c>
      <c r="K13" s="128">
        <f>+Actuals!H286</f>
        <v>-964232</v>
      </c>
      <c r="L13" s="127">
        <f>+Actuals!I286</f>
        <v>0</v>
      </c>
      <c r="M13" s="128">
        <f>+Actuals!J286</f>
        <v>0</v>
      </c>
      <c r="N13" s="127">
        <f>+Actuals!K286</f>
        <v>-11465</v>
      </c>
      <c r="O13" s="128">
        <f>+Actuals!L286</f>
        <v>-24290</v>
      </c>
      <c r="P13" s="127">
        <f>+Actuals!M286</f>
        <v>0</v>
      </c>
      <c r="Q13" s="128">
        <f>+Actuals!N286</f>
        <v>0</v>
      </c>
      <c r="R13" s="127">
        <f>+Actuals!O286</f>
        <v>1671113</v>
      </c>
      <c r="S13" s="128">
        <f>+Actuals!P286</f>
        <v>3648501</v>
      </c>
      <c r="T13" s="127">
        <f>+Actuals!Q286</f>
        <v>2022546</v>
      </c>
      <c r="U13" s="128">
        <f>+Actuals!R286</f>
        <v>4430233</v>
      </c>
      <c r="V13" s="127">
        <f>+Actuals!S286</f>
        <v>-3248249</v>
      </c>
      <c r="W13" s="128">
        <f>+Actuals!T286</f>
        <v>-7090212</v>
      </c>
      <c r="X13" s="127">
        <f>+Actuals!U486</f>
        <v>3248249</v>
      </c>
      <c r="Y13" s="128">
        <f>+Actuals!V486</f>
        <v>7090212</v>
      </c>
      <c r="Z13" s="127">
        <f>+Actuals!W486</f>
        <v>0</v>
      </c>
      <c r="AA13" s="128">
        <f>+Actuals!X486</f>
        <v>0</v>
      </c>
      <c r="AB13" s="127">
        <f>+Actuals!Y486</f>
        <v>-3248249</v>
      </c>
      <c r="AC13" s="128">
        <f>+Actuals!Z486</f>
        <v>-7090212</v>
      </c>
      <c r="AD13" s="127">
        <f>+Actuals!AA486</f>
        <v>0</v>
      </c>
      <c r="AE13" s="128">
        <f>+Actuals!AB486</f>
        <v>0</v>
      </c>
      <c r="AF13" s="127">
        <f>+Actuals!AC486</f>
        <v>0</v>
      </c>
      <c r="AG13" s="128">
        <f>+Actuals!AD486</f>
        <v>0</v>
      </c>
      <c r="AH13" s="127">
        <f>+Actuals!AE486</f>
        <v>0</v>
      </c>
      <c r="AI13" s="128">
        <f>+Actuals!AF486</f>
        <v>0</v>
      </c>
      <c r="AJ13" s="127">
        <f>+Actuals!AG486</f>
        <v>0</v>
      </c>
      <c r="AK13" s="128">
        <f>+Actuals!AH486</f>
        <v>0</v>
      </c>
      <c r="AL13" s="127">
        <f>+Actuals!AI486</f>
        <v>0</v>
      </c>
      <c r="AM13" s="128">
        <f>+Actuals!AJ486</f>
        <v>0</v>
      </c>
      <c r="AN13" s="127">
        <f>+Actuals!AK486</f>
        <v>0</v>
      </c>
      <c r="AO13" s="128">
        <f>+Actuals!AL486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127">
        <f>+Actuals!M287</f>
        <v>0</v>
      </c>
      <c r="Q14" s="128">
        <f>+Actuals!N287</f>
        <v>0</v>
      </c>
      <c r="R14" s="127">
        <f>+Actuals!O287</f>
        <v>0</v>
      </c>
      <c r="S14" s="128">
        <f>+Actuals!P287</f>
        <v>0</v>
      </c>
      <c r="T14" s="127">
        <f>+Actuals!Q287</f>
        <v>0</v>
      </c>
      <c r="U14" s="128">
        <f>+Actuals!R287</f>
        <v>0</v>
      </c>
      <c r="V14" s="127">
        <f>+Actuals!S287</f>
        <v>0</v>
      </c>
      <c r="W14" s="128">
        <f>+Actuals!T287</f>
        <v>0</v>
      </c>
      <c r="X14" s="127">
        <f>+Actuals!U487</f>
        <v>0</v>
      </c>
      <c r="Y14" s="128">
        <f>+Actuals!V487</f>
        <v>0</v>
      </c>
      <c r="Z14" s="127">
        <f>+Actuals!W487</f>
        <v>0</v>
      </c>
      <c r="AA14" s="128">
        <f>+Actuals!X487</f>
        <v>0</v>
      </c>
      <c r="AB14" s="127">
        <f>+Actuals!Y487</f>
        <v>0</v>
      </c>
      <c r="AC14" s="128">
        <f>+Actuals!Z487</f>
        <v>0</v>
      </c>
      <c r="AD14" s="127">
        <f>+Actuals!AA487</f>
        <v>0</v>
      </c>
      <c r="AE14" s="128">
        <f>+Actuals!AB487</f>
        <v>0</v>
      </c>
      <c r="AF14" s="127">
        <f>+Actuals!AC487</f>
        <v>0</v>
      </c>
      <c r="AG14" s="128">
        <f>+Actuals!AD487</f>
        <v>0</v>
      </c>
      <c r="AH14" s="127">
        <f>+Actuals!AE487</f>
        <v>0</v>
      </c>
      <c r="AI14" s="128">
        <f>+Actuals!AF487</f>
        <v>0</v>
      </c>
      <c r="AJ14" s="127">
        <f>+Actuals!AG487</f>
        <v>0</v>
      </c>
      <c r="AK14" s="128">
        <f>+Actuals!AH487</f>
        <v>0</v>
      </c>
      <c r="AL14" s="127">
        <f>+Actuals!AI487</f>
        <v>0</v>
      </c>
      <c r="AM14" s="128">
        <f>+Actuals!AJ487</f>
        <v>0</v>
      </c>
      <c r="AN14" s="127">
        <f>+Actuals!AK487</f>
        <v>0</v>
      </c>
      <c r="AO14" s="128">
        <f>+Actuals!AL487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127">
        <f>+Actuals!M288</f>
        <v>0</v>
      </c>
      <c r="Q15" s="128">
        <f>+Actuals!N288</f>
        <v>0</v>
      </c>
      <c r="R15" s="127">
        <f>+Actuals!O288</f>
        <v>0</v>
      </c>
      <c r="S15" s="128">
        <f>+Actuals!P288</f>
        <v>0</v>
      </c>
      <c r="T15" s="127">
        <f>+Actuals!Q288</f>
        <v>0</v>
      </c>
      <c r="U15" s="128">
        <f>+Actuals!R288</f>
        <v>0</v>
      </c>
      <c r="V15" s="127">
        <f>+Actuals!S288</f>
        <v>0</v>
      </c>
      <c r="W15" s="128">
        <f>+Actuals!T288</f>
        <v>0</v>
      </c>
      <c r="X15" s="127">
        <f>+Actuals!U488</f>
        <v>0</v>
      </c>
      <c r="Y15" s="128">
        <f>+Actuals!V488</f>
        <v>0</v>
      </c>
      <c r="Z15" s="127">
        <f>+Actuals!W488</f>
        <v>0</v>
      </c>
      <c r="AA15" s="128">
        <f>+Actuals!X488</f>
        <v>0</v>
      </c>
      <c r="AB15" s="127">
        <f>+Actuals!Y488</f>
        <v>0</v>
      </c>
      <c r="AC15" s="128">
        <f>+Actuals!Z488</f>
        <v>0</v>
      </c>
      <c r="AD15" s="127">
        <f>+Actuals!AA488</f>
        <v>0</v>
      </c>
      <c r="AE15" s="128">
        <f>+Actuals!AB488</f>
        <v>0</v>
      </c>
      <c r="AF15" s="127">
        <f>+Actuals!AC488</f>
        <v>0</v>
      </c>
      <c r="AG15" s="128">
        <f>+Actuals!AD488</f>
        <v>0</v>
      </c>
      <c r="AH15" s="127">
        <f>+Actuals!AE488</f>
        <v>0</v>
      </c>
      <c r="AI15" s="128">
        <f>+Actuals!AF488</f>
        <v>0</v>
      </c>
      <c r="AJ15" s="127">
        <f>+Actuals!AG488</f>
        <v>0</v>
      </c>
      <c r="AK15" s="128">
        <f>+Actuals!AH488</f>
        <v>0</v>
      </c>
      <c r="AL15" s="127">
        <f>+Actuals!AI488</f>
        <v>0</v>
      </c>
      <c r="AM15" s="128">
        <f>+Actuals!AJ488</f>
        <v>0</v>
      </c>
      <c r="AN15" s="127">
        <f>+Actuals!AK488</f>
        <v>0</v>
      </c>
      <c r="AO15" s="128">
        <f>+Actuals!AL488</f>
        <v>0</v>
      </c>
    </row>
    <row r="16" spans="1:41" x14ac:dyDescent="0.2">
      <c r="A16" s="9"/>
      <c r="B16" s="7" t="s">
        <v>32</v>
      </c>
      <c r="C16" s="6"/>
      <c r="D16" s="61">
        <f t="shared" ref="D16:Y16" si="1">SUM(D11:D15)</f>
        <v>55398994</v>
      </c>
      <c r="E16" s="39">
        <f t="shared" si="1"/>
        <v>116503720.38</v>
      </c>
      <c r="F16" s="61">
        <f t="shared" si="1"/>
        <v>0</v>
      </c>
      <c r="G16" s="39">
        <f t="shared" si="1"/>
        <v>866214.79</v>
      </c>
      <c r="H16" s="61">
        <f t="shared" si="1"/>
        <v>55412157</v>
      </c>
      <c r="I16" s="39">
        <f t="shared" si="1"/>
        <v>116949998.09999999</v>
      </c>
      <c r="J16" s="61">
        <f t="shared" si="1"/>
        <v>-449273</v>
      </c>
      <c r="K16" s="39">
        <f t="shared" si="1"/>
        <v>-1018256.83</v>
      </c>
      <c r="L16" s="61">
        <f t="shared" si="1"/>
        <v>40636</v>
      </c>
      <c r="M16" s="39">
        <f t="shared" si="1"/>
        <v>144310.38</v>
      </c>
      <c r="N16" s="61">
        <f t="shared" si="1"/>
        <v>-10889</v>
      </c>
      <c r="O16" s="39">
        <f t="shared" si="1"/>
        <v>-21254.5</v>
      </c>
      <c r="P16" s="61">
        <f t="shared" si="1"/>
        <v>12913</v>
      </c>
      <c r="Q16" s="39">
        <f t="shared" si="1"/>
        <v>25144.19</v>
      </c>
      <c r="R16" s="61">
        <f t="shared" si="1"/>
        <v>1671113</v>
      </c>
      <c r="S16" s="39">
        <f t="shared" si="1"/>
        <v>3648501</v>
      </c>
      <c r="T16" s="61">
        <f t="shared" si="1"/>
        <v>2022546</v>
      </c>
      <c r="U16" s="39">
        <f t="shared" si="1"/>
        <v>4430233</v>
      </c>
      <c r="V16" s="61">
        <f t="shared" si="1"/>
        <v>-3248249</v>
      </c>
      <c r="W16" s="39">
        <f t="shared" si="1"/>
        <v>-7090212</v>
      </c>
      <c r="X16" s="61">
        <f t="shared" si="1"/>
        <v>3248249</v>
      </c>
      <c r="Y16" s="39">
        <f t="shared" si="1"/>
        <v>6130839.1699999999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-3278819</v>
      </c>
      <c r="AC16" s="39">
        <f t="shared" si="2"/>
        <v>-7360683.2999999998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-162611.62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-21390</v>
      </c>
      <c r="AM16" s="39">
        <f>SUM(AM11:AM15)</f>
        <v>-38502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-35979460</v>
      </c>
      <c r="E19" s="38">
        <f t="shared" si="4"/>
        <v>-72772102.659999996</v>
      </c>
      <c r="F19" s="64">
        <f>'TIE-OUT'!N19+RECLASS!N19</f>
        <v>0</v>
      </c>
      <c r="G19" s="68">
        <f>'TIE-OUT'!O19+RECLASS!O19</f>
        <v>0</v>
      </c>
      <c r="H19" s="127">
        <f>+Actuals!E289</f>
        <v>-35982628</v>
      </c>
      <c r="I19" s="128">
        <f>+Actuals!F289</f>
        <v>-73391551.450000003</v>
      </c>
      <c r="J19" s="127">
        <f>+Actuals!G289</f>
        <v>-1838</v>
      </c>
      <c r="K19" s="128">
        <f>+Actuals!H289</f>
        <v>341199.59</v>
      </c>
      <c r="L19" s="127">
        <f>+Actuals!I289</f>
        <v>-7576</v>
      </c>
      <c r="M19" s="128">
        <f>+Actuals!J289</f>
        <v>-15066.74</v>
      </c>
      <c r="N19" s="127">
        <f>+Actuals!K289</f>
        <v>0</v>
      </c>
      <c r="O19" s="128">
        <f>+Actuals!L289</f>
        <v>0</v>
      </c>
      <c r="P19" s="127">
        <f>+Actuals!M289</f>
        <v>0</v>
      </c>
      <c r="Q19" s="128">
        <f>+Actuals!N289</f>
        <v>223386</v>
      </c>
      <c r="R19" s="127">
        <f>+Actuals!O289</f>
        <v>0</v>
      </c>
      <c r="S19" s="128">
        <f>+Actuals!P289</f>
        <v>0</v>
      </c>
      <c r="T19" s="127">
        <f>+Actuals!Q289</f>
        <v>0</v>
      </c>
      <c r="U19" s="128">
        <f>+Actuals!R289</f>
        <v>0</v>
      </c>
      <c r="V19" s="127">
        <f>+Actuals!S289</f>
        <v>0</v>
      </c>
      <c r="W19" s="128">
        <f>+Actuals!T289</f>
        <v>46881.22</v>
      </c>
      <c r="X19" s="127">
        <f>+Actuals!U489</f>
        <v>0</v>
      </c>
      <c r="Y19" s="128">
        <f>+Actuals!V489</f>
        <v>0</v>
      </c>
      <c r="Z19" s="127">
        <f>+Actuals!W489</f>
        <v>0</v>
      </c>
      <c r="AA19" s="128">
        <f>+Actuals!X489</f>
        <v>0</v>
      </c>
      <c r="AB19" s="127">
        <f>+Actuals!Y489</f>
        <v>7963</v>
      </c>
      <c r="AC19" s="128">
        <f>+Actuals!Z489</f>
        <v>14734.52</v>
      </c>
      <c r="AD19" s="127">
        <f>+Actuals!AA489</f>
        <v>0</v>
      </c>
      <c r="AE19" s="128">
        <f>+Actuals!AB489</f>
        <v>0</v>
      </c>
      <c r="AF19" s="127">
        <f>+Actuals!AC489</f>
        <v>0</v>
      </c>
      <c r="AG19" s="128">
        <f>+Actuals!AD489</f>
        <v>0</v>
      </c>
      <c r="AH19" s="127">
        <f>+Actuals!AE489</f>
        <v>0</v>
      </c>
      <c r="AI19" s="128">
        <f>+Actuals!AF489</f>
        <v>0</v>
      </c>
      <c r="AJ19" s="127">
        <f>+Actuals!AG489</f>
        <v>0</v>
      </c>
      <c r="AK19" s="128">
        <f>+Actuals!AH489</f>
        <v>0</v>
      </c>
      <c r="AL19" s="127">
        <v>4619</v>
      </c>
      <c r="AM19" s="128">
        <v>8314.2000000000007</v>
      </c>
      <c r="AN19" s="127"/>
      <c r="AO19" s="128"/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-370802.91000000015</v>
      </c>
      <c r="F20" s="60">
        <f>'TIE-OUT'!N20+RECLASS!N20</f>
        <v>0</v>
      </c>
      <c r="G20" s="38">
        <f>'TIE-OUT'!O20+RECLASS!O20</f>
        <v>-1539812.8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60">
        <f>+Actuals!H290</f>
        <v>0</v>
      </c>
      <c r="L20" s="127">
        <f>+Actuals!I290</f>
        <v>0</v>
      </c>
      <c r="M20" s="128">
        <f>+Actuals!J290+1169009.89</f>
        <v>1169009.8899999999</v>
      </c>
      <c r="N20" s="127">
        <f>+Actuals!K290</f>
        <v>0</v>
      </c>
      <c r="O20" s="128">
        <f>+Actuals!L290</f>
        <v>0</v>
      </c>
      <c r="P20" s="127">
        <f>+Actuals!M290</f>
        <v>0</v>
      </c>
      <c r="Q20" s="128">
        <f>+Actuals!N290</f>
        <v>0</v>
      </c>
      <c r="R20" s="127">
        <f>+Actuals!O290</f>
        <v>0</v>
      </c>
      <c r="S20" s="128">
        <f>+Actuals!P290</f>
        <v>0</v>
      </c>
      <c r="T20" s="127">
        <f>+Actuals!Q290</f>
        <v>0</v>
      </c>
      <c r="U20" s="128">
        <f>+Actuals!R290</f>
        <v>0</v>
      </c>
      <c r="V20" s="127">
        <f>+Actuals!S290</f>
        <v>0</v>
      </c>
      <c r="W20" s="128">
        <f>+Actuals!T290</f>
        <v>0</v>
      </c>
      <c r="X20" s="127">
        <f>+Actuals!U490</f>
        <v>0</v>
      </c>
      <c r="Y20" s="157">
        <v>0</v>
      </c>
      <c r="Z20" s="127">
        <f>+Actuals!W490</f>
        <v>0</v>
      </c>
      <c r="AA20" s="128">
        <v>0</v>
      </c>
      <c r="AB20" s="127">
        <f>+Actuals!Y490</f>
        <v>0</v>
      </c>
      <c r="AC20" s="128">
        <v>0</v>
      </c>
      <c r="AD20" s="127">
        <f>+Actuals!AA490</f>
        <v>0</v>
      </c>
      <c r="AE20" s="128">
        <v>0</v>
      </c>
      <c r="AF20" s="127">
        <f>+Actuals!AC490</f>
        <v>0</v>
      </c>
      <c r="AG20" s="128">
        <v>0</v>
      </c>
      <c r="AH20" s="127">
        <f>+Actuals!AE490</f>
        <v>0</v>
      </c>
      <c r="AI20" s="128">
        <v>0</v>
      </c>
      <c r="AJ20" s="127">
        <f>+Actuals!AG490</f>
        <v>0</v>
      </c>
      <c r="AK20" s="128">
        <v>0</v>
      </c>
      <c r="AL20" s="127">
        <f>+Actuals!AI490</f>
        <v>0</v>
      </c>
      <c r="AM20" s="128">
        <v>0</v>
      </c>
      <c r="AN20" s="127">
        <f>+Actuals!AK490</f>
        <v>0</v>
      </c>
      <c r="AO20" s="128"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-20800712</v>
      </c>
      <c r="E21" s="38">
        <f t="shared" si="4"/>
        <v>-43759144</v>
      </c>
      <c r="F21" s="60">
        <f>'TIE-OUT'!N21+RECLASS!N21</f>
        <v>0</v>
      </c>
      <c r="G21" s="38">
        <f>'TIE-OUT'!O21+RECLASS!O21</f>
        <v>0</v>
      </c>
      <c r="H21" s="127">
        <f>+Actuals!E291</f>
        <v>-20800712</v>
      </c>
      <c r="I21" s="128">
        <f>+Actuals!F291</f>
        <v>-43759144</v>
      </c>
      <c r="J21" s="127">
        <f>+Actuals!G291</f>
        <v>0</v>
      </c>
      <c r="K21" s="128">
        <f>+Actuals!H291</f>
        <v>0</v>
      </c>
      <c r="L21" s="127">
        <f>+Actuals!I291</f>
        <v>0</v>
      </c>
      <c r="M21" s="128">
        <f>+Actuals!J291</f>
        <v>0</v>
      </c>
      <c r="N21" s="127">
        <f>+Actuals!K291</f>
        <v>0</v>
      </c>
      <c r="O21" s="128">
        <f>+Actuals!L291</f>
        <v>0</v>
      </c>
      <c r="P21" s="127">
        <f>+Actuals!M291</f>
        <v>0</v>
      </c>
      <c r="Q21" s="128">
        <f>+Actuals!N291</f>
        <v>0</v>
      </c>
      <c r="R21" s="127">
        <f>+Actuals!O291</f>
        <v>-1671113</v>
      </c>
      <c r="S21" s="128">
        <f>+Actuals!P291</f>
        <v>-3648501</v>
      </c>
      <c r="T21" s="127">
        <f>+Actuals!Q291</f>
        <v>-2022546</v>
      </c>
      <c r="U21" s="128">
        <f>+Actuals!R291</f>
        <v>-4430233</v>
      </c>
      <c r="V21" s="127">
        <f>+Actuals!S291</f>
        <v>3693659</v>
      </c>
      <c r="W21" s="128">
        <f>+Actuals!T291</f>
        <v>8078734</v>
      </c>
      <c r="X21" s="127">
        <f>+Actuals!U491</f>
        <v>-3693659</v>
      </c>
      <c r="Y21" s="128">
        <f>+Actuals!V491</f>
        <v>-8078734</v>
      </c>
      <c r="Z21" s="127">
        <f>+Actuals!W491</f>
        <v>0</v>
      </c>
      <c r="AA21" s="128">
        <f>+Actuals!X491</f>
        <v>0</v>
      </c>
      <c r="AB21" s="127">
        <f>+Actuals!Y491</f>
        <v>3693659</v>
      </c>
      <c r="AC21" s="128">
        <f>+Actuals!Z491</f>
        <v>8078734</v>
      </c>
      <c r="AD21" s="127">
        <f>+Actuals!AA491</f>
        <v>0</v>
      </c>
      <c r="AE21" s="128">
        <f>+Actuals!AB491</f>
        <v>0</v>
      </c>
      <c r="AF21" s="127">
        <f>+Actuals!AC491</f>
        <v>0</v>
      </c>
      <c r="AG21" s="128">
        <f>+Actuals!AD491</f>
        <v>0</v>
      </c>
      <c r="AH21" s="127">
        <f>+Actuals!AE491</f>
        <v>0</v>
      </c>
      <c r="AI21" s="128">
        <f>+Actuals!AF491</f>
        <v>0</v>
      </c>
      <c r="AJ21" s="127">
        <f>+Actuals!AG491</f>
        <v>0</v>
      </c>
      <c r="AK21" s="128">
        <f>+Actuals!AH491</f>
        <v>0</v>
      </c>
      <c r="AL21" s="127">
        <f>+Actuals!AI491</f>
        <v>0</v>
      </c>
      <c r="AM21" s="128">
        <f>+Actuals!AJ491</f>
        <v>0</v>
      </c>
      <c r="AN21" s="127">
        <f>+Actuals!AK491</f>
        <v>0</v>
      </c>
      <c r="AO21" s="128">
        <f>+Actuals!AL491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127">
        <f>+Actuals!M292</f>
        <v>0</v>
      </c>
      <c r="Q22" s="128">
        <f>+Actuals!N292</f>
        <v>0</v>
      </c>
      <c r="R22" s="127">
        <f>+Actuals!O292</f>
        <v>0</v>
      </c>
      <c r="S22" s="128">
        <f>+Actuals!P292</f>
        <v>0</v>
      </c>
      <c r="T22" s="127">
        <f>+Actuals!Q292</f>
        <v>0</v>
      </c>
      <c r="U22" s="128">
        <f>+Actuals!R292</f>
        <v>0</v>
      </c>
      <c r="V22" s="127">
        <f>+Actuals!S292</f>
        <v>0</v>
      </c>
      <c r="W22" s="128">
        <f>+Actuals!T292</f>
        <v>0</v>
      </c>
      <c r="X22" s="127">
        <f>+Actuals!U492</f>
        <v>0</v>
      </c>
      <c r="Y22" s="128">
        <f>+Actuals!V492</f>
        <v>0</v>
      </c>
      <c r="Z22" s="127">
        <f>+Actuals!W492</f>
        <v>0</v>
      </c>
      <c r="AA22" s="128">
        <f>+Actuals!X492</f>
        <v>0</v>
      </c>
      <c r="AB22" s="127">
        <f>+Actuals!Y492</f>
        <v>0</v>
      </c>
      <c r="AC22" s="128">
        <f>+Actuals!Z492</f>
        <v>0</v>
      </c>
      <c r="AD22" s="127">
        <f>+Actuals!AA492</f>
        <v>0</v>
      </c>
      <c r="AE22" s="128">
        <f>+Actuals!AB492</f>
        <v>0</v>
      </c>
      <c r="AF22" s="127">
        <f>+Actuals!AC492</f>
        <v>0</v>
      </c>
      <c r="AG22" s="128">
        <f>+Actuals!AD492</f>
        <v>0</v>
      </c>
      <c r="AH22" s="127">
        <f>+Actuals!AE492</f>
        <v>0</v>
      </c>
      <c r="AI22" s="128">
        <f>+Actuals!AF492</f>
        <v>0</v>
      </c>
      <c r="AJ22" s="127">
        <f>+Actuals!AG492</f>
        <v>0</v>
      </c>
      <c r="AK22" s="128">
        <f>+Actuals!AH492</f>
        <v>0</v>
      </c>
      <c r="AL22" s="127">
        <f>+Actuals!AI492</f>
        <v>0</v>
      </c>
      <c r="AM22" s="128">
        <f>+Actuals!AJ492</f>
        <v>0</v>
      </c>
      <c r="AN22" s="127">
        <f>+Actuals!AK492</f>
        <v>0</v>
      </c>
      <c r="AO22" s="128">
        <f>+Actuals!AL492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285033</v>
      </c>
      <c r="E23" s="38">
        <f t="shared" si="4"/>
        <v>592868.6399999999</v>
      </c>
      <c r="F23" s="81">
        <f>'TIE-OUT'!N23+RECLASS!N23</f>
        <v>0</v>
      </c>
      <c r="G23" s="82">
        <f>'TIE-OUT'!O23+RECLASS!O23</f>
        <v>0</v>
      </c>
      <c r="H23" s="127">
        <f>+Actuals!E293</f>
        <v>277879</v>
      </c>
      <c r="I23" s="128">
        <f>+Actuals!F293</f>
        <v>577988.31999999995</v>
      </c>
      <c r="J23" s="127">
        <f>+Actuals!G293</f>
        <v>7155</v>
      </c>
      <c r="K23" s="128">
        <f>+Actuals!H293</f>
        <v>14882.4</v>
      </c>
      <c r="L23" s="127">
        <f>+Actuals!I293</f>
        <v>-2</v>
      </c>
      <c r="M23" s="128">
        <f>+Actuals!J293</f>
        <v>-4.16</v>
      </c>
      <c r="N23" s="127">
        <f>+Actuals!K293</f>
        <v>0</v>
      </c>
      <c r="O23" s="128">
        <f>+Actuals!L293</f>
        <v>0</v>
      </c>
      <c r="P23" s="127">
        <f>+Actuals!M293</f>
        <v>1</v>
      </c>
      <c r="Q23" s="128">
        <f>+Actuals!N293</f>
        <v>2.08</v>
      </c>
      <c r="R23" s="127">
        <f>+Actuals!O293</f>
        <v>0</v>
      </c>
      <c r="S23" s="128">
        <f>+Actuals!P293</f>
        <v>0</v>
      </c>
      <c r="T23" s="127">
        <f>+Actuals!Q293</f>
        <v>0</v>
      </c>
      <c r="U23" s="128">
        <f>+Actuals!R293</f>
        <v>0</v>
      </c>
      <c r="V23" s="127">
        <f>+Actuals!S293</f>
        <v>0</v>
      </c>
      <c r="W23" s="128">
        <f>+Actuals!T293</f>
        <v>0</v>
      </c>
      <c r="X23" s="127">
        <f>+Actuals!U493</f>
        <v>0</v>
      </c>
      <c r="Y23" s="128">
        <f>+Actuals!V493</f>
        <v>0</v>
      </c>
      <c r="Z23" s="127">
        <f>+Actuals!W493</f>
        <v>0</v>
      </c>
      <c r="AA23" s="128">
        <f>+Actuals!X493</f>
        <v>0</v>
      </c>
      <c r="AB23" s="127">
        <f>+Actuals!Y493</f>
        <v>0</v>
      </c>
      <c r="AC23" s="128">
        <f>+Actuals!Z493</f>
        <v>0</v>
      </c>
      <c r="AD23" s="127">
        <f>+Actuals!AA493</f>
        <v>0</v>
      </c>
      <c r="AE23" s="128">
        <f>+Actuals!AB493</f>
        <v>0</v>
      </c>
      <c r="AF23" s="127">
        <f>+Actuals!AC493</f>
        <v>0</v>
      </c>
      <c r="AG23" s="128">
        <f>+Actuals!AD493</f>
        <v>0</v>
      </c>
      <c r="AH23" s="127">
        <f>+Actuals!AE493</f>
        <v>0</v>
      </c>
      <c r="AI23" s="128">
        <f>+Actuals!AF493</f>
        <v>0</v>
      </c>
      <c r="AJ23" s="127">
        <f>+Actuals!AG493</f>
        <v>0</v>
      </c>
      <c r="AK23" s="128">
        <f>+Actuals!AH493</f>
        <v>0</v>
      </c>
      <c r="AL23" s="127">
        <f>+Actuals!AI493</f>
        <v>0</v>
      </c>
      <c r="AM23" s="128">
        <f>+Actuals!AJ493</f>
        <v>0</v>
      </c>
      <c r="AN23" s="127">
        <f>+Actuals!AK493</f>
        <v>0</v>
      </c>
      <c r="AO23" s="128">
        <f>+Actuals!AL493</f>
        <v>0</v>
      </c>
    </row>
    <row r="24" spans="1:41" x14ac:dyDescent="0.2">
      <c r="A24" s="9"/>
      <c r="B24" s="7" t="s">
        <v>35</v>
      </c>
      <c r="C24" s="6"/>
      <c r="D24" s="61">
        <f t="shared" ref="D24:Y24" si="5">SUM(D19:D23)</f>
        <v>-56495139</v>
      </c>
      <c r="E24" s="39">
        <f t="shared" si="5"/>
        <v>-116309180.92999999</v>
      </c>
      <c r="F24" s="61">
        <f t="shared" si="5"/>
        <v>0</v>
      </c>
      <c r="G24" s="39">
        <f t="shared" si="5"/>
        <v>-1539812.8</v>
      </c>
      <c r="H24" s="61">
        <f t="shared" si="5"/>
        <v>-56505461</v>
      </c>
      <c r="I24" s="39">
        <f t="shared" si="5"/>
        <v>-116572707.13000001</v>
      </c>
      <c r="J24" s="61">
        <f t="shared" si="5"/>
        <v>5317</v>
      </c>
      <c r="K24" s="39">
        <f t="shared" si="5"/>
        <v>356081.99000000005</v>
      </c>
      <c r="L24" s="61">
        <f t="shared" si="5"/>
        <v>-7578</v>
      </c>
      <c r="M24" s="39">
        <f t="shared" si="5"/>
        <v>1153938.99</v>
      </c>
      <c r="N24" s="61">
        <f t="shared" si="5"/>
        <v>0</v>
      </c>
      <c r="O24" s="39">
        <f t="shared" si="5"/>
        <v>0</v>
      </c>
      <c r="P24" s="61">
        <f t="shared" si="5"/>
        <v>1</v>
      </c>
      <c r="Q24" s="39">
        <f t="shared" si="5"/>
        <v>223388.08</v>
      </c>
      <c r="R24" s="61">
        <f t="shared" si="5"/>
        <v>-1671113</v>
      </c>
      <c r="S24" s="39">
        <f t="shared" si="5"/>
        <v>-3648501</v>
      </c>
      <c r="T24" s="61">
        <f t="shared" si="5"/>
        <v>-2022546</v>
      </c>
      <c r="U24" s="39">
        <f t="shared" si="5"/>
        <v>-4430233</v>
      </c>
      <c r="V24" s="61">
        <f t="shared" si="5"/>
        <v>3693659</v>
      </c>
      <c r="W24" s="39">
        <f t="shared" si="5"/>
        <v>8125615.2199999997</v>
      </c>
      <c r="X24" s="61">
        <f t="shared" si="5"/>
        <v>-3693659</v>
      </c>
      <c r="Y24" s="39">
        <f t="shared" si="5"/>
        <v>-8078734</v>
      </c>
      <c r="Z24" s="61">
        <f t="shared" ref="Z24:AE24" si="6">SUM(Z19:Z23)</f>
        <v>0</v>
      </c>
      <c r="AA24" s="39">
        <f t="shared" si="6"/>
        <v>0</v>
      </c>
      <c r="AB24" s="61">
        <f t="shared" si="6"/>
        <v>3701622</v>
      </c>
      <c r="AC24" s="39">
        <f t="shared" si="6"/>
        <v>8093468.5199999996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4619</v>
      </c>
      <c r="AM24" s="39">
        <f>SUM(AM19:AM23)</f>
        <v>8314.2000000000007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0</v>
      </c>
      <c r="E27" s="38">
        <f>SUM(G27,I27,K27,M27,O27,Q27,S27,U27,W27,Y27,AA27,AC27,AE27,AG27,AI27,AK27,AM27,AO27)</f>
        <v>0</v>
      </c>
      <c r="F27" s="64">
        <f>'TIE-OUT'!N27+RECLASS!N27</f>
        <v>0</v>
      </c>
      <c r="G27" s="68">
        <f>'TIE-OUT'!O27+RECLASS!O27</f>
        <v>0</v>
      </c>
      <c r="H27" s="127">
        <f>+Actuals!E294</f>
        <v>0</v>
      </c>
      <c r="I27" s="128">
        <f>+Actuals!F294</f>
        <v>0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127">
        <f>+Actuals!M294</f>
        <v>0</v>
      </c>
      <c r="Q27" s="128">
        <f>+Actuals!N294</f>
        <v>0</v>
      </c>
      <c r="R27" s="127">
        <f>+Actuals!O294</f>
        <v>0</v>
      </c>
      <c r="S27" s="128">
        <f>+Actuals!P294</f>
        <v>0</v>
      </c>
      <c r="T27" s="127">
        <f>+Actuals!Q294</f>
        <v>0</v>
      </c>
      <c r="U27" s="128">
        <f>+Actuals!R294</f>
        <v>0</v>
      </c>
      <c r="V27" s="127">
        <f>+Actuals!S294</f>
        <v>0</v>
      </c>
      <c r="W27" s="128">
        <f>+Actuals!T294</f>
        <v>0</v>
      </c>
      <c r="X27" s="127">
        <f>+Actuals!U494</f>
        <v>0</v>
      </c>
      <c r="Y27" s="128">
        <f>+Actuals!V494</f>
        <v>0</v>
      </c>
      <c r="Z27" s="127">
        <f>+Actuals!W494</f>
        <v>0</v>
      </c>
      <c r="AA27" s="128">
        <f>+Actuals!X494</f>
        <v>0</v>
      </c>
      <c r="AB27" s="127">
        <f>+Actuals!Y494</f>
        <v>0</v>
      </c>
      <c r="AC27" s="128">
        <f>+Actuals!Z494</f>
        <v>0</v>
      </c>
      <c r="AD27" s="127">
        <f>+Actuals!AA494</f>
        <v>0</v>
      </c>
      <c r="AE27" s="128">
        <f>+Actuals!AB494</f>
        <v>0</v>
      </c>
      <c r="AF27" s="127">
        <f>+Actuals!AC494</f>
        <v>0</v>
      </c>
      <c r="AG27" s="128">
        <f>+Actuals!AD494</f>
        <v>0</v>
      </c>
      <c r="AH27" s="127">
        <f>+Actuals!AE494</f>
        <v>0</v>
      </c>
      <c r="AI27" s="128">
        <f>+Actuals!AF494</f>
        <v>0</v>
      </c>
      <c r="AJ27" s="127">
        <f>+Actuals!AG494</f>
        <v>0</v>
      </c>
      <c r="AK27" s="128">
        <f>+Actuals!AH494</f>
        <v>0</v>
      </c>
      <c r="AL27" s="127">
        <f>+Actuals!AI494</f>
        <v>0</v>
      </c>
      <c r="AM27" s="128">
        <f>+Actuals!AJ494</f>
        <v>0</v>
      </c>
      <c r="AN27" s="127">
        <f>+Actuals!AK494</f>
        <v>0</v>
      </c>
      <c r="AO27" s="128">
        <f>+Actuals!AL494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0</v>
      </c>
      <c r="E28" s="38">
        <f>SUM(G28,I28,K28,M28,O28,Q28,S28,U28,W28,Y28,AA28,AC28,AE28,AG28,AI28,AK28,AM28,AO28)</f>
        <v>0</v>
      </c>
      <c r="F28" s="81">
        <f>'TIE-OUT'!N28+RECLASS!N28</f>
        <v>0</v>
      </c>
      <c r="G28" s="82">
        <f>'TIE-OUT'!O28+RECLASS!O28</f>
        <v>0</v>
      </c>
      <c r="H28" s="127">
        <f>+Actuals!E295</f>
        <v>0</v>
      </c>
      <c r="I28" s="128">
        <f>+Actuals!F295</f>
        <v>0</v>
      </c>
      <c r="J28" s="127">
        <f>+Actuals!G295</f>
        <v>0</v>
      </c>
      <c r="K28" s="128">
        <f>+Actuals!H295</f>
        <v>0</v>
      </c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127">
        <f>+Actuals!M295</f>
        <v>0</v>
      </c>
      <c r="Q28" s="128">
        <f>+Actuals!N295</f>
        <v>0</v>
      </c>
      <c r="R28" s="127">
        <f>+Actuals!O295</f>
        <v>0</v>
      </c>
      <c r="S28" s="128">
        <f>+Actuals!P295</f>
        <v>0</v>
      </c>
      <c r="T28" s="127">
        <f>+Actuals!Q295</f>
        <v>0</v>
      </c>
      <c r="U28" s="128">
        <f>+Actuals!R295</f>
        <v>0</v>
      </c>
      <c r="V28" s="127">
        <f>+Actuals!S295</f>
        <v>0</v>
      </c>
      <c r="W28" s="128">
        <f>+Actuals!T295</f>
        <v>0</v>
      </c>
      <c r="X28" s="127">
        <f>+Actuals!U495</f>
        <v>0</v>
      </c>
      <c r="Y28" s="128">
        <f>+Actuals!V495</f>
        <v>0</v>
      </c>
      <c r="Z28" s="127">
        <f>+Actuals!W495</f>
        <v>0</v>
      </c>
      <c r="AA28" s="128">
        <f>+Actuals!X495</f>
        <v>0</v>
      </c>
      <c r="AB28" s="127">
        <f>+Actuals!Y495</f>
        <v>0</v>
      </c>
      <c r="AC28" s="128">
        <f>+Actuals!Z495</f>
        <v>0</v>
      </c>
      <c r="AD28" s="127">
        <f>+Actuals!AA495</f>
        <v>0</v>
      </c>
      <c r="AE28" s="128">
        <f>+Actuals!AB495</f>
        <v>0</v>
      </c>
      <c r="AF28" s="127">
        <f>+Actuals!AC495</f>
        <v>0</v>
      </c>
      <c r="AG28" s="128">
        <f>+Actuals!AD495</f>
        <v>0</v>
      </c>
      <c r="AH28" s="127">
        <f>+Actuals!AE495</f>
        <v>0</v>
      </c>
      <c r="AI28" s="128">
        <f>+Actuals!AF495</f>
        <v>0</v>
      </c>
      <c r="AJ28" s="127">
        <f>+Actuals!AG495</f>
        <v>0</v>
      </c>
      <c r="AK28" s="128">
        <f>+Actuals!AH495</f>
        <v>0</v>
      </c>
      <c r="AL28" s="127">
        <f>+Actuals!AI495</f>
        <v>0</v>
      </c>
      <c r="AM28" s="128">
        <f>+Actuals!AJ495</f>
        <v>0</v>
      </c>
      <c r="AN28" s="127">
        <f>+Actuals!AK495</f>
        <v>0</v>
      </c>
      <c r="AO28" s="128">
        <f>+Actuals!AL495</f>
        <v>0</v>
      </c>
    </row>
    <row r="29" spans="1:41" x14ac:dyDescent="0.2">
      <c r="A29" s="9"/>
      <c r="B29" s="7" t="s">
        <v>39</v>
      </c>
      <c r="C29" s="18"/>
      <c r="D29" s="61">
        <f t="shared" ref="D29:Y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-36635</v>
      </c>
      <c r="E32" s="38">
        <f t="shared" si="11"/>
        <v>-74735.574999999983</v>
      </c>
      <c r="F32" s="64">
        <f>'TIE-OUT'!N32+RECLASS!N32</f>
        <v>0</v>
      </c>
      <c r="G32" s="68">
        <f>'TIE-OUT'!O32+RECLASS!O32</f>
        <v>0</v>
      </c>
      <c r="H32" s="127">
        <f>+Actuals!E296</f>
        <v>18263</v>
      </c>
      <c r="I32" s="128">
        <f>+Actuals!F296</f>
        <v>37987.040000000001</v>
      </c>
      <c r="J32" s="127">
        <f>+Actuals!G296</f>
        <v>35358</v>
      </c>
      <c r="K32" s="128">
        <f>+Actuals!H296</f>
        <v>73544.639999999999</v>
      </c>
      <c r="L32" s="127">
        <f>+Actuals!I296</f>
        <v>-77346</v>
      </c>
      <c r="M32" s="128">
        <f>+Actuals!J296</f>
        <v>-161045.755</v>
      </c>
      <c r="N32" s="127">
        <f>+Actuals!K296</f>
        <v>0</v>
      </c>
      <c r="O32" s="128">
        <f>+Actuals!L296</f>
        <v>-10889.775</v>
      </c>
      <c r="P32" s="127">
        <f>+Actuals!M296</f>
        <v>-12909</v>
      </c>
      <c r="Q32" s="128">
        <f>+Actuals!N296</f>
        <v>-36163.298999999999</v>
      </c>
      <c r="R32" s="127">
        <f>+Actuals!O296</f>
        <v>-1</v>
      </c>
      <c r="S32" s="128">
        <f>+Actuals!P296+546214</f>
        <v>21831.574000000022</v>
      </c>
      <c r="T32" s="127">
        <f>+Actuals!Q296</f>
        <v>0</v>
      </c>
      <c r="U32" s="128">
        <f>+Actuals!R296</f>
        <v>0</v>
      </c>
      <c r="V32" s="127">
        <f>+Actuals!S296</f>
        <v>0</v>
      </c>
      <c r="W32" s="128">
        <f>+Actuals!T296</f>
        <v>0</v>
      </c>
      <c r="X32" s="127">
        <f>+Actuals!U496</f>
        <v>0</v>
      </c>
      <c r="Y32" s="128">
        <f>+Actuals!V496</f>
        <v>0</v>
      </c>
      <c r="Z32" s="127">
        <f>+Actuals!W496</f>
        <v>0</v>
      </c>
      <c r="AA32" s="128">
        <f>+Actuals!X496</f>
        <v>0</v>
      </c>
      <c r="AB32" s="127">
        <f>+Actuals!Y496</f>
        <v>0</v>
      </c>
      <c r="AC32" s="128">
        <f>+Actuals!Z496</f>
        <v>0</v>
      </c>
      <c r="AD32" s="127">
        <f>+Actuals!AA496</f>
        <v>0</v>
      </c>
      <c r="AE32" s="128">
        <f>+Actuals!AB496</f>
        <v>0</v>
      </c>
      <c r="AF32" s="127">
        <f>+Actuals!AC496</f>
        <v>0</v>
      </c>
      <c r="AG32" s="128">
        <f>+Actuals!AD496</f>
        <v>0</v>
      </c>
      <c r="AH32" s="127">
        <f>+Actuals!AE496</f>
        <v>0</v>
      </c>
      <c r="AI32" s="128">
        <f>+Actuals!AF496</f>
        <v>0</v>
      </c>
      <c r="AJ32" s="127">
        <f>+Actuals!AG496</f>
        <v>0</v>
      </c>
      <c r="AK32" s="128">
        <f>+Actuals!AH496</f>
        <v>0</v>
      </c>
      <c r="AL32" s="127">
        <f>+Actuals!AI496</f>
        <v>0</v>
      </c>
      <c r="AM32" s="128">
        <f>+Actuals!AJ496</f>
        <v>0</v>
      </c>
      <c r="AN32" s="127">
        <f>+Actuals!AK496</f>
        <v>0</v>
      </c>
      <c r="AO32" s="128">
        <f>+Actuals!AL496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-5786</v>
      </c>
      <c r="E33" s="38">
        <f t="shared" si="11"/>
        <v>-11908.38</v>
      </c>
      <c r="F33" s="60">
        <f>'TIE-OUT'!N33+RECLASS!N33</f>
        <v>0</v>
      </c>
      <c r="G33" s="38">
        <f>'TIE-OUT'!O33+RECLASS!O33</f>
        <v>0</v>
      </c>
      <c r="H33" s="127">
        <f>+Actuals!E297</f>
        <v>0</v>
      </c>
      <c r="I33" s="128">
        <f>+Actuals!F297</f>
        <v>0</v>
      </c>
      <c r="J33" s="127">
        <f>+Actuals!G297</f>
        <v>0</v>
      </c>
      <c r="K33" s="128">
        <f>+Actuals!H297</f>
        <v>0</v>
      </c>
      <c r="L33" s="127">
        <f>+Actuals!I297</f>
        <v>-5786</v>
      </c>
      <c r="M33" s="128">
        <f>+Actuals!J297</f>
        <v>-11908.38</v>
      </c>
      <c r="N33" s="127">
        <f>+Actuals!K297</f>
        <v>0</v>
      </c>
      <c r="O33" s="128">
        <f>+Actuals!L297</f>
        <v>0</v>
      </c>
      <c r="P33" s="127">
        <f>+Actuals!M297</f>
        <v>0</v>
      </c>
      <c r="Q33" s="128">
        <f>+Actuals!N297</f>
        <v>0</v>
      </c>
      <c r="R33" s="127">
        <f>+Actuals!O297</f>
        <v>0</v>
      </c>
      <c r="S33" s="128">
        <f>+Actuals!P297</f>
        <v>0</v>
      </c>
      <c r="T33" s="127">
        <f>+Actuals!Q297</f>
        <v>0</v>
      </c>
      <c r="U33" s="128">
        <f>+Actuals!R297</f>
        <v>0</v>
      </c>
      <c r="V33" s="127">
        <f>+Actuals!S297</f>
        <v>0</v>
      </c>
      <c r="W33" s="128">
        <f>+Actuals!T297</f>
        <v>0</v>
      </c>
      <c r="X33" s="127">
        <f>+Actuals!U497</f>
        <v>0</v>
      </c>
      <c r="Y33" s="128">
        <f>+Actuals!V497</f>
        <v>0</v>
      </c>
      <c r="Z33" s="127">
        <f>+Actuals!W497</f>
        <v>0</v>
      </c>
      <c r="AA33" s="128">
        <f>+Actuals!X497</f>
        <v>0</v>
      </c>
      <c r="AB33" s="127">
        <f>+Actuals!Y497</f>
        <v>0</v>
      </c>
      <c r="AC33" s="128">
        <f>+Actuals!Z497</f>
        <v>0</v>
      </c>
      <c r="AD33" s="127">
        <f>+Actuals!AA497</f>
        <v>0</v>
      </c>
      <c r="AE33" s="128">
        <f>+Actuals!AB497</f>
        <v>0</v>
      </c>
      <c r="AF33" s="127">
        <f>+Actuals!AC497</f>
        <v>0</v>
      </c>
      <c r="AG33" s="128">
        <f>+Actuals!AD497</f>
        <v>0</v>
      </c>
      <c r="AH33" s="127">
        <f>+Actuals!AE497</f>
        <v>0</v>
      </c>
      <c r="AI33" s="128">
        <f>+Actuals!AF497</f>
        <v>0</v>
      </c>
      <c r="AJ33" s="127">
        <f>+Actuals!AG497</f>
        <v>0</v>
      </c>
      <c r="AK33" s="128">
        <f>+Actuals!AH497</f>
        <v>0</v>
      </c>
      <c r="AL33" s="127">
        <f>+Actuals!AI497</f>
        <v>0</v>
      </c>
      <c r="AM33" s="128">
        <f>+Actuals!AJ497</f>
        <v>0</v>
      </c>
      <c r="AN33" s="127">
        <f>+Actuals!AK497</f>
        <v>0</v>
      </c>
      <c r="AO33" s="128">
        <f>+Actuals!AL497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23164</v>
      </c>
      <c r="E34" s="38">
        <f t="shared" si="11"/>
        <v>47475.09</v>
      </c>
      <c r="F34" s="60">
        <f>'TIE-OUT'!N34+RECLASS!N34</f>
        <v>0</v>
      </c>
      <c r="G34" s="38">
        <f>'TIE-OUT'!O34+RECLASS!O34</f>
        <v>0</v>
      </c>
      <c r="H34" s="127">
        <f>+Actuals!E298</f>
        <v>0</v>
      </c>
      <c r="I34" s="128">
        <f>+Actuals!F298</f>
        <v>0</v>
      </c>
      <c r="J34" s="127">
        <f>+Actuals!G298</f>
        <v>1</v>
      </c>
      <c r="K34" s="128">
        <f>+Actuals!H298</f>
        <v>1.85</v>
      </c>
      <c r="L34" s="127">
        <f>+Actuals!I298</f>
        <v>23163</v>
      </c>
      <c r="M34" s="128">
        <f>+Actuals!J298</f>
        <v>47473.24</v>
      </c>
      <c r="N34" s="127">
        <f>+Actuals!K298</f>
        <v>0</v>
      </c>
      <c r="O34" s="128">
        <f>+Actuals!L298</f>
        <v>0</v>
      </c>
      <c r="P34" s="127">
        <f>+Actuals!M298</f>
        <v>0</v>
      </c>
      <c r="Q34" s="128">
        <f>+Actuals!N298</f>
        <v>0</v>
      </c>
      <c r="R34" s="127">
        <f>+Actuals!O298</f>
        <v>0</v>
      </c>
      <c r="S34" s="128">
        <f>+Actuals!P298</f>
        <v>0</v>
      </c>
      <c r="T34" s="127">
        <f>+Actuals!Q298</f>
        <v>0</v>
      </c>
      <c r="U34" s="128">
        <f>+Actuals!R298</f>
        <v>0</v>
      </c>
      <c r="V34" s="127">
        <f>+Actuals!S298</f>
        <v>0</v>
      </c>
      <c r="W34" s="128">
        <f>+Actuals!T298</f>
        <v>0</v>
      </c>
      <c r="X34" s="127">
        <f>+Actuals!U498</f>
        <v>0</v>
      </c>
      <c r="Y34" s="128">
        <f>+Actuals!V498</f>
        <v>0</v>
      </c>
      <c r="Z34" s="127">
        <f>+Actuals!W498</f>
        <v>0</v>
      </c>
      <c r="AA34" s="128">
        <f>+Actuals!X498</f>
        <v>0</v>
      </c>
      <c r="AB34" s="127">
        <f>+Actuals!Y498</f>
        <v>0</v>
      </c>
      <c r="AC34" s="128">
        <f>+Actuals!Z498</f>
        <v>0</v>
      </c>
      <c r="AD34" s="127">
        <f>+Actuals!AA498</f>
        <v>0</v>
      </c>
      <c r="AE34" s="128">
        <f>+Actuals!AB498</f>
        <v>0</v>
      </c>
      <c r="AF34" s="127">
        <f>+Actuals!AC498</f>
        <v>0</v>
      </c>
      <c r="AG34" s="128">
        <f>+Actuals!AD498</f>
        <v>0</v>
      </c>
      <c r="AH34" s="127">
        <f>+Actuals!AE498</f>
        <v>0</v>
      </c>
      <c r="AI34" s="128">
        <f>+Actuals!AF498</f>
        <v>0</v>
      </c>
      <c r="AJ34" s="127">
        <f>+Actuals!AG498</f>
        <v>0</v>
      </c>
      <c r="AK34" s="128">
        <f>+Actuals!AH498</f>
        <v>0</v>
      </c>
      <c r="AL34" s="127">
        <f>+Actuals!AI498</f>
        <v>0</v>
      </c>
      <c r="AM34" s="128">
        <f>+Actuals!AJ498</f>
        <v>0</v>
      </c>
      <c r="AN34" s="127">
        <f>+Actuals!AK498</f>
        <v>0</v>
      </c>
      <c r="AO34" s="128">
        <f>+Actuals!AL498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600017</v>
      </c>
      <c r="E35" s="38">
        <f t="shared" si="11"/>
        <v>701821.01</v>
      </c>
      <c r="F35" s="81">
        <f>'TIE-OUT'!N35+RECLASS!N35</f>
        <v>0</v>
      </c>
      <c r="G35" s="82">
        <f>'TIE-OUT'!O35+RECLASS!O35</f>
        <v>0</v>
      </c>
      <c r="H35" s="127">
        <f>+Actuals!E299</f>
        <v>-602585</v>
      </c>
      <c r="I35" s="128">
        <f>+Actuals!F299</f>
        <v>0.01</v>
      </c>
      <c r="J35" s="127">
        <f>+Actuals!G299</f>
        <v>-2568</v>
      </c>
      <c r="K35" s="128">
        <f>+Actuals!H299</f>
        <v>0</v>
      </c>
      <c r="L35" s="127">
        <f>+Actuals!I299</f>
        <v>1205170</v>
      </c>
      <c r="M35" s="128">
        <f>+Actuals!J299</f>
        <v>0</v>
      </c>
      <c r="N35" s="127">
        <f>+Actuals!K299</f>
        <v>0</v>
      </c>
      <c r="O35" s="128">
        <f>+Actuals!L299</f>
        <v>1248035</v>
      </c>
      <c r="P35" s="127">
        <f>+Actuals!M299</f>
        <v>0</v>
      </c>
      <c r="Q35" s="157">
        <f>+Actuals!N299-546214</f>
        <v>-546214</v>
      </c>
      <c r="R35" s="127">
        <f>+Actuals!O299</f>
        <v>0</v>
      </c>
      <c r="S35" s="157">
        <f>+Actuals!P299</f>
        <v>0</v>
      </c>
      <c r="T35" s="127">
        <f>+Actuals!Q299</f>
        <v>0</v>
      </c>
      <c r="U35" s="128">
        <f>+Actuals!R299</f>
        <v>0</v>
      </c>
      <c r="V35" s="127">
        <f>+Actuals!S299</f>
        <v>0</v>
      </c>
      <c r="W35" s="128">
        <f>+Actuals!T299</f>
        <v>0</v>
      </c>
      <c r="X35" s="127">
        <f>+Actuals!U499</f>
        <v>0</v>
      </c>
      <c r="Y35" s="128">
        <f>+Actuals!V499</f>
        <v>0</v>
      </c>
      <c r="Z35" s="127">
        <f>+Actuals!W499</f>
        <v>0</v>
      </c>
      <c r="AA35" s="128">
        <f>+Actuals!X499</f>
        <v>0</v>
      </c>
      <c r="AB35" s="127">
        <f>+Actuals!Y499</f>
        <v>0</v>
      </c>
      <c r="AC35" s="128">
        <f>+Actuals!Z499</f>
        <v>0</v>
      </c>
      <c r="AD35" s="127">
        <f>+Actuals!AA499</f>
        <v>0</v>
      </c>
      <c r="AE35" s="128">
        <f>+Actuals!AB499</f>
        <v>0</v>
      </c>
      <c r="AF35" s="127">
        <f>+Actuals!AC499</f>
        <v>0</v>
      </c>
      <c r="AG35" s="128">
        <f>+Actuals!AD499</f>
        <v>0</v>
      </c>
      <c r="AH35" s="127">
        <f>+Actuals!AE499</f>
        <v>0</v>
      </c>
      <c r="AI35" s="128">
        <f>+Actuals!AF499</f>
        <v>0</v>
      </c>
      <c r="AJ35" s="127">
        <f>+Actuals!AG499</f>
        <v>0</v>
      </c>
      <c r="AK35" s="128">
        <f>+Actuals!AH499</f>
        <v>0</v>
      </c>
      <c r="AL35" s="127">
        <f>+Actuals!AI499</f>
        <v>0</v>
      </c>
      <c r="AM35" s="128">
        <f>+Actuals!AJ499</f>
        <v>0</v>
      </c>
      <c r="AN35" s="127">
        <f>+Actuals!AK499</f>
        <v>0</v>
      </c>
      <c r="AO35" s="128">
        <f>+Actuals!AL499</f>
        <v>0</v>
      </c>
    </row>
    <row r="36" spans="1:41" x14ac:dyDescent="0.2">
      <c r="A36" s="9"/>
      <c r="B36" s="7" t="s">
        <v>45</v>
      </c>
      <c r="C36" s="6"/>
      <c r="D36" s="61">
        <f t="shared" ref="D36:Y36" si="12">SUM(D32:D35)</f>
        <v>580760</v>
      </c>
      <c r="E36" s="39">
        <f t="shared" si="12"/>
        <v>662652.14500000002</v>
      </c>
      <c r="F36" s="61">
        <f t="shared" si="12"/>
        <v>0</v>
      </c>
      <c r="G36" s="39">
        <f t="shared" si="12"/>
        <v>0</v>
      </c>
      <c r="H36" s="61">
        <f t="shared" si="12"/>
        <v>-584322</v>
      </c>
      <c r="I36" s="39">
        <f t="shared" si="12"/>
        <v>37987.050000000003</v>
      </c>
      <c r="J36" s="61">
        <f t="shared" si="12"/>
        <v>32791</v>
      </c>
      <c r="K36" s="39">
        <f t="shared" si="12"/>
        <v>73546.490000000005</v>
      </c>
      <c r="L36" s="61">
        <f t="shared" si="12"/>
        <v>1145201</v>
      </c>
      <c r="M36" s="39">
        <f t="shared" si="12"/>
        <v>-125480.89500000002</v>
      </c>
      <c r="N36" s="61">
        <f t="shared" si="12"/>
        <v>0</v>
      </c>
      <c r="O36" s="39">
        <f t="shared" si="12"/>
        <v>1237145.2250000001</v>
      </c>
      <c r="P36" s="61">
        <f t="shared" si="12"/>
        <v>-12909</v>
      </c>
      <c r="Q36" s="39">
        <f t="shared" si="12"/>
        <v>-582377.299</v>
      </c>
      <c r="R36" s="61">
        <f t="shared" si="12"/>
        <v>-1</v>
      </c>
      <c r="S36" s="39">
        <f t="shared" si="12"/>
        <v>21831.574000000022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127">
        <f>+Actuals!M300</f>
        <v>0</v>
      </c>
      <c r="Q39" s="128">
        <f>+Actuals!N300</f>
        <v>0</v>
      </c>
      <c r="R39" s="127">
        <f>+Actuals!O300</f>
        <v>0</v>
      </c>
      <c r="S39" s="128">
        <f>+Actuals!P300</f>
        <v>0</v>
      </c>
      <c r="T39" s="127">
        <f>+Actuals!Q300</f>
        <v>0</v>
      </c>
      <c r="U39" s="128">
        <f>+Actuals!R300</f>
        <v>0</v>
      </c>
      <c r="V39" s="127">
        <f>+Actuals!S300</f>
        <v>0</v>
      </c>
      <c r="W39" s="128">
        <f>+Actuals!T300</f>
        <v>0</v>
      </c>
      <c r="X39" s="127">
        <f>+Actuals!U500</f>
        <v>0</v>
      </c>
      <c r="Y39" s="128">
        <f>+Actuals!V500</f>
        <v>0</v>
      </c>
      <c r="Z39" s="127">
        <f>+Actuals!W500</f>
        <v>0</v>
      </c>
      <c r="AA39" s="128">
        <f>+Actuals!X500</f>
        <v>0</v>
      </c>
      <c r="AB39" s="127">
        <f>+Actuals!Y500</f>
        <v>0</v>
      </c>
      <c r="AC39" s="128">
        <f>+Actuals!Z500</f>
        <v>0</v>
      </c>
      <c r="AD39" s="127">
        <f>+Actuals!AA500</f>
        <v>0</v>
      </c>
      <c r="AE39" s="128">
        <f>+Actuals!AB500</f>
        <v>0</v>
      </c>
      <c r="AF39" s="127">
        <f>+Actuals!AC500</f>
        <v>0</v>
      </c>
      <c r="AG39" s="128">
        <f>+Actuals!AD500</f>
        <v>0</v>
      </c>
      <c r="AH39" s="127">
        <f>+Actuals!AE500</f>
        <v>0</v>
      </c>
      <c r="AI39" s="128">
        <f>+Actuals!AF500</f>
        <v>0</v>
      </c>
      <c r="AJ39" s="127">
        <f>+Actuals!AG500</f>
        <v>0</v>
      </c>
      <c r="AK39" s="128">
        <f>+Actuals!AH500</f>
        <v>0</v>
      </c>
      <c r="AL39" s="127">
        <f>+Actuals!AI500</f>
        <v>0</v>
      </c>
      <c r="AM39" s="128">
        <f>+Actuals!AJ500</f>
        <v>0</v>
      </c>
      <c r="AN39" s="127">
        <f>+Actuals!AK500</f>
        <v>0</v>
      </c>
      <c r="AO39" s="128">
        <f>+Actuals!AL500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'TIE-OUT'!N40+RECLASS!N40</f>
        <v>0</v>
      </c>
      <c r="G40" s="38">
        <f>'TIE-OUT'!O40+RECLASS!O40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127">
        <f>+Actuals!M301</f>
        <v>0</v>
      </c>
      <c r="Q40" s="128">
        <f>+Actuals!N301</f>
        <v>0</v>
      </c>
      <c r="R40" s="127">
        <f>+Actuals!O301</f>
        <v>0</v>
      </c>
      <c r="S40" s="128">
        <f>+Actuals!P301</f>
        <v>0</v>
      </c>
      <c r="T40" s="127">
        <f>+Actuals!Q301</f>
        <v>0</v>
      </c>
      <c r="U40" s="128">
        <f>+Actuals!R301</f>
        <v>0</v>
      </c>
      <c r="V40" s="127">
        <f>+Actuals!S301</f>
        <v>0</v>
      </c>
      <c r="W40" s="128">
        <f>+Actuals!T301</f>
        <v>0</v>
      </c>
      <c r="X40" s="127">
        <f>+Actuals!U501</f>
        <v>0</v>
      </c>
      <c r="Y40" s="128">
        <f>+Actuals!V501</f>
        <v>0</v>
      </c>
      <c r="Z40" s="127">
        <f>+Actuals!W501</f>
        <v>0</v>
      </c>
      <c r="AA40" s="128">
        <f>+Actuals!X501</f>
        <v>0</v>
      </c>
      <c r="AB40" s="127">
        <f>+Actuals!Y501</f>
        <v>0</v>
      </c>
      <c r="AC40" s="128">
        <f>+Actuals!Z501</f>
        <v>0</v>
      </c>
      <c r="AD40" s="127">
        <f>+Actuals!AA501</f>
        <v>0</v>
      </c>
      <c r="AE40" s="128">
        <f>+Actuals!AB501</f>
        <v>0</v>
      </c>
      <c r="AF40" s="127">
        <f>+Actuals!AC501</f>
        <v>0</v>
      </c>
      <c r="AG40" s="128">
        <f>+Actuals!AD501</f>
        <v>0</v>
      </c>
      <c r="AH40" s="127">
        <f>+Actuals!AE501</f>
        <v>0</v>
      </c>
      <c r="AI40" s="128">
        <f>+Actuals!AF501</f>
        <v>0</v>
      </c>
      <c r="AJ40" s="127">
        <f>+Actuals!AG501</f>
        <v>0</v>
      </c>
      <c r="AK40" s="128">
        <f>+Actuals!AH501</f>
        <v>0</v>
      </c>
      <c r="AL40" s="127">
        <f>+Actuals!AI501</f>
        <v>0</v>
      </c>
      <c r="AM40" s="128">
        <f>+Actuals!AJ501</f>
        <v>0</v>
      </c>
      <c r="AN40" s="127">
        <f>+Actuals!AK501</f>
        <v>0</v>
      </c>
      <c r="AO40" s="128">
        <f>+Actuals!AL501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127">
        <f>+Actuals!M302</f>
        <v>0</v>
      </c>
      <c r="Q41" s="128">
        <f>+Actuals!N302</f>
        <v>0</v>
      </c>
      <c r="R41" s="127">
        <f>+Actuals!O302</f>
        <v>0</v>
      </c>
      <c r="S41" s="128">
        <f>+Actuals!P302</f>
        <v>0</v>
      </c>
      <c r="T41" s="127">
        <f>+Actuals!Q302</f>
        <v>0</v>
      </c>
      <c r="U41" s="128">
        <f>+Actuals!R302</f>
        <v>0</v>
      </c>
      <c r="V41" s="127">
        <f>+Actuals!S302</f>
        <v>0</v>
      </c>
      <c r="W41" s="128">
        <f>+Actuals!T302</f>
        <v>0</v>
      </c>
      <c r="X41" s="127">
        <f>+Actuals!U502</f>
        <v>0</v>
      </c>
      <c r="Y41" s="128">
        <f>+Actuals!V502</f>
        <v>0</v>
      </c>
      <c r="Z41" s="127">
        <f>+Actuals!W502</f>
        <v>0</v>
      </c>
      <c r="AA41" s="128">
        <f>+Actuals!X502</f>
        <v>0</v>
      </c>
      <c r="AB41" s="127">
        <f>+Actuals!Y502</f>
        <v>0</v>
      </c>
      <c r="AC41" s="128">
        <f>+Actuals!Z502</f>
        <v>0</v>
      </c>
      <c r="AD41" s="127">
        <f>+Actuals!AA502</f>
        <v>0</v>
      </c>
      <c r="AE41" s="128">
        <f>+Actuals!AB502</f>
        <v>0</v>
      </c>
      <c r="AF41" s="127">
        <f>+Actuals!AC502</f>
        <v>0</v>
      </c>
      <c r="AG41" s="128">
        <f>+Actuals!AD502</f>
        <v>0</v>
      </c>
      <c r="AH41" s="127">
        <f>+Actuals!AE502</f>
        <v>0</v>
      </c>
      <c r="AI41" s="128">
        <f>+Actuals!AF502</f>
        <v>0</v>
      </c>
      <c r="AJ41" s="127">
        <f>+Actuals!AG502</f>
        <v>0</v>
      </c>
      <c r="AK41" s="128">
        <f>+Actuals!AH502</f>
        <v>0</v>
      </c>
      <c r="AL41" s="127">
        <f>+Actuals!AI502</f>
        <v>0</v>
      </c>
      <c r="AM41" s="128">
        <f>+Actuals!AJ502</f>
        <v>0</v>
      </c>
      <c r="AN41" s="127">
        <f>+Actuals!AK502</f>
        <v>0</v>
      </c>
      <c r="AO41" s="128">
        <f>+Actuals!AL502</f>
        <v>0</v>
      </c>
    </row>
    <row r="42" spans="1:41" x14ac:dyDescent="0.2">
      <c r="A42" s="9"/>
      <c r="B42" s="7"/>
      <c r="C42" s="53" t="s">
        <v>50</v>
      </c>
      <c r="D42" s="61">
        <f t="shared" ref="D42:Y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 t="shared" ref="D43:Y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'TIE-OUT'!N45+RECLASS!N45</f>
        <v>0</v>
      </c>
      <c r="G45" s="68">
        <f>'TIE-OUT'!O45+RECLASS!O45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127">
        <f>+Actuals!M303</f>
        <v>0</v>
      </c>
      <c r="Q45" s="128">
        <f>+Actuals!N303</f>
        <v>0</v>
      </c>
      <c r="R45" s="127">
        <f>+Actuals!O303</f>
        <v>0</v>
      </c>
      <c r="S45" s="128">
        <f>+Actuals!P303</f>
        <v>0</v>
      </c>
      <c r="T45" s="127">
        <f>+Actuals!Q303</f>
        <v>0</v>
      </c>
      <c r="U45" s="128">
        <f>+Actuals!R303</f>
        <v>0</v>
      </c>
      <c r="V45" s="127">
        <f>+Actuals!S303</f>
        <v>0</v>
      </c>
      <c r="W45" s="128">
        <f>+Actuals!T303</f>
        <v>0</v>
      </c>
      <c r="X45" s="127">
        <f>+Actuals!U503</f>
        <v>0</v>
      </c>
      <c r="Y45" s="128">
        <f>+Actuals!V503</f>
        <v>0</v>
      </c>
      <c r="Z45" s="127">
        <f>+Actuals!W503</f>
        <v>0</v>
      </c>
      <c r="AA45" s="128">
        <f>+Actuals!X503</f>
        <v>0</v>
      </c>
      <c r="AB45" s="127">
        <f>+Actuals!Y503</f>
        <v>0</v>
      </c>
      <c r="AC45" s="128">
        <f>+Actuals!Z503</f>
        <v>0</v>
      </c>
      <c r="AD45" s="127">
        <f>+Actuals!AA503</f>
        <v>0</v>
      </c>
      <c r="AE45" s="128">
        <f>+Actuals!AB503</f>
        <v>0</v>
      </c>
      <c r="AF45" s="127">
        <f>+Actuals!AC503</f>
        <v>0</v>
      </c>
      <c r="AG45" s="128">
        <f>+Actuals!AD503</f>
        <v>0</v>
      </c>
      <c r="AH45" s="127">
        <f>+Actuals!AE503</f>
        <v>0</v>
      </c>
      <c r="AI45" s="128">
        <f>+Actuals!AF503</f>
        <v>0</v>
      </c>
      <c r="AJ45" s="127">
        <f>+Actuals!AG503</f>
        <v>0</v>
      </c>
      <c r="AK45" s="128">
        <f>+Actuals!AH503</f>
        <v>0</v>
      </c>
      <c r="AL45" s="127">
        <f>+Actuals!AI503</f>
        <v>0</v>
      </c>
      <c r="AM45" s="128">
        <f>+Actuals!AJ503</f>
        <v>0</v>
      </c>
      <c r="AN45" s="127">
        <f>+Actuals!AK503</f>
        <v>0</v>
      </c>
      <c r="AO45" s="128">
        <f>+Actuals!AL503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'TIE-OUT'!N47+RECLASS!N47</f>
        <v>0</v>
      </c>
      <c r="G47" s="38">
        <f>'TIE-OUT'!O47+RECLASS!O47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127">
        <f>+Actuals!M304</f>
        <v>0</v>
      </c>
      <c r="Q47" s="128">
        <f>+Actuals!N304</f>
        <v>0</v>
      </c>
      <c r="R47" s="127">
        <f>+Actuals!O304</f>
        <v>0</v>
      </c>
      <c r="S47" s="128">
        <f>+Actuals!P304</f>
        <v>0</v>
      </c>
      <c r="T47" s="127">
        <f>+Actuals!Q304</f>
        <v>0</v>
      </c>
      <c r="U47" s="128">
        <f>+Actuals!R304</f>
        <v>0</v>
      </c>
      <c r="V47" s="127">
        <f>+Actuals!S304</f>
        <v>0</v>
      </c>
      <c r="W47" s="128">
        <f>+Actuals!T304</f>
        <v>0</v>
      </c>
      <c r="X47" s="127">
        <f>+Actuals!U504</f>
        <v>0</v>
      </c>
      <c r="Y47" s="128">
        <f>+Actuals!V504</f>
        <v>0</v>
      </c>
      <c r="Z47" s="127">
        <f>+Actuals!W504</f>
        <v>0</v>
      </c>
      <c r="AA47" s="128">
        <f>+Actuals!X504</f>
        <v>0</v>
      </c>
      <c r="AB47" s="127">
        <f>+Actuals!Y504</f>
        <v>0</v>
      </c>
      <c r="AC47" s="128">
        <f>+Actuals!Z504</f>
        <v>0</v>
      </c>
      <c r="AD47" s="127">
        <f>+Actuals!AA504</f>
        <v>0</v>
      </c>
      <c r="AE47" s="128">
        <f>+Actuals!AB504</f>
        <v>0</v>
      </c>
      <c r="AF47" s="127">
        <f>+Actuals!AC504</f>
        <v>0</v>
      </c>
      <c r="AG47" s="128">
        <f>+Actuals!AD504</f>
        <v>0</v>
      </c>
      <c r="AH47" s="127">
        <f>+Actuals!AE504</f>
        <v>0</v>
      </c>
      <c r="AI47" s="128">
        <f>+Actuals!AF504</f>
        <v>0</v>
      </c>
      <c r="AJ47" s="127">
        <f>+Actuals!AG504</f>
        <v>0</v>
      </c>
      <c r="AK47" s="128">
        <f>+Actuals!AH504</f>
        <v>0</v>
      </c>
      <c r="AL47" s="127">
        <f>+Actuals!AI504</f>
        <v>0</v>
      </c>
      <c r="AM47" s="128">
        <f>+Actuals!AJ504</f>
        <v>0</v>
      </c>
      <c r="AN47" s="127">
        <f>+Actuals!AK504</f>
        <v>0</v>
      </c>
      <c r="AO47" s="128">
        <f>+Actuals!AL504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515385</v>
      </c>
      <c r="E49" s="38">
        <f t="shared" si="22"/>
        <v>1072000.8000000003</v>
      </c>
      <c r="F49" s="60">
        <f>'TIE-OUT'!N49+RECLASS!N49</f>
        <v>0</v>
      </c>
      <c r="G49" s="38">
        <f>'TIE-OUT'!O49+RECLASS!O49</f>
        <v>0</v>
      </c>
      <c r="H49" s="127">
        <f>+Actuals!E305</f>
        <v>1677626</v>
      </c>
      <c r="I49" s="128">
        <f>+Actuals!F305</f>
        <v>3489462.08</v>
      </c>
      <c r="J49" s="127">
        <f>+Actuals!G305</f>
        <v>411165</v>
      </c>
      <c r="K49" s="128">
        <f>+Actuals!H305</f>
        <v>855223.2</v>
      </c>
      <c r="L49" s="127">
        <f>+Actuals!I305</f>
        <v>-1178259</v>
      </c>
      <c r="M49" s="128">
        <f>+Actuals!J305</f>
        <v>-2450778.7200000002</v>
      </c>
      <c r="N49" s="127">
        <f>+Actuals!K305</f>
        <v>10889</v>
      </c>
      <c r="O49" s="128">
        <f>+Actuals!L305</f>
        <v>22649.119999999999</v>
      </c>
      <c r="P49" s="127">
        <f>+Actuals!M305</f>
        <v>-5</v>
      </c>
      <c r="Q49" s="128">
        <f>+Actuals!N305</f>
        <v>-10.4</v>
      </c>
      <c r="R49" s="127">
        <f>+Actuals!O305</f>
        <v>1</v>
      </c>
      <c r="S49" s="128">
        <f>+Actuals!P305</f>
        <v>2.08</v>
      </c>
      <c r="T49" s="127">
        <f>+Actuals!Q305</f>
        <v>0</v>
      </c>
      <c r="U49" s="128">
        <f>+Actuals!R305</f>
        <v>0</v>
      </c>
      <c r="V49" s="127">
        <f>+Actuals!S305</f>
        <v>-445410</v>
      </c>
      <c r="W49" s="128">
        <f>+Actuals!T305</f>
        <v>-926452.8</v>
      </c>
      <c r="X49" s="127">
        <f>+Actuals!U505</f>
        <v>445410</v>
      </c>
      <c r="Y49" s="128">
        <f>+Actuals!V505</f>
        <v>926452.8</v>
      </c>
      <c r="Z49" s="127">
        <f>+Actuals!W505</f>
        <v>0</v>
      </c>
      <c r="AA49" s="128">
        <f>+Actuals!X505</f>
        <v>0</v>
      </c>
      <c r="AB49" s="127">
        <f>+Actuals!Y505</f>
        <v>-422803</v>
      </c>
      <c r="AC49" s="128">
        <f>+Actuals!Z505</f>
        <v>-879430.24</v>
      </c>
      <c r="AD49" s="127">
        <f>+Actuals!AA505</f>
        <v>0</v>
      </c>
      <c r="AE49" s="128">
        <f>+Actuals!AB505</f>
        <v>0</v>
      </c>
      <c r="AF49" s="127">
        <f>+Actuals!AC505</f>
        <v>0</v>
      </c>
      <c r="AG49" s="128">
        <f>+Actuals!AD505</f>
        <v>0</v>
      </c>
      <c r="AH49" s="127">
        <f>+Actuals!AE505</f>
        <v>0</v>
      </c>
      <c r="AI49" s="128">
        <f>+Actuals!AF505</f>
        <v>0</v>
      </c>
      <c r="AJ49" s="127">
        <f>+Actuals!AG505</f>
        <v>0</v>
      </c>
      <c r="AK49" s="128">
        <f>+Actuals!AH505</f>
        <v>0</v>
      </c>
      <c r="AL49" s="127">
        <v>16771</v>
      </c>
      <c r="AM49" s="128">
        <v>34883.68</v>
      </c>
      <c r="AN49" s="127"/>
      <c r="AO49" s="128"/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-285033</v>
      </c>
      <c r="E51" s="38">
        <f t="shared" si="22"/>
        <v>-592868.6399999999</v>
      </c>
      <c r="F51" s="60">
        <f>'TIE-OUT'!N51+RECLASS!N51</f>
        <v>0</v>
      </c>
      <c r="G51" s="38">
        <f>'TIE-OUT'!O51+RECLASS!O51</f>
        <v>0</v>
      </c>
      <c r="H51" s="127">
        <f>+Actuals!E306</f>
        <v>-277879</v>
      </c>
      <c r="I51" s="128">
        <f>+Actuals!F306</f>
        <v>-577988.31999999995</v>
      </c>
      <c r="J51" s="127">
        <f>+Actuals!G306</f>
        <v>-7155</v>
      </c>
      <c r="K51" s="128">
        <f>+Actuals!H306</f>
        <v>-14882.4</v>
      </c>
      <c r="L51" s="127">
        <f>+Actuals!I306</f>
        <v>2</v>
      </c>
      <c r="M51" s="128">
        <f>+Actuals!J306</f>
        <v>4.16</v>
      </c>
      <c r="N51" s="127">
        <f>+Actuals!K306</f>
        <v>0</v>
      </c>
      <c r="O51" s="128">
        <f>+Actuals!L306</f>
        <v>0</v>
      </c>
      <c r="P51" s="127">
        <f>+Actuals!M306</f>
        <v>-1</v>
      </c>
      <c r="Q51" s="128">
        <f>+Actuals!N306</f>
        <v>-2.08</v>
      </c>
      <c r="R51" s="127">
        <f>+Actuals!O306</f>
        <v>0</v>
      </c>
      <c r="S51" s="128">
        <f>+Actuals!P306</f>
        <v>0</v>
      </c>
      <c r="T51" s="127">
        <f>+Actuals!Q306</f>
        <v>0</v>
      </c>
      <c r="U51" s="128">
        <f>+Actuals!R306</f>
        <v>0</v>
      </c>
      <c r="V51" s="127">
        <f>+Actuals!S306</f>
        <v>0</v>
      </c>
      <c r="W51" s="128">
        <f>+Actuals!T306</f>
        <v>0</v>
      </c>
      <c r="X51" s="127">
        <f>+Actuals!U506</f>
        <v>0</v>
      </c>
      <c r="Y51" s="128">
        <f>+Actuals!V506</f>
        <v>0</v>
      </c>
      <c r="Z51" s="127">
        <f>+Actuals!W506</f>
        <v>0</v>
      </c>
      <c r="AA51" s="128">
        <f>+Actuals!X506</f>
        <v>0</v>
      </c>
      <c r="AB51" s="127">
        <f>+Actuals!Y506</f>
        <v>0</v>
      </c>
      <c r="AC51" s="128">
        <f>+Actuals!Z506</f>
        <v>0</v>
      </c>
      <c r="AD51" s="127">
        <f>+Actuals!AA506</f>
        <v>0</v>
      </c>
      <c r="AE51" s="128">
        <f>+Actuals!AB506</f>
        <v>0</v>
      </c>
      <c r="AF51" s="127">
        <f>+Actuals!AC506</f>
        <v>0</v>
      </c>
      <c r="AG51" s="128">
        <f>+Actuals!AD506</f>
        <v>0</v>
      </c>
      <c r="AH51" s="127">
        <f>+Actuals!AE506</f>
        <v>0</v>
      </c>
      <c r="AI51" s="128">
        <f>+Actuals!AF506</f>
        <v>0</v>
      </c>
      <c r="AJ51" s="127">
        <f>+Actuals!AG506</f>
        <v>0</v>
      </c>
      <c r="AK51" s="128">
        <f>+Actuals!AH506</f>
        <v>0</v>
      </c>
      <c r="AL51" s="127">
        <f>+Actuals!AI506</f>
        <v>0</v>
      </c>
      <c r="AM51" s="128">
        <f>+Actuals!AJ506</f>
        <v>0</v>
      </c>
      <c r="AN51" s="127">
        <f>+Actuals!AK506</f>
        <v>0</v>
      </c>
      <c r="AO51" s="128">
        <f>+Actuals!AL506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-11699377</v>
      </c>
      <c r="E54" s="38">
        <f>SUM(G54,I54,K54,M54,O54,Q54,S54,U54,W54,Y54,AA54,AC54,AE54,AG54,AI54,AK54,AM54,AO54)</f>
        <v>-141902.24</v>
      </c>
      <c r="F54" s="64">
        <f>'TIE-OUT'!N54+RECLASS!N54</f>
        <v>0</v>
      </c>
      <c r="G54" s="68">
        <f>'TIE-OUT'!O54+RECLASS!O54</f>
        <v>0</v>
      </c>
      <c r="H54" s="127">
        <f>+Actuals!E307</f>
        <v>-11559079</v>
      </c>
      <c r="I54" s="128">
        <f>+Actuals!F307</f>
        <v>-318911.11</v>
      </c>
      <c r="J54" s="127">
        <f>+Actuals!G307</f>
        <v>-140298</v>
      </c>
      <c r="K54" s="128">
        <f>+Actuals!H307</f>
        <v>169068.64</v>
      </c>
      <c r="L54" s="127">
        <f>+Actuals!I307</f>
        <v>0</v>
      </c>
      <c r="M54" s="128">
        <f>+Actuals!J307</f>
        <v>0</v>
      </c>
      <c r="N54" s="127">
        <f>+Actuals!K307</f>
        <v>0</v>
      </c>
      <c r="O54" s="128">
        <f>+Actuals!L307</f>
        <v>10629.75</v>
      </c>
      <c r="P54" s="127">
        <f>+Actuals!M307</f>
        <v>0</v>
      </c>
      <c r="Q54" s="128">
        <f>+Actuals!N307</f>
        <v>-8.57</v>
      </c>
      <c r="R54" s="127">
        <f>+Actuals!O307</f>
        <v>0</v>
      </c>
      <c r="S54" s="128">
        <f>+Actuals!P307</f>
        <v>0</v>
      </c>
      <c r="T54" s="127">
        <f>+Actuals!Q307</f>
        <v>0</v>
      </c>
      <c r="U54" s="128">
        <f>+Actuals!R307</f>
        <v>0</v>
      </c>
      <c r="V54" s="127">
        <f>+Actuals!S307</f>
        <v>0</v>
      </c>
      <c r="W54" s="128">
        <f>+Actuals!T307</f>
        <v>0</v>
      </c>
      <c r="X54" s="127">
        <f>+Actuals!U507</f>
        <v>0</v>
      </c>
      <c r="Y54" s="128">
        <f>+Actuals!V507</f>
        <v>0</v>
      </c>
      <c r="Z54" s="127">
        <f>+Actuals!W507</f>
        <v>0</v>
      </c>
      <c r="AA54" s="128">
        <f>+Actuals!X507</f>
        <v>-2680.95</v>
      </c>
      <c r="AB54" s="127">
        <f>+Actuals!Y507</f>
        <v>0</v>
      </c>
      <c r="AC54" s="128">
        <f>+Actuals!Z507</f>
        <v>0</v>
      </c>
      <c r="AD54" s="127">
        <f>+Actuals!AA507</f>
        <v>0</v>
      </c>
      <c r="AE54" s="128">
        <f>+Actuals!AB507</f>
        <v>0</v>
      </c>
      <c r="AF54" s="127">
        <f>+Actuals!AC507</f>
        <v>0</v>
      </c>
      <c r="AG54" s="128">
        <f>+Actuals!AD507</f>
        <v>0</v>
      </c>
      <c r="AH54" s="127">
        <f>+Actuals!AE507</f>
        <v>0</v>
      </c>
      <c r="AI54" s="128">
        <f>+Actuals!AF507</f>
        <v>0</v>
      </c>
      <c r="AJ54" s="127">
        <f>+Actuals!AG507</f>
        <v>0</v>
      </c>
      <c r="AK54" s="128">
        <f>+Actuals!AH507</f>
        <v>0</v>
      </c>
      <c r="AL54" s="127">
        <f>+Actuals!AI507</f>
        <v>0</v>
      </c>
      <c r="AM54" s="128">
        <f>+Actuals!AJ507</f>
        <v>0</v>
      </c>
      <c r="AN54" s="127">
        <f>+Actuals!AK507</f>
        <v>0</v>
      </c>
      <c r="AO54" s="128">
        <f>+Actuals!AL507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-1130</v>
      </c>
      <c r="E55" s="38">
        <f>SUM(G55,I55,K55,M55,O55,Q55,S55,U55,W55,Y55,AA55,AC55,AE55,AG55,AI55,AK55,AM55,AO55)</f>
        <v>-1629652.1900000004</v>
      </c>
      <c r="F55" s="81">
        <f>'TIE-OUT'!N55+RECLASS!N55</f>
        <v>0</v>
      </c>
      <c r="G55" s="82">
        <f>'TIE-OUT'!O55+RECLASS!O55</f>
        <v>809669.11</v>
      </c>
      <c r="H55" s="127">
        <f>+Actuals!E308</f>
        <v>0</v>
      </c>
      <c r="I55" s="128">
        <f>+Actuals!F308</f>
        <v>-2653958.9500000002</v>
      </c>
      <c r="J55" s="127">
        <f>+Actuals!G308</f>
        <v>0</v>
      </c>
      <c r="K55" s="128">
        <f>+Actuals!H308</f>
        <v>216841.69</v>
      </c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127">
        <f>+Actuals!M308</f>
        <v>0</v>
      </c>
      <c r="Q55" s="128">
        <f>+Actuals!N308</f>
        <v>0</v>
      </c>
      <c r="R55" s="127">
        <f>+Actuals!O308</f>
        <v>0</v>
      </c>
      <c r="S55" s="128">
        <f>+Actuals!P308</f>
        <v>0</v>
      </c>
      <c r="T55" s="127">
        <f>+Actuals!Q308</f>
        <v>0</v>
      </c>
      <c r="U55" s="128">
        <f>+Actuals!R308</f>
        <v>0</v>
      </c>
      <c r="V55" s="127">
        <f>+Actuals!S308</f>
        <v>0</v>
      </c>
      <c r="W55" s="128">
        <f>+Actuals!T308</f>
        <v>0</v>
      </c>
      <c r="X55" s="127">
        <f>+Actuals!U508</f>
        <v>0</v>
      </c>
      <c r="Y55" s="128">
        <f>+Actuals!V508</f>
        <v>0</v>
      </c>
      <c r="Z55" s="127">
        <f>+Actuals!W508</f>
        <v>-1130</v>
      </c>
      <c r="AA55" s="128">
        <f>+Actuals!X508</f>
        <v>-2204.04</v>
      </c>
      <c r="AB55" s="127">
        <f>+Actuals!Y508</f>
        <v>0</v>
      </c>
      <c r="AC55" s="128">
        <f>+Actuals!Z508</f>
        <v>0</v>
      </c>
      <c r="AD55" s="127">
        <f>+Actuals!AA508</f>
        <v>0</v>
      </c>
      <c r="AE55" s="128">
        <f>+Actuals!AB508</f>
        <v>0</v>
      </c>
      <c r="AF55" s="127">
        <f>+Actuals!AC508</f>
        <v>0</v>
      </c>
      <c r="AG55" s="128">
        <f>+Actuals!AD508</f>
        <v>0</v>
      </c>
      <c r="AH55" s="127">
        <f>+Actuals!AE508</f>
        <v>0</v>
      </c>
      <c r="AI55" s="128">
        <f>+Actuals!AF508</f>
        <v>0</v>
      </c>
      <c r="AJ55" s="127">
        <f>+Actuals!AG508</f>
        <v>0</v>
      </c>
      <c r="AK55" s="128">
        <f>+Actuals!AH508</f>
        <v>0</v>
      </c>
      <c r="AL55" s="127">
        <f>+Actuals!AI508</f>
        <v>0</v>
      </c>
      <c r="AM55" s="128">
        <f>+Actuals!AJ508</f>
        <v>0</v>
      </c>
      <c r="AN55" s="127">
        <f>+Actuals!AK508</f>
        <v>0</v>
      </c>
      <c r="AO55" s="128">
        <f>+Actuals!AL508</f>
        <v>0</v>
      </c>
    </row>
    <row r="56" spans="1:41" x14ac:dyDescent="0.2">
      <c r="A56" s="9"/>
      <c r="B56" s="7" t="s">
        <v>59</v>
      </c>
      <c r="C56" s="6"/>
      <c r="D56" s="61">
        <f t="shared" ref="D56:Y56" si="23">SUM(D54:D55)</f>
        <v>-11700507</v>
      </c>
      <c r="E56" s="39">
        <f t="shared" si="23"/>
        <v>-1771554.4300000004</v>
      </c>
      <c r="F56" s="61">
        <f t="shared" si="23"/>
        <v>0</v>
      </c>
      <c r="G56" s="39">
        <f t="shared" si="23"/>
        <v>809669.11</v>
      </c>
      <c r="H56" s="61">
        <f t="shared" si="23"/>
        <v>-11559079</v>
      </c>
      <c r="I56" s="39">
        <f t="shared" si="23"/>
        <v>-2972870.06</v>
      </c>
      <c r="J56" s="61">
        <f t="shared" si="23"/>
        <v>-140298</v>
      </c>
      <c r="K56" s="39">
        <f t="shared" si="23"/>
        <v>385910.33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10629.75</v>
      </c>
      <c r="P56" s="61">
        <f t="shared" si="23"/>
        <v>0</v>
      </c>
      <c r="Q56" s="39">
        <f t="shared" si="23"/>
        <v>-8.57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ref="Z56:AE56" si="24">SUM(Z54:Z55)</f>
        <v>-1130</v>
      </c>
      <c r="AA56" s="39">
        <f t="shared" si="24"/>
        <v>-4884.99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0</v>
      </c>
      <c r="F59" s="64">
        <f>'TIE-OUT'!N59+RECLASS!N59</f>
        <v>0</v>
      </c>
      <c r="G59" s="68">
        <f>'TIE-OUT'!O59+RECLASS!O59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127">
        <f>+Actuals!M309</f>
        <v>0</v>
      </c>
      <c r="Q59" s="128">
        <f>+Actuals!N309</f>
        <v>0</v>
      </c>
      <c r="R59" s="127">
        <f>+Actuals!O309</f>
        <v>0</v>
      </c>
      <c r="S59" s="128">
        <f>+Actuals!P309</f>
        <v>0</v>
      </c>
      <c r="T59" s="127">
        <f>+Actuals!Q309</f>
        <v>0</v>
      </c>
      <c r="U59" s="128">
        <f>+Actuals!R309</f>
        <v>0</v>
      </c>
      <c r="V59" s="127">
        <f>+Actuals!S309</f>
        <v>0</v>
      </c>
      <c r="W59" s="128">
        <f>+Actuals!T309</f>
        <v>0</v>
      </c>
      <c r="X59" s="127">
        <f>+Actuals!U509</f>
        <v>0</v>
      </c>
      <c r="Y59" s="128">
        <f>+Actuals!V509</f>
        <v>0</v>
      </c>
      <c r="Z59" s="127">
        <f>+Actuals!W509</f>
        <v>0</v>
      </c>
      <c r="AA59" s="128">
        <f>+Actuals!X509</f>
        <v>0</v>
      </c>
      <c r="AB59" s="127">
        <f>+Actuals!Y509</f>
        <v>0</v>
      </c>
      <c r="AC59" s="128">
        <f>+Actuals!Z509</f>
        <v>0</v>
      </c>
      <c r="AD59" s="127">
        <f>+Actuals!AA509</f>
        <v>0</v>
      </c>
      <c r="AE59" s="128">
        <f>+Actuals!AB509</f>
        <v>0</v>
      </c>
      <c r="AF59" s="127">
        <f>+Actuals!AC509</f>
        <v>0</v>
      </c>
      <c r="AG59" s="128">
        <f>+Actuals!AD509</f>
        <v>0</v>
      </c>
      <c r="AH59" s="127">
        <f>+Actuals!AE509</f>
        <v>0</v>
      </c>
      <c r="AI59" s="128">
        <f>+Actuals!AF509</f>
        <v>0</v>
      </c>
      <c r="AJ59" s="127">
        <f>+Actuals!AG509</f>
        <v>0</v>
      </c>
      <c r="AK59" s="128">
        <f>+Actuals!AH509</f>
        <v>0</v>
      </c>
      <c r="AL59" s="127">
        <f>+Actuals!AI509</f>
        <v>0</v>
      </c>
      <c r="AM59" s="128">
        <f>+Actuals!AJ509</f>
        <v>0</v>
      </c>
      <c r="AN59" s="127">
        <f>+Actuals!AK509</f>
        <v>0</v>
      </c>
      <c r="AO59" s="128">
        <f>+Actuals!AL509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'TIE-OUT'!N60+RECLASS!N60</f>
        <v>0</v>
      </c>
      <c r="G60" s="82">
        <f>'TIE-OUT'!O60+RECLASS!O60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127">
        <f>+Actuals!M310</f>
        <v>0</v>
      </c>
      <c r="Q60" s="128">
        <f>+Actuals!N310</f>
        <v>0</v>
      </c>
      <c r="R60" s="127">
        <f>+Actuals!O310</f>
        <v>0</v>
      </c>
      <c r="S60" s="128">
        <f>+Actuals!P310</f>
        <v>0</v>
      </c>
      <c r="T60" s="127">
        <f>+Actuals!Q310</f>
        <v>0</v>
      </c>
      <c r="U60" s="128">
        <f>+Actuals!R310</f>
        <v>0</v>
      </c>
      <c r="V60" s="127">
        <f>+Actuals!S310</f>
        <v>0</v>
      </c>
      <c r="W60" s="128">
        <f>+Actuals!T310</f>
        <v>0</v>
      </c>
      <c r="X60" s="127">
        <f>+Actuals!U510</f>
        <v>0</v>
      </c>
      <c r="Y60" s="128">
        <f>+Actuals!V510</f>
        <v>0</v>
      </c>
      <c r="Z60" s="127">
        <f>+Actuals!W510</f>
        <v>0</v>
      </c>
      <c r="AA60" s="128">
        <f>+Actuals!X510</f>
        <v>0</v>
      </c>
      <c r="AB60" s="127">
        <f>+Actuals!Y510</f>
        <v>0</v>
      </c>
      <c r="AC60" s="128">
        <f>+Actuals!Z510</f>
        <v>0</v>
      </c>
      <c r="AD60" s="127">
        <f>+Actuals!AA510</f>
        <v>0</v>
      </c>
      <c r="AE60" s="128">
        <f>+Actuals!AB510</f>
        <v>0</v>
      </c>
      <c r="AF60" s="127">
        <f>+Actuals!AC510</f>
        <v>0</v>
      </c>
      <c r="AG60" s="128">
        <f>+Actuals!AD510</f>
        <v>0</v>
      </c>
      <c r="AH60" s="127">
        <f>+Actuals!AE510</f>
        <v>0</v>
      </c>
      <c r="AI60" s="128">
        <f>+Actuals!AF510</f>
        <v>0</v>
      </c>
      <c r="AJ60" s="127">
        <f>+Actuals!AG510</f>
        <v>0</v>
      </c>
      <c r="AK60" s="128">
        <f>+Actuals!AH510</f>
        <v>0</v>
      </c>
      <c r="AL60" s="127">
        <f>+Actuals!AI510</f>
        <v>0</v>
      </c>
      <c r="AM60" s="128">
        <f>+Actuals!AJ510</f>
        <v>0</v>
      </c>
      <c r="AN60" s="127">
        <f>+Actuals!AK510</f>
        <v>0</v>
      </c>
      <c r="AO60" s="128">
        <f>+Actuals!AL510</f>
        <v>0</v>
      </c>
    </row>
    <row r="61" spans="1:41" x14ac:dyDescent="0.2">
      <c r="A61" s="9"/>
      <c r="B61" s="62" t="s">
        <v>63</v>
      </c>
      <c r="C61" s="6"/>
      <c r="D61" s="61">
        <f t="shared" ref="D61:Y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'TIE-OUT'!N64+RECLASS!N64</f>
        <v>0</v>
      </c>
      <c r="G64" s="68">
        <f>'TIE-OUT'!O64+RECLASS!O64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127">
        <f>+Actuals!M311</f>
        <v>0</v>
      </c>
      <c r="Q64" s="128">
        <f>+Actuals!N311</f>
        <v>0</v>
      </c>
      <c r="R64" s="127">
        <f>+Actuals!O311</f>
        <v>0</v>
      </c>
      <c r="S64" s="128">
        <f>+Actuals!P311</f>
        <v>0</v>
      </c>
      <c r="T64" s="127">
        <f>+Actuals!Q311</f>
        <v>0</v>
      </c>
      <c r="U64" s="128">
        <f>+Actuals!R311</f>
        <v>0</v>
      </c>
      <c r="V64" s="127">
        <f>+Actuals!S311</f>
        <v>0</v>
      </c>
      <c r="W64" s="128">
        <f>+Actuals!T311</f>
        <v>0</v>
      </c>
      <c r="X64" s="127">
        <f>+Actuals!U511</f>
        <v>0</v>
      </c>
      <c r="Y64" s="128">
        <f>+Actuals!V511</f>
        <v>0</v>
      </c>
      <c r="Z64" s="127">
        <f>+Actuals!W511</f>
        <v>0</v>
      </c>
      <c r="AA64" s="128">
        <f>+Actuals!X511</f>
        <v>0</v>
      </c>
      <c r="AB64" s="127">
        <f>+Actuals!Y511</f>
        <v>0</v>
      </c>
      <c r="AC64" s="128">
        <f>+Actuals!Z511</f>
        <v>0</v>
      </c>
      <c r="AD64" s="127">
        <f>+Actuals!AA511</f>
        <v>0</v>
      </c>
      <c r="AE64" s="128">
        <f>+Actuals!AB511</f>
        <v>0</v>
      </c>
      <c r="AF64" s="127">
        <f>+Actuals!AC511</f>
        <v>0</v>
      </c>
      <c r="AG64" s="128">
        <f>+Actuals!AD511</f>
        <v>0</v>
      </c>
      <c r="AH64" s="127">
        <f>+Actuals!AE511</f>
        <v>0</v>
      </c>
      <c r="AI64" s="128">
        <f>+Actuals!AF511</f>
        <v>0</v>
      </c>
      <c r="AJ64" s="127">
        <f>+Actuals!AG511</f>
        <v>0</v>
      </c>
      <c r="AK64" s="128">
        <f>+Actuals!AH511</f>
        <v>0</v>
      </c>
      <c r="AL64" s="127">
        <f>+Actuals!AI511</f>
        <v>0</v>
      </c>
      <c r="AM64" s="128">
        <f>+Actuals!AJ511</f>
        <v>0</v>
      </c>
      <c r="AN64" s="127">
        <f>+Actuals!AK511</f>
        <v>0</v>
      </c>
      <c r="AO64" s="128">
        <f>+Actuals!AL511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'TIE-OUT'!N65+RECLASS!N65</f>
        <v>0</v>
      </c>
      <c r="G65" s="82">
        <f>'TIE-OUT'!O65+RECLASS!O65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127">
        <f>+Actuals!M312</f>
        <v>0</v>
      </c>
      <c r="Q65" s="128">
        <f>+Actuals!N312</f>
        <v>0</v>
      </c>
      <c r="R65" s="127">
        <f>+Actuals!O312</f>
        <v>0</v>
      </c>
      <c r="S65" s="128">
        <f>+Actuals!P312</f>
        <v>0</v>
      </c>
      <c r="T65" s="127">
        <f>+Actuals!Q312</f>
        <v>0</v>
      </c>
      <c r="U65" s="128">
        <f>+Actuals!R312</f>
        <v>0</v>
      </c>
      <c r="V65" s="127">
        <f>+Actuals!S312</f>
        <v>0</v>
      </c>
      <c r="W65" s="128">
        <f>+Actuals!T312</f>
        <v>0</v>
      </c>
      <c r="X65" s="127">
        <f>+Actuals!U512</f>
        <v>0</v>
      </c>
      <c r="Y65" s="128">
        <f>+Actuals!V512</f>
        <v>0</v>
      </c>
      <c r="Z65" s="127">
        <f>+Actuals!W512</f>
        <v>0</v>
      </c>
      <c r="AA65" s="128">
        <f>+Actuals!X512</f>
        <v>0</v>
      </c>
      <c r="AB65" s="127">
        <f>+Actuals!Y512</f>
        <v>0</v>
      </c>
      <c r="AC65" s="128">
        <f>+Actuals!Z512</f>
        <v>0</v>
      </c>
      <c r="AD65" s="127">
        <f>+Actuals!AA512</f>
        <v>0</v>
      </c>
      <c r="AE65" s="128">
        <f>+Actuals!AB512</f>
        <v>0</v>
      </c>
      <c r="AF65" s="127">
        <f>+Actuals!AC512</f>
        <v>0</v>
      </c>
      <c r="AG65" s="128">
        <f>+Actuals!AD512</f>
        <v>0</v>
      </c>
      <c r="AH65" s="127">
        <f>+Actuals!AE512</f>
        <v>0</v>
      </c>
      <c r="AI65" s="128">
        <f>+Actuals!AF512</f>
        <v>0</v>
      </c>
      <c r="AJ65" s="127">
        <f>+Actuals!AG512</f>
        <v>0</v>
      </c>
      <c r="AK65" s="128">
        <f>+Actuals!AH512</f>
        <v>0</v>
      </c>
      <c r="AL65" s="127">
        <f>+Actuals!AI512</f>
        <v>0</v>
      </c>
      <c r="AM65" s="128">
        <f>+Actuals!AJ512</f>
        <v>0</v>
      </c>
      <c r="AN65" s="127">
        <f>+Actuals!AK512</f>
        <v>0</v>
      </c>
      <c r="AO65" s="128">
        <f>+Actuals!AL512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 t="shared" ref="F66:Y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1493640</v>
      </c>
      <c r="F70" s="64">
        <f>'TIE-OUT'!N70+RECLASS!N70</f>
        <v>0</v>
      </c>
      <c r="G70" s="68">
        <f>'TIE-OUT'!O70+RECLASS!O70</f>
        <v>1493640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127">
        <f>+Actuals!M313</f>
        <v>0</v>
      </c>
      <c r="Q70" s="128">
        <f>+Actuals!N313</f>
        <v>0</v>
      </c>
      <c r="R70" s="127">
        <f>+Actuals!O313</f>
        <v>0</v>
      </c>
      <c r="S70" s="128">
        <f>+Actuals!P313</f>
        <v>0</v>
      </c>
      <c r="T70" s="127">
        <f>+Actuals!Q313</f>
        <v>0</v>
      </c>
      <c r="U70" s="128">
        <f>+Actuals!R313</f>
        <v>0</v>
      </c>
      <c r="V70" s="127">
        <f>+Actuals!S313</f>
        <v>0</v>
      </c>
      <c r="W70" s="128">
        <f>+Actuals!T313</f>
        <v>0</v>
      </c>
      <c r="X70" s="127">
        <f>+Actuals!U513</f>
        <v>0</v>
      </c>
      <c r="Y70" s="128">
        <f>+Actuals!V513</f>
        <v>0</v>
      </c>
      <c r="Z70" s="127">
        <f>+Actuals!W513</f>
        <v>0</v>
      </c>
      <c r="AA70" s="128">
        <f>+Actuals!X513</f>
        <v>0</v>
      </c>
      <c r="AB70" s="127">
        <f>+Actuals!Y513</f>
        <v>0</v>
      </c>
      <c r="AC70" s="128">
        <f>+Actuals!Z513</f>
        <v>0</v>
      </c>
      <c r="AD70" s="127">
        <f>+Actuals!AA513</f>
        <v>0</v>
      </c>
      <c r="AE70" s="128">
        <f>+Actuals!AB513</f>
        <v>0</v>
      </c>
      <c r="AF70" s="127">
        <f>+Actuals!AC513</f>
        <v>0</v>
      </c>
      <c r="AG70" s="128">
        <f>+Actuals!AD513</f>
        <v>0</v>
      </c>
      <c r="AH70" s="127">
        <f>+Actuals!AE513</f>
        <v>0</v>
      </c>
      <c r="AI70" s="128">
        <f>+Actuals!AF513</f>
        <v>0</v>
      </c>
      <c r="AJ70" s="127">
        <f>+Actuals!AG513</f>
        <v>0</v>
      </c>
      <c r="AK70" s="128">
        <f>+Actuals!AH513</f>
        <v>0</v>
      </c>
      <c r="AL70" s="127">
        <f>+Actuals!AI513</f>
        <v>0</v>
      </c>
      <c r="AM70" s="128">
        <f>+Actuals!AJ513</f>
        <v>0</v>
      </c>
      <c r="AN70" s="127">
        <f>+Actuals!AK513</f>
        <v>0</v>
      </c>
      <c r="AO70" s="128">
        <f>+Actuals!AL513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-709561.76</v>
      </c>
      <c r="F71" s="81">
        <f>'TIE-OUT'!N71+RECLASS!N71</f>
        <v>0</v>
      </c>
      <c r="G71" s="82">
        <f>'TIE-OUT'!O71+RECLASS!O71</f>
        <v>-709561.76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127">
        <f>+Actuals!M314</f>
        <v>0</v>
      </c>
      <c r="Q71" s="128">
        <f>+Actuals!N314</f>
        <v>0</v>
      </c>
      <c r="R71" s="127">
        <f>+Actuals!O314</f>
        <v>0</v>
      </c>
      <c r="S71" s="128">
        <f>+Actuals!P314</f>
        <v>0</v>
      </c>
      <c r="T71" s="127">
        <f>+Actuals!Q314</f>
        <v>0</v>
      </c>
      <c r="U71" s="128">
        <f>+Actuals!R314</f>
        <v>0</v>
      </c>
      <c r="V71" s="127">
        <f>+Actuals!S314</f>
        <v>0</v>
      </c>
      <c r="W71" s="128">
        <f>+Actuals!T314</f>
        <v>0</v>
      </c>
      <c r="X71" s="127">
        <f>+Actuals!U514</f>
        <v>0</v>
      </c>
      <c r="Y71" s="128">
        <f>+Actuals!V514</f>
        <v>0</v>
      </c>
      <c r="Z71" s="127">
        <f>+Actuals!W514</f>
        <v>0</v>
      </c>
      <c r="AA71" s="128">
        <f>+Actuals!X514</f>
        <v>0</v>
      </c>
      <c r="AB71" s="127">
        <f>+Actuals!Y514</f>
        <v>0</v>
      </c>
      <c r="AC71" s="128">
        <f>+Actuals!Z514</f>
        <v>0</v>
      </c>
      <c r="AD71" s="127">
        <f>+Actuals!AA514</f>
        <v>0</v>
      </c>
      <c r="AE71" s="128">
        <f>+Actuals!AB514</f>
        <v>0</v>
      </c>
      <c r="AF71" s="127">
        <f>+Actuals!AC514</f>
        <v>0</v>
      </c>
      <c r="AG71" s="128">
        <f>+Actuals!AD514</f>
        <v>0</v>
      </c>
      <c r="AH71" s="127">
        <f>+Actuals!AE514</f>
        <v>0</v>
      </c>
      <c r="AI71" s="128">
        <f>+Actuals!AF514</f>
        <v>0</v>
      </c>
      <c r="AJ71" s="127">
        <f>+Actuals!AG514</f>
        <v>0</v>
      </c>
      <c r="AK71" s="128">
        <f>+Actuals!AH514</f>
        <v>0</v>
      </c>
      <c r="AL71" s="127">
        <f>+Actuals!AI514</f>
        <v>0</v>
      </c>
      <c r="AM71" s="128">
        <f>+Actuals!AJ514</f>
        <v>0</v>
      </c>
      <c r="AN71" s="127">
        <f>+Actuals!AK514</f>
        <v>0</v>
      </c>
      <c r="AO71" s="128">
        <f>+Actuals!AL514</f>
        <v>0</v>
      </c>
    </row>
    <row r="72" spans="1:41" x14ac:dyDescent="0.2">
      <c r="A72" s="9"/>
      <c r="B72" s="3"/>
      <c r="C72" s="55" t="s">
        <v>71</v>
      </c>
      <c r="D72" s="61">
        <f t="shared" ref="D72:Y72" si="32">SUM(D70:D71)</f>
        <v>0</v>
      </c>
      <c r="E72" s="39">
        <f t="shared" si="32"/>
        <v>784078.24</v>
      </c>
      <c r="F72" s="61">
        <f t="shared" si="32"/>
        <v>0</v>
      </c>
      <c r="G72" s="39">
        <f t="shared" si="32"/>
        <v>784078.24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'TIE-OUT'!N73+RECLASS!N73</f>
        <v>0</v>
      </c>
      <c r="G73" s="60">
        <f>'TIE-OUT'!O73+RECLASS!O73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127">
        <f>+Actuals!M315</f>
        <v>0</v>
      </c>
      <c r="Q73" s="128">
        <f>+Actuals!N315</f>
        <v>0</v>
      </c>
      <c r="R73" s="127">
        <f>+Actuals!O315</f>
        <v>0</v>
      </c>
      <c r="S73" s="128">
        <f>+Actuals!P315</f>
        <v>0</v>
      </c>
      <c r="T73" s="127">
        <f>+Actuals!Q315</f>
        <v>0</v>
      </c>
      <c r="U73" s="128">
        <f>+Actuals!R315</f>
        <v>0</v>
      </c>
      <c r="V73" s="127">
        <f>+Actuals!S315</f>
        <v>0</v>
      </c>
      <c r="W73" s="128">
        <f>+Actuals!T315</f>
        <v>0</v>
      </c>
      <c r="X73" s="127">
        <f>+Actuals!U515</f>
        <v>0</v>
      </c>
      <c r="Y73" s="128">
        <f>+Actuals!V515</f>
        <v>0</v>
      </c>
      <c r="Z73" s="127">
        <f>+Actuals!W515</f>
        <v>0</v>
      </c>
      <c r="AA73" s="128">
        <f>+Actuals!X515</f>
        <v>0</v>
      </c>
      <c r="AB73" s="127">
        <f>+Actuals!Y515</f>
        <v>0</v>
      </c>
      <c r="AC73" s="128">
        <f>+Actuals!Z515</f>
        <v>0</v>
      </c>
      <c r="AD73" s="127">
        <f>+Actuals!AA515</f>
        <v>0</v>
      </c>
      <c r="AE73" s="128">
        <f>+Actuals!AB515</f>
        <v>0</v>
      </c>
      <c r="AF73" s="127">
        <f>+Actuals!AC515</f>
        <v>0</v>
      </c>
      <c r="AG73" s="128">
        <f>+Actuals!AD515</f>
        <v>0</v>
      </c>
      <c r="AH73" s="127">
        <f>+Actuals!AE515</f>
        <v>0</v>
      </c>
      <c r="AI73" s="128">
        <f>+Actuals!AF515</f>
        <v>0</v>
      </c>
      <c r="AJ73" s="127">
        <f>+Actuals!AG515</f>
        <v>0</v>
      </c>
      <c r="AK73" s="128">
        <f>+Actuals!AH515</f>
        <v>0</v>
      </c>
      <c r="AL73" s="127">
        <f>+Actuals!AI515</f>
        <v>0</v>
      </c>
      <c r="AM73" s="128">
        <f>+Actuals!AJ515</f>
        <v>0</v>
      </c>
      <c r="AN73" s="127">
        <f>+Actuals!AK515</f>
        <v>0</v>
      </c>
      <c r="AO73" s="128">
        <f>+Actuals!AL515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573023</v>
      </c>
      <c r="F74" s="60">
        <f>'TIE-OUT'!N74+RECLASS!N74</f>
        <v>0</v>
      </c>
      <c r="G74" s="60">
        <f>'TIE-OUT'!O74+RECLASS!O74</f>
        <v>573023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7">
        <f>+Actuals!H316</f>
        <v>0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127">
        <f>+Actuals!M316</f>
        <v>0</v>
      </c>
      <c r="Q74" s="157">
        <v>-546214</v>
      </c>
      <c r="R74" s="127">
        <f>+Actuals!O316</f>
        <v>0</v>
      </c>
      <c r="S74" s="157">
        <v>546214</v>
      </c>
      <c r="T74" s="127">
        <f>+Actuals!Q316</f>
        <v>0</v>
      </c>
      <c r="U74" s="128">
        <f>+Actuals!R316</f>
        <v>0</v>
      </c>
      <c r="V74" s="127">
        <f>+Actuals!S316</f>
        <v>0</v>
      </c>
      <c r="W74" s="128">
        <f>+Actuals!T316</f>
        <v>0</v>
      </c>
      <c r="X74" s="127">
        <f>+Actuals!U516</f>
        <v>0</v>
      </c>
      <c r="Y74" s="128">
        <f>+Actuals!V516</f>
        <v>0</v>
      </c>
      <c r="Z74" s="127">
        <f>+Actuals!W516</f>
        <v>0</v>
      </c>
      <c r="AA74" s="128">
        <f>+Actuals!X516</f>
        <v>0</v>
      </c>
      <c r="AB74" s="127">
        <f>+Actuals!Y516</f>
        <v>0</v>
      </c>
      <c r="AC74" s="128">
        <f>+Actuals!Z516</f>
        <v>0</v>
      </c>
      <c r="AD74" s="127">
        <f>+Actuals!AA516</f>
        <v>0</v>
      </c>
      <c r="AE74" s="128">
        <f>+Actuals!AB516</f>
        <v>0</v>
      </c>
      <c r="AF74" s="127">
        <f>+Actuals!AC516</f>
        <v>0</v>
      </c>
      <c r="AG74" s="128">
        <f>+Actuals!AD516</f>
        <v>0</v>
      </c>
      <c r="AH74" s="127">
        <f>+Actuals!AE516</f>
        <v>0</v>
      </c>
      <c r="AI74" s="128">
        <f>+Actuals!AF516</f>
        <v>0</v>
      </c>
      <c r="AJ74" s="127">
        <f>+Actuals!AG516</f>
        <v>0</v>
      </c>
      <c r="AK74" s="128">
        <f>+Actuals!AH516</f>
        <v>0</v>
      </c>
      <c r="AL74" s="127">
        <f>+Actuals!AI516</f>
        <v>0</v>
      </c>
      <c r="AM74" s="128">
        <f>+Actuals!AJ516</f>
        <v>0</v>
      </c>
      <c r="AN74" s="127">
        <f>+Actuals!AK516</f>
        <v>0</v>
      </c>
      <c r="AO74" s="128">
        <f>+Actuals!AL516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111300</v>
      </c>
      <c r="F75" s="60">
        <f>'TIE-OUT'!N75+RECLASS!N75</f>
        <v>0</v>
      </c>
      <c r="G75" s="60">
        <f>'TIE-OUT'!O75+RECLASS!O75</f>
        <v>111300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127">
        <f>+Actuals!M317</f>
        <v>0</v>
      </c>
      <c r="Q75" s="128">
        <f>+Actuals!N317</f>
        <v>0</v>
      </c>
      <c r="R75" s="127">
        <f>+Actuals!O317</f>
        <v>0</v>
      </c>
      <c r="S75" s="128">
        <f>+Actuals!P317</f>
        <v>0</v>
      </c>
      <c r="T75" s="127">
        <f>+Actuals!Q317</f>
        <v>0</v>
      </c>
      <c r="U75" s="128">
        <f>+Actuals!R317</f>
        <v>0</v>
      </c>
      <c r="V75" s="127">
        <f>+Actuals!S317</f>
        <v>0</v>
      </c>
      <c r="W75" s="128">
        <f>+Actuals!T317</f>
        <v>0</v>
      </c>
      <c r="X75" s="127">
        <f>+Actuals!U517</f>
        <v>0</v>
      </c>
      <c r="Y75" s="128">
        <f>+Actuals!V517</f>
        <v>0</v>
      </c>
      <c r="Z75" s="127">
        <f>+Actuals!W517</f>
        <v>0</v>
      </c>
      <c r="AA75" s="128">
        <f>+Actuals!X517</f>
        <v>0</v>
      </c>
      <c r="AB75" s="127">
        <f>+Actuals!Y517</f>
        <v>0</v>
      </c>
      <c r="AC75" s="128">
        <f>+Actuals!Z517</f>
        <v>0</v>
      </c>
      <c r="AD75" s="127">
        <f>+Actuals!AA517</f>
        <v>0</v>
      </c>
      <c r="AE75" s="128">
        <f>+Actuals!AB517</f>
        <v>0</v>
      </c>
      <c r="AF75" s="127">
        <f>+Actuals!AC517</f>
        <v>0</v>
      </c>
      <c r="AG75" s="128">
        <f>+Actuals!AD517</f>
        <v>0</v>
      </c>
      <c r="AH75" s="127">
        <f>+Actuals!AE517</f>
        <v>0</v>
      </c>
      <c r="AI75" s="128">
        <f>+Actuals!AF517</f>
        <v>0</v>
      </c>
      <c r="AJ75" s="127">
        <f>+Actuals!AG517</f>
        <v>0</v>
      </c>
      <c r="AK75" s="128">
        <f>+Actuals!AH517</f>
        <v>0</v>
      </c>
      <c r="AL75" s="127">
        <f>+Actuals!AI517</f>
        <v>0</v>
      </c>
      <c r="AM75" s="128">
        <f>+Actuals!AJ517</f>
        <v>0</v>
      </c>
      <c r="AN75" s="127">
        <f>+Actuals!AK517</f>
        <v>0</v>
      </c>
      <c r="AO75" s="128">
        <f>+Actuals!AL517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-32332.43</v>
      </c>
      <c r="F76" s="60">
        <f>'TIE-OUT'!N76+RECLASS!N76</f>
        <v>0</v>
      </c>
      <c r="G76" s="60">
        <f>'TIE-OUT'!O76+RECLASS!O76</f>
        <v>0</v>
      </c>
      <c r="H76" s="127">
        <f>+Actuals!E318</f>
        <v>0</v>
      </c>
      <c r="I76" s="128">
        <f>+Actuals!F318</f>
        <v>-9282.51</v>
      </c>
      <c r="J76" s="127">
        <f>+Actuals!G318</f>
        <v>0</v>
      </c>
      <c r="K76" s="128">
        <f>+Actuals!H318</f>
        <v>-23049.919999999998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127">
        <f>+Actuals!M318</f>
        <v>0</v>
      </c>
      <c r="Q76" s="128">
        <f>+Actuals!N318</f>
        <v>0</v>
      </c>
      <c r="R76" s="127">
        <f>+Actuals!O318</f>
        <v>0</v>
      </c>
      <c r="S76" s="128">
        <f>+Actuals!P318</f>
        <v>0</v>
      </c>
      <c r="T76" s="127">
        <f>+Actuals!Q318</f>
        <v>0</v>
      </c>
      <c r="U76" s="128">
        <f>+Actuals!R318</f>
        <v>0</v>
      </c>
      <c r="V76" s="127">
        <f>+Actuals!S318</f>
        <v>0</v>
      </c>
      <c r="W76" s="128">
        <f>+Actuals!T318</f>
        <v>0</v>
      </c>
      <c r="X76" s="127">
        <f>+Actuals!U518</f>
        <v>0</v>
      </c>
      <c r="Y76" s="128">
        <f>+Actuals!V518</f>
        <v>0</v>
      </c>
      <c r="Z76" s="127">
        <f>+Actuals!W518</f>
        <v>0</v>
      </c>
      <c r="AA76" s="128">
        <f>+Actuals!X518</f>
        <v>0</v>
      </c>
      <c r="AB76" s="127">
        <f>+Actuals!Y518</f>
        <v>0</v>
      </c>
      <c r="AC76" s="128">
        <f>+Actuals!Z518</f>
        <v>0</v>
      </c>
      <c r="AD76" s="127">
        <f>+Actuals!AA518</f>
        <v>0</v>
      </c>
      <c r="AE76" s="128">
        <f>+Actuals!AB518</f>
        <v>0</v>
      </c>
      <c r="AF76" s="127">
        <f>+Actuals!AC518</f>
        <v>0</v>
      </c>
      <c r="AG76" s="128">
        <f>+Actuals!AD518</f>
        <v>0</v>
      </c>
      <c r="AH76" s="127">
        <f>+Actuals!AE518</f>
        <v>0</v>
      </c>
      <c r="AI76" s="128">
        <f>+Actuals!AF518</f>
        <v>0</v>
      </c>
      <c r="AJ76" s="127">
        <f>+Actuals!AG518</f>
        <v>0</v>
      </c>
      <c r="AK76" s="128">
        <f>+Actuals!AH518</f>
        <v>0</v>
      </c>
      <c r="AL76" s="127">
        <f>+Actuals!AI518</f>
        <v>0</v>
      </c>
      <c r="AM76" s="128">
        <f>+Actuals!AJ518</f>
        <v>0</v>
      </c>
      <c r="AN76" s="127">
        <f>+Actuals!AK518</f>
        <v>0</v>
      </c>
      <c r="AO76" s="128">
        <f>+Actuals!AL518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60">
        <f>'TIE-OUT'!N77+RECLASS!N77</f>
        <v>0</v>
      </c>
      <c r="G77" s="60">
        <f>'TIE-OUT'!O77+RECLASS!O77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127">
        <f>+Actuals!M319</f>
        <v>0</v>
      </c>
      <c r="Q77" s="128">
        <f>+Actuals!N319</f>
        <v>0</v>
      </c>
      <c r="R77" s="127">
        <f>+Actuals!O319</f>
        <v>0</v>
      </c>
      <c r="S77" s="128">
        <f>+Actuals!P319</f>
        <v>0</v>
      </c>
      <c r="T77" s="127">
        <f>+Actuals!Q319</f>
        <v>0</v>
      </c>
      <c r="U77" s="128">
        <f>+Actuals!R319</f>
        <v>0</v>
      </c>
      <c r="V77" s="127">
        <f>+Actuals!S319</f>
        <v>0</v>
      </c>
      <c r="W77" s="128">
        <f>+Actuals!T319</f>
        <v>0</v>
      </c>
      <c r="X77" s="127">
        <f>+Actuals!U519</f>
        <v>0</v>
      </c>
      <c r="Y77" s="128">
        <f>+Actuals!V519</f>
        <v>0</v>
      </c>
      <c r="Z77" s="127">
        <f>+Actuals!W519</f>
        <v>0</v>
      </c>
      <c r="AA77" s="128">
        <f>+Actuals!X519</f>
        <v>0</v>
      </c>
      <c r="AB77" s="127">
        <f>+Actuals!Y519</f>
        <v>0</v>
      </c>
      <c r="AC77" s="128">
        <f>+Actuals!Z519</f>
        <v>0</v>
      </c>
      <c r="AD77" s="127">
        <f>+Actuals!AA519</f>
        <v>0</v>
      </c>
      <c r="AE77" s="128">
        <f>+Actuals!AB519</f>
        <v>0</v>
      </c>
      <c r="AF77" s="127">
        <f>+Actuals!AC519</f>
        <v>0</v>
      </c>
      <c r="AG77" s="128">
        <f>+Actuals!AD519</f>
        <v>0</v>
      </c>
      <c r="AH77" s="127">
        <f>+Actuals!AE519</f>
        <v>0</v>
      </c>
      <c r="AI77" s="128">
        <f>+Actuals!AF519</f>
        <v>0</v>
      </c>
      <c r="AJ77" s="127">
        <f>+Actuals!AG519</f>
        <v>0</v>
      </c>
      <c r="AK77" s="128">
        <f>+Actuals!AH519</f>
        <v>0</v>
      </c>
      <c r="AL77" s="127">
        <f>+Actuals!AI519</f>
        <v>0</v>
      </c>
      <c r="AM77" s="128">
        <f>+Actuals!AJ519</f>
        <v>0</v>
      </c>
      <c r="AN77" s="127">
        <f>+Actuals!AK519</f>
        <v>0</v>
      </c>
      <c r="AO77" s="128">
        <f>+Actuals!AL519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'TIE-OUT'!N78+RECLASS!N78</f>
        <v>0</v>
      </c>
      <c r="G78" s="60">
        <f>'TIE-OUT'!O78+RECLASS!O78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127">
        <f>+Actuals!M320</f>
        <v>0</v>
      </c>
      <c r="Q78" s="128">
        <f>+Actuals!N320</f>
        <v>0</v>
      </c>
      <c r="R78" s="127">
        <f>+Actuals!O320</f>
        <v>0</v>
      </c>
      <c r="S78" s="128">
        <f>+Actuals!P320</f>
        <v>0</v>
      </c>
      <c r="T78" s="127">
        <f>+Actuals!Q320</f>
        <v>0</v>
      </c>
      <c r="U78" s="128">
        <f>+Actuals!R320</f>
        <v>0</v>
      </c>
      <c r="V78" s="127">
        <f>+Actuals!S320</f>
        <v>0</v>
      </c>
      <c r="W78" s="128">
        <f>+Actuals!T320</f>
        <v>0</v>
      </c>
      <c r="X78" s="127">
        <f>+Actuals!U520</f>
        <v>0</v>
      </c>
      <c r="Y78" s="128">
        <f>+Actuals!V520</f>
        <v>0</v>
      </c>
      <c r="Z78" s="127">
        <f>+Actuals!W520</f>
        <v>0</v>
      </c>
      <c r="AA78" s="128">
        <f>+Actuals!X520</f>
        <v>0</v>
      </c>
      <c r="AB78" s="127">
        <f>+Actuals!Y520</f>
        <v>0</v>
      </c>
      <c r="AC78" s="128">
        <f>+Actuals!Z520</f>
        <v>0</v>
      </c>
      <c r="AD78" s="127">
        <f>+Actuals!AA520</f>
        <v>0</v>
      </c>
      <c r="AE78" s="128">
        <f>+Actuals!AB520</f>
        <v>0</v>
      </c>
      <c r="AF78" s="127">
        <f>+Actuals!AC520</f>
        <v>0</v>
      </c>
      <c r="AG78" s="128">
        <f>+Actuals!AD520</f>
        <v>0</v>
      </c>
      <c r="AH78" s="127">
        <f>+Actuals!AE520</f>
        <v>0</v>
      </c>
      <c r="AI78" s="128">
        <f>+Actuals!AF520</f>
        <v>0</v>
      </c>
      <c r="AJ78" s="127">
        <f>+Actuals!AG520</f>
        <v>0</v>
      </c>
      <c r="AK78" s="128">
        <f>+Actuals!AH520</f>
        <v>0</v>
      </c>
      <c r="AL78" s="127">
        <f>+Actuals!AI520</f>
        <v>0</v>
      </c>
      <c r="AM78" s="128">
        <f>+Actuals!AJ520</f>
        <v>0</v>
      </c>
      <c r="AN78" s="127">
        <f>+Actuals!AK520</f>
        <v>0</v>
      </c>
      <c r="AO78" s="128">
        <f>+Actuals!AL520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'TIE-OUT'!N79+RECLASS!N79</f>
        <v>0</v>
      </c>
      <c r="G79" s="60">
        <f>'TIE-OUT'!O79+RECLASS!O79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127">
        <f>+Actuals!M321</f>
        <v>0</v>
      </c>
      <c r="Q79" s="128">
        <f>+Actuals!N321</f>
        <v>0</v>
      </c>
      <c r="R79" s="127">
        <f>+Actuals!O321</f>
        <v>0</v>
      </c>
      <c r="S79" s="128">
        <f>+Actuals!P321</f>
        <v>0</v>
      </c>
      <c r="T79" s="127">
        <f>+Actuals!Q321</f>
        <v>0</v>
      </c>
      <c r="U79" s="128">
        <f>+Actuals!R321</f>
        <v>0</v>
      </c>
      <c r="V79" s="127">
        <f>+Actuals!S321</f>
        <v>0</v>
      </c>
      <c r="W79" s="128">
        <f>+Actuals!T321</f>
        <v>0</v>
      </c>
      <c r="X79" s="127">
        <f>+Actuals!U521</f>
        <v>0</v>
      </c>
      <c r="Y79" s="128">
        <f>+Actuals!V521</f>
        <v>0</v>
      </c>
      <c r="Z79" s="127">
        <f>+Actuals!W521</f>
        <v>0</v>
      </c>
      <c r="AA79" s="128">
        <f>+Actuals!X521</f>
        <v>0</v>
      </c>
      <c r="AB79" s="127">
        <f>+Actuals!Y521</f>
        <v>0</v>
      </c>
      <c r="AC79" s="128">
        <f>+Actuals!Z521</f>
        <v>0</v>
      </c>
      <c r="AD79" s="127">
        <f>+Actuals!AA521</f>
        <v>0</v>
      </c>
      <c r="AE79" s="128">
        <f>+Actuals!AB521</f>
        <v>0</v>
      </c>
      <c r="AF79" s="127">
        <f>+Actuals!AC521</f>
        <v>0</v>
      </c>
      <c r="AG79" s="128">
        <f>+Actuals!AD521</f>
        <v>0</v>
      </c>
      <c r="AH79" s="127">
        <f>+Actuals!AE521</f>
        <v>0</v>
      </c>
      <c r="AI79" s="128">
        <f>+Actuals!AF521</f>
        <v>0</v>
      </c>
      <c r="AJ79" s="127">
        <f>+Actuals!AG521</f>
        <v>0</v>
      </c>
      <c r="AK79" s="128">
        <f>+Actuals!AH521</f>
        <v>0</v>
      </c>
      <c r="AL79" s="127">
        <f>+Actuals!AI521</f>
        <v>0</v>
      </c>
      <c r="AM79" s="128">
        <f>+Actuals!AJ521</f>
        <v>0</v>
      </c>
      <c r="AN79" s="127">
        <f>+Actuals!AK521</f>
        <v>0</v>
      </c>
      <c r="AO79" s="128">
        <f>+Actuals!AL521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'TIE-OUT'!N80+RECLASS!N80</f>
        <v>0</v>
      </c>
      <c r="G80" s="60">
        <f>'TIE-OUT'!O80+RECLASS!O80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127">
        <f>+Actuals!M322</f>
        <v>0</v>
      </c>
      <c r="Q80" s="128">
        <f>+Actuals!N322</f>
        <v>0</v>
      </c>
      <c r="R80" s="127">
        <f>+Actuals!O322</f>
        <v>0</v>
      </c>
      <c r="S80" s="128">
        <f>+Actuals!P322</f>
        <v>0</v>
      </c>
      <c r="T80" s="127">
        <f>+Actuals!Q322</f>
        <v>0</v>
      </c>
      <c r="U80" s="128">
        <f>+Actuals!R322</f>
        <v>0</v>
      </c>
      <c r="V80" s="127">
        <f>+Actuals!S322</f>
        <v>0</v>
      </c>
      <c r="W80" s="128">
        <f>+Actuals!T322</f>
        <v>0</v>
      </c>
      <c r="X80" s="127">
        <f>+Actuals!U522</f>
        <v>0</v>
      </c>
      <c r="Y80" s="128">
        <f>+Actuals!V522</f>
        <v>0</v>
      </c>
      <c r="Z80" s="127">
        <f>+Actuals!W522</f>
        <v>0</v>
      </c>
      <c r="AA80" s="128">
        <f>+Actuals!X522</f>
        <v>0</v>
      </c>
      <c r="AB80" s="127">
        <f>+Actuals!Y522</f>
        <v>0</v>
      </c>
      <c r="AC80" s="128">
        <f>+Actuals!Z522</f>
        <v>0</v>
      </c>
      <c r="AD80" s="127">
        <f>+Actuals!AA522</f>
        <v>0</v>
      </c>
      <c r="AE80" s="128">
        <f>+Actuals!AB522</f>
        <v>0</v>
      </c>
      <c r="AF80" s="127">
        <f>+Actuals!AC522</f>
        <v>0</v>
      </c>
      <c r="AG80" s="128">
        <f>+Actuals!AD522</f>
        <v>0</v>
      </c>
      <c r="AH80" s="127">
        <f>+Actuals!AE522</f>
        <v>0</v>
      </c>
      <c r="AI80" s="128">
        <f>+Actuals!AF522</f>
        <v>0</v>
      </c>
      <c r="AJ80" s="127">
        <f>+Actuals!AG522</f>
        <v>0</v>
      </c>
      <c r="AK80" s="128">
        <f>+Actuals!AH522</f>
        <v>0</v>
      </c>
      <c r="AL80" s="127">
        <f>+Actuals!AI522</f>
        <v>0</v>
      </c>
      <c r="AM80" s="128">
        <f>+Actuals!AJ522</f>
        <v>0</v>
      </c>
      <c r="AN80" s="127">
        <f>+Actuals!AK522</f>
        <v>0</v>
      </c>
      <c r="AO80" s="128">
        <f>+Actuals!AL522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68664.55</v>
      </c>
      <c r="F81" s="60">
        <f>'TIE-OUT'!N81+RECLASS!N81</f>
        <v>0</v>
      </c>
      <c r="G81" s="60">
        <f>'TIE-OUT'!O81+RECLASS!O81</f>
        <v>0</v>
      </c>
      <c r="H81" s="127">
        <f>+Actuals!E323</f>
        <v>0</v>
      </c>
      <c r="I81" s="128">
        <f>+Actuals!F323</f>
        <v>61413.86</v>
      </c>
      <c r="J81" s="127">
        <f>+Actuals!G323</f>
        <v>0</v>
      </c>
      <c r="K81" s="128">
        <f>+Actuals!H323</f>
        <v>-3602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127">
        <f>+Actuals!M323</f>
        <v>0</v>
      </c>
      <c r="Q81" s="128">
        <f>+Actuals!N323</f>
        <v>10852.69</v>
      </c>
      <c r="R81" s="127">
        <f>+Actuals!O323</f>
        <v>0</v>
      </c>
      <c r="S81" s="128">
        <f>+Actuals!P323</f>
        <v>0</v>
      </c>
      <c r="T81" s="127">
        <f>+Actuals!Q323</f>
        <v>0</v>
      </c>
      <c r="U81" s="128">
        <f>+Actuals!R323</f>
        <v>0</v>
      </c>
      <c r="V81" s="127">
        <f>+Actuals!S323</f>
        <v>0</v>
      </c>
      <c r="W81" s="128">
        <f>+Actuals!T323</f>
        <v>0</v>
      </c>
      <c r="X81" s="127">
        <f>+Actuals!U523</f>
        <v>0</v>
      </c>
      <c r="Y81" s="128">
        <f>+Actuals!V523</f>
        <v>0</v>
      </c>
      <c r="Z81" s="127">
        <f>+Actuals!W523</f>
        <v>0</v>
      </c>
      <c r="AA81" s="128">
        <f>+Actuals!X523</f>
        <v>0</v>
      </c>
      <c r="AB81" s="127">
        <f>+Actuals!Y523</f>
        <v>0</v>
      </c>
      <c r="AC81" s="128">
        <f>+Actuals!Z523</f>
        <v>0</v>
      </c>
      <c r="AD81" s="127">
        <f>+Actuals!AA523</f>
        <v>0</v>
      </c>
      <c r="AE81" s="128">
        <f>+Actuals!AB523</f>
        <v>0</v>
      </c>
      <c r="AF81" s="127">
        <f>+Actuals!AC523</f>
        <v>0</v>
      </c>
      <c r="AG81" s="128">
        <f>+Actuals!AD523</f>
        <v>0</v>
      </c>
      <c r="AH81" s="127">
        <f>+Actuals!AE523</f>
        <v>0</v>
      </c>
      <c r="AI81" s="128">
        <f>+Actuals!AF523</f>
        <v>0</v>
      </c>
      <c r="AJ81" s="127">
        <f>+Actuals!AG523</f>
        <v>0</v>
      </c>
      <c r="AK81" s="128">
        <f>+Actuals!AH523</f>
        <v>0</v>
      </c>
      <c r="AL81" s="127">
        <f>+Actuals!AI523</f>
        <v>0</v>
      </c>
      <c r="AM81" s="128">
        <f>+Actuals!AJ523</f>
        <v>0</v>
      </c>
      <c r="AN81" s="127">
        <f>+Actuals!AK523</f>
        <v>0</v>
      </c>
      <c r="AO81" s="128">
        <f>+Actuals!AL523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1069502.6850000026</v>
      </c>
      <c r="F82" s="92">
        <f>F16+F24+F29+F36+F43+F45+F47+F49</f>
        <v>0</v>
      </c>
      <c r="G82" s="93">
        <f>SUM(G72:G81)+G16+G24+G29+G36+G43+G45+G47+G49+G51+G56+G61+G66</f>
        <v>1604472.3400000003</v>
      </c>
      <c r="H82" s="92">
        <f>H16+H24+H29+H36+H43+H45+H47+H49</f>
        <v>0</v>
      </c>
      <c r="I82" s="93">
        <f>SUM(I72:I81)+I16+I24+I29+I36+I43+I45+I47+I49+I51+I56+I61+I66</f>
        <v>406013.06999997795</v>
      </c>
      <c r="J82" s="92">
        <f>J16+J24+J29+J36+J43+J45+J47+J49</f>
        <v>0</v>
      </c>
      <c r="K82" s="158">
        <f>SUM(K72:K81)+K16+K24+K29+K36+K43+K45+K47+K49+K51+K56+K61+K66</f>
        <v>610970.86</v>
      </c>
      <c r="L82" s="92">
        <f>L16+L24+L29+L36+L43+L45+L47+L49</f>
        <v>0</v>
      </c>
      <c r="M82" s="93">
        <f>SUM(M72:M81)+M16+M24+M29+M36+M43+M45+M47+M49+M51+M56+M61+M66</f>
        <v>-1278006.0850000002</v>
      </c>
      <c r="N82" s="92">
        <f>N16+N24+N29+N36+N43+N45+N47+N49</f>
        <v>0</v>
      </c>
      <c r="O82" s="93">
        <f>SUM(O72:O81)+O16+O24+O29+O36+O43+O45+O47+O49+O51+O56+O61+O66</f>
        <v>1249169.5950000002</v>
      </c>
      <c r="P82" s="92">
        <f>P16+P24+P29+P36+P43+P45+P47+P49</f>
        <v>0</v>
      </c>
      <c r="Q82" s="93">
        <f>SUM(Q72:Q81)+Q16+Q24+Q29+Q36+Q43+Q45+Q47+Q49+Q51+Q56+Q61+Q66</f>
        <v>-869227.38899999997</v>
      </c>
      <c r="R82" s="92">
        <f>R16+R24+R29+R36+R43+R45+R47+R49</f>
        <v>0</v>
      </c>
      <c r="S82" s="93">
        <f>SUM(S72:S81)+S16+S24+S29+S36+S43+S45+S47+S49+S51+S56+S61+S66</f>
        <v>568047.65399999998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108950.41999999969</v>
      </c>
      <c r="X82" s="92">
        <f>X16+X24+X29+X36+X43+X45+X47+X49</f>
        <v>0</v>
      </c>
      <c r="Y82" s="93">
        <f>SUM(Y72:Y81)+Y16+Y24+Y29+Y36+Y43+Y45+Y47+Y49+Y51+Y56+Y61+Y66</f>
        <v>-1021442.03</v>
      </c>
      <c r="Z82" s="92">
        <f>Z16+Z24+Z29+Z36+Z43+Z45+Z47+Z49</f>
        <v>0</v>
      </c>
      <c r="AA82" s="93">
        <f>SUM(AA72:AA81)+AA16+AA24+AA29+AA36+AA43+AA45+AA47+AA49+AA51+AA56+AA61+AA66</f>
        <v>-4884.99</v>
      </c>
      <c r="AB82" s="92">
        <f>AB16+AB24+AB29+AB36+AB43+AB45+AB47+AB49</f>
        <v>0</v>
      </c>
      <c r="AC82" s="93">
        <f>SUM(AC72:AC81)+AC16+AC24+AC29+AC36+AC43+AC45+AC47+AC49+AC51+AC56+AC61+AC66</f>
        <v>-146645.02000000025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-162611.62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4695.880000000001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4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O179"/>
  <sheetViews>
    <sheetView zoomScale="75" workbookViewId="0">
      <pane xSplit="3" ySplit="9" topLeftCell="V10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6463380</v>
      </c>
      <c r="E11" s="38">
        <f t="shared" si="0"/>
        <v>22017902</v>
      </c>
      <c r="F11" s="60">
        <f>'TIE-OUT'!X11+RECLASS!X11</f>
        <v>0</v>
      </c>
      <c r="G11" s="38">
        <f>'TIE-OUT'!Y11+RECLASS!Y11</f>
        <v>0</v>
      </c>
      <c r="H11" s="130">
        <f>+Actuals!E84+6908931</f>
        <v>6908931</v>
      </c>
      <c r="I11" s="131">
        <f>+Actuals!F84+15136614+722350</f>
        <v>15858964</v>
      </c>
      <c r="J11" s="130">
        <f>+Actuals!G84</f>
        <v>0</v>
      </c>
      <c r="K11" s="147">
        <f>+Actuals!H84+-7272248</f>
        <v>-7272248</v>
      </c>
      <c r="L11" s="130">
        <f>+Actuals!I84</f>
        <v>0</v>
      </c>
      <c r="M11" s="131">
        <f>+Actuals!J84</f>
        <v>0</v>
      </c>
      <c r="N11" s="130">
        <f>+Actuals!K84</f>
        <v>0</v>
      </c>
      <c r="O11" s="131">
        <f>+Actuals!L84</f>
        <v>0</v>
      </c>
      <c r="P11" s="130">
        <f>+Actuals!M84</f>
        <v>0</v>
      </c>
      <c r="Q11" s="131">
        <f>+Actuals!N84</f>
        <v>0</v>
      </c>
      <c r="R11" s="130">
        <v>-445551</v>
      </c>
      <c r="S11" s="131">
        <v>13613205</v>
      </c>
      <c r="T11" s="130">
        <f>+Actuals!Q84</f>
        <v>0</v>
      </c>
      <c r="U11" s="131">
        <f>+Actuals!R84</f>
        <v>0</v>
      </c>
      <c r="V11" s="130">
        <f>+Actuals!S84</f>
        <v>0</v>
      </c>
      <c r="W11" s="131">
        <v>-182019</v>
      </c>
      <c r="X11" s="127">
        <f>+Actuals!U124</f>
        <v>0</v>
      </c>
      <c r="Y11" s="128">
        <f>+Actuals!V124</f>
        <v>0</v>
      </c>
      <c r="Z11" s="130">
        <f>+Actuals!W124</f>
        <v>0</v>
      </c>
      <c r="AA11" s="131">
        <f>+Actuals!X124</f>
        <v>0</v>
      </c>
      <c r="AB11" s="130">
        <f>+Actuals!Y124</f>
        <v>0</v>
      </c>
      <c r="AC11" s="131">
        <f>+Actuals!Z124</f>
        <v>0</v>
      </c>
      <c r="AD11" s="130">
        <f>+Actuals!AA124</f>
        <v>0</v>
      </c>
      <c r="AE11" s="131">
        <f>+Actuals!AB124</f>
        <v>0</v>
      </c>
      <c r="AF11" s="130">
        <f>+Actuals!AC124</f>
        <v>0</v>
      </c>
      <c r="AG11" s="131">
        <f>+Actuals!AD124</f>
        <v>0</v>
      </c>
      <c r="AH11" s="130">
        <f>+Actuals!AE124</f>
        <v>0</v>
      </c>
      <c r="AI11" s="131">
        <f>+Actuals!AF124</f>
        <v>0</v>
      </c>
      <c r="AJ11" s="130">
        <f>+Actuals!AG124</f>
        <v>0</v>
      </c>
      <c r="AK11" s="131">
        <f>+Actuals!AH124</f>
        <v>0</v>
      </c>
      <c r="AL11" s="130">
        <f>+Actuals!AI124</f>
        <v>0</v>
      </c>
      <c r="AM11" s="131">
        <f>+Actuals!AJ124</f>
        <v>0</v>
      </c>
      <c r="AN11" s="130">
        <f>+Actuals!AK124</f>
        <v>0</v>
      </c>
      <c r="AO11" s="131">
        <f>+Actuals!AL124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f>+Actuals!H85</f>
        <v>0</v>
      </c>
      <c r="L12" s="130">
        <f>+Actuals!I85</f>
        <v>0</v>
      </c>
      <c r="M12" s="131">
        <f>+Actuals!J85</f>
        <v>0</v>
      </c>
      <c r="N12" s="130">
        <f>+Actuals!K85</f>
        <v>0</v>
      </c>
      <c r="O12" s="131">
        <f>+Actuals!L85</f>
        <v>0</v>
      </c>
      <c r="P12" s="130">
        <f>+Actuals!M85</f>
        <v>0</v>
      </c>
      <c r="Q12" s="131">
        <f>+Actuals!N85</f>
        <v>0</v>
      </c>
      <c r="R12" s="130">
        <f>+Actuals!O85</f>
        <v>0</v>
      </c>
      <c r="S12" s="131">
        <f>+Actuals!P85</f>
        <v>0</v>
      </c>
      <c r="T12" s="130">
        <f>+Actuals!Q85</f>
        <v>0</v>
      </c>
      <c r="U12" s="131">
        <f>+Actuals!R85</f>
        <v>0</v>
      </c>
      <c r="V12" s="130">
        <f>+Actuals!S85</f>
        <v>0</v>
      </c>
      <c r="W12" s="131">
        <f>+Actuals!T85</f>
        <v>0</v>
      </c>
      <c r="X12" s="127">
        <f>+Actuals!U125</f>
        <v>0</v>
      </c>
      <c r="Y12" s="128">
        <f>+Actuals!V125</f>
        <v>0</v>
      </c>
      <c r="Z12" s="130">
        <f>+Actuals!W125</f>
        <v>0</v>
      </c>
      <c r="AA12" s="131">
        <f>+Actuals!X125</f>
        <v>0</v>
      </c>
      <c r="AB12" s="130">
        <f>+Actuals!Y125</f>
        <v>0</v>
      </c>
      <c r="AC12" s="131">
        <f>+Actuals!Z125</f>
        <v>0</v>
      </c>
      <c r="AD12" s="130">
        <f>+Actuals!AA125</f>
        <v>0</v>
      </c>
      <c r="AE12" s="131">
        <f>+Actuals!AB125</f>
        <v>0</v>
      </c>
      <c r="AF12" s="130">
        <f>+Actuals!AC125</f>
        <v>0</v>
      </c>
      <c r="AG12" s="131">
        <f>+Actuals!AD125</f>
        <v>0</v>
      </c>
      <c r="AH12" s="130">
        <f>+Actuals!AE125</f>
        <v>0</v>
      </c>
      <c r="AI12" s="131">
        <f>+Actuals!AF125</f>
        <v>0</v>
      </c>
      <c r="AJ12" s="130">
        <f>+Actuals!AG125</f>
        <v>0</v>
      </c>
      <c r="AK12" s="131">
        <f>+Actuals!AH125</f>
        <v>0</v>
      </c>
      <c r="AL12" s="130">
        <f>+Actuals!AI125</f>
        <v>0</v>
      </c>
      <c r="AM12" s="131">
        <f>+Actuals!AJ125</f>
        <v>0</v>
      </c>
      <c r="AN12" s="130">
        <f>+Actuals!AK125</f>
        <v>0</v>
      </c>
      <c r="AO12" s="131">
        <f>+Actuals!AL125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22912116</v>
      </c>
      <c r="E13" s="38">
        <f t="shared" si="0"/>
        <v>54912658</v>
      </c>
      <c r="F13" s="60">
        <f>'TIE-OUT'!X13+RECLASS!X13</f>
        <v>0</v>
      </c>
      <c r="G13" s="38">
        <f>'TIE-OUT'!Y13+RECLASS!Y13</f>
        <v>0</v>
      </c>
      <c r="H13" s="130">
        <f>+Actuals!E86+22912116</f>
        <v>22912116</v>
      </c>
      <c r="I13" s="131">
        <f>+Actuals!F86+54912658</f>
        <v>54912658</v>
      </c>
      <c r="J13" s="130">
        <f>+Actuals!G86</f>
        <v>0</v>
      </c>
      <c r="K13" s="147">
        <f>+Actuals!H86</f>
        <v>0</v>
      </c>
      <c r="L13" s="130">
        <f>+Actuals!I86</f>
        <v>0</v>
      </c>
      <c r="M13" s="131">
        <f>+Actuals!J86</f>
        <v>0</v>
      </c>
      <c r="N13" s="130">
        <f>+Actuals!K86</f>
        <v>0</v>
      </c>
      <c r="O13" s="131">
        <f>+Actuals!L86</f>
        <v>0</v>
      </c>
      <c r="P13" s="130">
        <f>+Actuals!M86</f>
        <v>0</v>
      </c>
      <c r="Q13" s="131">
        <f>+Actuals!N86</f>
        <v>0</v>
      </c>
      <c r="R13" s="130">
        <f>+Actuals!O86</f>
        <v>0</v>
      </c>
      <c r="S13" s="131">
        <f>+Actuals!P86</f>
        <v>0</v>
      </c>
      <c r="T13" s="130">
        <f>+Actuals!Q86</f>
        <v>0</v>
      </c>
      <c r="U13" s="131">
        <f>+Actuals!R86</f>
        <v>0</v>
      </c>
      <c r="V13" s="130">
        <f>+Actuals!S86</f>
        <v>0</v>
      </c>
      <c r="W13" s="131">
        <f>+Actuals!T86</f>
        <v>0</v>
      </c>
      <c r="X13" s="127">
        <f>+Actuals!U126</f>
        <v>0</v>
      </c>
      <c r="Y13" s="128">
        <f>+Actuals!V126</f>
        <v>0</v>
      </c>
      <c r="Z13" s="130">
        <f>+Actuals!W126</f>
        <v>0</v>
      </c>
      <c r="AA13" s="131">
        <f>+Actuals!X126</f>
        <v>0</v>
      </c>
      <c r="AB13" s="130">
        <f>+Actuals!Y126</f>
        <v>0</v>
      </c>
      <c r="AC13" s="131">
        <f>+Actuals!Z126</f>
        <v>0</v>
      </c>
      <c r="AD13" s="130">
        <f>+Actuals!AA126</f>
        <v>0</v>
      </c>
      <c r="AE13" s="131">
        <f>+Actuals!AB126</f>
        <v>0</v>
      </c>
      <c r="AF13" s="130">
        <f>+Actuals!AC126</f>
        <v>0</v>
      </c>
      <c r="AG13" s="131">
        <f>+Actuals!AD126</f>
        <v>0</v>
      </c>
      <c r="AH13" s="130">
        <f>+Actuals!AE126</f>
        <v>0</v>
      </c>
      <c r="AI13" s="131">
        <f>+Actuals!AF126</f>
        <v>0</v>
      </c>
      <c r="AJ13" s="130">
        <f>+Actuals!AG126</f>
        <v>0</v>
      </c>
      <c r="AK13" s="131">
        <f>+Actuals!AH126</f>
        <v>0</v>
      </c>
      <c r="AL13" s="130">
        <f>+Actuals!AI126</f>
        <v>0</v>
      </c>
      <c r="AM13" s="131">
        <f>+Actuals!AJ126</f>
        <v>0</v>
      </c>
      <c r="AN13" s="130">
        <f>+Actuals!AK126</f>
        <v>0</v>
      </c>
      <c r="AO13" s="131">
        <f>+Actuals!AL126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30">
        <f>+Actuals!K87</f>
        <v>0</v>
      </c>
      <c r="O14" s="131">
        <f>+Actuals!L87</f>
        <v>0</v>
      </c>
      <c r="P14" s="130">
        <f>+Actuals!M87</f>
        <v>0</v>
      </c>
      <c r="Q14" s="131">
        <f>+Actuals!N87</f>
        <v>0</v>
      </c>
      <c r="R14" s="130">
        <f>+Actuals!O87</f>
        <v>0</v>
      </c>
      <c r="S14" s="131">
        <f>+Actuals!P87</f>
        <v>0</v>
      </c>
      <c r="T14" s="130">
        <f>+Actuals!Q87</f>
        <v>0</v>
      </c>
      <c r="U14" s="131">
        <f>+Actuals!R87</f>
        <v>0</v>
      </c>
      <c r="V14" s="130">
        <f>+Actuals!S87</f>
        <v>0</v>
      </c>
      <c r="W14" s="131">
        <f>+Actuals!T87</f>
        <v>0</v>
      </c>
      <c r="X14" s="127">
        <f>+Actuals!U127</f>
        <v>0</v>
      </c>
      <c r="Y14" s="128">
        <f>+Actuals!V127</f>
        <v>0</v>
      </c>
      <c r="Z14" s="130">
        <f>+Actuals!W127</f>
        <v>0</v>
      </c>
      <c r="AA14" s="131">
        <f>+Actuals!X127</f>
        <v>0</v>
      </c>
      <c r="AB14" s="130">
        <f>+Actuals!Y127</f>
        <v>0</v>
      </c>
      <c r="AC14" s="131">
        <f>+Actuals!Z127</f>
        <v>0</v>
      </c>
      <c r="AD14" s="130">
        <f>+Actuals!AA127</f>
        <v>0</v>
      </c>
      <c r="AE14" s="131">
        <f>+Actuals!AB127</f>
        <v>0</v>
      </c>
      <c r="AF14" s="130">
        <f>+Actuals!AC127</f>
        <v>0</v>
      </c>
      <c r="AG14" s="131">
        <f>+Actuals!AD127</f>
        <v>0</v>
      </c>
      <c r="AH14" s="130">
        <f>+Actuals!AE127</f>
        <v>0</v>
      </c>
      <c r="AI14" s="131">
        <f>+Actuals!AF127</f>
        <v>0</v>
      </c>
      <c r="AJ14" s="130">
        <f>+Actuals!AG127</f>
        <v>0</v>
      </c>
      <c r="AK14" s="131">
        <f>+Actuals!AH127</f>
        <v>0</v>
      </c>
      <c r="AL14" s="130">
        <f>+Actuals!AI127</f>
        <v>0</v>
      </c>
      <c r="AM14" s="131">
        <f>+Actuals!AJ127</f>
        <v>0</v>
      </c>
      <c r="AN14" s="130">
        <f>+Actuals!AK127</f>
        <v>0</v>
      </c>
      <c r="AO14" s="131">
        <f>+Actuals!AL127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0">
        <f>+Actuals!E88</f>
        <v>0</v>
      </c>
      <c r="I15" s="131">
        <f>+Actuals!F88</f>
        <v>0</v>
      </c>
      <c r="J15" s="130">
        <f>+Actuals!G88</f>
        <v>0</v>
      </c>
      <c r="K15" s="147">
        <f>+Actuals!H88</f>
        <v>0</v>
      </c>
      <c r="L15" s="130">
        <f>+Actuals!I88</f>
        <v>0</v>
      </c>
      <c r="M15" s="131">
        <f>+Actuals!J88</f>
        <v>0</v>
      </c>
      <c r="N15" s="130">
        <f>+Actuals!K88</f>
        <v>0</v>
      </c>
      <c r="O15" s="131">
        <f>+Actuals!L88</f>
        <v>0</v>
      </c>
      <c r="P15" s="130">
        <f>+Actuals!M88</f>
        <v>0</v>
      </c>
      <c r="Q15" s="131">
        <f>+Actuals!N88</f>
        <v>0</v>
      </c>
      <c r="R15" s="130">
        <f>+Actuals!O88</f>
        <v>0</v>
      </c>
      <c r="S15" s="131">
        <f>+Actuals!P88</f>
        <v>0</v>
      </c>
      <c r="T15" s="130">
        <f>+Actuals!Q88</f>
        <v>0</v>
      </c>
      <c r="U15" s="131">
        <f>+Actuals!R88</f>
        <v>0</v>
      </c>
      <c r="V15" s="130">
        <f>+Actuals!S88</f>
        <v>0</v>
      </c>
      <c r="W15" s="131">
        <f>+Actuals!T88</f>
        <v>0</v>
      </c>
      <c r="X15" s="127">
        <f>+Actuals!U128</f>
        <v>0</v>
      </c>
      <c r="Y15" s="129">
        <f>+Actuals!V128</f>
        <v>0</v>
      </c>
      <c r="Z15" s="130">
        <f>+Actuals!W128</f>
        <v>0</v>
      </c>
      <c r="AA15" s="131">
        <f>+Actuals!X128</f>
        <v>0</v>
      </c>
      <c r="AB15" s="130">
        <f>+Actuals!Y128</f>
        <v>0</v>
      </c>
      <c r="AC15" s="131">
        <f>+Actuals!Z128</f>
        <v>0</v>
      </c>
      <c r="AD15" s="130">
        <f>+Actuals!AA128</f>
        <v>0</v>
      </c>
      <c r="AE15" s="131">
        <f>+Actuals!AB128</f>
        <v>0</v>
      </c>
      <c r="AF15" s="130">
        <f>+Actuals!AC128</f>
        <v>0</v>
      </c>
      <c r="AG15" s="131">
        <f>+Actuals!AD128</f>
        <v>0</v>
      </c>
      <c r="AH15" s="130">
        <f>+Actuals!AE128</f>
        <v>0</v>
      </c>
      <c r="AI15" s="131">
        <f>+Actuals!AF128</f>
        <v>0</v>
      </c>
      <c r="AJ15" s="130">
        <f>+Actuals!AG128</f>
        <v>0</v>
      </c>
      <c r="AK15" s="131">
        <f>+Actuals!AH128</f>
        <v>0</v>
      </c>
      <c r="AL15" s="130">
        <f>+Actuals!AI128</f>
        <v>0</v>
      </c>
      <c r="AM15" s="131">
        <f>+Actuals!AJ128</f>
        <v>0</v>
      </c>
      <c r="AN15" s="130">
        <f>+Actuals!AK128</f>
        <v>0</v>
      </c>
      <c r="AO15" s="131">
        <f>+Actuals!AL128</f>
        <v>0</v>
      </c>
    </row>
    <row r="16" spans="1:41" x14ac:dyDescent="0.2">
      <c r="A16" s="9"/>
      <c r="B16" s="7" t="s">
        <v>32</v>
      </c>
      <c r="C16" s="6"/>
      <c r="D16" s="61">
        <f t="shared" ref="D16:Y16" si="1">SUM(D11:D15)</f>
        <v>29375496</v>
      </c>
      <c r="E16" s="39">
        <f t="shared" si="1"/>
        <v>76930560</v>
      </c>
      <c r="F16" s="61">
        <f t="shared" si="1"/>
        <v>0</v>
      </c>
      <c r="G16" s="39">
        <f t="shared" si="1"/>
        <v>0</v>
      </c>
      <c r="H16" s="61">
        <f t="shared" si="1"/>
        <v>29821047</v>
      </c>
      <c r="I16" s="39">
        <f t="shared" si="1"/>
        <v>70771622</v>
      </c>
      <c r="J16" s="61">
        <f t="shared" si="1"/>
        <v>0</v>
      </c>
      <c r="K16" s="148">
        <f t="shared" si="1"/>
        <v>-7272248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-445551</v>
      </c>
      <c r="S16" s="39">
        <f t="shared" si="1"/>
        <v>13613205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-182019</v>
      </c>
      <c r="X16" s="61">
        <f t="shared" si="1"/>
        <v>0</v>
      </c>
      <c r="Y16" s="82">
        <f t="shared" si="1"/>
        <v>0</v>
      </c>
      <c r="Z16" s="61">
        <f t="shared" ref="Z16:AE16" si="2">SUM(Z11:Z15)</f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-5309286</v>
      </c>
      <c r="E19" s="38">
        <f t="shared" si="4"/>
        <v>-10567518</v>
      </c>
      <c r="F19" s="64">
        <f>'TIE-OUT'!X19+RECLASS!X19</f>
        <v>0</v>
      </c>
      <c r="G19" s="68">
        <f>'TIE-OUT'!Y19+RECLASS!Y19</f>
        <v>0</v>
      </c>
      <c r="H19" s="130">
        <f>+Actuals!E89+576813</f>
        <v>576813</v>
      </c>
      <c r="I19" s="131">
        <f>+Actuals!F89+1358971</f>
        <v>1358971</v>
      </c>
      <c r="J19" s="130">
        <f>+Actuals!G89-22146</f>
        <v>-22146</v>
      </c>
      <c r="K19" s="147">
        <f>+Actuals!H89-52176</f>
        <v>-52176</v>
      </c>
      <c r="L19" s="130">
        <f>+Actuals!I89</f>
        <v>0</v>
      </c>
      <c r="M19" s="131">
        <f>+Actuals!J89</f>
        <v>0</v>
      </c>
      <c r="N19" s="130">
        <f>+Actuals!K89</f>
        <v>0</v>
      </c>
      <c r="O19" s="131">
        <f>+Actuals!L89</f>
        <v>0</v>
      </c>
      <c r="P19" s="130">
        <f>+Actuals!M89</f>
        <v>0</v>
      </c>
      <c r="Q19" s="131">
        <f>+Actuals!N89</f>
        <v>0</v>
      </c>
      <c r="R19" s="130">
        <v>-5863953</v>
      </c>
      <c r="S19" s="131">
        <v>-11874313</v>
      </c>
      <c r="T19" s="130">
        <f>+Actuals!Q89</f>
        <v>0</v>
      </c>
      <c r="U19" s="131">
        <f>+Actuals!R89</f>
        <v>0</v>
      </c>
      <c r="V19" s="130">
        <f>+Actuals!S89</f>
        <v>0</v>
      </c>
      <c r="W19" s="131">
        <f>+Actuals!T89</f>
        <v>0</v>
      </c>
      <c r="X19" s="127">
        <f>+Actuals!U129</f>
        <v>0</v>
      </c>
      <c r="Y19" s="128">
        <f>+Actuals!V129</f>
        <v>0</v>
      </c>
      <c r="Z19" s="130">
        <f>+Actuals!W129</f>
        <v>0</v>
      </c>
      <c r="AA19" s="131">
        <f>+Actuals!X129</f>
        <v>0</v>
      </c>
      <c r="AB19" s="130">
        <f>+Actuals!Y129</f>
        <v>0</v>
      </c>
      <c r="AC19" s="131">
        <f>+Actuals!Z129</f>
        <v>0</v>
      </c>
      <c r="AD19" s="130">
        <f>+Actuals!AA129</f>
        <v>0</v>
      </c>
      <c r="AE19" s="131">
        <f>+Actuals!AB129</f>
        <v>0</v>
      </c>
      <c r="AF19" s="130">
        <f>+Actuals!AC129</f>
        <v>0</v>
      </c>
      <c r="AG19" s="131">
        <f>+Actuals!AD129</f>
        <v>0</v>
      </c>
      <c r="AH19" s="130">
        <f>+Actuals!AE129</f>
        <v>0</v>
      </c>
      <c r="AI19" s="131">
        <f>+Actuals!AF129</f>
        <v>0</v>
      </c>
      <c r="AJ19" s="130">
        <f>+Actuals!AG129</f>
        <v>0</v>
      </c>
      <c r="AK19" s="131">
        <f>+Actuals!AH129</f>
        <v>0</v>
      </c>
      <c r="AL19" s="130">
        <f>+Actuals!AI129</f>
        <v>0</v>
      </c>
      <c r="AM19" s="131">
        <f>+Actuals!AJ129</f>
        <v>0</v>
      </c>
      <c r="AN19" s="130">
        <f>+Actuals!AK129</f>
        <v>0</v>
      </c>
      <c r="AO19" s="131">
        <f>+Actuals!AL129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30">
        <f>+Actuals!K90</f>
        <v>0</v>
      </c>
      <c r="O20" s="131">
        <f>+Actuals!L90</f>
        <v>0</v>
      </c>
      <c r="P20" s="130">
        <f>+Actuals!M90</f>
        <v>0</v>
      </c>
      <c r="Q20" s="131">
        <f>+Actuals!N90</f>
        <v>0</v>
      </c>
      <c r="R20" s="130">
        <f>+Actuals!O90</f>
        <v>0</v>
      </c>
      <c r="S20" s="131">
        <f>+Actuals!P90</f>
        <v>0</v>
      </c>
      <c r="T20" s="130">
        <f>+Actuals!Q90</f>
        <v>0</v>
      </c>
      <c r="U20" s="131">
        <f>+Actuals!R90</f>
        <v>0</v>
      </c>
      <c r="V20" s="130">
        <f>+Actuals!S90</f>
        <v>0</v>
      </c>
      <c r="W20" s="131">
        <f>+Actuals!T90</f>
        <v>0</v>
      </c>
      <c r="X20" s="127">
        <f>+Actuals!U130</f>
        <v>0</v>
      </c>
      <c r="Y20" s="128">
        <f>+Actuals!V130</f>
        <v>0</v>
      </c>
      <c r="Z20" s="130">
        <f>+Actuals!W130</f>
        <v>0</v>
      </c>
      <c r="AA20" s="131">
        <f>+Actuals!X130</f>
        <v>0</v>
      </c>
      <c r="AB20" s="130">
        <f>+Actuals!Y130</f>
        <v>0</v>
      </c>
      <c r="AC20" s="131">
        <f>+Actuals!Z130</f>
        <v>0</v>
      </c>
      <c r="AD20" s="130">
        <f>+Actuals!AA130</f>
        <v>0</v>
      </c>
      <c r="AE20" s="131">
        <f>+Actuals!AB130</f>
        <v>0</v>
      </c>
      <c r="AF20" s="130">
        <f>+Actuals!AC130</f>
        <v>0</v>
      </c>
      <c r="AG20" s="131">
        <f>+Actuals!AD130</f>
        <v>0</v>
      </c>
      <c r="AH20" s="130">
        <f>+Actuals!AE130</f>
        <v>0</v>
      </c>
      <c r="AI20" s="131">
        <f>+Actuals!AF130</f>
        <v>0</v>
      </c>
      <c r="AJ20" s="130">
        <f>+Actuals!AG130</f>
        <v>0</v>
      </c>
      <c r="AK20" s="131">
        <f>+Actuals!AH130</f>
        <v>0</v>
      </c>
      <c r="AL20" s="130">
        <f>+Actuals!AI130</f>
        <v>0</v>
      </c>
      <c r="AM20" s="131">
        <f>+Actuals!AJ130</f>
        <v>0</v>
      </c>
      <c r="AN20" s="130">
        <f>+Actuals!AK130</f>
        <v>0</v>
      </c>
      <c r="AO20" s="131">
        <f>+Actuals!AL130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-31442257</v>
      </c>
      <c r="E21" s="38">
        <f t="shared" si="4"/>
        <v>-74998745</v>
      </c>
      <c r="F21" s="60">
        <f>'TIE-OUT'!X21+RECLASS!X21</f>
        <v>0</v>
      </c>
      <c r="G21" s="38">
        <f>'TIE-OUT'!Y21+RECLASS!Y21</f>
        <v>0</v>
      </c>
      <c r="H21" s="130">
        <f>+Actuals!E91-31442257</f>
        <v>-31442257</v>
      </c>
      <c r="I21" s="131">
        <f>+Actuals!F91-74998745</f>
        <v>-74998745</v>
      </c>
      <c r="J21" s="130">
        <f>+Actuals!G91</f>
        <v>0</v>
      </c>
      <c r="K21" s="147">
        <f>+Actuals!H91</f>
        <v>0</v>
      </c>
      <c r="L21" s="130">
        <f>+Actuals!I91</f>
        <v>0</v>
      </c>
      <c r="M21" s="131">
        <f>+Actuals!J91</f>
        <v>0</v>
      </c>
      <c r="N21" s="130">
        <f>+Actuals!K91</f>
        <v>0</v>
      </c>
      <c r="O21" s="131">
        <f>+Actuals!L91</f>
        <v>0</v>
      </c>
      <c r="P21" s="130">
        <f>+Actuals!M91</f>
        <v>0</v>
      </c>
      <c r="Q21" s="131">
        <f>+Actuals!N91</f>
        <v>0</v>
      </c>
      <c r="R21" s="130">
        <f>+Actuals!O91</f>
        <v>0</v>
      </c>
      <c r="S21" s="131">
        <f>+Actuals!P91</f>
        <v>0</v>
      </c>
      <c r="T21" s="130">
        <f>+Actuals!Q91</f>
        <v>0</v>
      </c>
      <c r="U21" s="131">
        <f>+Actuals!R91</f>
        <v>0</v>
      </c>
      <c r="V21" s="130">
        <f>+Actuals!S91</f>
        <v>0</v>
      </c>
      <c r="W21" s="131">
        <f>+Actuals!T91</f>
        <v>0</v>
      </c>
      <c r="X21" s="127">
        <f>+Actuals!U131</f>
        <v>0</v>
      </c>
      <c r="Y21" s="128">
        <f>+Actuals!V131</f>
        <v>0</v>
      </c>
      <c r="Z21" s="130">
        <f>+Actuals!W131</f>
        <v>0</v>
      </c>
      <c r="AA21" s="131">
        <f>+Actuals!X131</f>
        <v>0</v>
      </c>
      <c r="AB21" s="130">
        <f>+Actuals!Y131</f>
        <v>0</v>
      </c>
      <c r="AC21" s="131">
        <f>+Actuals!Z131</f>
        <v>0</v>
      </c>
      <c r="AD21" s="130">
        <f>+Actuals!AA131</f>
        <v>0</v>
      </c>
      <c r="AE21" s="131">
        <f>+Actuals!AB131</f>
        <v>0</v>
      </c>
      <c r="AF21" s="130">
        <f>+Actuals!AC131</f>
        <v>0</v>
      </c>
      <c r="AG21" s="131">
        <f>+Actuals!AD131</f>
        <v>0</v>
      </c>
      <c r="AH21" s="130">
        <f>+Actuals!AE131</f>
        <v>0</v>
      </c>
      <c r="AI21" s="131">
        <f>+Actuals!AF131</f>
        <v>0</v>
      </c>
      <c r="AJ21" s="130">
        <f>+Actuals!AG131</f>
        <v>0</v>
      </c>
      <c r="AK21" s="131">
        <f>+Actuals!AH131</f>
        <v>0</v>
      </c>
      <c r="AL21" s="130">
        <f>+Actuals!AI131</f>
        <v>0</v>
      </c>
      <c r="AM21" s="131">
        <f>+Actuals!AJ131</f>
        <v>0</v>
      </c>
      <c r="AN21" s="130">
        <f>+Actuals!AK131</f>
        <v>0</v>
      </c>
      <c r="AO21" s="131">
        <f>+Actuals!AL131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30">
        <f>+Actuals!K92</f>
        <v>0</v>
      </c>
      <c r="O22" s="131">
        <f>+Actuals!L92</f>
        <v>0</v>
      </c>
      <c r="P22" s="130">
        <f>+Actuals!M92</f>
        <v>0</v>
      </c>
      <c r="Q22" s="131">
        <f>+Actuals!N92</f>
        <v>0</v>
      </c>
      <c r="R22" s="130">
        <f>+Actuals!O92</f>
        <v>0</v>
      </c>
      <c r="S22" s="131">
        <f>+Actuals!P92</f>
        <v>0</v>
      </c>
      <c r="T22" s="130">
        <f>+Actuals!Q92</f>
        <v>0</v>
      </c>
      <c r="U22" s="131">
        <f>+Actuals!R92</f>
        <v>0</v>
      </c>
      <c r="V22" s="130">
        <f>+Actuals!S92</f>
        <v>0</v>
      </c>
      <c r="W22" s="131">
        <f>+Actuals!T92</f>
        <v>0</v>
      </c>
      <c r="X22" s="127">
        <f>+Actuals!U132</f>
        <v>0</v>
      </c>
      <c r="Y22" s="128">
        <f>+Actuals!V132</f>
        <v>0</v>
      </c>
      <c r="Z22" s="130">
        <f>+Actuals!W132</f>
        <v>0</v>
      </c>
      <c r="AA22" s="131">
        <f>+Actuals!X132</f>
        <v>0</v>
      </c>
      <c r="AB22" s="130">
        <f>+Actuals!Y132</f>
        <v>0</v>
      </c>
      <c r="AC22" s="131">
        <f>+Actuals!Z132</f>
        <v>0</v>
      </c>
      <c r="AD22" s="130">
        <f>+Actuals!AA132</f>
        <v>0</v>
      </c>
      <c r="AE22" s="131">
        <f>+Actuals!AB132</f>
        <v>0</v>
      </c>
      <c r="AF22" s="130">
        <f>+Actuals!AC132</f>
        <v>0</v>
      </c>
      <c r="AG22" s="131">
        <f>+Actuals!AD132</f>
        <v>0</v>
      </c>
      <c r="AH22" s="130">
        <f>+Actuals!AE132</f>
        <v>0</v>
      </c>
      <c r="AI22" s="131">
        <f>+Actuals!AF132</f>
        <v>0</v>
      </c>
      <c r="AJ22" s="130">
        <f>+Actuals!AG132</f>
        <v>0</v>
      </c>
      <c r="AK22" s="131">
        <f>+Actuals!AH132</f>
        <v>0</v>
      </c>
      <c r="AL22" s="130">
        <f>+Actuals!AI132</f>
        <v>0</v>
      </c>
      <c r="AM22" s="131">
        <f>+Actuals!AJ132</f>
        <v>0</v>
      </c>
      <c r="AN22" s="130">
        <f>+Actuals!AK132</f>
        <v>0</v>
      </c>
      <c r="AO22" s="131">
        <f>+Actuals!AL132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'TIE-OUT'!X23+RECLASS!X23</f>
        <v>0</v>
      </c>
      <c r="G23" s="82">
        <f>'TIE-OUT'!Y23+RECLASS!Y23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30">
        <f>+Actuals!K93</f>
        <v>0</v>
      </c>
      <c r="O23" s="131">
        <f>+Actuals!L93</f>
        <v>0</v>
      </c>
      <c r="P23" s="130">
        <f>+Actuals!M93</f>
        <v>0</v>
      </c>
      <c r="Q23" s="131">
        <f>+Actuals!N93</f>
        <v>0</v>
      </c>
      <c r="R23" s="130">
        <f>+Actuals!O93</f>
        <v>0</v>
      </c>
      <c r="S23" s="131">
        <f>+Actuals!P93</f>
        <v>0</v>
      </c>
      <c r="T23" s="130">
        <f>+Actuals!Q93</f>
        <v>0</v>
      </c>
      <c r="U23" s="131">
        <f>+Actuals!R93</f>
        <v>0</v>
      </c>
      <c r="V23" s="130">
        <f>+Actuals!S93</f>
        <v>0</v>
      </c>
      <c r="W23" s="131">
        <f>+Actuals!T93</f>
        <v>0</v>
      </c>
      <c r="X23" s="127">
        <f>+Actuals!U133</f>
        <v>0</v>
      </c>
      <c r="Y23" s="129">
        <f>+Actuals!V133</f>
        <v>0</v>
      </c>
      <c r="Z23" s="130">
        <f>+Actuals!W133</f>
        <v>0</v>
      </c>
      <c r="AA23" s="131">
        <f>+Actuals!X133</f>
        <v>0</v>
      </c>
      <c r="AB23" s="130">
        <f>+Actuals!Y133</f>
        <v>0</v>
      </c>
      <c r="AC23" s="131">
        <f>+Actuals!Z133</f>
        <v>0</v>
      </c>
      <c r="AD23" s="130">
        <f>+Actuals!AA133</f>
        <v>0</v>
      </c>
      <c r="AE23" s="131">
        <f>+Actuals!AB133</f>
        <v>0</v>
      </c>
      <c r="AF23" s="130">
        <f>+Actuals!AC133</f>
        <v>0</v>
      </c>
      <c r="AG23" s="131">
        <f>+Actuals!AD133</f>
        <v>0</v>
      </c>
      <c r="AH23" s="130">
        <f>+Actuals!AE133</f>
        <v>0</v>
      </c>
      <c r="AI23" s="131">
        <f>+Actuals!AF133</f>
        <v>0</v>
      </c>
      <c r="AJ23" s="130">
        <f>+Actuals!AG133</f>
        <v>0</v>
      </c>
      <c r="AK23" s="131">
        <f>+Actuals!AH133</f>
        <v>0</v>
      </c>
      <c r="AL23" s="130">
        <f>+Actuals!AI133</f>
        <v>0</v>
      </c>
      <c r="AM23" s="131">
        <f>+Actuals!AJ133</f>
        <v>0</v>
      </c>
      <c r="AN23" s="130">
        <f>+Actuals!AK133</f>
        <v>0</v>
      </c>
      <c r="AO23" s="131">
        <f>+Actuals!AL133</f>
        <v>0</v>
      </c>
    </row>
    <row r="24" spans="1:41" x14ac:dyDescent="0.2">
      <c r="A24" s="9"/>
      <c r="B24" s="7" t="s">
        <v>35</v>
      </c>
      <c r="C24" s="6"/>
      <c r="D24" s="61">
        <f t="shared" ref="D24:Y24" si="5">SUM(D19:D23)</f>
        <v>-36751543</v>
      </c>
      <c r="E24" s="39">
        <f t="shared" si="5"/>
        <v>-85566263</v>
      </c>
      <c r="F24" s="61">
        <f t="shared" si="5"/>
        <v>0</v>
      </c>
      <c r="G24" s="39">
        <f t="shared" si="5"/>
        <v>0</v>
      </c>
      <c r="H24" s="61">
        <f t="shared" si="5"/>
        <v>-30865444</v>
      </c>
      <c r="I24" s="39">
        <f t="shared" si="5"/>
        <v>-73639774</v>
      </c>
      <c r="J24" s="61">
        <f t="shared" si="5"/>
        <v>-22146</v>
      </c>
      <c r="K24" s="148">
        <f t="shared" si="5"/>
        <v>-52176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-5863953</v>
      </c>
      <c r="S24" s="39">
        <f t="shared" si="5"/>
        <v>-11874313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ref="Z24:AE24" si="6">SUM(Z19:Z23)</f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0</v>
      </c>
      <c r="E27" s="38">
        <f>SUM(G27,I27,K27,M27,O27,Q27,S27,U27,W27,Y27,AA27,AC27,AE27,AG27,AI27,AK27,AM27,AO27)</f>
        <v>0</v>
      </c>
      <c r="F27" s="64">
        <f>'TIE-OUT'!X27+RECLASS!X27</f>
        <v>0</v>
      </c>
      <c r="G27" s="68">
        <f>'TIE-OUT'!Y27+RECLASS!Y27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47">
        <f>+Actuals!H94</f>
        <v>0</v>
      </c>
      <c r="L27" s="130">
        <f>+Actuals!I94</f>
        <v>0</v>
      </c>
      <c r="M27" s="131">
        <f>+Actuals!J94</f>
        <v>0</v>
      </c>
      <c r="N27" s="130">
        <f>+Actuals!K94</f>
        <v>0</v>
      </c>
      <c r="O27" s="131">
        <f>+Actuals!L94</f>
        <v>0</v>
      </c>
      <c r="P27" s="130">
        <f>+Actuals!M94</f>
        <v>0</v>
      </c>
      <c r="Q27" s="131">
        <f>+Actuals!N94</f>
        <v>0</v>
      </c>
      <c r="R27" s="130">
        <f>+Actuals!O94</f>
        <v>0</v>
      </c>
      <c r="S27" s="131">
        <f>+Actuals!P94</f>
        <v>0</v>
      </c>
      <c r="T27" s="130">
        <f>+Actuals!Q94</f>
        <v>0</v>
      </c>
      <c r="U27" s="131">
        <f>+Actuals!R94</f>
        <v>0</v>
      </c>
      <c r="V27" s="130">
        <f>+Actuals!S94</f>
        <v>0</v>
      </c>
      <c r="W27" s="131">
        <f>+Actuals!T94</f>
        <v>0</v>
      </c>
      <c r="X27" s="127">
        <f>+Actuals!U134</f>
        <v>0</v>
      </c>
      <c r="Y27" s="128">
        <f>+Actuals!V134</f>
        <v>0</v>
      </c>
      <c r="Z27" s="130">
        <f>+Actuals!W134</f>
        <v>0</v>
      </c>
      <c r="AA27" s="131">
        <f>+Actuals!X134</f>
        <v>0</v>
      </c>
      <c r="AB27" s="130">
        <f>+Actuals!Y134</f>
        <v>0</v>
      </c>
      <c r="AC27" s="131">
        <f>+Actuals!Z134</f>
        <v>0</v>
      </c>
      <c r="AD27" s="130">
        <f>+Actuals!AA134</f>
        <v>0</v>
      </c>
      <c r="AE27" s="131">
        <f>+Actuals!AB134</f>
        <v>0</v>
      </c>
      <c r="AF27" s="130">
        <f>+Actuals!AC134</f>
        <v>0</v>
      </c>
      <c r="AG27" s="131">
        <f>+Actuals!AD134</f>
        <v>0</v>
      </c>
      <c r="AH27" s="130">
        <f>+Actuals!AE134</f>
        <v>0</v>
      </c>
      <c r="AI27" s="131">
        <f>+Actuals!AF134</f>
        <v>0</v>
      </c>
      <c r="AJ27" s="130">
        <f>+Actuals!AG134</f>
        <v>0</v>
      </c>
      <c r="AK27" s="131">
        <f>+Actuals!AH134</f>
        <v>0</v>
      </c>
      <c r="AL27" s="130">
        <f>+Actuals!AI134</f>
        <v>0</v>
      </c>
      <c r="AM27" s="131">
        <f>+Actuals!AJ134</f>
        <v>0</v>
      </c>
      <c r="AN27" s="130">
        <f>+Actuals!AK134</f>
        <v>0</v>
      </c>
      <c r="AO27" s="131">
        <f>+Actuals!AL134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0</v>
      </c>
      <c r="E28" s="38">
        <f>SUM(G28,I28,K28,M28,O28,Q28,S28,U28,W28,Y28,AA28,AC28,AE28,AG28,AI28,AK28,AM28,AO28)</f>
        <v>0</v>
      </c>
      <c r="F28" s="81">
        <f>'TIE-OUT'!X28+RECLASS!X28</f>
        <v>0</v>
      </c>
      <c r="G28" s="82">
        <f>'TIE-OUT'!Y28+RECLASS!Y28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30">
        <f>+Actuals!K95</f>
        <v>0</v>
      </c>
      <c r="O28" s="131">
        <f>+Actuals!L95</f>
        <v>0</v>
      </c>
      <c r="P28" s="130">
        <f>+Actuals!M95</f>
        <v>0</v>
      </c>
      <c r="Q28" s="131">
        <f>+Actuals!N95</f>
        <v>0</v>
      </c>
      <c r="R28" s="130">
        <f>+Actuals!O95</f>
        <v>0</v>
      </c>
      <c r="S28" s="131">
        <f>+Actuals!P95</f>
        <v>0</v>
      </c>
      <c r="T28" s="130">
        <f>+Actuals!Q95</f>
        <v>0</v>
      </c>
      <c r="U28" s="131">
        <f>+Actuals!R95</f>
        <v>0</v>
      </c>
      <c r="V28" s="130">
        <f>+Actuals!S95</f>
        <v>0</v>
      </c>
      <c r="W28" s="131">
        <f>+Actuals!T95</f>
        <v>0</v>
      </c>
      <c r="X28" s="127">
        <f>+Actuals!U135</f>
        <v>0</v>
      </c>
      <c r="Y28" s="128">
        <f>+Actuals!V135</f>
        <v>0</v>
      </c>
      <c r="Z28" s="130">
        <f>+Actuals!W135</f>
        <v>0</v>
      </c>
      <c r="AA28" s="131">
        <f>+Actuals!X135</f>
        <v>0</v>
      </c>
      <c r="AB28" s="130">
        <f>+Actuals!Y135</f>
        <v>0</v>
      </c>
      <c r="AC28" s="131">
        <f>+Actuals!Z135</f>
        <v>0</v>
      </c>
      <c r="AD28" s="130">
        <f>+Actuals!AA135</f>
        <v>0</v>
      </c>
      <c r="AE28" s="131">
        <f>+Actuals!AB135</f>
        <v>0</v>
      </c>
      <c r="AF28" s="130">
        <f>+Actuals!AC135</f>
        <v>0</v>
      </c>
      <c r="AG28" s="131">
        <f>+Actuals!AD135</f>
        <v>0</v>
      </c>
      <c r="AH28" s="130">
        <f>+Actuals!AE135</f>
        <v>0</v>
      </c>
      <c r="AI28" s="131">
        <f>+Actuals!AF135</f>
        <v>0</v>
      </c>
      <c r="AJ28" s="130">
        <f>+Actuals!AG135</f>
        <v>0</v>
      </c>
      <c r="AK28" s="131">
        <f>+Actuals!AH135</f>
        <v>0</v>
      </c>
      <c r="AL28" s="130">
        <f>+Actuals!AI135</f>
        <v>0</v>
      </c>
      <c r="AM28" s="131">
        <f>+Actuals!AJ135</f>
        <v>0</v>
      </c>
      <c r="AN28" s="130">
        <f>+Actuals!AK135</f>
        <v>0</v>
      </c>
      <c r="AO28" s="131">
        <f>+Actuals!AL135</f>
        <v>0</v>
      </c>
    </row>
    <row r="29" spans="1:41" x14ac:dyDescent="0.2">
      <c r="A29" s="9"/>
      <c r="B29" s="7" t="s">
        <v>39</v>
      </c>
      <c r="C29" s="18"/>
      <c r="D29" s="61">
        <f t="shared" ref="D29:Y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ref="Z29:AE29" si="9">SUM(Z27:Z28)</f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60"/>
      <c r="Y31" s="38"/>
      <c r="Z31" s="130"/>
      <c r="AA31" s="131"/>
      <c r="AB31" s="130"/>
      <c r="AC31" s="131"/>
      <c r="AD31" s="130"/>
      <c r="AE31" s="131"/>
      <c r="AF31" s="130"/>
      <c r="AG31" s="131"/>
      <c r="AH31" s="130"/>
      <c r="AI31" s="131"/>
      <c r="AJ31" s="130"/>
      <c r="AK31" s="131"/>
      <c r="AL31" s="130"/>
      <c r="AM31" s="131"/>
      <c r="AN31" s="130"/>
      <c r="AO31" s="131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1814</v>
      </c>
      <c r="E32" s="38">
        <f t="shared" si="11"/>
        <v>4274</v>
      </c>
      <c r="F32" s="64">
        <f>'TIE-OUT'!X32+RECLASS!X32</f>
        <v>0</v>
      </c>
      <c r="G32" s="68">
        <f>'TIE-OUT'!Y32+RECLASS!Y32</f>
        <v>0</v>
      </c>
      <c r="H32" s="130">
        <f>+Actuals!E96+617301-5814117</f>
        <v>-5196816</v>
      </c>
      <c r="I32" s="131">
        <f>+Actuals!F96+1454361-13698060</f>
        <v>-12243699</v>
      </c>
      <c r="J32" s="130">
        <f>+Actuals!G96-615517+5814117</f>
        <v>5198600</v>
      </c>
      <c r="K32" s="147">
        <f>+Actuals!H96-1450388+13698060</f>
        <v>12247672</v>
      </c>
      <c r="L32" s="130">
        <f>+Actuals!I96+30</f>
        <v>30</v>
      </c>
      <c r="M32" s="131">
        <f>+Actuals!J96+136</f>
        <v>136</v>
      </c>
      <c r="N32" s="130">
        <f>+Actuals!K96</f>
        <v>0</v>
      </c>
      <c r="O32" s="131">
        <v>1112</v>
      </c>
      <c r="P32" s="130">
        <f>+Actuals!M96</f>
        <v>0</v>
      </c>
      <c r="Q32" s="131">
        <v>37</v>
      </c>
      <c r="R32" s="130">
        <f>+Actuals!O96</f>
        <v>0</v>
      </c>
      <c r="S32" s="131">
        <v>-984</v>
      </c>
      <c r="T32" s="130">
        <f>+Actuals!Q96</f>
        <v>0</v>
      </c>
      <c r="U32" s="131">
        <f>+Actuals!R96</f>
        <v>0</v>
      </c>
      <c r="V32" s="130">
        <f>+Actuals!S96</f>
        <v>0</v>
      </c>
      <c r="W32" s="131">
        <f>+Actuals!T96</f>
        <v>0</v>
      </c>
      <c r="X32" s="127">
        <f>+Actuals!U136</f>
        <v>0</v>
      </c>
      <c r="Y32" s="128">
        <f>+Actuals!V136</f>
        <v>0</v>
      </c>
      <c r="Z32" s="130">
        <f>+Actuals!W136</f>
        <v>0</v>
      </c>
      <c r="AA32" s="131">
        <f>+Actuals!X136</f>
        <v>0</v>
      </c>
      <c r="AB32" s="130">
        <f>+Actuals!Y136</f>
        <v>0</v>
      </c>
      <c r="AC32" s="131">
        <f>+Actuals!Z136</f>
        <v>0</v>
      </c>
      <c r="AD32" s="130">
        <f>+Actuals!AA136</f>
        <v>0</v>
      </c>
      <c r="AE32" s="131">
        <f>+Actuals!AB136</f>
        <v>0</v>
      </c>
      <c r="AF32" s="130">
        <f>+Actuals!AC136</f>
        <v>0</v>
      </c>
      <c r="AG32" s="131">
        <f>+Actuals!AD136</f>
        <v>0</v>
      </c>
      <c r="AH32" s="130">
        <f>+Actuals!AE136</f>
        <v>0</v>
      </c>
      <c r="AI32" s="131">
        <f>+Actuals!AF136</f>
        <v>0</v>
      </c>
      <c r="AJ32" s="130">
        <f>+Actuals!AG136</f>
        <v>0</v>
      </c>
      <c r="AK32" s="131">
        <f>+Actuals!AH136</f>
        <v>0</v>
      </c>
      <c r="AL32" s="130">
        <f>+Actuals!AI136</f>
        <v>0</v>
      </c>
      <c r="AM32" s="131">
        <f>+Actuals!AJ136</f>
        <v>0</v>
      </c>
      <c r="AN32" s="130">
        <f>+Actuals!AK136</f>
        <v>0</v>
      </c>
      <c r="AO32" s="131">
        <f>+Actuals!AL136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30">
        <f>+Actuals!K97</f>
        <v>0</v>
      </c>
      <c r="O33" s="131">
        <f>+Actuals!L97</f>
        <v>0</v>
      </c>
      <c r="P33" s="130">
        <f>+Actuals!M97</f>
        <v>0</v>
      </c>
      <c r="Q33" s="131">
        <f>+Actuals!N97</f>
        <v>0</v>
      </c>
      <c r="R33" s="130">
        <f>+Actuals!O97</f>
        <v>0</v>
      </c>
      <c r="S33" s="131">
        <f>+Actuals!P97</f>
        <v>0</v>
      </c>
      <c r="T33" s="130">
        <f>+Actuals!Q97</f>
        <v>0</v>
      </c>
      <c r="U33" s="131">
        <f>+Actuals!R97</f>
        <v>0</v>
      </c>
      <c r="V33" s="130">
        <f>+Actuals!S97</f>
        <v>0</v>
      </c>
      <c r="W33" s="131">
        <f>+Actuals!T97</f>
        <v>0</v>
      </c>
      <c r="X33" s="127">
        <f>+Actuals!U137</f>
        <v>0</v>
      </c>
      <c r="Y33" s="128">
        <f>+Actuals!V137</f>
        <v>0</v>
      </c>
      <c r="Z33" s="130">
        <f>+Actuals!W137</f>
        <v>0</v>
      </c>
      <c r="AA33" s="131">
        <f>+Actuals!X137</f>
        <v>0</v>
      </c>
      <c r="AB33" s="130">
        <f>+Actuals!Y137</f>
        <v>0</v>
      </c>
      <c r="AC33" s="131">
        <f>+Actuals!Z137</f>
        <v>0</v>
      </c>
      <c r="AD33" s="130">
        <f>+Actuals!AA137</f>
        <v>0</v>
      </c>
      <c r="AE33" s="131">
        <f>+Actuals!AB137</f>
        <v>0</v>
      </c>
      <c r="AF33" s="130">
        <f>+Actuals!AC137</f>
        <v>0</v>
      </c>
      <c r="AG33" s="131">
        <f>+Actuals!AD137</f>
        <v>0</v>
      </c>
      <c r="AH33" s="130">
        <f>+Actuals!AE137</f>
        <v>0</v>
      </c>
      <c r="AI33" s="131">
        <f>+Actuals!AF137</f>
        <v>0</v>
      </c>
      <c r="AJ33" s="130">
        <f>+Actuals!AG137</f>
        <v>0</v>
      </c>
      <c r="AK33" s="131">
        <f>+Actuals!AH137</f>
        <v>0</v>
      </c>
      <c r="AL33" s="130">
        <f>+Actuals!AI137</f>
        <v>0</v>
      </c>
      <c r="AM33" s="131">
        <f>+Actuals!AJ137</f>
        <v>0</v>
      </c>
      <c r="AN33" s="130">
        <f>+Actuals!AK137</f>
        <v>0</v>
      </c>
      <c r="AO33" s="131">
        <f>+Actuals!AL137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1"/>
        <v>30547</v>
      </c>
      <c r="E34" s="38">
        <f t="shared" si="11"/>
        <v>68076</v>
      </c>
      <c r="F34" s="60">
        <f>'TIE-OUT'!X34+RECLASS!X34</f>
        <v>0</v>
      </c>
      <c r="G34" s="38">
        <f>'TIE-OUT'!Y34+RECLASS!Y34</f>
        <v>0</v>
      </c>
      <c r="H34" s="130">
        <f>+Actuals!E98</f>
        <v>0</v>
      </c>
      <c r="I34" s="131">
        <f>+Actuals!F98</f>
        <v>0</v>
      </c>
      <c r="J34" s="130">
        <f>+Actuals!G98+30547</f>
        <v>30547</v>
      </c>
      <c r="K34" s="147">
        <f>+Actuals!H98+68076</f>
        <v>68076</v>
      </c>
      <c r="L34" s="130">
        <f>+Actuals!I98</f>
        <v>0</v>
      </c>
      <c r="M34" s="131">
        <f>+Actuals!J98</f>
        <v>0</v>
      </c>
      <c r="N34" s="130">
        <f>+Actuals!K98</f>
        <v>0</v>
      </c>
      <c r="O34" s="131">
        <f>+Actuals!L98</f>
        <v>0</v>
      </c>
      <c r="P34" s="130">
        <f>+Actuals!M98</f>
        <v>0</v>
      </c>
      <c r="Q34" s="131">
        <f>+Actuals!N98</f>
        <v>0</v>
      </c>
      <c r="R34" s="130">
        <f>+Actuals!O98</f>
        <v>0</v>
      </c>
      <c r="S34" s="131">
        <f>+Actuals!P98</f>
        <v>0</v>
      </c>
      <c r="T34" s="130">
        <f>+Actuals!Q98</f>
        <v>0</v>
      </c>
      <c r="U34" s="131">
        <f>+Actuals!R98</f>
        <v>0</v>
      </c>
      <c r="V34" s="130">
        <f>+Actuals!S98</f>
        <v>0</v>
      </c>
      <c r="W34" s="131">
        <f>+Actuals!T98</f>
        <v>0</v>
      </c>
      <c r="X34" s="127">
        <f>+Actuals!U138</f>
        <v>0</v>
      </c>
      <c r="Y34" s="128">
        <f>+Actuals!V138</f>
        <v>0</v>
      </c>
      <c r="Z34" s="130">
        <f>+Actuals!W138</f>
        <v>0</v>
      </c>
      <c r="AA34" s="131">
        <f>+Actuals!X138</f>
        <v>0</v>
      </c>
      <c r="AB34" s="130">
        <f>+Actuals!Y138</f>
        <v>0</v>
      </c>
      <c r="AC34" s="131">
        <f>+Actuals!Z138</f>
        <v>0</v>
      </c>
      <c r="AD34" s="130">
        <f>+Actuals!AA138</f>
        <v>0</v>
      </c>
      <c r="AE34" s="131">
        <f>+Actuals!AB138</f>
        <v>0</v>
      </c>
      <c r="AF34" s="130">
        <f>+Actuals!AC138</f>
        <v>0</v>
      </c>
      <c r="AG34" s="131">
        <f>+Actuals!AD138</f>
        <v>0</v>
      </c>
      <c r="AH34" s="130">
        <f>+Actuals!AE138</f>
        <v>0</v>
      </c>
      <c r="AI34" s="131">
        <f>+Actuals!AF138</f>
        <v>0</v>
      </c>
      <c r="AJ34" s="130">
        <f>+Actuals!AG138</f>
        <v>0</v>
      </c>
      <c r="AK34" s="131">
        <f>+Actuals!AH138</f>
        <v>0</v>
      </c>
      <c r="AL34" s="130">
        <f>+Actuals!AI138</f>
        <v>0</v>
      </c>
      <c r="AM34" s="131">
        <f>+Actuals!AJ138</f>
        <v>0</v>
      </c>
      <c r="AN34" s="130">
        <f>+Actuals!AK138</f>
        <v>0</v>
      </c>
      <c r="AO34" s="131">
        <f>+Actuals!AL138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30">
        <f>+Actuals!K99</f>
        <v>0</v>
      </c>
      <c r="O35" s="131">
        <f>+Actuals!L99</f>
        <v>0</v>
      </c>
      <c r="P35" s="130">
        <f>+Actuals!M99</f>
        <v>0</v>
      </c>
      <c r="Q35" s="131">
        <f>+Actuals!N99</f>
        <v>0</v>
      </c>
      <c r="R35" s="130">
        <f>+Actuals!O99</f>
        <v>0</v>
      </c>
      <c r="S35" s="131">
        <f>+Actuals!P99</f>
        <v>0</v>
      </c>
      <c r="T35" s="130">
        <f>+Actuals!Q99</f>
        <v>0</v>
      </c>
      <c r="U35" s="131">
        <f>+Actuals!R99</f>
        <v>0</v>
      </c>
      <c r="V35" s="130">
        <f>+Actuals!S99</f>
        <v>0</v>
      </c>
      <c r="W35" s="131">
        <f>+Actuals!T99</f>
        <v>0</v>
      </c>
      <c r="X35" s="127">
        <f>+Actuals!U139</f>
        <v>0</v>
      </c>
      <c r="Y35" s="128">
        <f>+Actuals!V139</f>
        <v>0</v>
      </c>
      <c r="Z35" s="130">
        <f>+Actuals!W139</f>
        <v>0</v>
      </c>
      <c r="AA35" s="131">
        <f>+Actuals!X139</f>
        <v>0</v>
      </c>
      <c r="AB35" s="130">
        <f>+Actuals!Y139</f>
        <v>0</v>
      </c>
      <c r="AC35" s="131">
        <f>+Actuals!Z139</f>
        <v>0</v>
      </c>
      <c r="AD35" s="130">
        <f>+Actuals!AA139</f>
        <v>0</v>
      </c>
      <c r="AE35" s="131">
        <f>+Actuals!AB139</f>
        <v>0</v>
      </c>
      <c r="AF35" s="130">
        <f>+Actuals!AC139</f>
        <v>0</v>
      </c>
      <c r="AG35" s="131">
        <f>+Actuals!AD139</f>
        <v>0</v>
      </c>
      <c r="AH35" s="130">
        <f>+Actuals!AE139</f>
        <v>0</v>
      </c>
      <c r="AI35" s="131">
        <f>+Actuals!AF139</f>
        <v>0</v>
      </c>
      <c r="AJ35" s="130">
        <f>+Actuals!AG139</f>
        <v>0</v>
      </c>
      <c r="AK35" s="131">
        <f>+Actuals!AH139</f>
        <v>0</v>
      </c>
      <c r="AL35" s="130">
        <f>+Actuals!AI139</f>
        <v>0</v>
      </c>
      <c r="AM35" s="131">
        <f>+Actuals!AJ139</f>
        <v>0</v>
      </c>
      <c r="AN35" s="130">
        <f>+Actuals!AK139</f>
        <v>0</v>
      </c>
      <c r="AO35" s="131">
        <f>+Actuals!AL139</f>
        <v>0</v>
      </c>
    </row>
    <row r="36" spans="1:41" x14ac:dyDescent="0.2">
      <c r="A36" s="9"/>
      <c r="B36" s="7" t="s">
        <v>45</v>
      </c>
      <c r="C36" s="6"/>
      <c r="D36" s="61">
        <f t="shared" ref="D36:Y36" si="12">SUM(D32:D35)</f>
        <v>32361</v>
      </c>
      <c r="E36" s="39">
        <f t="shared" si="12"/>
        <v>72350</v>
      </c>
      <c r="F36" s="61">
        <f t="shared" si="12"/>
        <v>0</v>
      </c>
      <c r="G36" s="39">
        <f t="shared" si="12"/>
        <v>0</v>
      </c>
      <c r="H36" s="61">
        <f t="shared" si="12"/>
        <v>-5196816</v>
      </c>
      <c r="I36" s="39">
        <f t="shared" si="12"/>
        <v>-12243699</v>
      </c>
      <c r="J36" s="61">
        <f t="shared" si="12"/>
        <v>5229147</v>
      </c>
      <c r="K36" s="148">
        <f t="shared" si="12"/>
        <v>12315748</v>
      </c>
      <c r="L36" s="61">
        <f t="shared" si="12"/>
        <v>30</v>
      </c>
      <c r="M36" s="39">
        <f t="shared" si="12"/>
        <v>136</v>
      </c>
      <c r="N36" s="61">
        <f t="shared" si="12"/>
        <v>0</v>
      </c>
      <c r="O36" s="39">
        <f t="shared" si="12"/>
        <v>1112</v>
      </c>
      <c r="P36" s="61">
        <f t="shared" si="12"/>
        <v>0</v>
      </c>
      <c r="Q36" s="39">
        <f t="shared" si="12"/>
        <v>37</v>
      </c>
      <c r="R36" s="61">
        <f t="shared" si="12"/>
        <v>0</v>
      </c>
      <c r="S36" s="39">
        <f t="shared" si="12"/>
        <v>-984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ref="Z36:AE36" si="13">SUM(Z32:Z35)</f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7289426</v>
      </c>
      <c r="E39" s="38">
        <f t="shared" si="15"/>
        <v>18505200.699999999</v>
      </c>
      <c r="F39" s="64">
        <f>'TIE-OUT'!X39+RECLASS!X39</f>
        <v>0</v>
      </c>
      <c r="G39" s="68">
        <f>'TIE-OUT'!Y39+RECLASS!Y39</f>
        <v>0</v>
      </c>
      <c r="H39" s="130">
        <f>+Actuals!E100+6241213</f>
        <v>6241213</v>
      </c>
      <c r="I39" s="131">
        <f>+Actuals!F100+15790086</f>
        <v>15790086</v>
      </c>
      <c r="J39" s="130">
        <f>+Actuals!G100+627077</f>
        <v>627077</v>
      </c>
      <c r="K39" s="147">
        <f>+Actuals!H100+1609272</f>
        <v>1609272</v>
      </c>
      <c r="L39" s="130">
        <f>+Actuals!I100+425316</f>
        <v>425316</v>
      </c>
      <c r="M39" s="131">
        <f>+Actuals!J100+1105043</f>
        <v>1105043</v>
      </c>
      <c r="N39" s="130">
        <v>-6440</v>
      </c>
      <c r="O39" s="131">
        <v>-16358</v>
      </c>
      <c r="P39" s="130">
        <f>+Actuals!M100</f>
        <v>0</v>
      </c>
      <c r="Q39" s="131">
        <f>+Actuals!N100</f>
        <v>0</v>
      </c>
      <c r="R39" s="130">
        <f>+Actuals!O100</f>
        <v>0</v>
      </c>
      <c r="S39" s="131">
        <f>+Actuals!P100</f>
        <v>0</v>
      </c>
      <c r="T39" s="130">
        <f>+Actuals!Q100</f>
        <v>0</v>
      </c>
      <c r="U39" s="131">
        <f>+Actuals!R100</f>
        <v>0</v>
      </c>
      <c r="V39" s="130">
        <f>+Actuals!S100</f>
        <v>0</v>
      </c>
      <c r="W39" s="131">
        <f>+Actuals!T100</f>
        <v>0</v>
      </c>
      <c r="X39" s="127">
        <f>+Actuals!U140</f>
        <v>0</v>
      </c>
      <c r="Y39" s="128">
        <f>+Actuals!V140</f>
        <v>0</v>
      </c>
      <c r="Z39" s="130">
        <f>+Actuals!W140</f>
        <v>0</v>
      </c>
      <c r="AA39" s="131">
        <f>+Actuals!X140</f>
        <v>0</v>
      </c>
      <c r="AB39" s="130">
        <f>+Actuals!Y140</f>
        <v>0</v>
      </c>
      <c r="AC39" s="131">
        <f>+Actuals!Z140</f>
        <v>0</v>
      </c>
      <c r="AD39" s="130">
        <f>+Actuals!AA140</f>
        <v>0</v>
      </c>
      <c r="AE39" s="131">
        <f>+Actuals!AB140</f>
        <v>0</v>
      </c>
      <c r="AF39" s="130">
        <f>+Actuals!AC140</f>
        <v>2260</v>
      </c>
      <c r="AG39" s="131">
        <f>+Actuals!AD140</f>
        <v>17157.7</v>
      </c>
      <c r="AH39" s="130">
        <f>+Actuals!AE140</f>
        <v>0</v>
      </c>
      <c r="AI39" s="131">
        <f>+Actuals!AF140</f>
        <v>0</v>
      </c>
      <c r="AJ39" s="130">
        <f>+Actuals!AG140</f>
        <v>0</v>
      </c>
      <c r="AK39" s="131">
        <f>+Actuals!AH140</f>
        <v>0</v>
      </c>
      <c r="AL39" s="130">
        <f>+Actuals!AI140</f>
        <v>0</v>
      </c>
      <c r="AM39" s="131">
        <f>+Actuals!AJ140</f>
        <v>0</v>
      </c>
      <c r="AN39" s="130">
        <f>+Actuals!AK140</f>
        <v>0</v>
      </c>
      <c r="AO39" s="131">
        <f>+Actuals!AL140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'TIE-OUT'!X40+RECLASS!X40</f>
        <v>0</v>
      </c>
      <c r="G40" s="38">
        <f>'TIE-OUT'!Y40+RECLASS!Y40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f>+Actuals!I101</f>
        <v>0</v>
      </c>
      <c r="M40" s="131">
        <f>+Actuals!J101</f>
        <v>0</v>
      </c>
      <c r="N40" s="130">
        <f>+Actuals!K101</f>
        <v>0</v>
      </c>
      <c r="O40" s="131">
        <f>+Actuals!L101</f>
        <v>0</v>
      </c>
      <c r="P40" s="130">
        <f>+Actuals!M101</f>
        <v>0</v>
      </c>
      <c r="Q40" s="131">
        <f>+Actuals!N101</f>
        <v>0</v>
      </c>
      <c r="R40" s="130">
        <f>+Actuals!O101</f>
        <v>0</v>
      </c>
      <c r="S40" s="131">
        <f>+Actuals!P101</f>
        <v>0</v>
      </c>
      <c r="T40" s="130">
        <f>+Actuals!Q101</f>
        <v>0</v>
      </c>
      <c r="U40" s="131">
        <f>+Actuals!R101</f>
        <v>0</v>
      </c>
      <c r="V40" s="130">
        <f>+Actuals!S101</f>
        <v>0</v>
      </c>
      <c r="W40" s="131">
        <f>+Actuals!T101</f>
        <v>0</v>
      </c>
      <c r="X40" s="127">
        <f>+Actuals!U141</f>
        <v>0</v>
      </c>
      <c r="Y40" s="128">
        <f>+Actuals!V141</f>
        <v>0</v>
      </c>
      <c r="Z40" s="130">
        <f>+Actuals!W141</f>
        <v>0</v>
      </c>
      <c r="AA40" s="131">
        <f>+Actuals!X141</f>
        <v>0</v>
      </c>
      <c r="AB40" s="130">
        <f>+Actuals!Y141</f>
        <v>0</v>
      </c>
      <c r="AC40" s="131">
        <f>+Actuals!Z141</f>
        <v>0</v>
      </c>
      <c r="AD40" s="130">
        <f>+Actuals!AA141</f>
        <v>0</v>
      </c>
      <c r="AE40" s="131">
        <f>+Actuals!AB141</f>
        <v>0</v>
      </c>
      <c r="AF40" s="130">
        <f>+Actuals!AC141</f>
        <v>0</v>
      </c>
      <c r="AG40" s="131">
        <f>+Actuals!AD141</f>
        <v>0</v>
      </c>
      <c r="AH40" s="130">
        <f>+Actuals!AE141</f>
        <v>0</v>
      </c>
      <c r="AI40" s="131">
        <f>+Actuals!AF141</f>
        <v>0</v>
      </c>
      <c r="AJ40" s="130">
        <f>+Actuals!AG141</f>
        <v>0</v>
      </c>
      <c r="AK40" s="131">
        <f>+Actuals!AH141</f>
        <v>0</v>
      </c>
      <c r="AL40" s="130">
        <f>+Actuals!AI141</f>
        <v>0</v>
      </c>
      <c r="AM40" s="131">
        <f>+Actuals!AJ141</f>
        <v>0</v>
      </c>
      <c r="AN40" s="130">
        <f>+Actuals!AK141</f>
        <v>0</v>
      </c>
      <c r="AO40" s="131">
        <f>+Actuals!AL141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30">
        <f>+Actuals!K102</f>
        <v>0</v>
      </c>
      <c r="O41" s="131">
        <f>+Actuals!L102</f>
        <v>0</v>
      </c>
      <c r="P41" s="130">
        <f>+Actuals!M102</f>
        <v>0</v>
      </c>
      <c r="Q41" s="131">
        <f>+Actuals!N102</f>
        <v>0</v>
      </c>
      <c r="R41" s="130">
        <f>+Actuals!O102</f>
        <v>0</v>
      </c>
      <c r="S41" s="131">
        <f>+Actuals!P102</f>
        <v>0</v>
      </c>
      <c r="T41" s="130">
        <f>+Actuals!Q102</f>
        <v>0</v>
      </c>
      <c r="U41" s="131">
        <f>+Actuals!R102</f>
        <v>0</v>
      </c>
      <c r="V41" s="130">
        <f>+Actuals!S102</f>
        <v>0</v>
      </c>
      <c r="W41" s="131">
        <f>+Actuals!T102</f>
        <v>0</v>
      </c>
      <c r="X41" s="127">
        <f>+Actuals!U142</f>
        <v>0</v>
      </c>
      <c r="Y41" s="128">
        <f>+Actuals!V142</f>
        <v>0</v>
      </c>
      <c r="Z41" s="130">
        <f>+Actuals!W142</f>
        <v>0</v>
      </c>
      <c r="AA41" s="131">
        <f>+Actuals!X142</f>
        <v>0</v>
      </c>
      <c r="AB41" s="130">
        <f>+Actuals!Y142</f>
        <v>0</v>
      </c>
      <c r="AC41" s="131">
        <f>+Actuals!Z142</f>
        <v>0</v>
      </c>
      <c r="AD41" s="130">
        <f>+Actuals!AA142</f>
        <v>0</v>
      </c>
      <c r="AE41" s="131">
        <f>+Actuals!AB142</f>
        <v>0</v>
      </c>
      <c r="AF41" s="130">
        <f>+Actuals!AC142</f>
        <v>0</v>
      </c>
      <c r="AG41" s="131">
        <f>+Actuals!AD142</f>
        <v>0</v>
      </c>
      <c r="AH41" s="130">
        <f>+Actuals!AE142</f>
        <v>0</v>
      </c>
      <c r="AI41" s="131">
        <f>+Actuals!AF142</f>
        <v>0</v>
      </c>
      <c r="AJ41" s="130">
        <f>+Actuals!AG142</f>
        <v>0</v>
      </c>
      <c r="AK41" s="131">
        <f>+Actuals!AH142</f>
        <v>0</v>
      </c>
      <c r="AL41" s="130">
        <f>+Actuals!AI142</f>
        <v>0</v>
      </c>
      <c r="AM41" s="131">
        <f>+Actuals!AJ142</f>
        <v>0</v>
      </c>
      <c r="AN41" s="130">
        <f>+Actuals!AK142</f>
        <v>0</v>
      </c>
      <c r="AO41" s="131">
        <f>+Actuals!AL142</f>
        <v>0</v>
      </c>
    </row>
    <row r="42" spans="1:41" x14ac:dyDescent="0.2">
      <c r="A42" s="9"/>
      <c r="B42" s="7"/>
      <c r="C42" s="53" t="s">
        <v>50</v>
      </c>
      <c r="D42" s="61">
        <f t="shared" ref="D42:Y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ref="Z42:AE42" si="17">SUM(Z40:Z41)</f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 t="shared" ref="D43:Y43" si="19">D42+D39</f>
        <v>7289426</v>
      </c>
      <c r="E43" s="39">
        <f t="shared" si="19"/>
        <v>18505200.699999999</v>
      </c>
      <c r="F43" s="61">
        <f t="shared" si="19"/>
        <v>0</v>
      </c>
      <c r="G43" s="39">
        <f t="shared" si="19"/>
        <v>0</v>
      </c>
      <c r="H43" s="61">
        <f t="shared" si="19"/>
        <v>6241213</v>
      </c>
      <c r="I43" s="39">
        <f t="shared" si="19"/>
        <v>15790086</v>
      </c>
      <c r="J43" s="61">
        <f t="shared" si="19"/>
        <v>627077</v>
      </c>
      <c r="K43" s="148">
        <f t="shared" si="19"/>
        <v>1609272</v>
      </c>
      <c r="L43" s="61">
        <f t="shared" si="19"/>
        <v>425316</v>
      </c>
      <c r="M43" s="39">
        <f t="shared" si="19"/>
        <v>1105043</v>
      </c>
      <c r="N43" s="61">
        <f t="shared" si="19"/>
        <v>-6440</v>
      </c>
      <c r="O43" s="39">
        <f t="shared" si="19"/>
        <v>-16358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ref="Z43:AE43" si="20">Z42+Z39</f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2260</v>
      </c>
      <c r="AG43" s="39">
        <f t="shared" si="21"/>
        <v>17157.7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'TIE-OUT'!X45+RECLASS!X45</f>
        <v>0</v>
      </c>
      <c r="G45" s="68">
        <f>'TIE-OUT'!Y45+RECLASS!Y45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30">
        <f>+Actuals!K103</f>
        <v>0</v>
      </c>
      <c r="O45" s="131">
        <f>+Actuals!L103</f>
        <v>0</v>
      </c>
      <c r="P45" s="130">
        <f>+Actuals!M103</f>
        <v>0</v>
      </c>
      <c r="Q45" s="131">
        <f>+Actuals!N103</f>
        <v>0</v>
      </c>
      <c r="R45" s="130">
        <f>+Actuals!O103</f>
        <v>0</v>
      </c>
      <c r="S45" s="131">
        <f>+Actuals!P103</f>
        <v>0</v>
      </c>
      <c r="T45" s="130">
        <f>+Actuals!Q103</f>
        <v>0</v>
      </c>
      <c r="U45" s="131">
        <f>+Actuals!R103</f>
        <v>0</v>
      </c>
      <c r="V45" s="130">
        <f>+Actuals!S103</f>
        <v>0</v>
      </c>
      <c r="W45" s="131">
        <f>+Actuals!T103</f>
        <v>0</v>
      </c>
      <c r="X45" s="127">
        <f>+Actuals!U143</f>
        <v>0</v>
      </c>
      <c r="Y45" s="128">
        <f>+Actuals!V143</f>
        <v>0</v>
      </c>
      <c r="Z45" s="130">
        <f>+Actuals!W143</f>
        <v>0</v>
      </c>
      <c r="AA45" s="131">
        <f>+Actuals!X143</f>
        <v>0</v>
      </c>
      <c r="AB45" s="130">
        <f>+Actuals!Y143</f>
        <v>0</v>
      </c>
      <c r="AC45" s="131">
        <f>+Actuals!Z143</f>
        <v>0</v>
      </c>
      <c r="AD45" s="130">
        <f>+Actuals!AA143</f>
        <v>0</v>
      </c>
      <c r="AE45" s="131">
        <f>+Actuals!AB143</f>
        <v>0</v>
      </c>
      <c r="AF45" s="130">
        <f>+Actuals!AC143</f>
        <v>0</v>
      </c>
      <c r="AG45" s="131">
        <f>+Actuals!AD143</f>
        <v>0</v>
      </c>
      <c r="AH45" s="130">
        <f>+Actuals!AE143</f>
        <v>0</v>
      </c>
      <c r="AI45" s="131">
        <f>+Actuals!AF143</f>
        <v>0</v>
      </c>
      <c r="AJ45" s="130">
        <f>+Actuals!AG143</f>
        <v>0</v>
      </c>
      <c r="AK45" s="131">
        <f>+Actuals!AH143</f>
        <v>0</v>
      </c>
      <c r="AL45" s="130">
        <f>+Actuals!AI143</f>
        <v>0</v>
      </c>
      <c r="AM45" s="131">
        <f>+Actuals!AJ143</f>
        <v>0</v>
      </c>
      <c r="AN45" s="130">
        <f>+Actuals!AK143</f>
        <v>0</v>
      </c>
      <c r="AO45" s="131">
        <f>+Actuals!AL143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'TIE-OUT'!X47+RECLASS!X47</f>
        <v>0</v>
      </c>
      <c r="G47" s="38">
        <f>'TIE-OUT'!Y47+RECLASS!Y47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30">
        <f>+Actuals!K104</f>
        <v>0</v>
      </c>
      <c r="O47" s="131">
        <f>+Actuals!L104</f>
        <v>0</v>
      </c>
      <c r="P47" s="130">
        <f>+Actuals!M104</f>
        <v>0</v>
      </c>
      <c r="Q47" s="131">
        <f>+Actuals!N104</f>
        <v>0</v>
      </c>
      <c r="R47" s="130">
        <f>+Actuals!O104</f>
        <v>0</v>
      </c>
      <c r="S47" s="131">
        <f>+Actuals!P104</f>
        <v>0</v>
      </c>
      <c r="T47" s="130">
        <f>+Actuals!Q104</f>
        <v>0</v>
      </c>
      <c r="U47" s="131">
        <f>+Actuals!R104</f>
        <v>0</v>
      </c>
      <c r="V47" s="130">
        <f>+Actuals!S104</f>
        <v>0</v>
      </c>
      <c r="W47" s="131">
        <f>+Actuals!T104</f>
        <v>0</v>
      </c>
      <c r="X47" s="127">
        <f>+Actuals!U144</f>
        <v>0</v>
      </c>
      <c r="Y47" s="128">
        <f>+Actuals!V144</f>
        <v>0</v>
      </c>
      <c r="Z47" s="130">
        <f>+Actuals!W144</f>
        <v>0</v>
      </c>
      <c r="AA47" s="131">
        <f>+Actuals!X144</f>
        <v>0</v>
      </c>
      <c r="AB47" s="130">
        <f>+Actuals!Y144</f>
        <v>0</v>
      </c>
      <c r="AC47" s="131">
        <f>+Actuals!Z144</f>
        <v>0</v>
      </c>
      <c r="AD47" s="130">
        <f>+Actuals!AA144</f>
        <v>0</v>
      </c>
      <c r="AE47" s="131">
        <f>+Actuals!AB144</f>
        <v>0</v>
      </c>
      <c r="AF47" s="130">
        <f>+Actuals!AC144</f>
        <v>0</v>
      </c>
      <c r="AG47" s="131">
        <f>+Actuals!AD144</f>
        <v>0</v>
      </c>
      <c r="AH47" s="130">
        <f>+Actuals!AE144</f>
        <v>0</v>
      </c>
      <c r="AI47" s="131">
        <f>+Actuals!AF144</f>
        <v>0</v>
      </c>
      <c r="AJ47" s="130">
        <f>+Actuals!AG144</f>
        <v>0</v>
      </c>
      <c r="AK47" s="131">
        <f>+Actuals!AH144</f>
        <v>0</v>
      </c>
      <c r="AL47" s="130">
        <f>+Actuals!AI144</f>
        <v>0</v>
      </c>
      <c r="AM47" s="131">
        <f>+Actuals!AJ144</f>
        <v>0</v>
      </c>
      <c r="AN47" s="130">
        <f>+Actuals!AK144</f>
        <v>0</v>
      </c>
      <c r="AO47" s="131">
        <f>+Actuals!AL144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54260</v>
      </c>
      <c r="E49" s="38">
        <f t="shared" si="22"/>
        <v>127836.44</v>
      </c>
      <c r="F49" s="60">
        <f>'TIE-OUT'!X49+RECLASS!X49</f>
        <v>0</v>
      </c>
      <c r="G49" s="38">
        <f>'TIE-OUT'!Y49+RECLASS!Y49</f>
        <v>0</v>
      </c>
      <c r="H49" s="130">
        <f>+Actuals!E105</f>
        <v>0</v>
      </c>
      <c r="I49" s="131">
        <f>+Actuals!F105</f>
        <v>0</v>
      </c>
      <c r="J49" s="130">
        <f>+Actuals!G105-5834078</f>
        <v>-5834078</v>
      </c>
      <c r="K49" s="147">
        <f>+Actuals!H105-13745088</f>
        <v>-13745088</v>
      </c>
      <c r="L49" s="130">
        <f>+Actuals!I105-425346</f>
        <v>-425346</v>
      </c>
      <c r="M49" s="131">
        <f>+Actuals!J105-1002115</f>
        <v>-1002115</v>
      </c>
      <c r="N49" s="130">
        <v>6440</v>
      </c>
      <c r="O49" s="131">
        <v>15173</v>
      </c>
      <c r="P49" s="130">
        <f>+Actuals!M105</f>
        <v>0</v>
      </c>
      <c r="Q49" s="131">
        <f>+Actuals!N105</f>
        <v>0</v>
      </c>
      <c r="R49" s="130">
        <v>6309504</v>
      </c>
      <c r="S49" s="131">
        <v>14865191</v>
      </c>
      <c r="T49" s="130">
        <f>+Actuals!Q105</f>
        <v>0</v>
      </c>
      <c r="U49" s="131">
        <f>+Actuals!R105</f>
        <v>0</v>
      </c>
      <c r="V49" s="130">
        <f>+Actuals!S105</f>
        <v>0</v>
      </c>
      <c r="W49" s="131">
        <f>+Actuals!T105</f>
        <v>0</v>
      </c>
      <c r="X49" s="127">
        <f>+Actuals!U145</f>
        <v>0</v>
      </c>
      <c r="Y49" s="128">
        <f>+Actuals!V145</f>
        <v>0</v>
      </c>
      <c r="Z49" s="130">
        <f>+Actuals!W145</f>
        <v>0</v>
      </c>
      <c r="AA49" s="131">
        <f>+Actuals!X145</f>
        <v>0</v>
      </c>
      <c r="AB49" s="130">
        <f>+Actuals!Y145</f>
        <v>0</v>
      </c>
      <c r="AC49" s="131">
        <f>+Actuals!Z145</f>
        <v>0</v>
      </c>
      <c r="AD49" s="130">
        <f>+Actuals!AA145</f>
        <v>0</v>
      </c>
      <c r="AE49" s="131">
        <f>+Actuals!AB145</f>
        <v>0</v>
      </c>
      <c r="AF49" s="130">
        <f>+Actuals!AC145</f>
        <v>-2260</v>
      </c>
      <c r="AG49" s="131">
        <f>+Actuals!AD145</f>
        <v>-5324.56</v>
      </c>
      <c r="AH49" s="130">
        <f>+Actuals!AE145</f>
        <v>0</v>
      </c>
      <c r="AI49" s="131">
        <f>+Actuals!AF145</f>
        <v>0</v>
      </c>
      <c r="AJ49" s="130">
        <f>+Actuals!AG145</f>
        <v>0</v>
      </c>
      <c r="AK49" s="131">
        <f>+Actuals!AH145</f>
        <v>0</v>
      </c>
      <c r="AL49" s="130">
        <f>+Actuals!AI145</f>
        <v>0</v>
      </c>
      <c r="AM49" s="131">
        <f>+Actuals!AJ145</f>
        <v>0</v>
      </c>
      <c r="AN49" s="130">
        <f>+Actuals!AK145</f>
        <v>0</v>
      </c>
      <c r="AO49" s="131">
        <f>+Actuals!AL145</f>
        <v>0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-467440</v>
      </c>
      <c r="E51" s="38">
        <f t="shared" si="22"/>
        <v>-1306724</v>
      </c>
      <c r="F51" s="60">
        <f>'TIE-OUT'!X51+RECLASS!X51</f>
        <v>0</v>
      </c>
      <c r="G51" s="38">
        <f>'TIE-OUT'!Y51+RECLASS!Y51</f>
        <v>0</v>
      </c>
      <c r="H51" s="130">
        <f>+Actuals!E106-576813</f>
        <v>-576813</v>
      </c>
      <c r="I51" s="131">
        <f>+Actuals!F106-1358971</f>
        <v>-1358971</v>
      </c>
      <c r="J51" s="130">
        <f>+Actuals!G106+22146</f>
        <v>22146</v>
      </c>
      <c r="K51" s="147">
        <f>+Actuals!H106+52176</f>
        <v>52176</v>
      </c>
      <c r="L51" s="130">
        <f>+Actuals!I106+30</f>
        <v>30</v>
      </c>
      <c r="M51" s="131">
        <f>+Actuals!J106+71</f>
        <v>71</v>
      </c>
      <c r="N51" s="130">
        <f>+Actuals!K106</f>
        <v>0</v>
      </c>
      <c r="O51" s="131">
        <f>+Actuals!L106</f>
        <v>0</v>
      </c>
      <c r="P51" s="130">
        <f>+Actuals!M106</f>
        <v>0</v>
      </c>
      <c r="Q51" s="131">
        <f>+Actuals!N106</f>
        <v>0</v>
      </c>
      <c r="R51" s="130">
        <v>87197</v>
      </c>
      <c r="S51" s="131">
        <f>+Actuals!P106</f>
        <v>0</v>
      </c>
      <c r="T51" s="130">
        <f>+Actuals!Q106</f>
        <v>0</v>
      </c>
      <c r="U51" s="131">
        <f>+Actuals!R106</f>
        <v>0</v>
      </c>
      <c r="V51" s="130">
        <f>+Actuals!S106</f>
        <v>0</v>
      </c>
      <c r="W51" s="131">
        <f>+Actuals!T106</f>
        <v>0</v>
      </c>
      <c r="X51" s="127">
        <f>+Actuals!U146</f>
        <v>0</v>
      </c>
      <c r="Y51" s="128">
        <f>+Actuals!V146</f>
        <v>0</v>
      </c>
      <c r="Z51" s="130">
        <f>+Actuals!W146</f>
        <v>0</v>
      </c>
      <c r="AA51" s="131">
        <f>+Actuals!X146</f>
        <v>0</v>
      </c>
      <c r="AB51" s="130">
        <f>+Actuals!Y146</f>
        <v>0</v>
      </c>
      <c r="AC51" s="131">
        <f>+Actuals!Z146</f>
        <v>0</v>
      </c>
      <c r="AD51" s="130">
        <f>+Actuals!AA146</f>
        <v>0</v>
      </c>
      <c r="AE51" s="131">
        <f>+Actuals!AB146</f>
        <v>0</v>
      </c>
      <c r="AF51" s="130">
        <f>+Actuals!AC146</f>
        <v>0</v>
      </c>
      <c r="AG51" s="131">
        <f>+Actuals!AD146</f>
        <v>0</v>
      </c>
      <c r="AH51" s="130">
        <f>+Actuals!AE146</f>
        <v>0</v>
      </c>
      <c r="AI51" s="131">
        <f>+Actuals!AF146</f>
        <v>0</v>
      </c>
      <c r="AJ51" s="130">
        <f>+Actuals!AG146</f>
        <v>0</v>
      </c>
      <c r="AK51" s="131">
        <f>+Actuals!AH146</f>
        <v>0</v>
      </c>
      <c r="AL51" s="130">
        <f>+Actuals!AI146</f>
        <v>0</v>
      </c>
      <c r="AM51" s="131">
        <f>+Actuals!AJ146</f>
        <v>0</v>
      </c>
      <c r="AN51" s="130">
        <f>+Actuals!AK146</f>
        <v>0</v>
      </c>
      <c r="AO51" s="131">
        <f>+Actuals!AL146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-16056952</v>
      </c>
      <c r="E54" s="38">
        <f>SUM(G54,I54,K54,M54,O54,Q54,S54,U54,W54,Y54,AA54,AC54,AE54,AG54,AI54,AK54,AM54,AO54)</f>
        <v>-659934</v>
      </c>
      <c r="F54" s="64">
        <f>'TIE-OUT'!X54+RECLASS!X54</f>
        <v>0</v>
      </c>
      <c r="G54" s="68">
        <f>'TIE-OUT'!Y54+RECLASS!Y54</f>
        <v>0</v>
      </c>
      <c r="H54" s="130">
        <f>+Actuals!E107-20053450</f>
        <v>-20053450</v>
      </c>
      <c r="I54" s="131">
        <f>+Actuals!F107-695794</f>
        <v>-695794</v>
      </c>
      <c r="J54" s="130">
        <f>+Actuals!G107+4011740</f>
        <v>4011740</v>
      </c>
      <c r="K54" s="147">
        <f>+Actuals!H107-67923-142546+249744</f>
        <v>39275</v>
      </c>
      <c r="L54" s="130">
        <f>+Actuals!I107-15242</f>
        <v>-15242</v>
      </c>
      <c r="M54" s="131">
        <f>+Actuals!J107-3415</f>
        <v>-3415</v>
      </c>
      <c r="N54" s="130">
        <f>+Actuals!K107</f>
        <v>0</v>
      </c>
      <c r="O54" s="131">
        <f>+Actuals!L107</f>
        <v>0</v>
      </c>
      <c r="P54" s="130">
        <f>+Actuals!M107</f>
        <v>0</v>
      </c>
      <c r="Q54" s="131">
        <f>+Actuals!N107</f>
        <v>0</v>
      </c>
      <c r="R54" s="130">
        <f>+Actuals!O107</f>
        <v>0</v>
      </c>
      <c r="S54" s="131">
        <f>+Actuals!P107</f>
        <v>0</v>
      </c>
      <c r="T54" s="130">
        <f>+Actuals!Q107</f>
        <v>0</v>
      </c>
      <c r="U54" s="131">
        <f>+Actuals!R107</f>
        <v>0</v>
      </c>
      <c r="V54" s="130">
        <f>+Actuals!S107</f>
        <v>0</v>
      </c>
      <c r="W54" s="131">
        <f>+Actuals!T107</f>
        <v>0</v>
      </c>
      <c r="X54" s="127">
        <f>+Actuals!U147</f>
        <v>0</v>
      </c>
      <c r="Y54" s="128">
        <f>+Actuals!V147</f>
        <v>0</v>
      </c>
      <c r="Z54" s="130">
        <f>+Actuals!W147</f>
        <v>0</v>
      </c>
      <c r="AA54" s="131">
        <f>+Actuals!X147</f>
        <v>0</v>
      </c>
      <c r="AB54" s="130">
        <f>+Actuals!Y147</f>
        <v>0</v>
      </c>
      <c r="AC54" s="131">
        <f>+Actuals!Z147</f>
        <v>0</v>
      </c>
      <c r="AD54" s="130">
        <f>+Actuals!AA147</f>
        <v>0</v>
      </c>
      <c r="AE54" s="131">
        <f>+Actuals!AB147</f>
        <v>0</v>
      </c>
      <c r="AF54" s="130">
        <f>+Actuals!AC147</f>
        <v>0</v>
      </c>
      <c r="AG54" s="131">
        <f>+Actuals!AD147</f>
        <v>0</v>
      </c>
      <c r="AH54" s="130">
        <f>+Actuals!AE147</f>
        <v>0</v>
      </c>
      <c r="AI54" s="131">
        <f>+Actuals!AF147</f>
        <v>0</v>
      </c>
      <c r="AJ54" s="130">
        <f>+Actuals!AG147</f>
        <v>0</v>
      </c>
      <c r="AK54" s="131">
        <f>+Actuals!AH147</f>
        <v>0</v>
      </c>
      <c r="AL54" s="130">
        <f>+Actuals!AI147</f>
        <v>0</v>
      </c>
      <c r="AM54" s="131">
        <f>+Actuals!AJ147</f>
        <v>0</v>
      </c>
      <c r="AN54" s="130">
        <f>+Actuals!AK147</f>
        <v>0</v>
      </c>
      <c r="AO54" s="131">
        <f>+Actuals!AL147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-1716128</v>
      </c>
      <c r="E55" s="38">
        <f>SUM(G55,I55,K55,M55,O55,Q55,S55,U55,W55,Y55,AA55,AC55,AE55,AG55,AI55,AK55,AM55,AO55)</f>
        <v>-8386018</v>
      </c>
      <c r="F55" s="81">
        <f>'TIE-OUT'!X55+RECLASS!X55</f>
        <v>0</v>
      </c>
      <c r="G55" s="82">
        <f>'TIE-OUT'!Y55+RECLASS!Y55</f>
        <v>0</v>
      </c>
      <c r="H55" s="130">
        <f>+Actuals!E108-1716128</f>
        <v>-1716128</v>
      </c>
      <c r="I55" s="131">
        <f>+Actuals!F108-23489-8283618</f>
        <v>-8307107</v>
      </c>
      <c r="J55" s="130">
        <f>+Actuals!G108</f>
        <v>0</v>
      </c>
      <c r="K55" s="147">
        <f>142546-249744</f>
        <v>-107198</v>
      </c>
      <c r="L55" s="130">
        <f>+Actuals!I108</f>
        <v>0</v>
      </c>
      <c r="M55" s="131">
        <f>+Actuals!J108</f>
        <v>0</v>
      </c>
      <c r="N55" s="130">
        <f>+Actuals!K108</f>
        <v>0</v>
      </c>
      <c r="O55" s="131">
        <f>+Actuals!L108</f>
        <v>0</v>
      </c>
      <c r="P55" s="130">
        <f>+Actuals!M108</f>
        <v>0</v>
      </c>
      <c r="Q55" s="131">
        <v>28287</v>
      </c>
      <c r="R55" s="130">
        <f>+Actuals!O108</f>
        <v>0</v>
      </c>
      <c r="S55" s="131">
        <f>+Actuals!P108</f>
        <v>0</v>
      </c>
      <c r="T55" s="130">
        <f>+Actuals!Q108</f>
        <v>0</v>
      </c>
      <c r="U55" s="131">
        <f>+Actuals!R108</f>
        <v>0</v>
      </c>
      <c r="V55" s="130">
        <f>+Actuals!S108</f>
        <v>0</v>
      </c>
      <c r="W55" s="131">
        <f>+Actuals!T108</f>
        <v>0</v>
      </c>
      <c r="X55" s="127">
        <f>+Actuals!U148</f>
        <v>0</v>
      </c>
      <c r="Y55" s="128">
        <f>+Actuals!V148</f>
        <v>0</v>
      </c>
      <c r="Z55" s="130">
        <f>+Actuals!W148</f>
        <v>0</v>
      </c>
      <c r="AA55" s="131">
        <f>+Actuals!X148</f>
        <v>0</v>
      </c>
      <c r="AB55" s="130">
        <f>+Actuals!Y148</f>
        <v>0</v>
      </c>
      <c r="AC55" s="131">
        <f>+Actuals!Z148</f>
        <v>0</v>
      </c>
      <c r="AD55" s="130">
        <f>+Actuals!AA148</f>
        <v>0</v>
      </c>
      <c r="AE55" s="131">
        <f>+Actuals!AB148</f>
        <v>0</v>
      </c>
      <c r="AF55" s="130">
        <f>+Actuals!AC148</f>
        <v>0</v>
      </c>
      <c r="AG55" s="131">
        <f>+Actuals!AD148</f>
        <v>0</v>
      </c>
      <c r="AH55" s="130">
        <f>+Actuals!AE148</f>
        <v>0</v>
      </c>
      <c r="AI55" s="131">
        <f>+Actuals!AF148</f>
        <v>0</v>
      </c>
      <c r="AJ55" s="130">
        <f>+Actuals!AG148</f>
        <v>0</v>
      </c>
      <c r="AK55" s="131">
        <f>+Actuals!AH148</f>
        <v>0</v>
      </c>
      <c r="AL55" s="130">
        <f>+Actuals!AI148</f>
        <v>0</v>
      </c>
      <c r="AM55" s="131">
        <f>+Actuals!AJ148</f>
        <v>0</v>
      </c>
      <c r="AN55" s="130">
        <f>+Actuals!AK148</f>
        <v>0</v>
      </c>
      <c r="AO55" s="131">
        <f>+Actuals!AL148</f>
        <v>0</v>
      </c>
    </row>
    <row r="56" spans="1:41" x14ac:dyDescent="0.2">
      <c r="A56" s="9"/>
      <c r="B56" s="7" t="s">
        <v>59</v>
      </c>
      <c r="C56" s="6"/>
      <c r="D56" s="61">
        <f t="shared" ref="D56:Y56" si="23">SUM(D54:D55)</f>
        <v>-17773080</v>
      </c>
      <c r="E56" s="39">
        <f t="shared" si="23"/>
        <v>-9045952</v>
      </c>
      <c r="F56" s="61">
        <f t="shared" si="23"/>
        <v>0</v>
      </c>
      <c r="G56" s="39">
        <f t="shared" si="23"/>
        <v>0</v>
      </c>
      <c r="H56" s="61">
        <f t="shared" si="23"/>
        <v>-21769578</v>
      </c>
      <c r="I56" s="39">
        <f t="shared" si="23"/>
        <v>-9002901</v>
      </c>
      <c r="J56" s="61">
        <f t="shared" si="23"/>
        <v>4011740</v>
      </c>
      <c r="K56" s="148">
        <f t="shared" si="23"/>
        <v>-67923</v>
      </c>
      <c r="L56" s="61">
        <f t="shared" si="23"/>
        <v>-15242</v>
      </c>
      <c r="M56" s="39">
        <f t="shared" si="23"/>
        <v>-3415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28287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ref="Z56:AE56" si="24">SUM(Z54:Z55)</f>
        <v>0</v>
      </c>
      <c r="AA56" s="39">
        <f t="shared" si="24"/>
        <v>0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-16</v>
      </c>
      <c r="F59" s="64">
        <f>'TIE-OUT'!X59+RECLASS!X59</f>
        <v>0</v>
      </c>
      <c r="G59" s="68">
        <f>'TIE-OUT'!Y59+RECLASS!Y59</f>
        <v>0</v>
      </c>
      <c r="H59" s="130">
        <f>+Actuals!E109</f>
        <v>0</v>
      </c>
      <c r="I59" s="131">
        <f>+Actuals!F109</f>
        <v>0</v>
      </c>
      <c r="J59" s="130">
        <f>+Actuals!G109</f>
        <v>0</v>
      </c>
      <c r="K59" s="147">
        <f>+Actuals!H109</f>
        <v>0</v>
      </c>
      <c r="L59" s="130">
        <f>+Actuals!I109</f>
        <v>0</v>
      </c>
      <c r="M59" s="131">
        <f>+Actuals!J109-16</f>
        <v>-16</v>
      </c>
      <c r="N59" s="130">
        <f>+Actuals!K109</f>
        <v>0</v>
      </c>
      <c r="O59" s="131">
        <f>+Actuals!L109</f>
        <v>0</v>
      </c>
      <c r="P59" s="130">
        <f>+Actuals!M109</f>
        <v>0</v>
      </c>
      <c r="Q59" s="131">
        <f>+Actuals!N109</f>
        <v>0</v>
      </c>
      <c r="R59" s="130">
        <f>+Actuals!O109</f>
        <v>0</v>
      </c>
      <c r="S59" s="131">
        <f>+Actuals!P109</f>
        <v>0</v>
      </c>
      <c r="T59" s="130">
        <f>+Actuals!Q109</f>
        <v>0</v>
      </c>
      <c r="U59" s="131">
        <f>+Actuals!R109</f>
        <v>0</v>
      </c>
      <c r="V59" s="130">
        <f>+Actuals!S109</f>
        <v>0</v>
      </c>
      <c r="W59" s="131">
        <f>+Actuals!T109</f>
        <v>0</v>
      </c>
      <c r="X59" s="127">
        <f>+Actuals!U149</f>
        <v>0</v>
      </c>
      <c r="Y59" s="128">
        <f>+Actuals!V149</f>
        <v>0</v>
      </c>
      <c r="Z59" s="130">
        <f>+Actuals!W149</f>
        <v>0</v>
      </c>
      <c r="AA59" s="131">
        <f>+Actuals!X149</f>
        <v>0</v>
      </c>
      <c r="AB59" s="130">
        <f>+Actuals!Y149</f>
        <v>0</v>
      </c>
      <c r="AC59" s="131">
        <f>+Actuals!Z149</f>
        <v>0</v>
      </c>
      <c r="AD59" s="130">
        <f>+Actuals!AA149</f>
        <v>0</v>
      </c>
      <c r="AE59" s="131">
        <f>+Actuals!AB149</f>
        <v>0</v>
      </c>
      <c r="AF59" s="130">
        <f>+Actuals!AC149</f>
        <v>0</v>
      </c>
      <c r="AG59" s="131">
        <f>+Actuals!AD149</f>
        <v>0</v>
      </c>
      <c r="AH59" s="130">
        <f>+Actuals!AE149</f>
        <v>0</v>
      </c>
      <c r="AI59" s="131">
        <f>+Actuals!AF149</f>
        <v>0</v>
      </c>
      <c r="AJ59" s="130">
        <f>+Actuals!AG149</f>
        <v>0</v>
      </c>
      <c r="AK59" s="131">
        <f>+Actuals!AH149</f>
        <v>0</v>
      </c>
      <c r="AL59" s="130">
        <f>+Actuals!AI149</f>
        <v>0</v>
      </c>
      <c r="AM59" s="131">
        <f>+Actuals!AJ149</f>
        <v>0</v>
      </c>
      <c r="AN59" s="130">
        <f>+Actuals!AK149</f>
        <v>0</v>
      </c>
      <c r="AO59" s="131">
        <f>+Actuals!AL149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'TIE-OUT'!X60+RECLASS!X60</f>
        <v>0</v>
      </c>
      <c r="G60" s="82">
        <f>'TIE-OUT'!Y60+RECLASS!Y60</f>
        <v>0</v>
      </c>
      <c r="H60" s="130">
        <f>+Actuals!E110</f>
        <v>0</v>
      </c>
      <c r="I60" s="131">
        <f>+Actuals!F110</f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30">
        <f>+Actuals!K110</f>
        <v>0</v>
      </c>
      <c r="O60" s="131">
        <f>+Actuals!L110</f>
        <v>0</v>
      </c>
      <c r="P60" s="130">
        <f>+Actuals!M110</f>
        <v>0</v>
      </c>
      <c r="Q60" s="131">
        <f>+Actuals!N110</f>
        <v>0</v>
      </c>
      <c r="R60" s="130">
        <f>+Actuals!O110</f>
        <v>0</v>
      </c>
      <c r="S60" s="131">
        <f>+Actuals!P110</f>
        <v>0</v>
      </c>
      <c r="T60" s="130">
        <f>+Actuals!Q110</f>
        <v>0</v>
      </c>
      <c r="U60" s="131">
        <f>+Actuals!R110</f>
        <v>0</v>
      </c>
      <c r="V60" s="130">
        <f>+Actuals!S110</f>
        <v>0</v>
      </c>
      <c r="W60" s="131">
        <f>+Actuals!T110</f>
        <v>0</v>
      </c>
      <c r="X60" s="127">
        <f>+Actuals!U150</f>
        <v>0</v>
      </c>
      <c r="Y60" s="128">
        <f>+Actuals!V150</f>
        <v>0</v>
      </c>
      <c r="Z60" s="130">
        <f>+Actuals!W150</f>
        <v>0</v>
      </c>
      <c r="AA60" s="131">
        <f>+Actuals!X150</f>
        <v>0</v>
      </c>
      <c r="AB60" s="130">
        <f>+Actuals!Y150</f>
        <v>0</v>
      </c>
      <c r="AC60" s="131">
        <f>+Actuals!Z150</f>
        <v>0</v>
      </c>
      <c r="AD60" s="130">
        <f>+Actuals!AA150</f>
        <v>0</v>
      </c>
      <c r="AE60" s="131">
        <f>+Actuals!AB150</f>
        <v>0</v>
      </c>
      <c r="AF60" s="130">
        <f>+Actuals!AC150</f>
        <v>0</v>
      </c>
      <c r="AG60" s="131">
        <f>+Actuals!AD150</f>
        <v>0</v>
      </c>
      <c r="AH60" s="130">
        <f>+Actuals!AE150</f>
        <v>0</v>
      </c>
      <c r="AI60" s="131">
        <f>+Actuals!AF150</f>
        <v>0</v>
      </c>
      <c r="AJ60" s="130">
        <f>+Actuals!AG150</f>
        <v>0</v>
      </c>
      <c r="AK60" s="131">
        <f>+Actuals!AH150</f>
        <v>0</v>
      </c>
      <c r="AL60" s="130">
        <f>+Actuals!AI150</f>
        <v>0</v>
      </c>
      <c r="AM60" s="131">
        <f>+Actuals!AJ150</f>
        <v>0</v>
      </c>
      <c r="AN60" s="130">
        <f>+Actuals!AK150</f>
        <v>0</v>
      </c>
      <c r="AO60" s="131">
        <f>+Actuals!AL150</f>
        <v>0</v>
      </c>
    </row>
    <row r="61" spans="1:41" x14ac:dyDescent="0.2">
      <c r="A61" s="9"/>
      <c r="B61" s="62" t="s">
        <v>63</v>
      </c>
      <c r="C61" s="6"/>
      <c r="D61" s="61">
        <f t="shared" ref="D61:Y61" si="26">SUM(D59:D60)</f>
        <v>0</v>
      </c>
      <c r="E61" s="39">
        <f t="shared" si="26"/>
        <v>-16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48">
        <f t="shared" si="26"/>
        <v>0</v>
      </c>
      <c r="L61" s="61">
        <f t="shared" si="26"/>
        <v>0</v>
      </c>
      <c r="M61" s="39">
        <f t="shared" si="26"/>
        <v>-16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ref="Z61:AE61" si="27">SUM(Z59:Z60)</f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'TIE-OUT'!X64+RECLASS!X64</f>
        <v>0</v>
      </c>
      <c r="G64" s="68">
        <f>'TIE-OUT'!Y64+RECLASS!Y64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30">
        <f>+Actuals!K111</f>
        <v>0</v>
      </c>
      <c r="O64" s="131">
        <f>+Actuals!L111</f>
        <v>0</v>
      </c>
      <c r="P64" s="130">
        <f>+Actuals!M111</f>
        <v>0</v>
      </c>
      <c r="Q64" s="131">
        <f>+Actuals!N111</f>
        <v>0</v>
      </c>
      <c r="R64" s="130">
        <f>+Actuals!O111</f>
        <v>0</v>
      </c>
      <c r="S64" s="131">
        <f>+Actuals!P111</f>
        <v>0</v>
      </c>
      <c r="T64" s="130">
        <f>+Actuals!Q111</f>
        <v>0</v>
      </c>
      <c r="U64" s="131">
        <f>+Actuals!R111</f>
        <v>0</v>
      </c>
      <c r="V64" s="130">
        <f>+Actuals!S111</f>
        <v>0</v>
      </c>
      <c r="W64" s="131">
        <f>+Actuals!T111</f>
        <v>0</v>
      </c>
      <c r="X64" s="127">
        <f>+Actuals!U151</f>
        <v>0</v>
      </c>
      <c r="Y64" s="128">
        <f>+Actuals!V151</f>
        <v>0</v>
      </c>
      <c r="Z64" s="130">
        <f>+Actuals!W151</f>
        <v>0</v>
      </c>
      <c r="AA64" s="131">
        <f>+Actuals!X151</f>
        <v>0</v>
      </c>
      <c r="AB64" s="130">
        <f>+Actuals!Y151</f>
        <v>0</v>
      </c>
      <c r="AC64" s="131">
        <f>+Actuals!Z151</f>
        <v>0</v>
      </c>
      <c r="AD64" s="130">
        <f>+Actuals!AA151</f>
        <v>0</v>
      </c>
      <c r="AE64" s="131">
        <f>+Actuals!AB151</f>
        <v>0</v>
      </c>
      <c r="AF64" s="130">
        <f>+Actuals!AC151</f>
        <v>0</v>
      </c>
      <c r="AG64" s="131">
        <f>+Actuals!AD151</f>
        <v>0</v>
      </c>
      <c r="AH64" s="130">
        <f>+Actuals!AE151</f>
        <v>0</v>
      </c>
      <c r="AI64" s="131">
        <f>+Actuals!AF151</f>
        <v>0</v>
      </c>
      <c r="AJ64" s="130">
        <f>+Actuals!AG151</f>
        <v>0</v>
      </c>
      <c r="AK64" s="131">
        <f>+Actuals!AH151</f>
        <v>0</v>
      </c>
      <c r="AL64" s="130">
        <f>+Actuals!AI151</f>
        <v>0</v>
      </c>
      <c r="AM64" s="131">
        <f>+Actuals!AJ151</f>
        <v>0</v>
      </c>
      <c r="AN64" s="130">
        <f>+Actuals!AK151</f>
        <v>0</v>
      </c>
      <c r="AO64" s="131">
        <f>+Actuals!AL151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'TIE-OUT'!X65+RECLASS!X65</f>
        <v>0</v>
      </c>
      <c r="G65" s="82">
        <f>'TIE-OUT'!Y65+RECLASS!Y65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30">
        <f>+Actuals!K112</f>
        <v>0</v>
      </c>
      <c r="O65" s="131">
        <f>+Actuals!L112</f>
        <v>0</v>
      </c>
      <c r="P65" s="130">
        <f>+Actuals!M112</f>
        <v>0</v>
      </c>
      <c r="Q65" s="131">
        <f>+Actuals!N112</f>
        <v>0</v>
      </c>
      <c r="R65" s="130">
        <f>+Actuals!O112</f>
        <v>0</v>
      </c>
      <c r="S65" s="131">
        <f>+Actuals!P112</f>
        <v>0</v>
      </c>
      <c r="T65" s="130">
        <f>+Actuals!Q112</f>
        <v>0</v>
      </c>
      <c r="U65" s="131">
        <f>+Actuals!R112</f>
        <v>0</v>
      </c>
      <c r="V65" s="130">
        <f>+Actuals!S112</f>
        <v>0</v>
      </c>
      <c r="W65" s="131">
        <f>+Actuals!T112</f>
        <v>0</v>
      </c>
      <c r="X65" s="127">
        <f>+Actuals!U152</f>
        <v>0</v>
      </c>
      <c r="Y65" s="128">
        <f>+Actuals!V152</f>
        <v>0</v>
      </c>
      <c r="Z65" s="130">
        <f>+Actuals!W152</f>
        <v>0</v>
      </c>
      <c r="AA65" s="131">
        <f>+Actuals!X152</f>
        <v>0</v>
      </c>
      <c r="AB65" s="130">
        <f>+Actuals!Y152</f>
        <v>0</v>
      </c>
      <c r="AC65" s="131">
        <f>+Actuals!Z152</f>
        <v>0</v>
      </c>
      <c r="AD65" s="130">
        <f>+Actuals!AA152</f>
        <v>0</v>
      </c>
      <c r="AE65" s="131">
        <f>+Actuals!AB152</f>
        <v>0</v>
      </c>
      <c r="AF65" s="130">
        <f>+Actuals!AC152</f>
        <v>0</v>
      </c>
      <c r="AG65" s="131">
        <f>+Actuals!AD152</f>
        <v>0</v>
      </c>
      <c r="AH65" s="130">
        <f>+Actuals!AE152</f>
        <v>0</v>
      </c>
      <c r="AI65" s="131">
        <f>+Actuals!AF152</f>
        <v>0</v>
      </c>
      <c r="AJ65" s="130">
        <f>+Actuals!AG152</f>
        <v>0</v>
      </c>
      <c r="AK65" s="131">
        <f>+Actuals!AH152</f>
        <v>0</v>
      </c>
      <c r="AL65" s="130">
        <f>+Actuals!AI152</f>
        <v>0</v>
      </c>
      <c r="AM65" s="131">
        <f>+Actuals!AJ152</f>
        <v>0</v>
      </c>
      <c r="AN65" s="130">
        <f>+Actuals!AK152</f>
        <v>0</v>
      </c>
      <c r="AO65" s="131">
        <f>+Actuals!AL152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 t="shared" ref="F66:Y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48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ref="Z66:AE66" si="30">SUM(Z64:Z65)</f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5852332.7300000004</v>
      </c>
      <c r="F70" s="64">
        <f>'TIE-OUT'!X70+RECLASS!X70</f>
        <v>0</v>
      </c>
      <c r="G70" s="68">
        <f>'TIE-OUT'!Y70+RECLASS!Y70</f>
        <v>5852332.7300000004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7">
        <v>0</v>
      </c>
      <c r="L70" s="130">
        <f>+Actuals!I113</f>
        <v>0</v>
      </c>
      <c r="M70" s="131">
        <f>+Actuals!J113</f>
        <v>0</v>
      </c>
      <c r="N70" s="130">
        <f>+Actuals!K113</f>
        <v>0</v>
      </c>
      <c r="O70" s="131">
        <f>+Actuals!L113</f>
        <v>0</v>
      </c>
      <c r="P70" s="130">
        <f>+Actuals!M113</f>
        <v>0</v>
      </c>
      <c r="Q70" s="131">
        <f>+Actuals!N113</f>
        <v>0</v>
      </c>
      <c r="R70" s="130">
        <f>+Actuals!O113</f>
        <v>0</v>
      </c>
      <c r="S70" s="131">
        <f>+Actuals!P113</f>
        <v>0</v>
      </c>
      <c r="T70" s="130">
        <f>+Actuals!Q113</f>
        <v>0</v>
      </c>
      <c r="U70" s="131">
        <f>+Actuals!R113</f>
        <v>0</v>
      </c>
      <c r="V70" s="130">
        <f>+Actuals!S113</f>
        <v>0</v>
      </c>
      <c r="W70" s="131">
        <f>+Actuals!T113</f>
        <v>0</v>
      </c>
      <c r="X70" s="127">
        <f>+Actuals!U153</f>
        <v>0</v>
      </c>
      <c r="Y70" s="128">
        <f>+Actuals!V153</f>
        <v>0</v>
      </c>
      <c r="Z70" s="130">
        <f>+Actuals!W153</f>
        <v>0</v>
      </c>
      <c r="AA70" s="131">
        <f>+Actuals!X153</f>
        <v>0</v>
      </c>
      <c r="AB70" s="130">
        <f>+Actuals!Y153</f>
        <v>0</v>
      </c>
      <c r="AC70" s="131">
        <f>+Actuals!Z153</f>
        <v>0</v>
      </c>
      <c r="AD70" s="130">
        <f>+Actuals!AA153</f>
        <v>0</v>
      </c>
      <c r="AE70" s="131">
        <f>+Actuals!AB153</f>
        <v>0</v>
      </c>
      <c r="AF70" s="130">
        <f>+Actuals!AC153</f>
        <v>0</v>
      </c>
      <c r="AG70" s="131">
        <f>+Actuals!AD153</f>
        <v>0</v>
      </c>
      <c r="AH70" s="130">
        <f>+Actuals!AE153</f>
        <v>0</v>
      </c>
      <c r="AI70" s="131">
        <f>+Actuals!AF153</f>
        <v>0</v>
      </c>
      <c r="AJ70" s="130">
        <f>+Actuals!AG153</f>
        <v>0</v>
      </c>
      <c r="AK70" s="131">
        <f>+Actuals!AH153</f>
        <v>0</v>
      </c>
      <c r="AL70" s="130">
        <f>+Actuals!AI153</f>
        <v>0</v>
      </c>
      <c r="AM70" s="131">
        <f>+Actuals!AJ153</f>
        <v>0</v>
      </c>
      <c r="AN70" s="130">
        <f>+Actuals!AK153</f>
        <v>0</v>
      </c>
      <c r="AO70" s="131">
        <f>+Actuals!AL153</f>
        <v>0</v>
      </c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-7770576</v>
      </c>
      <c r="F71" s="81">
        <f>'TIE-OUT'!X71+RECLASS!X71</f>
        <v>0</v>
      </c>
      <c r="G71" s="82">
        <f>'TIE-OUT'!Y71+RECLASS!Y71</f>
        <v>-7770576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30">
        <f>+Actuals!K114</f>
        <v>0</v>
      </c>
      <c r="O71" s="131">
        <f>+Actuals!L114</f>
        <v>0</v>
      </c>
      <c r="P71" s="130">
        <f>+Actuals!M114</f>
        <v>0</v>
      </c>
      <c r="Q71" s="131">
        <f>+Actuals!N114</f>
        <v>0</v>
      </c>
      <c r="R71" s="130">
        <f>+Actuals!O114</f>
        <v>0</v>
      </c>
      <c r="S71" s="131">
        <f>+Actuals!P114</f>
        <v>0</v>
      </c>
      <c r="T71" s="130">
        <f>+Actuals!Q114</f>
        <v>0</v>
      </c>
      <c r="U71" s="131">
        <f>+Actuals!R114</f>
        <v>0</v>
      </c>
      <c r="V71" s="130">
        <f>+Actuals!S114</f>
        <v>0</v>
      </c>
      <c r="W71" s="131">
        <f>+Actuals!T114</f>
        <v>0</v>
      </c>
      <c r="X71" s="127">
        <f>+Actuals!U154</f>
        <v>0</v>
      </c>
      <c r="Y71" s="128">
        <f>+Actuals!V154</f>
        <v>0</v>
      </c>
      <c r="Z71" s="130">
        <f>+Actuals!W154</f>
        <v>0</v>
      </c>
      <c r="AA71" s="131">
        <f>+Actuals!X154</f>
        <v>0</v>
      </c>
      <c r="AB71" s="130">
        <f>+Actuals!Y154</f>
        <v>0</v>
      </c>
      <c r="AC71" s="131">
        <f>+Actuals!Z154</f>
        <v>0</v>
      </c>
      <c r="AD71" s="130">
        <f>+Actuals!AA154</f>
        <v>0</v>
      </c>
      <c r="AE71" s="131">
        <f>+Actuals!AB154</f>
        <v>0</v>
      </c>
      <c r="AF71" s="130">
        <f>+Actuals!AC154</f>
        <v>0</v>
      </c>
      <c r="AG71" s="131">
        <f>+Actuals!AD154</f>
        <v>0</v>
      </c>
      <c r="AH71" s="130">
        <f>+Actuals!AE154</f>
        <v>0</v>
      </c>
      <c r="AI71" s="131">
        <f>+Actuals!AF154</f>
        <v>0</v>
      </c>
      <c r="AJ71" s="130">
        <f>+Actuals!AG154</f>
        <v>0</v>
      </c>
      <c r="AK71" s="131">
        <f>+Actuals!AH154</f>
        <v>0</v>
      </c>
      <c r="AL71" s="130">
        <f>+Actuals!AI154</f>
        <v>0</v>
      </c>
      <c r="AM71" s="131">
        <f>+Actuals!AJ154</f>
        <v>0</v>
      </c>
      <c r="AN71" s="130">
        <f>+Actuals!AK154</f>
        <v>0</v>
      </c>
      <c r="AO71" s="131">
        <f>+Actuals!AL154</f>
        <v>0</v>
      </c>
    </row>
    <row r="72" spans="1:41" x14ac:dyDescent="0.2">
      <c r="A72" s="9"/>
      <c r="B72" s="3"/>
      <c r="C72" s="55" t="s">
        <v>71</v>
      </c>
      <c r="D72" s="61">
        <f t="shared" ref="D72:Y72" si="32">SUM(D70:D71)</f>
        <v>0</v>
      </c>
      <c r="E72" s="39">
        <f t="shared" si="32"/>
        <v>-1918243.2699999996</v>
      </c>
      <c r="F72" s="61">
        <f t="shared" si="32"/>
        <v>0</v>
      </c>
      <c r="G72" s="39">
        <f t="shared" si="32"/>
        <v>-1918243.2699999996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48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ref="Z72:AE72" si="33">SUM(Z70:Z71)</f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'TIE-OUT'!X73+RECLASS!X73</f>
        <v>0</v>
      </c>
      <c r="G73" s="60">
        <f>'TIE-OUT'!Y73+RECLASS!Y73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30">
        <f>+Actuals!K115</f>
        <v>0</v>
      </c>
      <c r="O73" s="131">
        <f>+Actuals!L115</f>
        <v>0</v>
      </c>
      <c r="P73" s="130">
        <f>+Actuals!M115</f>
        <v>0</v>
      </c>
      <c r="Q73" s="131">
        <f>+Actuals!N115</f>
        <v>0</v>
      </c>
      <c r="R73" s="130">
        <f>+Actuals!O115</f>
        <v>0</v>
      </c>
      <c r="S73" s="131">
        <f>+Actuals!P115</f>
        <v>0</v>
      </c>
      <c r="T73" s="130">
        <f>+Actuals!Q115</f>
        <v>0</v>
      </c>
      <c r="U73" s="131">
        <f>+Actuals!R115</f>
        <v>0</v>
      </c>
      <c r="V73" s="130">
        <f>+Actuals!S115</f>
        <v>0</v>
      </c>
      <c r="W73" s="131">
        <f>+Actuals!T115</f>
        <v>0</v>
      </c>
      <c r="X73" s="127">
        <f>+Actuals!U155</f>
        <v>0</v>
      </c>
      <c r="Y73" s="128">
        <f>+Actuals!V155</f>
        <v>0</v>
      </c>
      <c r="Z73" s="130">
        <f>+Actuals!W155</f>
        <v>0</v>
      </c>
      <c r="AA73" s="131">
        <f>+Actuals!X155</f>
        <v>0</v>
      </c>
      <c r="AB73" s="130">
        <f>+Actuals!Y155</f>
        <v>0</v>
      </c>
      <c r="AC73" s="131">
        <f>+Actuals!Z155</f>
        <v>0</v>
      </c>
      <c r="AD73" s="130">
        <f>+Actuals!AA155</f>
        <v>0</v>
      </c>
      <c r="AE73" s="131">
        <f>+Actuals!AB155</f>
        <v>0</v>
      </c>
      <c r="AF73" s="130">
        <f>+Actuals!AC155</f>
        <v>0</v>
      </c>
      <c r="AG73" s="131">
        <f>+Actuals!AD155</f>
        <v>0</v>
      </c>
      <c r="AH73" s="130">
        <f>+Actuals!AE155</f>
        <v>0</v>
      </c>
      <c r="AI73" s="131">
        <f>+Actuals!AF155</f>
        <v>0</v>
      </c>
      <c r="AJ73" s="130">
        <f>+Actuals!AG155</f>
        <v>0</v>
      </c>
      <c r="AK73" s="131">
        <f>+Actuals!AH155</f>
        <v>0</v>
      </c>
      <c r="AL73" s="130">
        <f>+Actuals!AI155</f>
        <v>0</v>
      </c>
      <c r="AM73" s="131">
        <f>+Actuals!AJ155</f>
        <v>0</v>
      </c>
      <c r="AN73" s="130">
        <f>+Actuals!AK155</f>
        <v>0</v>
      </c>
      <c r="AO73" s="131">
        <f>+Actuals!AL155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2374528</v>
      </c>
      <c r="F74" s="60">
        <f>'TIE-OUT'!X74+RECLASS!X74</f>
        <v>0</v>
      </c>
      <c r="G74" s="60">
        <f>'TIE-OUT'!Y74+RECLASS!Y74</f>
        <v>2374528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60"/>
      <c r="L74" s="130">
        <f>+Actuals!I116</f>
        <v>0</v>
      </c>
      <c r="M74" s="131">
        <f>+Actuals!J116</f>
        <v>0</v>
      </c>
      <c r="N74" s="130">
        <f>+Actuals!K116</f>
        <v>0</v>
      </c>
      <c r="O74" s="131">
        <f>+Actuals!L116</f>
        <v>0</v>
      </c>
      <c r="P74" s="130">
        <f>+Actuals!M116</f>
        <v>0</v>
      </c>
      <c r="Q74" s="131">
        <f>+Actuals!N116</f>
        <v>0</v>
      </c>
      <c r="R74" s="130">
        <f>+Actuals!O116</f>
        <v>0</v>
      </c>
      <c r="S74" s="131">
        <f>+Actuals!P116</f>
        <v>0</v>
      </c>
      <c r="T74" s="130">
        <f>+Actuals!Q116</f>
        <v>0</v>
      </c>
      <c r="U74" s="131">
        <f>+Actuals!R116</f>
        <v>0</v>
      </c>
      <c r="V74" s="130">
        <f>+Actuals!S116</f>
        <v>0</v>
      </c>
      <c r="W74" s="131">
        <f>+Actuals!T116</f>
        <v>0</v>
      </c>
      <c r="X74" s="127">
        <f>+Actuals!U156</f>
        <v>0</v>
      </c>
      <c r="Y74" s="128">
        <f>+Actuals!V156</f>
        <v>0</v>
      </c>
      <c r="Z74" s="130">
        <f>+Actuals!W156</f>
        <v>0</v>
      </c>
      <c r="AA74" s="131">
        <f>+Actuals!X156</f>
        <v>0</v>
      </c>
      <c r="AB74" s="130">
        <f>+Actuals!Y156</f>
        <v>0</v>
      </c>
      <c r="AC74" s="131">
        <f>+Actuals!Z156</f>
        <v>0</v>
      </c>
      <c r="AD74" s="130">
        <f>+Actuals!AA156</f>
        <v>0</v>
      </c>
      <c r="AE74" s="131">
        <f>+Actuals!AB156</f>
        <v>0</v>
      </c>
      <c r="AF74" s="130">
        <f>+Actuals!AC156</f>
        <v>0</v>
      </c>
      <c r="AG74" s="131">
        <f>+Actuals!AD156</f>
        <v>0</v>
      </c>
      <c r="AH74" s="130">
        <f>+Actuals!AE156</f>
        <v>0</v>
      </c>
      <c r="AI74" s="131">
        <f>+Actuals!AF156</f>
        <v>0</v>
      </c>
      <c r="AJ74" s="130">
        <f>+Actuals!AG156</f>
        <v>0</v>
      </c>
      <c r="AK74" s="131">
        <f>+Actuals!AH156</f>
        <v>0</v>
      </c>
      <c r="AL74" s="130">
        <f>+Actuals!AI156</f>
        <v>0</v>
      </c>
      <c r="AM74" s="131">
        <f>+Actuals!AJ156</f>
        <v>0</v>
      </c>
      <c r="AN74" s="130">
        <f>+Actuals!AK156</f>
        <v>0</v>
      </c>
      <c r="AO74" s="131">
        <f>+Actuals!AL156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0</v>
      </c>
      <c r="F75" s="60">
        <f>'TIE-OUT'!X75+RECLASS!X75</f>
        <v>0</v>
      </c>
      <c r="G75" s="60">
        <f>'TIE-OUT'!Y75+RECLASS!Y75</f>
        <v>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30">
        <f>+Actuals!K117</f>
        <v>0</v>
      </c>
      <c r="O75" s="131">
        <f>+Actuals!L117</f>
        <v>0</v>
      </c>
      <c r="P75" s="130">
        <f>+Actuals!M117</f>
        <v>0</v>
      </c>
      <c r="Q75" s="131">
        <f>+Actuals!N117</f>
        <v>0</v>
      </c>
      <c r="R75" s="130">
        <f>+Actuals!O117</f>
        <v>0</v>
      </c>
      <c r="S75" s="131">
        <f>+Actuals!P117</f>
        <v>0</v>
      </c>
      <c r="T75" s="130">
        <f>+Actuals!Q117</f>
        <v>0</v>
      </c>
      <c r="U75" s="131">
        <f>+Actuals!R117</f>
        <v>0</v>
      </c>
      <c r="V75" s="130">
        <f>+Actuals!S117</f>
        <v>0</v>
      </c>
      <c r="W75" s="131">
        <f>+Actuals!T117</f>
        <v>0</v>
      </c>
      <c r="X75" s="127">
        <f>+Actuals!U157</f>
        <v>0</v>
      </c>
      <c r="Y75" s="128">
        <f>+Actuals!V157</f>
        <v>0</v>
      </c>
      <c r="Z75" s="130">
        <f>+Actuals!W157</f>
        <v>0</v>
      </c>
      <c r="AA75" s="131">
        <f>+Actuals!X157</f>
        <v>0</v>
      </c>
      <c r="AB75" s="130">
        <f>+Actuals!Y157</f>
        <v>0</v>
      </c>
      <c r="AC75" s="131">
        <f>+Actuals!Z157</f>
        <v>0</v>
      </c>
      <c r="AD75" s="130">
        <f>+Actuals!AA157</f>
        <v>0</v>
      </c>
      <c r="AE75" s="131">
        <f>+Actuals!AB157</f>
        <v>0</v>
      </c>
      <c r="AF75" s="130">
        <f>+Actuals!AC157</f>
        <v>0</v>
      </c>
      <c r="AG75" s="131">
        <f>+Actuals!AD157</f>
        <v>0</v>
      </c>
      <c r="AH75" s="130">
        <f>+Actuals!AE157</f>
        <v>0</v>
      </c>
      <c r="AI75" s="131">
        <f>+Actuals!AF157</f>
        <v>0</v>
      </c>
      <c r="AJ75" s="130">
        <f>+Actuals!AG157</f>
        <v>0</v>
      </c>
      <c r="AK75" s="131">
        <f>+Actuals!AH157</f>
        <v>0</v>
      </c>
      <c r="AL75" s="130">
        <f>+Actuals!AI157</f>
        <v>0</v>
      </c>
      <c r="AM75" s="131">
        <f>+Actuals!AJ157</f>
        <v>0</v>
      </c>
      <c r="AN75" s="130">
        <f>+Actuals!AK157</f>
        <v>0</v>
      </c>
      <c r="AO75" s="131">
        <f>+Actuals!AL157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0</v>
      </c>
      <c r="F76" s="60">
        <f>'TIE-OUT'!X76+RECLASS!X76</f>
        <v>0</v>
      </c>
      <c r="G76" s="60">
        <f>'TIE-OUT'!Y76+RECLASS!Y76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30">
        <f>+Actuals!K118</f>
        <v>0</v>
      </c>
      <c r="O76" s="131">
        <f>+Actuals!L118</f>
        <v>0</v>
      </c>
      <c r="P76" s="130">
        <f>+Actuals!M118</f>
        <v>0</v>
      </c>
      <c r="Q76" s="131">
        <f>+Actuals!N118</f>
        <v>0</v>
      </c>
      <c r="R76" s="130">
        <f>+Actuals!O118</f>
        <v>0</v>
      </c>
      <c r="S76" s="131">
        <f>+Actuals!P118</f>
        <v>0</v>
      </c>
      <c r="T76" s="130">
        <f>+Actuals!Q118</f>
        <v>0</v>
      </c>
      <c r="U76" s="131">
        <f>+Actuals!R118</f>
        <v>0</v>
      </c>
      <c r="V76" s="130">
        <f>+Actuals!S118</f>
        <v>0</v>
      </c>
      <c r="W76" s="131">
        <f>+Actuals!T118</f>
        <v>0</v>
      </c>
      <c r="X76" s="127">
        <f>+Actuals!U158</f>
        <v>0</v>
      </c>
      <c r="Y76" s="128">
        <f>+Actuals!V158</f>
        <v>0</v>
      </c>
      <c r="Z76" s="130">
        <f>+Actuals!W158</f>
        <v>0</v>
      </c>
      <c r="AA76" s="131">
        <f>+Actuals!X158</f>
        <v>0</v>
      </c>
      <c r="AB76" s="130">
        <f>+Actuals!Y158</f>
        <v>0</v>
      </c>
      <c r="AC76" s="131">
        <f>+Actuals!Z158</f>
        <v>0</v>
      </c>
      <c r="AD76" s="130">
        <f>+Actuals!AA158</f>
        <v>0</v>
      </c>
      <c r="AE76" s="131">
        <f>+Actuals!AB158</f>
        <v>0</v>
      </c>
      <c r="AF76" s="130">
        <f>+Actuals!AC158</f>
        <v>0</v>
      </c>
      <c r="AG76" s="131">
        <f>+Actuals!AD158</f>
        <v>0</v>
      </c>
      <c r="AH76" s="130">
        <f>+Actuals!AE158</f>
        <v>0</v>
      </c>
      <c r="AI76" s="131">
        <f>+Actuals!AF158</f>
        <v>0</v>
      </c>
      <c r="AJ76" s="130">
        <f>+Actuals!AG158</f>
        <v>0</v>
      </c>
      <c r="AK76" s="131">
        <f>+Actuals!AH158</f>
        <v>0</v>
      </c>
      <c r="AL76" s="130">
        <f>+Actuals!AI158</f>
        <v>0</v>
      </c>
      <c r="AM76" s="131">
        <f>+Actuals!AJ158</f>
        <v>0</v>
      </c>
      <c r="AN76" s="130">
        <f>+Actuals!AK158</f>
        <v>0</v>
      </c>
      <c r="AO76" s="131">
        <f>+Actuals!AL158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0</v>
      </c>
      <c r="F77" s="60">
        <f>'TIE-OUT'!X77+RECLASS!X77</f>
        <v>0</v>
      </c>
      <c r="G77" s="60">
        <f>'TIE-OUT'!Y77+RECLASS!Y77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30">
        <f>+Actuals!K119</f>
        <v>0</v>
      </c>
      <c r="O77" s="131">
        <f>+Actuals!L119</f>
        <v>0</v>
      </c>
      <c r="P77" s="130">
        <f>+Actuals!M119</f>
        <v>0</v>
      </c>
      <c r="Q77" s="131">
        <f>+Actuals!N119</f>
        <v>0</v>
      </c>
      <c r="R77" s="130">
        <f>+Actuals!O119</f>
        <v>0</v>
      </c>
      <c r="S77" s="131">
        <f>+Actuals!P119</f>
        <v>0</v>
      </c>
      <c r="T77" s="130">
        <f>+Actuals!Q119</f>
        <v>0</v>
      </c>
      <c r="U77" s="131">
        <f>+Actuals!R119</f>
        <v>0</v>
      </c>
      <c r="V77" s="130">
        <f>+Actuals!S119</f>
        <v>0</v>
      </c>
      <c r="W77" s="131">
        <f>+Actuals!T119</f>
        <v>0</v>
      </c>
      <c r="X77" s="127">
        <f>+Actuals!U159</f>
        <v>0</v>
      </c>
      <c r="Y77" s="128">
        <f>+Actuals!V159</f>
        <v>0</v>
      </c>
      <c r="Z77" s="130">
        <f>+Actuals!W159</f>
        <v>0</v>
      </c>
      <c r="AA77" s="131">
        <f>+Actuals!X159</f>
        <v>0</v>
      </c>
      <c r="AB77" s="130">
        <f>+Actuals!Y159</f>
        <v>0</v>
      </c>
      <c r="AC77" s="131">
        <f>+Actuals!Z159</f>
        <v>0</v>
      </c>
      <c r="AD77" s="130">
        <f>+Actuals!AA159</f>
        <v>0</v>
      </c>
      <c r="AE77" s="131">
        <f>+Actuals!AB159</f>
        <v>0</v>
      </c>
      <c r="AF77" s="130">
        <f>+Actuals!AC159</f>
        <v>0</v>
      </c>
      <c r="AG77" s="131">
        <f>+Actuals!AD159</f>
        <v>0</v>
      </c>
      <c r="AH77" s="130">
        <f>+Actuals!AE159</f>
        <v>0</v>
      </c>
      <c r="AI77" s="131">
        <f>+Actuals!AF159</f>
        <v>0</v>
      </c>
      <c r="AJ77" s="130">
        <f>+Actuals!AG159</f>
        <v>0</v>
      </c>
      <c r="AK77" s="131">
        <f>+Actuals!AH159</f>
        <v>0</v>
      </c>
      <c r="AL77" s="130">
        <f>+Actuals!AI159</f>
        <v>0</v>
      </c>
      <c r="AM77" s="131">
        <f>+Actuals!AJ159</f>
        <v>0</v>
      </c>
      <c r="AN77" s="130">
        <f>+Actuals!AK159</f>
        <v>0</v>
      </c>
      <c r="AO77" s="131">
        <f>+Actuals!AL159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'TIE-OUT'!X78+RECLASS!X78</f>
        <v>0</v>
      </c>
      <c r="G78" s="60">
        <f>'TIE-OUT'!Y78+RECLASS!Y78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30">
        <f>+Actuals!K120</f>
        <v>0</v>
      </c>
      <c r="O78" s="131">
        <f>+Actuals!L120</f>
        <v>0</v>
      </c>
      <c r="P78" s="130">
        <f>+Actuals!M120</f>
        <v>0</v>
      </c>
      <c r="Q78" s="131">
        <f>+Actuals!N120</f>
        <v>0</v>
      </c>
      <c r="R78" s="130">
        <f>+Actuals!O120</f>
        <v>0</v>
      </c>
      <c r="S78" s="131">
        <f>+Actuals!P120</f>
        <v>0</v>
      </c>
      <c r="T78" s="130">
        <f>+Actuals!Q120</f>
        <v>0</v>
      </c>
      <c r="U78" s="131">
        <f>+Actuals!R120</f>
        <v>0</v>
      </c>
      <c r="V78" s="130">
        <f>+Actuals!S120</f>
        <v>0</v>
      </c>
      <c r="W78" s="131">
        <f>+Actuals!T120</f>
        <v>0</v>
      </c>
      <c r="X78" s="127">
        <f>+Actuals!U160</f>
        <v>0</v>
      </c>
      <c r="Y78" s="128">
        <f>+Actuals!V160</f>
        <v>0</v>
      </c>
      <c r="Z78" s="130">
        <f>+Actuals!W160</f>
        <v>0</v>
      </c>
      <c r="AA78" s="131">
        <f>+Actuals!X160</f>
        <v>0</v>
      </c>
      <c r="AB78" s="130">
        <f>+Actuals!Y160</f>
        <v>0</v>
      </c>
      <c r="AC78" s="131">
        <f>+Actuals!Z160</f>
        <v>0</v>
      </c>
      <c r="AD78" s="130">
        <f>+Actuals!AA160</f>
        <v>0</v>
      </c>
      <c r="AE78" s="131">
        <f>+Actuals!AB160</f>
        <v>0</v>
      </c>
      <c r="AF78" s="130">
        <f>+Actuals!AC160</f>
        <v>0</v>
      </c>
      <c r="AG78" s="131">
        <f>+Actuals!AD160</f>
        <v>0</v>
      </c>
      <c r="AH78" s="130">
        <f>+Actuals!AE160</f>
        <v>0</v>
      </c>
      <c r="AI78" s="131">
        <f>+Actuals!AF160</f>
        <v>0</v>
      </c>
      <c r="AJ78" s="130">
        <f>+Actuals!AG160</f>
        <v>0</v>
      </c>
      <c r="AK78" s="131">
        <f>+Actuals!AH160</f>
        <v>0</v>
      </c>
      <c r="AL78" s="130">
        <f>+Actuals!AI160</f>
        <v>0</v>
      </c>
      <c r="AM78" s="131">
        <f>+Actuals!AJ160</f>
        <v>0</v>
      </c>
      <c r="AN78" s="130">
        <f>+Actuals!AK160</f>
        <v>0</v>
      </c>
      <c r="AO78" s="131">
        <f>+Actuals!AL160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'TIE-OUT'!X79+RECLASS!X79</f>
        <v>0</v>
      </c>
      <c r="G79" s="60">
        <f>'TIE-OUT'!Y79+RECLASS!Y79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30">
        <f>+Actuals!K121</f>
        <v>0</v>
      </c>
      <c r="O79" s="131">
        <f>+Actuals!L121</f>
        <v>0</v>
      </c>
      <c r="P79" s="130">
        <f>+Actuals!M121</f>
        <v>0</v>
      </c>
      <c r="Q79" s="131">
        <f>+Actuals!N121</f>
        <v>0</v>
      </c>
      <c r="R79" s="130">
        <f>+Actuals!O121</f>
        <v>0</v>
      </c>
      <c r="S79" s="131">
        <f>+Actuals!P121</f>
        <v>0</v>
      </c>
      <c r="T79" s="130">
        <f>+Actuals!Q121</f>
        <v>0</v>
      </c>
      <c r="U79" s="131">
        <f>+Actuals!R121</f>
        <v>0</v>
      </c>
      <c r="V79" s="130">
        <f>+Actuals!S121</f>
        <v>0</v>
      </c>
      <c r="W79" s="131">
        <f>+Actuals!T121</f>
        <v>0</v>
      </c>
      <c r="X79" s="127">
        <f>+Actuals!U161</f>
        <v>0</v>
      </c>
      <c r="Y79" s="128">
        <f>+Actuals!V161</f>
        <v>0</v>
      </c>
      <c r="Z79" s="130">
        <f>+Actuals!W161</f>
        <v>0</v>
      </c>
      <c r="AA79" s="131">
        <f>+Actuals!X161</f>
        <v>0</v>
      </c>
      <c r="AB79" s="130">
        <f>+Actuals!Y161</f>
        <v>0</v>
      </c>
      <c r="AC79" s="131">
        <f>+Actuals!Z161</f>
        <v>0</v>
      </c>
      <c r="AD79" s="130">
        <f>+Actuals!AA161</f>
        <v>0</v>
      </c>
      <c r="AE79" s="131">
        <f>+Actuals!AB161</f>
        <v>0</v>
      </c>
      <c r="AF79" s="130">
        <f>+Actuals!AC161</f>
        <v>0</v>
      </c>
      <c r="AG79" s="131">
        <f>+Actuals!AD161</f>
        <v>0</v>
      </c>
      <c r="AH79" s="130">
        <f>+Actuals!AE161</f>
        <v>0</v>
      </c>
      <c r="AI79" s="131">
        <f>+Actuals!AF161</f>
        <v>0</v>
      </c>
      <c r="AJ79" s="130">
        <f>+Actuals!AG161</f>
        <v>0</v>
      </c>
      <c r="AK79" s="131">
        <f>+Actuals!AH161</f>
        <v>0</v>
      </c>
      <c r="AL79" s="130">
        <f>+Actuals!AI161</f>
        <v>0</v>
      </c>
      <c r="AM79" s="131">
        <f>+Actuals!AJ161</f>
        <v>0</v>
      </c>
      <c r="AN79" s="130">
        <f>+Actuals!AK161</f>
        <v>0</v>
      </c>
      <c r="AO79" s="131">
        <f>+Actuals!AL161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'TIE-OUT'!X80+RECLASS!X80</f>
        <v>0</v>
      </c>
      <c r="G80" s="60">
        <f>'TIE-OUT'!Y80+RECLASS!Y80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30">
        <f>+Actuals!K122</f>
        <v>0</v>
      </c>
      <c r="O80" s="131">
        <f>+Actuals!L122</f>
        <v>0</v>
      </c>
      <c r="P80" s="130">
        <f>+Actuals!M122</f>
        <v>0</v>
      </c>
      <c r="Q80" s="131">
        <f>+Actuals!N122</f>
        <v>0</v>
      </c>
      <c r="R80" s="130">
        <f>+Actuals!O122</f>
        <v>0</v>
      </c>
      <c r="S80" s="131">
        <f>+Actuals!P122</f>
        <v>0</v>
      </c>
      <c r="T80" s="130">
        <f>+Actuals!Q122</f>
        <v>0</v>
      </c>
      <c r="U80" s="131">
        <f>+Actuals!R122</f>
        <v>0</v>
      </c>
      <c r="V80" s="130">
        <f>+Actuals!S122</f>
        <v>0</v>
      </c>
      <c r="W80" s="131">
        <f>+Actuals!T122</f>
        <v>0</v>
      </c>
      <c r="X80" s="127">
        <f>+Actuals!U162</f>
        <v>0</v>
      </c>
      <c r="Y80" s="128">
        <f>+Actuals!V162</f>
        <v>0</v>
      </c>
      <c r="Z80" s="130">
        <f>+Actuals!W162</f>
        <v>0</v>
      </c>
      <c r="AA80" s="131">
        <f>+Actuals!X162</f>
        <v>0</v>
      </c>
      <c r="AB80" s="130">
        <f>+Actuals!Y162</f>
        <v>0</v>
      </c>
      <c r="AC80" s="131">
        <f>+Actuals!Z162</f>
        <v>0</v>
      </c>
      <c r="AD80" s="130">
        <f>+Actuals!AA162</f>
        <v>0</v>
      </c>
      <c r="AE80" s="131">
        <f>+Actuals!AB162</f>
        <v>0</v>
      </c>
      <c r="AF80" s="130">
        <f>+Actuals!AC162</f>
        <v>0</v>
      </c>
      <c r="AG80" s="131">
        <f>+Actuals!AD162</f>
        <v>0</v>
      </c>
      <c r="AH80" s="130">
        <f>+Actuals!AE162</f>
        <v>0</v>
      </c>
      <c r="AI80" s="131">
        <f>+Actuals!AF162</f>
        <v>0</v>
      </c>
      <c r="AJ80" s="130">
        <f>+Actuals!AG162</f>
        <v>0</v>
      </c>
      <c r="AK80" s="131">
        <f>+Actuals!AH162</f>
        <v>0</v>
      </c>
      <c r="AL80" s="130">
        <f>+Actuals!AI162</f>
        <v>0</v>
      </c>
      <c r="AM80" s="131">
        <f>+Actuals!AJ162</f>
        <v>0</v>
      </c>
      <c r="AN80" s="130">
        <f>+Actuals!AK162</f>
        <v>0</v>
      </c>
      <c r="AO80" s="131">
        <f>+Actuals!AL162</f>
        <v>0</v>
      </c>
    </row>
    <row r="81" spans="1:41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0</v>
      </c>
      <c r="F81" s="60">
        <f>'TIE-OUT'!X81+RECLASS!X81</f>
        <v>0</v>
      </c>
      <c r="G81" s="60">
        <f>'TIE-OUT'!Y81+RECLASS!Y81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f>+Actuals!H123</f>
        <v>0</v>
      </c>
      <c r="L81" s="130">
        <f>+Actuals!I123</f>
        <v>0</v>
      </c>
      <c r="M81" s="131">
        <f>+Actuals!J123</f>
        <v>0</v>
      </c>
      <c r="N81" s="130">
        <f>+Actuals!K123</f>
        <v>0</v>
      </c>
      <c r="O81" s="131">
        <f>+Actuals!L123</f>
        <v>0</v>
      </c>
      <c r="P81" s="130">
        <f>+Actuals!M123</f>
        <v>0</v>
      </c>
      <c r="Q81" s="131">
        <f>+Actuals!N123</f>
        <v>0</v>
      </c>
      <c r="R81" s="130">
        <f>+Actuals!O123</f>
        <v>0</v>
      </c>
      <c r="S81" s="131">
        <f>+Actuals!P123</f>
        <v>0</v>
      </c>
      <c r="T81" s="130">
        <f>+Actuals!Q123</f>
        <v>0</v>
      </c>
      <c r="U81" s="131">
        <f>+Actuals!R123</f>
        <v>0</v>
      </c>
      <c r="V81" s="130">
        <f>+Actuals!S123</f>
        <v>0</v>
      </c>
      <c r="W81" s="131">
        <f>+Actuals!T123</f>
        <v>0</v>
      </c>
      <c r="X81" s="127">
        <f>+Actuals!U163</f>
        <v>0</v>
      </c>
      <c r="Y81" s="128">
        <f>+Actuals!V163</f>
        <v>0</v>
      </c>
      <c r="Z81" s="130">
        <f>+Actuals!W163</f>
        <v>0</v>
      </c>
      <c r="AA81" s="131">
        <f>+Actuals!X163</f>
        <v>0</v>
      </c>
      <c r="AB81" s="130">
        <f>+Actuals!Y163</f>
        <v>0</v>
      </c>
      <c r="AC81" s="131">
        <f>+Actuals!Z163</f>
        <v>0</v>
      </c>
      <c r="AD81" s="130">
        <f>+Actuals!AA163</f>
        <v>0</v>
      </c>
      <c r="AE81" s="131">
        <f>+Actuals!AB163</f>
        <v>0</v>
      </c>
      <c r="AF81" s="130">
        <f>+Actuals!AC163</f>
        <v>0</v>
      </c>
      <c r="AG81" s="131">
        <f>+Actuals!AD163</f>
        <v>0</v>
      </c>
      <c r="AH81" s="130">
        <f>+Actuals!AE163</f>
        <v>0</v>
      </c>
      <c r="AI81" s="131">
        <f>+Actuals!AF163</f>
        <v>0</v>
      </c>
      <c r="AJ81" s="130">
        <f>+Actuals!AG163</f>
        <v>0</v>
      </c>
      <c r="AK81" s="131">
        <f>+Actuals!AH163</f>
        <v>0</v>
      </c>
      <c r="AL81" s="130">
        <f>+Actuals!AI163</f>
        <v>0</v>
      </c>
      <c r="AM81" s="131">
        <f>+Actuals!AJ163</f>
        <v>0</v>
      </c>
      <c r="AN81" s="130">
        <f>+Actuals!AK163</f>
        <v>0</v>
      </c>
      <c r="AO81" s="131">
        <f>+Actuals!AL163</f>
        <v>0</v>
      </c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173276.87000000291</v>
      </c>
      <c r="F82" s="92">
        <f>F16+F24+F29+F36+F43+F45+F47+F49</f>
        <v>0</v>
      </c>
      <c r="G82" s="93">
        <f>SUM(G72:G81)+G16+G24+G29+G36+G43+G45+G47+G49+G51+G56+G61+G66</f>
        <v>456284.73000000045</v>
      </c>
      <c r="H82" s="92">
        <f>H16+H24+H29+H36+H43+H45+H47+H49</f>
        <v>0</v>
      </c>
      <c r="I82" s="93">
        <f>SUM(I72:I81)+I16+I24+I29+I36+I43+I45+I47+I49+I51+I56+I61+I66</f>
        <v>-9683637</v>
      </c>
      <c r="J82" s="92">
        <f>J16+J24+J29+J36+J43+J45+J47+J49</f>
        <v>0</v>
      </c>
      <c r="K82" s="158">
        <f>SUM(K72:K81)+K16+K24+K29+K36+K43+K45+K47+K49+K51+K56+K61+K66</f>
        <v>-7160239</v>
      </c>
      <c r="L82" s="92">
        <f>L16+L24+L29+L36+L43+L45+L47+L49</f>
        <v>0</v>
      </c>
      <c r="M82" s="93">
        <f>SUM(M72:M81)+M16+M24+M29+M36+M43+M45+M47+M49+M51+M56+M61+M66</f>
        <v>99704</v>
      </c>
      <c r="N82" s="92">
        <f>N16+N24+N29+N36+N43+N45+N47+N49</f>
        <v>0</v>
      </c>
      <c r="O82" s="93">
        <f>SUM(O72:O81)+O16+O24+O29+O36+O43+O45+O47+O49+O51+O56+O61+O66</f>
        <v>-73</v>
      </c>
      <c r="P82" s="92">
        <f>P16+P24+P29+P36+P43+P45+P47+P49</f>
        <v>0</v>
      </c>
      <c r="Q82" s="93">
        <f>SUM(Q72:Q81)+Q16+Q24+Q29+Q36+Q43+Q45+Q47+Q49+Q51+Q56+Q61+Q66</f>
        <v>28324</v>
      </c>
      <c r="R82" s="92">
        <f>R16+R24+R29+R36+R43+R45+R47+R49</f>
        <v>0</v>
      </c>
      <c r="S82" s="93">
        <f>SUM(S72:S81)+S16+S24+S29+S36+S43+S45+S47+S49+S51+S56+S61+S66</f>
        <v>16603099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-182019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11833.14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4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O168"/>
  <sheetViews>
    <sheetView zoomScale="75" workbookViewId="0">
      <pane xSplit="3" ySplit="9" topLeftCell="AA10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0</v>
      </c>
      <c r="E11" s="38">
        <f t="shared" si="0"/>
        <v>0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7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-89420</v>
      </c>
      <c r="F12" s="60">
        <f>'TIE-OUT'!T12+RECLASS!T12</f>
        <v>0</v>
      </c>
      <c r="G12" s="38">
        <f>'TIE-OUT'!U12+RECLASS!U12</f>
        <v>-89420</v>
      </c>
      <c r="H12" s="60"/>
      <c r="I12" s="38"/>
      <c r="J12" s="60"/>
      <c r="K12" s="147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</row>
    <row r="13" spans="1:41" x14ac:dyDescent="0.2">
      <c r="A13" s="9">
        <v>3</v>
      </c>
      <c r="B13" s="7"/>
      <c r="C13" s="18" t="s">
        <v>196</v>
      </c>
      <c r="D13" s="60">
        <f t="shared" si="0"/>
        <v>0</v>
      </c>
      <c r="E13" s="38">
        <f t="shared" si="0"/>
        <v>-16925369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7"/>
      <c r="L13" s="60"/>
      <c r="M13" s="38"/>
      <c r="N13" s="60"/>
      <c r="O13" s="38"/>
      <c r="P13" s="60"/>
      <c r="Q13" s="38"/>
      <c r="R13" s="60"/>
      <c r="S13" s="38">
        <v>-16825787</v>
      </c>
      <c r="T13" s="60"/>
      <c r="U13" s="38"/>
      <c r="V13" s="60"/>
      <c r="W13" s="38"/>
      <c r="X13" s="60"/>
      <c r="Y13" s="38">
        <v>-352900</v>
      </c>
      <c r="Z13" s="60"/>
      <c r="AA13" s="38"/>
      <c r="AB13" s="60"/>
      <c r="AC13" s="38">
        <v>-96818</v>
      </c>
      <c r="AD13" s="60"/>
      <c r="AE13" s="38">
        <v>350136</v>
      </c>
      <c r="AF13" s="60"/>
      <c r="AG13" s="38"/>
      <c r="AH13" s="60"/>
      <c r="AI13" s="38"/>
      <c r="AJ13" s="60"/>
      <c r="AK13" s="38"/>
      <c r="AL13" s="60"/>
      <c r="AM13" s="38"/>
      <c r="AN13" s="60"/>
      <c r="AO13" s="38"/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</row>
    <row r="16" spans="1:41" x14ac:dyDescent="0.2">
      <c r="A16" s="9"/>
      <c r="B16" s="7" t="s">
        <v>32</v>
      </c>
      <c r="C16" s="6"/>
      <c r="D16" s="61">
        <f>SUM(D11:D15)</f>
        <v>0</v>
      </c>
      <c r="E16" s="39">
        <f>SUM(E11:E15)</f>
        <v>-17014789</v>
      </c>
      <c r="F16" s="61">
        <f t="shared" ref="F16:X16" si="1">SUM(F11:F15)</f>
        <v>0</v>
      </c>
      <c r="G16" s="39">
        <f t="shared" si="1"/>
        <v>-89420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-16825787</v>
      </c>
      <c r="T16" s="61">
        <f t="shared" si="1"/>
        <v>0</v>
      </c>
      <c r="U16" s="39">
        <f>SUM(U11:U15)</f>
        <v>0</v>
      </c>
      <c r="V16" s="61">
        <f t="shared" si="1"/>
        <v>0</v>
      </c>
      <c r="W16" s="39">
        <f>SUM(W11:W15)</f>
        <v>0</v>
      </c>
      <c r="X16" s="61">
        <f t="shared" si="1"/>
        <v>0</v>
      </c>
      <c r="Y16" s="39">
        <f t="shared" ref="Y16:AE16" si="2">SUM(Y11:Y15)</f>
        <v>-352900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-96818</v>
      </c>
      <c r="AD16" s="61">
        <f t="shared" si="2"/>
        <v>0</v>
      </c>
      <c r="AE16" s="39">
        <f t="shared" si="2"/>
        <v>350136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</row>
    <row r="21" spans="1:41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</row>
    <row r="23" spans="1:41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</row>
    <row r="24" spans="1:41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X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>SUM(U19:U23)</f>
        <v>0</v>
      </c>
      <c r="V24" s="61">
        <f t="shared" si="5"/>
        <v>0</v>
      </c>
      <c r="W24" s="39">
        <f>SUM(W19:W23)</f>
        <v>0</v>
      </c>
      <c r="X24" s="61">
        <f t="shared" si="5"/>
        <v>0</v>
      </c>
      <c r="Y24" s="39">
        <f t="shared" ref="Y24:AE24" si="6">SUM(Y19:Y23)</f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0</v>
      </c>
      <c r="E27" s="38">
        <f>SUM(G27,I27,K27,M27,O27,Q27,S27,U27,W27,Y27,AA27,AC27,AE27,AG27,AI27,AK27,AM27,AO27)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0</v>
      </c>
      <c r="E28" s="38">
        <f>SUM(G28,I28,K28,M28,O28,Q28,S28,U28,W28,Y28,AA28,AC28,AE28,AG28,AI28,AK28,AM28,AO28)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</row>
    <row r="29" spans="1:41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X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>SUM(W27:W28)</f>
        <v>0</v>
      </c>
      <c r="X29" s="61">
        <f t="shared" si="8"/>
        <v>0</v>
      </c>
      <c r="Y29" s="39">
        <f t="shared" ref="Y29:AE29" si="9">SUM(Y27:Y28)</f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  <c r="AN29" s="61">
        <f>SUM(AN27:AN28)</f>
        <v>0</v>
      </c>
      <c r="AO29" s="39">
        <f>SUM(AO27:AO28)</f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</row>
    <row r="33" spans="1:41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</row>
    <row r="34" spans="1:41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</row>
    <row r="35" spans="1:41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</row>
    <row r="36" spans="1:41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X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>SUM(U32:U35)</f>
        <v>0</v>
      </c>
      <c r="V36" s="61">
        <f t="shared" si="12"/>
        <v>0</v>
      </c>
      <c r="W36" s="39">
        <f>SUM(W32:W35)</f>
        <v>0</v>
      </c>
      <c r="X36" s="61">
        <f t="shared" si="12"/>
        <v>0</v>
      </c>
      <c r="Y36" s="39">
        <f t="shared" ref="Y36:AE36" si="13">SUM(Y32:Y35)</f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</row>
    <row r="41" spans="1:41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274973</v>
      </c>
      <c r="F41" s="81">
        <f>'TIE-OUT'!T41+RECLASS!T41</f>
        <v>0</v>
      </c>
      <c r="G41" s="82">
        <f>'TIE-OUT'!U41+RECLASS!U41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>
        <v>274973</v>
      </c>
      <c r="AF41" s="60"/>
      <c r="AG41" s="38"/>
      <c r="AH41" s="60"/>
      <c r="AI41" s="38"/>
      <c r="AJ41" s="60"/>
      <c r="AK41" s="38"/>
      <c r="AL41" s="60"/>
      <c r="AM41" s="38"/>
      <c r="AN41" s="60"/>
      <c r="AO41" s="38"/>
    </row>
    <row r="42" spans="1:41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274973</v>
      </c>
      <c r="F42" s="61">
        <f t="shared" ref="F42:X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>SUM(W40:W41)</f>
        <v>0</v>
      </c>
      <c r="X42" s="61">
        <f t="shared" si="16"/>
        <v>0</v>
      </c>
      <c r="Y42" s="39">
        <f t="shared" ref="Y42:AE42" si="17">SUM(Y40:Y41)</f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274973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274973</v>
      </c>
      <c r="F43" s="61">
        <f t="shared" ref="F43:X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>U42+U39</f>
        <v>0</v>
      </c>
      <c r="V43" s="61">
        <f t="shared" si="19"/>
        <v>0</v>
      </c>
      <c r="W43" s="39">
        <f>W42+W39</f>
        <v>0</v>
      </c>
      <c r="X43" s="61">
        <f t="shared" si="19"/>
        <v>0</v>
      </c>
      <c r="Y43" s="39">
        <f t="shared" ref="Y43:AE43" si="20">Y42+Y39</f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274973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2">SUM(F49,H49,J49,L49,N49,P49,R49,T49,V49,X49,Z49,AB49,AD49,AF49,AH49,AJ49,AL49,AN49)</f>
        <v>0</v>
      </c>
      <c r="E49" s="38">
        <f t="shared" si="22"/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</row>
    <row r="50" spans="1:41" x14ac:dyDescent="0.2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2"/>
        <v>0</v>
      </c>
      <c r="E51" s="38">
        <f t="shared" si="22"/>
        <v>0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7"/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0</v>
      </c>
      <c r="E54" s="38">
        <f>SUM(G54,I54,K54,M54,O54,Q54,S54,U54,W54,Y54,AA54,AC54,AE54,AG54,AI54,AK54,AM54,AO54)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</row>
    <row r="56" spans="1:41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X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48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>SUM(U54:U55)</f>
        <v>0</v>
      </c>
      <c r="V56" s="61">
        <f t="shared" si="23"/>
        <v>0</v>
      </c>
      <c r="W56" s="39">
        <f>SUM(W54:W55)</f>
        <v>0</v>
      </c>
      <c r="X56" s="61">
        <f t="shared" si="23"/>
        <v>0</v>
      </c>
      <c r="Y56" s="39">
        <f t="shared" ref="Y56:AE56" si="24">SUM(Y54:Y55)</f>
        <v>0</v>
      </c>
      <c r="Z56" s="61">
        <f t="shared" si="24"/>
        <v>0</v>
      </c>
      <c r="AA56" s="39">
        <f t="shared" si="24"/>
        <v>0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  <c r="AL56" s="61">
        <f>SUM(AL54:AL55)</f>
        <v>0</v>
      </c>
      <c r="AM56" s="39">
        <f>SUM(AM54:AM55)</f>
        <v>0</v>
      </c>
      <c r="AN56" s="61">
        <f>SUM(AN54:AN55)</f>
        <v>0</v>
      </c>
      <c r="AO56" s="39">
        <f>SUM(AO54:AO55)</f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96833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7">
        <v>96833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</row>
    <row r="61" spans="1:41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96833</v>
      </c>
      <c r="F61" s="61">
        <f t="shared" ref="F61:X61" si="26">SUM(F59:F60)</f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48">
        <f t="shared" si="26"/>
        <v>96833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>SUM(U59:U60)</f>
        <v>0</v>
      </c>
      <c r="V61" s="61">
        <f t="shared" si="26"/>
        <v>0</v>
      </c>
      <c r="W61" s="39">
        <f>SUM(W59:W60)</f>
        <v>0</v>
      </c>
      <c r="X61" s="61">
        <f t="shared" si="26"/>
        <v>0</v>
      </c>
      <c r="Y61" s="39">
        <f t="shared" ref="Y61:AE61" si="27">SUM(Y59:Y60)</f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  <c r="AL61" s="61">
        <f>SUM(AL59:AL60)</f>
        <v>0</v>
      </c>
      <c r="AM61" s="39">
        <f>SUM(AM59:AM60)</f>
        <v>0</v>
      </c>
      <c r="AN61" s="61">
        <f>SUM(AN59:AN60)</f>
        <v>0</v>
      </c>
      <c r="AO61" s="39">
        <f>SUM(AO59:AO60)</f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 t="shared" ref="F66:X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48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>SUM(U64:U65)</f>
        <v>0</v>
      </c>
      <c r="V66" s="61">
        <f t="shared" si="29"/>
        <v>0</v>
      </c>
      <c r="W66" s="39">
        <f>SUM(W64:W65)</f>
        <v>0</v>
      </c>
      <c r="X66" s="61">
        <f t="shared" si="29"/>
        <v>0</v>
      </c>
      <c r="Y66" s="39">
        <f t="shared" ref="Y66:AE66" si="30">SUM(Y64:Y65)</f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  <c r="AL66" s="61">
        <f>SUM(AL64:AL65)</f>
        <v>0</v>
      </c>
      <c r="AM66" s="39">
        <f>SUM(AM64:AM65)</f>
        <v>0</v>
      </c>
      <c r="AN66" s="61">
        <f>SUM(AN64:AN65)</f>
        <v>0</v>
      </c>
      <c r="AO66" s="39">
        <f>SUM(AO64:AO65)</f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13276154</v>
      </c>
      <c r="F70" s="64">
        <f>'TIE-OUT'!T70+RECLASS!T70</f>
        <v>0</v>
      </c>
      <c r="G70" s="68">
        <f>'TIE-OUT'!U70+RECLASS!U70</f>
        <v>12765894</v>
      </c>
      <c r="H70" s="60"/>
      <c r="I70" s="38">
        <v>7137297</v>
      </c>
      <c r="J70" s="60"/>
      <c r="K70" s="147">
        <v>-23536950</v>
      </c>
      <c r="L70" s="60"/>
      <c r="M70" s="38"/>
      <c r="N70" s="60"/>
      <c r="O70" s="38"/>
      <c r="P70" s="60"/>
      <c r="Q70" s="38"/>
      <c r="R70" s="60"/>
      <c r="S70" s="38">
        <f>84126+16825787</f>
        <v>16909913</v>
      </c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</row>
    <row r="72" spans="1:41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13276154</v>
      </c>
      <c r="F72" s="61">
        <f t="shared" ref="F72:X72" si="32">SUM(F70:F71)</f>
        <v>0</v>
      </c>
      <c r="G72" s="39">
        <f t="shared" si="32"/>
        <v>12765894</v>
      </c>
      <c r="H72" s="61">
        <f t="shared" si="32"/>
        <v>0</v>
      </c>
      <c r="I72" s="39">
        <f t="shared" si="32"/>
        <v>7137297</v>
      </c>
      <c r="J72" s="61">
        <f t="shared" si="32"/>
        <v>0</v>
      </c>
      <c r="K72" s="148">
        <f t="shared" si="32"/>
        <v>-23536950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16909913</v>
      </c>
      <c r="T72" s="61">
        <f t="shared" si="32"/>
        <v>0</v>
      </c>
      <c r="U72" s="39">
        <f>SUM(U70:U71)</f>
        <v>0</v>
      </c>
      <c r="V72" s="61">
        <f t="shared" si="32"/>
        <v>0</v>
      </c>
      <c r="W72" s="39">
        <f>SUM(W70:W71)</f>
        <v>0</v>
      </c>
      <c r="X72" s="61">
        <f t="shared" si="32"/>
        <v>0</v>
      </c>
      <c r="Y72" s="39">
        <f t="shared" ref="Y72:AE72" si="33">SUM(Y70:Y71)</f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5">SUM(F73,H73,J73,L73,N73,P73,R73,T73,V73,X73,Z73,AB73,AD73,AF73,AH73,AJ73,AL73,AN73)</f>
        <v>0</v>
      </c>
      <c r="E73" s="38">
        <f t="shared" ref="E73:E81" si="36">SUM(G73,I73,K73,M73,O73,Q73,S73,U73,W73,Y73,AA73,AC73,AE73,AG73,AI73,AK73,AM73,AO73)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</row>
    <row r="74" spans="1:41" x14ac:dyDescent="0.2">
      <c r="A74" s="9">
        <v>33</v>
      </c>
      <c r="B74" s="3"/>
      <c r="C74" s="10" t="s">
        <v>73</v>
      </c>
      <c r="D74" s="60">
        <f t="shared" si="35"/>
        <v>0</v>
      </c>
      <c r="E74" s="38">
        <f t="shared" si="36"/>
        <v>2737918</v>
      </c>
      <c r="F74" s="60">
        <f>'TIE-OUT'!T74+RECLASS!T74</f>
        <v>0</v>
      </c>
      <c r="G74" s="60">
        <f>'TIE-OUT'!U74+RECLASS!U74</f>
        <v>2713118</v>
      </c>
      <c r="H74" s="60"/>
      <c r="I74" s="38"/>
      <c r="J74" s="60"/>
      <c r="K74" s="160">
        <v>24800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</row>
    <row r="75" spans="1:41" x14ac:dyDescent="0.2">
      <c r="A75" s="9">
        <v>34</v>
      </c>
      <c r="B75" s="3"/>
      <c r="C75" s="10" t="s">
        <v>74</v>
      </c>
      <c r="D75" s="60">
        <f t="shared" si="35"/>
        <v>0</v>
      </c>
      <c r="E75" s="38">
        <f t="shared" si="36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</row>
    <row r="76" spans="1:41" x14ac:dyDescent="0.2">
      <c r="A76" s="9">
        <v>35</v>
      </c>
      <c r="B76" s="3"/>
      <c r="C76" s="10" t="s">
        <v>75</v>
      </c>
      <c r="D76" s="60">
        <f t="shared" si="35"/>
        <v>0</v>
      </c>
      <c r="E76" s="38">
        <f t="shared" si="36"/>
        <v>-5660</v>
      </c>
      <c r="F76" s="60">
        <f>'TIE-OUT'!T76+RECLASS!T76</f>
        <v>0</v>
      </c>
      <c r="G76" s="60">
        <f>'TIE-OUT'!U76+RECLASS!U76</f>
        <v>-5660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</row>
    <row r="77" spans="1:41" x14ac:dyDescent="0.2">
      <c r="A77" s="9">
        <v>36</v>
      </c>
      <c r="B77" s="3"/>
      <c r="C77" s="10" t="s">
        <v>76</v>
      </c>
      <c r="D77" s="60">
        <f t="shared" si="35"/>
        <v>0</v>
      </c>
      <c r="E77" s="38">
        <f t="shared" si="36"/>
        <v>-707000</v>
      </c>
      <c r="F77" s="60">
        <f>'TIE-OUT'!T77+RECLASS!T77</f>
        <v>0</v>
      </c>
      <c r="G77" s="60">
        <f>'TIE-OUT'!U77+RECLASS!U77</f>
        <v>-707000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</row>
    <row r="78" spans="1:41" x14ac:dyDescent="0.2">
      <c r="A78" s="9">
        <v>37</v>
      </c>
      <c r="B78" s="3"/>
      <c r="C78" s="10" t="s">
        <v>77</v>
      </c>
      <c r="D78" s="60">
        <f t="shared" si="35"/>
        <v>0</v>
      </c>
      <c r="E78" s="38">
        <f t="shared" si="36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</row>
    <row r="79" spans="1:41" x14ac:dyDescent="0.2">
      <c r="A79" s="9">
        <v>38</v>
      </c>
      <c r="B79" s="3"/>
      <c r="C79" s="10" t="s">
        <v>78</v>
      </c>
      <c r="D79" s="60">
        <f t="shared" si="35"/>
        <v>0</v>
      </c>
      <c r="E79" s="38">
        <f t="shared" si="36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</row>
    <row r="80" spans="1:41" x14ac:dyDescent="0.2">
      <c r="A80" s="9">
        <v>39</v>
      </c>
      <c r="B80" s="3"/>
      <c r="C80" s="10" t="s">
        <v>79</v>
      </c>
      <c r="D80" s="60">
        <f t="shared" si="35"/>
        <v>0</v>
      </c>
      <c r="E80" s="38">
        <f t="shared" si="36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</row>
    <row r="81" spans="1:41" x14ac:dyDescent="0.2">
      <c r="A81" s="9">
        <v>40</v>
      </c>
      <c r="B81" s="3"/>
      <c r="C81" s="10" t="s">
        <v>80</v>
      </c>
      <c r="D81" s="60">
        <f t="shared" si="35"/>
        <v>0</v>
      </c>
      <c r="E81" s="38">
        <f t="shared" si="36"/>
        <v>-591891</v>
      </c>
      <c r="F81" s="60">
        <f>'TIE-OUT'!T81+RECLASS!T81</f>
        <v>0</v>
      </c>
      <c r="G81" s="60">
        <f>'TIE-OUT'!U81+RECLASS!U81</f>
        <v>-551915</v>
      </c>
      <c r="H81" s="60"/>
      <c r="I81" s="160">
        <v>2088775</v>
      </c>
      <c r="J81" s="60"/>
      <c r="K81" s="160">
        <v>-2088775</v>
      </c>
      <c r="L81" s="60"/>
      <c r="M81" s="38"/>
      <c r="N81" s="60"/>
      <c r="O81" s="38"/>
      <c r="P81" s="60"/>
      <c r="Q81" s="38"/>
      <c r="R81" s="60"/>
      <c r="S81" s="38"/>
      <c r="T81" s="60"/>
      <c r="U81" s="38">
        <v>-39976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</row>
    <row r="82" spans="1:41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-1933462</v>
      </c>
      <c r="F82" s="92">
        <f>F16+F24+F29+F36+F43+F45+F47+F49</f>
        <v>0</v>
      </c>
      <c r="G82" s="93">
        <f>SUM(G72:G81)+G16+G24+G29+G36+G43+G45+G47+G49+G51+G56+G61+G66</f>
        <v>14125017</v>
      </c>
      <c r="H82" s="92">
        <f>H16+H24+H29+H36+H43+H45+H47+H49</f>
        <v>0</v>
      </c>
      <c r="I82" s="164">
        <f>SUM(I72:I81)+I16+I24+I29+I36+I43+I45+I47+I49+I51+I56+I61+I66</f>
        <v>9226072</v>
      </c>
      <c r="J82" s="92">
        <f>J16+J24+J29+J36+J43+J45+J47+J49</f>
        <v>0</v>
      </c>
      <c r="K82" s="164">
        <f>SUM(K72:K81)+K16+K24+K29+K36+K43+K45+K47+K49+K51+K56+K61+K66</f>
        <v>-25504092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84126</v>
      </c>
      <c r="T82" s="92">
        <f>T16+T24+T29+T36+T43+T45+T47+T49</f>
        <v>0</v>
      </c>
      <c r="U82" s="93">
        <f>SUM(U72:U81)+U16+U24+U29+U36+U43+U45+U47+U49+U51+U56+U61+U66</f>
        <v>-39976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-352900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-96818</v>
      </c>
      <c r="AD82" s="92">
        <f>AD16+AD24+AD29+AD36+AD43+AD45+AD47+AD49</f>
        <v>0</v>
      </c>
      <c r="AE82" s="93">
        <f>SUM(AE72:AE81)+AE16+AE24+AE29+AE36+AE43+AE45+AE47+AE49+AE51+AE56+AE61+AE66</f>
        <v>625109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41" ht="13.5" thickTop="1" x14ac:dyDescent="0.2">
      <c r="A83" s="4"/>
      <c r="B83" s="3"/>
    </row>
    <row r="84" spans="1:41" x14ac:dyDescent="0.2">
      <c r="A84" s="4"/>
      <c r="B84" s="3"/>
      <c r="E84" s="31">
        <f>+E72+E12-G12</f>
        <v>13276154</v>
      </c>
    </row>
    <row r="85" spans="1:41" x14ac:dyDescent="0.2">
      <c r="A85" s="4"/>
      <c r="B85" s="3"/>
    </row>
    <row r="86" spans="1:41" x14ac:dyDescent="0.2">
      <c r="A86" s="4"/>
      <c r="B86" s="3"/>
    </row>
    <row r="87" spans="1:41" x14ac:dyDescent="0.2">
      <c r="A87" s="4"/>
      <c r="B87" s="3"/>
    </row>
    <row r="88" spans="1:41" x14ac:dyDescent="0.2">
      <c r="A88" s="4"/>
      <c r="B88" s="3"/>
    </row>
    <row r="89" spans="1:41" x14ac:dyDescent="0.2">
      <c r="A89" s="4"/>
      <c r="B89" s="3"/>
    </row>
    <row r="90" spans="1:41" x14ac:dyDescent="0.2">
      <c r="A90" s="4"/>
      <c r="B90" s="3"/>
    </row>
    <row r="91" spans="1:41" x14ac:dyDescent="0.2">
      <c r="A91" s="4"/>
      <c r="B91" s="3"/>
    </row>
    <row r="92" spans="1:41" x14ac:dyDescent="0.2">
      <c r="A92" s="4"/>
      <c r="B92" s="3"/>
    </row>
    <row r="93" spans="1:41" x14ac:dyDescent="0.2">
      <c r="A93" s="4"/>
      <c r="B93" s="3"/>
    </row>
    <row r="94" spans="1:41" x14ac:dyDescent="0.2">
      <c r="A94" s="4"/>
      <c r="B94" s="3"/>
    </row>
    <row r="95" spans="1:41" x14ac:dyDescent="0.2">
      <c r="A95" s="4"/>
      <c r="B95" s="3"/>
    </row>
    <row r="96" spans="1:4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4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U187"/>
  <sheetViews>
    <sheetView zoomScale="75" workbookViewId="0">
      <pane xSplit="3" ySplit="9" topLeftCell="W52" activePane="bottomRight" state="frozen"/>
      <selection activeCell="AK641" sqref="AK641"/>
      <selection pane="topRight" activeCell="AK641" sqref="AK641"/>
      <selection pane="bottomLeft" activeCell="AK641" sqref="AK641"/>
      <selection pane="bottomRight" activeCell="AK641" sqref="AK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0" width="15.42578125" customWidth="1"/>
    <col min="31" max="31" width="15.28515625" customWidth="1"/>
    <col min="32" max="32" width="15.42578125" customWidth="1"/>
    <col min="33" max="33" width="15.28515625" customWidth="1"/>
    <col min="34" max="34" width="15.42578125" customWidth="1"/>
    <col min="35" max="35" width="16.42578125" customWidth="1"/>
    <col min="36" max="36" width="15.42578125" customWidth="1"/>
    <col min="37" max="37" width="17.7109375" customWidth="1"/>
    <col min="38" max="38" width="15.42578125" customWidth="1"/>
    <col min="39" max="39" width="17.7109375" customWidth="1"/>
    <col min="40" max="40" width="15.42578125" customWidth="1"/>
    <col min="41" max="41" width="17.7109375" customWidth="1"/>
  </cols>
  <sheetData>
    <row r="1" spans="1:41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5" t="s">
        <v>166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">
      <c r="A4" s="5" t="s">
        <v>166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9"/>
      <c r="C7" s="19"/>
    </row>
    <row r="8" spans="1:41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May</v>
      </c>
      <c r="I8" s="27"/>
      <c r="J8" s="26" t="str">
        <f>CE_GL!J8</f>
        <v>June</v>
      </c>
      <c r="K8" s="144"/>
      <c r="L8" s="26" t="str">
        <f>CE_GL!L8</f>
        <v>July</v>
      </c>
      <c r="M8" s="27"/>
      <c r="N8" s="26" t="str">
        <f>CE_GL!N8</f>
        <v>August</v>
      </c>
      <c r="O8" s="27"/>
      <c r="P8" s="26" t="s">
        <v>192</v>
      </c>
      <c r="Q8" s="27"/>
      <c r="R8" s="26" t="s">
        <v>193</v>
      </c>
      <c r="S8" s="27"/>
      <c r="T8" s="26" t="s">
        <v>194</v>
      </c>
      <c r="U8" s="27"/>
      <c r="V8" s="26" t="s">
        <v>195</v>
      </c>
      <c r="W8" s="27"/>
      <c r="X8" s="26" t="s">
        <v>197</v>
      </c>
      <c r="Y8" s="27"/>
      <c r="Z8" s="26" t="s">
        <v>198</v>
      </c>
      <c r="AA8" s="27"/>
      <c r="AB8" s="26" t="s">
        <v>199</v>
      </c>
      <c r="AC8" s="27"/>
      <c r="AD8" s="26" t="s">
        <v>200</v>
      </c>
      <c r="AE8" s="27"/>
      <c r="AF8" s="26" t="s">
        <v>168</v>
      </c>
      <c r="AG8" s="27"/>
      <c r="AH8" s="26" t="s">
        <v>187</v>
      </c>
      <c r="AI8" s="27"/>
      <c r="AJ8" s="26" t="s">
        <v>190</v>
      </c>
      <c r="AK8" s="27"/>
      <c r="AL8" s="26" t="s">
        <v>191</v>
      </c>
      <c r="AM8" s="27"/>
      <c r="AN8" s="26" t="s">
        <v>192</v>
      </c>
      <c r="AO8" s="27"/>
    </row>
    <row r="9" spans="1:41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</row>
    <row r="10" spans="1:41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</row>
    <row r="11" spans="1:41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SUM(F11,H11,J11,L11,N11,P11,R11,T11,V11,X11,Z11,AB11,AD11,AF11,AH11,AJ11,AL11,AN11)</f>
        <v>7696881</v>
      </c>
      <c r="E11" s="38">
        <f t="shared" si="0"/>
        <v>17163251</v>
      </c>
      <c r="F11" s="60">
        <f>'TIE-OUT'!V11+RECLASS!V11</f>
        <v>0</v>
      </c>
      <c r="G11" s="38">
        <f>'TIE-OUT'!W11+RECLASS!W11</f>
        <v>0</v>
      </c>
      <c r="H11" s="60">
        <v>7915114</v>
      </c>
      <c r="I11" s="38">
        <v>17697601</v>
      </c>
      <c r="J11" s="60">
        <v>-195015</v>
      </c>
      <c r="K11" s="147">
        <v>-457627</v>
      </c>
      <c r="L11" s="60"/>
      <c r="M11" s="38"/>
      <c r="N11" s="60">
        <f>23151-23151-23218</f>
        <v>-23218</v>
      </c>
      <c r="O11" s="38">
        <f>51859-51859-55723</f>
        <v>-55723</v>
      </c>
      <c r="P11" s="60"/>
      <c r="Q11" s="38"/>
      <c r="R11" s="60"/>
      <c r="S11" s="38">
        <v>-21000</v>
      </c>
      <c r="T11" s="60"/>
      <c r="U11" s="38"/>
      <c r="V11" s="60"/>
      <c r="W11" s="38"/>
      <c r="X11" s="127">
        <f>+Actuals!U284</f>
        <v>0</v>
      </c>
      <c r="Y11" s="128">
        <f>+Actuals!V284</f>
        <v>0</v>
      </c>
      <c r="Z11" s="60">
        <f>+Actuals!W284</f>
        <v>0</v>
      </c>
      <c r="AA11" s="38">
        <f>+Actuals!X284</f>
        <v>0</v>
      </c>
      <c r="AB11" s="60">
        <f>+Actuals!Y284</f>
        <v>0</v>
      </c>
      <c r="AC11" s="38">
        <f>+Actuals!Z284</f>
        <v>0</v>
      </c>
      <c r="AD11" s="60">
        <f>+Actuals!AA284</f>
        <v>0</v>
      </c>
      <c r="AE11" s="38">
        <f>+Actuals!AB284</f>
        <v>0</v>
      </c>
      <c r="AF11" s="60">
        <f>+Actuals!AC284</f>
        <v>0</v>
      </c>
      <c r="AG11" s="38">
        <f>+Actuals!AD284</f>
        <v>0</v>
      </c>
      <c r="AH11" s="60">
        <f>+Actuals!AE284</f>
        <v>0</v>
      </c>
      <c r="AI11" s="38">
        <f>+Actuals!AF284</f>
        <v>0</v>
      </c>
      <c r="AJ11" s="60">
        <f>+Actuals!AG284</f>
        <v>0</v>
      </c>
      <c r="AK11" s="38">
        <f>+Actuals!AH284</f>
        <v>0</v>
      </c>
      <c r="AL11" s="60">
        <f>+Actuals!AI284</f>
        <v>0</v>
      </c>
      <c r="AM11" s="38">
        <f>+Actuals!AJ284</f>
        <v>0</v>
      </c>
      <c r="AN11" s="60">
        <f>+Actuals!AK284</f>
        <v>0</v>
      </c>
      <c r="AO11" s="38">
        <f>+Actuals!AL284</f>
        <v>0</v>
      </c>
    </row>
    <row r="12" spans="1:41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-418888.09</v>
      </c>
      <c r="F12" s="60">
        <f>'TIE-OUT'!V12+RECLASS!V12</f>
        <v>0</v>
      </c>
      <c r="G12" s="38">
        <f>'TIE-OUT'!W12+RECLASS!W12</f>
        <v>-418888.09</v>
      </c>
      <c r="H12" s="60"/>
      <c r="I12" s="38"/>
      <c r="J12" s="60"/>
      <c r="K12" s="160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127">
        <f>+Actuals!U285</f>
        <v>0</v>
      </c>
      <c r="Y12" s="128">
        <f>+Actuals!V285</f>
        <v>0</v>
      </c>
      <c r="Z12" s="60">
        <f>+Actuals!W285</f>
        <v>0</v>
      </c>
      <c r="AA12" s="38">
        <f>+Actuals!X285</f>
        <v>0</v>
      </c>
      <c r="AB12" s="60">
        <f>+Actuals!Y285</f>
        <v>0</v>
      </c>
      <c r="AC12" s="38">
        <f>+Actuals!Z285</f>
        <v>0</v>
      </c>
      <c r="AD12" s="60">
        <f>+Actuals!AA285</f>
        <v>0</v>
      </c>
      <c r="AE12" s="38">
        <f>+Actuals!AB285</f>
        <v>0</v>
      </c>
      <c r="AF12" s="60">
        <f>+Actuals!AC285</f>
        <v>0</v>
      </c>
      <c r="AG12" s="38">
        <f>+Actuals!AD285</f>
        <v>0</v>
      </c>
      <c r="AH12" s="60">
        <f>+Actuals!AE285</f>
        <v>0</v>
      </c>
      <c r="AI12" s="38">
        <f>+Actuals!AF285</f>
        <v>0</v>
      </c>
      <c r="AJ12" s="60">
        <f>+Actuals!AG285</f>
        <v>0</v>
      </c>
      <c r="AK12" s="38">
        <f>+Actuals!AH285</f>
        <v>0</v>
      </c>
      <c r="AL12" s="60">
        <f>+Actuals!AI285</f>
        <v>0</v>
      </c>
      <c r="AM12" s="38">
        <f>+Actuals!AJ285</f>
        <v>0</v>
      </c>
      <c r="AN12" s="60">
        <f>+Actuals!AK285</f>
        <v>0</v>
      </c>
      <c r="AO12" s="38">
        <f>+Actuals!AL285</f>
        <v>0</v>
      </c>
    </row>
    <row r="13" spans="1:41" x14ac:dyDescent="0.2">
      <c r="A13" s="9">
        <v>3</v>
      </c>
      <c r="B13" s="7"/>
      <c r="C13" s="18" t="s">
        <v>29</v>
      </c>
      <c r="D13" s="60">
        <f t="shared" si="0"/>
        <v>1250927</v>
      </c>
      <c r="E13" s="38">
        <f t="shared" si="0"/>
        <v>2924336</v>
      </c>
      <c r="F13" s="60">
        <f>'TIE-OUT'!V13+RECLASS!V13</f>
        <v>0</v>
      </c>
      <c r="G13" s="38">
        <f>'TIE-OUT'!W13+RECLASS!W13</f>
        <v>0</v>
      </c>
      <c r="H13" s="60">
        <v>1250927</v>
      </c>
      <c r="I13" s="38">
        <v>2924336</v>
      </c>
      <c r="J13" s="60">
        <v>-132333</v>
      </c>
      <c r="K13" s="147">
        <v>-295943</v>
      </c>
      <c r="L13" s="60"/>
      <c r="M13" s="38"/>
      <c r="N13" s="60">
        <v>46369</v>
      </c>
      <c r="O13" s="38">
        <v>107582</v>
      </c>
      <c r="P13" s="60"/>
      <c r="Q13" s="38"/>
      <c r="R13" s="60">
        <v>361848</v>
      </c>
      <c r="S13" s="38">
        <v>847347</v>
      </c>
      <c r="T13" s="60"/>
      <c r="U13" s="38"/>
      <c r="V13" s="60">
        <v>-802696</v>
      </c>
      <c r="W13" s="38">
        <v>-1878927</v>
      </c>
      <c r="X13" s="127">
        <f>+Actuals!U286</f>
        <v>802696</v>
      </c>
      <c r="Y13" s="128">
        <f>+Actuals!V286</f>
        <v>1878927</v>
      </c>
      <c r="Z13" s="60">
        <f>+Actuals!W286</f>
        <v>0</v>
      </c>
      <c r="AA13" s="38">
        <f>+Actuals!X286</f>
        <v>0</v>
      </c>
      <c r="AB13" s="60">
        <f>+Actuals!Y286</f>
        <v>-275884</v>
      </c>
      <c r="AC13" s="38">
        <f>+Actuals!Z286</f>
        <v>-658986</v>
      </c>
      <c r="AD13" s="60">
        <f>+Actuals!AA286</f>
        <v>0</v>
      </c>
      <c r="AE13" s="38">
        <f>+Actuals!AB286</f>
        <v>0</v>
      </c>
      <c r="AF13" s="60">
        <f>+Actuals!AC286</f>
        <v>0</v>
      </c>
      <c r="AG13" s="38">
        <f>+Actuals!AD286</f>
        <v>0</v>
      </c>
      <c r="AH13" s="60">
        <f>+Actuals!AE286</f>
        <v>0</v>
      </c>
      <c r="AI13" s="38">
        <f>+Actuals!AF286</f>
        <v>0</v>
      </c>
      <c r="AJ13" s="60">
        <f>+Actuals!AG286</f>
        <v>0</v>
      </c>
      <c r="AK13" s="38">
        <f>+Actuals!AH286</f>
        <v>0</v>
      </c>
      <c r="AL13" s="60">
        <f>+Actuals!AI286</f>
        <v>0</v>
      </c>
      <c r="AM13" s="38">
        <f>+Actuals!AJ286</f>
        <v>0</v>
      </c>
      <c r="AN13" s="60">
        <f>+Actuals!AK286</f>
        <v>0</v>
      </c>
      <c r="AO13" s="38">
        <f>+Actuals!AL286</f>
        <v>0</v>
      </c>
    </row>
    <row r="14" spans="1:41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127">
        <f>+Actuals!U287</f>
        <v>0</v>
      </c>
      <c r="Y14" s="128">
        <f>+Actuals!V287</f>
        <v>0</v>
      </c>
      <c r="Z14" s="60">
        <f>+Actuals!W287</f>
        <v>0</v>
      </c>
      <c r="AA14" s="38">
        <f>+Actuals!X287</f>
        <v>0</v>
      </c>
      <c r="AB14" s="60">
        <f>+Actuals!Y287</f>
        <v>0</v>
      </c>
      <c r="AC14" s="38">
        <f>+Actuals!Z287</f>
        <v>0</v>
      </c>
      <c r="AD14" s="60">
        <f>+Actuals!AA287</f>
        <v>0</v>
      </c>
      <c r="AE14" s="38">
        <f>+Actuals!AB287</f>
        <v>0</v>
      </c>
      <c r="AF14" s="60">
        <f>+Actuals!AC287</f>
        <v>0</v>
      </c>
      <c r="AG14" s="38">
        <f>+Actuals!AD287</f>
        <v>0</v>
      </c>
      <c r="AH14" s="60">
        <f>+Actuals!AE287</f>
        <v>0</v>
      </c>
      <c r="AI14" s="38">
        <f>+Actuals!AF287</f>
        <v>0</v>
      </c>
      <c r="AJ14" s="60">
        <f>+Actuals!AG287</f>
        <v>0</v>
      </c>
      <c r="AK14" s="38">
        <f>+Actuals!AH287</f>
        <v>0</v>
      </c>
      <c r="AL14" s="60">
        <f>+Actuals!AI287</f>
        <v>0</v>
      </c>
      <c r="AM14" s="38">
        <f>+Actuals!AJ287</f>
        <v>0</v>
      </c>
      <c r="AN14" s="60">
        <f>+Actuals!AK287</f>
        <v>0</v>
      </c>
      <c r="AO14" s="38">
        <f>+Actuals!AL287</f>
        <v>0</v>
      </c>
    </row>
    <row r="15" spans="1:41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127">
        <f>+Actuals!U288</f>
        <v>0</v>
      </c>
      <c r="Y15" s="128">
        <f>+Actuals!V288</f>
        <v>0</v>
      </c>
      <c r="Z15" s="60">
        <f>+Actuals!W288</f>
        <v>0</v>
      </c>
      <c r="AA15" s="38">
        <f>+Actuals!X288</f>
        <v>0</v>
      </c>
      <c r="AB15" s="60">
        <f>+Actuals!Y288</f>
        <v>0</v>
      </c>
      <c r="AC15" s="38">
        <f>+Actuals!Z288</f>
        <v>0</v>
      </c>
      <c r="AD15" s="60">
        <f>+Actuals!AA288</f>
        <v>0</v>
      </c>
      <c r="AE15" s="38">
        <f>+Actuals!AB288</f>
        <v>0</v>
      </c>
      <c r="AF15" s="60">
        <f>+Actuals!AC288</f>
        <v>0</v>
      </c>
      <c r="AG15" s="38">
        <f>+Actuals!AD288</f>
        <v>0</v>
      </c>
      <c r="AH15" s="60">
        <f>+Actuals!AE288</f>
        <v>0</v>
      </c>
      <c r="AI15" s="38">
        <f>+Actuals!AF288</f>
        <v>0</v>
      </c>
      <c r="AJ15" s="60">
        <f>+Actuals!AG288</f>
        <v>0</v>
      </c>
      <c r="AK15" s="38">
        <f>+Actuals!AH288</f>
        <v>0</v>
      </c>
      <c r="AL15" s="60">
        <f>+Actuals!AI288</f>
        <v>0</v>
      </c>
      <c r="AM15" s="38">
        <f>+Actuals!AJ288</f>
        <v>0</v>
      </c>
      <c r="AN15" s="60">
        <f>+Actuals!AK288</f>
        <v>0</v>
      </c>
      <c r="AO15" s="38">
        <f>+Actuals!AL288</f>
        <v>0</v>
      </c>
    </row>
    <row r="16" spans="1:41" x14ac:dyDescent="0.2">
      <c r="A16" s="9"/>
      <c r="B16" s="7" t="s">
        <v>32</v>
      </c>
      <c r="C16" s="6"/>
      <c r="D16" s="61">
        <f>SUM(D11:D15)</f>
        <v>8947808</v>
      </c>
      <c r="E16" s="39">
        <f>SUM(E11:E15)</f>
        <v>19668698.91</v>
      </c>
      <c r="F16" s="61">
        <f t="shared" ref="F16:V16" si="1">SUM(F11:F15)</f>
        <v>0</v>
      </c>
      <c r="G16" s="39">
        <f t="shared" si="1"/>
        <v>-418888.09</v>
      </c>
      <c r="H16" s="61">
        <f t="shared" si="1"/>
        <v>9166041</v>
      </c>
      <c r="I16" s="39">
        <f t="shared" si="1"/>
        <v>20621937</v>
      </c>
      <c r="J16" s="61">
        <f t="shared" si="1"/>
        <v>-327348</v>
      </c>
      <c r="K16" s="148">
        <f t="shared" si="1"/>
        <v>-753570</v>
      </c>
      <c r="L16" s="61">
        <f t="shared" si="1"/>
        <v>0</v>
      </c>
      <c r="M16" s="39">
        <f t="shared" si="1"/>
        <v>0</v>
      </c>
      <c r="N16" s="61">
        <f t="shared" si="1"/>
        <v>23151</v>
      </c>
      <c r="O16" s="39">
        <f t="shared" si="1"/>
        <v>51859</v>
      </c>
      <c r="P16" s="61">
        <f t="shared" si="1"/>
        <v>0</v>
      </c>
      <c r="Q16" s="39">
        <f t="shared" si="1"/>
        <v>0</v>
      </c>
      <c r="R16" s="61">
        <f t="shared" si="1"/>
        <v>361848</v>
      </c>
      <c r="S16" s="39">
        <f t="shared" si="1"/>
        <v>826347</v>
      </c>
      <c r="T16" s="61">
        <f t="shared" si="1"/>
        <v>0</v>
      </c>
      <c r="U16" s="39">
        <f>SUM(U11:U15)</f>
        <v>0</v>
      </c>
      <c r="V16" s="61">
        <f t="shared" si="1"/>
        <v>-802696</v>
      </c>
      <c r="W16" s="39">
        <f t="shared" ref="W16:AE16" si="2">SUM(W11:W15)</f>
        <v>-1878927</v>
      </c>
      <c r="X16" s="61">
        <f t="shared" si="2"/>
        <v>802696</v>
      </c>
      <c r="Y16" s="39">
        <f t="shared" si="2"/>
        <v>1878927</v>
      </c>
      <c r="Z16" s="61">
        <f t="shared" si="2"/>
        <v>0</v>
      </c>
      <c r="AA16" s="39">
        <f t="shared" si="2"/>
        <v>0</v>
      </c>
      <c r="AB16" s="61">
        <f t="shared" si="2"/>
        <v>-275884</v>
      </c>
      <c r="AC16" s="39">
        <f t="shared" si="2"/>
        <v>-658986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  <c r="AN16" s="61">
        <f>SUM(AN11:AN15)</f>
        <v>0</v>
      </c>
      <c r="AO16" s="39">
        <f>SUM(AO11:AO15)</f>
        <v>0</v>
      </c>
    </row>
    <row r="17" spans="1:4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</row>
    <row r="18" spans="1:41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</row>
    <row r="19" spans="1:41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SUM(F19,H19,J19,L19,N19,P19,R19,T19,V19,X19,Z19,AB19,AD19,AF19,AH19,AJ19,AL19,AN19)</f>
        <v>-7354776</v>
      </c>
      <c r="E19" s="38">
        <f t="shared" si="4"/>
        <v>-16341609</v>
      </c>
      <c r="F19" s="64">
        <f>'TIE-OUT'!V19+RECLASS!V19</f>
        <v>0</v>
      </c>
      <c r="G19" s="68">
        <f>'TIE-OUT'!W19+RECLASS!W19</f>
        <v>0</v>
      </c>
      <c r="H19" s="60">
        <f>-7112356+635000</f>
        <v>-6477356</v>
      </c>
      <c r="I19" s="38">
        <f>-15619834+1483815</f>
        <v>-14136019</v>
      </c>
      <c r="J19" s="60">
        <v>-289339</v>
      </c>
      <c r="K19" s="147">
        <v>-754966</v>
      </c>
      <c r="L19" s="60">
        <v>6499</v>
      </c>
      <c r="M19" s="38">
        <v>-20718</v>
      </c>
      <c r="N19" s="60">
        <v>-594580</v>
      </c>
      <c r="O19" s="38">
        <v>-1436505</v>
      </c>
      <c r="P19" s="60"/>
      <c r="Q19" s="38">
        <v>6599</v>
      </c>
      <c r="R19" s="60"/>
      <c r="S19" s="38"/>
      <c r="T19" s="60"/>
      <c r="U19" s="38"/>
      <c r="V19" s="60"/>
      <c r="W19" s="38"/>
      <c r="X19" s="127">
        <f>+Actuals!U289</f>
        <v>0</v>
      </c>
      <c r="Y19" s="128">
        <f>+Actuals!V289</f>
        <v>0</v>
      </c>
      <c r="Z19" s="60">
        <f>+Actuals!W289</f>
        <v>0</v>
      </c>
      <c r="AA19" s="38">
        <f>+Actuals!X289</f>
        <v>0</v>
      </c>
      <c r="AB19" s="60">
        <f>+Actuals!Y289</f>
        <v>0</v>
      </c>
      <c r="AC19" s="38">
        <f>+Actuals!Z289</f>
        <v>0</v>
      </c>
      <c r="AD19" s="60">
        <f>+Actuals!AA289</f>
        <v>0</v>
      </c>
      <c r="AE19" s="38">
        <f>+Actuals!AB289</f>
        <v>0</v>
      </c>
      <c r="AF19" s="60">
        <f>+Actuals!AC289</f>
        <v>0</v>
      </c>
      <c r="AG19" s="38">
        <f>+Actuals!AD289</f>
        <v>0</v>
      </c>
      <c r="AH19" s="60">
        <f>+Actuals!AE289</f>
        <v>0</v>
      </c>
      <c r="AI19" s="38">
        <f>+Actuals!AF289</f>
        <v>0</v>
      </c>
      <c r="AJ19" s="60">
        <f>+Actuals!AG289</f>
        <v>0</v>
      </c>
      <c r="AK19" s="38">
        <f>+Actuals!AH289</f>
        <v>0</v>
      </c>
      <c r="AL19" s="60">
        <f>+Actuals!AI289</f>
        <v>0</v>
      </c>
      <c r="AM19" s="38">
        <f>+Actuals!AJ289</f>
        <v>0</v>
      </c>
      <c r="AN19" s="60">
        <f>+Actuals!AK289</f>
        <v>0</v>
      </c>
      <c r="AO19" s="38">
        <f>+Actuals!AL289</f>
        <v>0</v>
      </c>
    </row>
    <row r="20" spans="1:41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521674.65</v>
      </c>
      <c r="F20" s="60">
        <f>'TIE-OUT'!V20+RECLASS!V20</f>
        <v>0</v>
      </c>
      <c r="G20" s="38">
        <f>'TIE-OUT'!W20+RECLASS!W20</f>
        <v>521674.65</v>
      </c>
      <c r="H20" s="60"/>
      <c r="I20" s="38"/>
      <c r="J20" s="60"/>
      <c r="K20" s="160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127">
        <f>+Actuals!U290</f>
        <v>0</v>
      </c>
      <c r="Y20" s="128">
        <f>+Actuals!V290</f>
        <v>0</v>
      </c>
      <c r="Z20" s="60">
        <f>+Actuals!W290</f>
        <v>0</v>
      </c>
      <c r="AA20" s="38">
        <f>+Actuals!X290</f>
        <v>0</v>
      </c>
      <c r="AB20" s="60">
        <f>+Actuals!Y290</f>
        <v>0</v>
      </c>
      <c r="AC20" s="38">
        <f>+Actuals!Z290</f>
        <v>0</v>
      </c>
      <c r="AD20" s="60">
        <f>+Actuals!AA290</f>
        <v>0</v>
      </c>
      <c r="AE20" s="38">
        <f>+Actuals!AB290</f>
        <v>0</v>
      </c>
      <c r="AF20" s="60">
        <f>+Actuals!AC290</f>
        <v>0</v>
      </c>
      <c r="AG20" s="38">
        <f>+Actuals!AD290</f>
        <v>0</v>
      </c>
      <c r="AH20" s="60">
        <f>+Actuals!AE290</f>
        <v>0</v>
      </c>
      <c r="AI20" s="38">
        <f>+Actuals!AF290</f>
        <v>0</v>
      </c>
      <c r="AJ20" s="60">
        <f>+Actuals!AG290</f>
        <v>0</v>
      </c>
      <c r="AK20" s="38">
        <f>+Actuals!AH290</f>
        <v>0</v>
      </c>
      <c r="AL20" s="60">
        <f>+Actuals!AI290</f>
        <v>0</v>
      </c>
      <c r="AM20" s="38">
        <f>+Actuals!AJ290</f>
        <v>0</v>
      </c>
      <c r="AN20" s="60">
        <f>+Actuals!AK290</f>
        <v>0</v>
      </c>
      <c r="AO20" s="38">
        <f>+Actuals!AL290</f>
        <v>0</v>
      </c>
    </row>
    <row r="21" spans="1:41" x14ac:dyDescent="0.2">
      <c r="A21" s="9">
        <v>8</v>
      </c>
      <c r="B21" s="7"/>
      <c r="C21" s="18" t="s">
        <v>29</v>
      </c>
      <c r="D21" s="60">
        <f t="shared" si="4"/>
        <v>-635000</v>
      </c>
      <c r="E21" s="38">
        <f t="shared" si="4"/>
        <v>-1483815</v>
      </c>
      <c r="F21" s="60">
        <f>'TIE-OUT'!V21+RECLASS!V21</f>
        <v>0</v>
      </c>
      <c r="G21" s="38">
        <f>'TIE-OUT'!W21+RECLASS!W21</f>
        <v>0</v>
      </c>
      <c r="H21" s="60">
        <v>-635000</v>
      </c>
      <c r="I21" s="38">
        <v>-1483815</v>
      </c>
      <c r="J21" s="60"/>
      <c r="K21" s="147"/>
      <c r="L21" s="60"/>
      <c r="M21" s="38"/>
      <c r="N21" s="60"/>
      <c r="O21" s="38"/>
      <c r="P21" s="60"/>
      <c r="Q21" s="38"/>
      <c r="R21" s="60">
        <v>-361848</v>
      </c>
      <c r="S21" s="38">
        <v>-847347</v>
      </c>
      <c r="T21" s="60"/>
      <c r="U21" s="38"/>
      <c r="V21" s="60">
        <v>888660</v>
      </c>
      <c r="W21" s="38">
        <v>2067288</v>
      </c>
      <c r="X21" s="127">
        <f>+Actuals!U291</f>
        <v>-888660</v>
      </c>
      <c r="Y21" s="128">
        <f>+Actuals!V291</f>
        <v>-2067288</v>
      </c>
      <c r="Z21" s="60">
        <f>+Actuals!W291</f>
        <v>0</v>
      </c>
      <c r="AA21" s="38">
        <f>+Actuals!X291</f>
        <v>0</v>
      </c>
      <c r="AB21" s="60">
        <f>+Actuals!Y291</f>
        <v>361848</v>
      </c>
      <c r="AC21" s="38">
        <f>+Actuals!Z291</f>
        <v>847347</v>
      </c>
      <c r="AD21" s="60">
        <f>+Actuals!AA291</f>
        <v>0</v>
      </c>
      <c r="AE21" s="38">
        <f>+Actuals!AB291</f>
        <v>0</v>
      </c>
      <c r="AF21" s="60">
        <f>+Actuals!AC291</f>
        <v>0</v>
      </c>
      <c r="AG21" s="38">
        <f>+Actuals!AD291</f>
        <v>0</v>
      </c>
      <c r="AH21" s="60">
        <f>+Actuals!AE291</f>
        <v>0</v>
      </c>
      <c r="AI21" s="38">
        <f>+Actuals!AF291</f>
        <v>0</v>
      </c>
      <c r="AJ21" s="60">
        <f>+Actuals!AG291</f>
        <v>0</v>
      </c>
      <c r="AK21" s="38">
        <f>+Actuals!AH291</f>
        <v>0</v>
      </c>
      <c r="AL21" s="60">
        <f>+Actuals!AI291</f>
        <v>0</v>
      </c>
      <c r="AM21" s="38">
        <f>+Actuals!AJ291</f>
        <v>0</v>
      </c>
      <c r="AN21" s="60">
        <f>+Actuals!AK291</f>
        <v>0</v>
      </c>
      <c r="AO21" s="38">
        <f>+Actuals!AL291</f>
        <v>0</v>
      </c>
    </row>
    <row r="22" spans="1:41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127">
        <f>+Actuals!U292</f>
        <v>0</v>
      </c>
      <c r="Y22" s="128">
        <f>+Actuals!V292</f>
        <v>0</v>
      </c>
      <c r="Z22" s="60">
        <f>+Actuals!W292</f>
        <v>0</v>
      </c>
      <c r="AA22" s="38">
        <f>+Actuals!X292</f>
        <v>0</v>
      </c>
      <c r="AB22" s="60">
        <f>+Actuals!Y292</f>
        <v>0</v>
      </c>
      <c r="AC22" s="38">
        <f>+Actuals!Z292</f>
        <v>0</v>
      </c>
      <c r="AD22" s="60">
        <f>+Actuals!AA292</f>
        <v>0</v>
      </c>
      <c r="AE22" s="38">
        <f>+Actuals!AB292</f>
        <v>0</v>
      </c>
      <c r="AF22" s="60">
        <f>+Actuals!AC292</f>
        <v>0</v>
      </c>
      <c r="AG22" s="38">
        <f>+Actuals!AD292</f>
        <v>0</v>
      </c>
      <c r="AH22" s="60">
        <f>+Actuals!AE292</f>
        <v>0</v>
      </c>
      <c r="AI22" s="38">
        <f>+Actuals!AF292</f>
        <v>0</v>
      </c>
      <c r="AJ22" s="60">
        <f>+Actuals!AG292</f>
        <v>0</v>
      </c>
      <c r="AK22" s="38">
        <f>+Actuals!AH292</f>
        <v>0</v>
      </c>
      <c r="AL22" s="60">
        <f>+Actuals!AI292</f>
        <v>0</v>
      </c>
      <c r="AM22" s="38">
        <f>+Actuals!AJ292</f>
        <v>0</v>
      </c>
      <c r="AN22" s="60">
        <f>+Actuals!AK292</f>
        <v>0</v>
      </c>
      <c r="AO22" s="38">
        <f>+Actuals!AL292</f>
        <v>0</v>
      </c>
    </row>
    <row r="23" spans="1:41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127">
        <f>+Actuals!U293</f>
        <v>0</v>
      </c>
      <c r="Y23" s="128">
        <f>+Actuals!V293</f>
        <v>0</v>
      </c>
      <c r="Z23" s="60">
        <f>+Actuals!W293</f>
        <v>0</v>
      </c>
      <c r="AA23" s="38">
        <f>+Actuals!X293</f>
        <v>0</v>
      </c>
      <c r="AB23" s="60">
        <f>+Actuals!Y293</f>
        <v>0</v>
      </c>
      <c r="AC23" s="38">
        <f>+Actuals!Z293</f>
        <v>0</v>
      </c>
      <c r="AD23" s="60">
        <f>+Actuals!AA293</f>
        <v>0</v>
      </c>
      <c r="AE23" s="38">
        <f>+Actuals!AB293</f>
        <v>0</v>
      </c>
      <c r="AF23" s="60">
        <f>+Actuals!AC293</f>
        <v>0</v>
      </c>
      <c r="AG23" s="38">
        <f>+Actuals!AD293</f>
        <v>0</v>
      </c>
      <c r="AH23" s="60">
        <f>+Actuals!AE293</f>
        <v>0</v>
      </c>
      <c r="AI23" s="38">
        <f>+Actuals!AF293</f>
        <v>0</v>
      </c>
      <c r="AJ23" s="60">
        <f>+Actuals!AG293</f>
        <v>0</v>
      </c>
      <c r="AK23" s="38">
        <f>+Actuals!AH293</f>
        <v>0</v>
      </c>
      <c r="AL23" s="60">
        <f>+Actuals!AI293</f>
        <v>0</v>
      </c>
      <c r="AM23" s="38">
        <f>+Actuals!AJ293</f>
        <v>0</v>
      </c>
      <c r="AN23" s="60">
        <f>+Actuals!AK293</f>
        <v>0</v>
      </c>
      <c r="AO23" s="38">
        <f>+Actuals!AL293</f>
        <v>0</v>
      </c>
    </row>
    <row r="24" spans="1:41" x14ac:dyDescent="0.2">
      <c r="A24" s="9"/>
      <c r="B24" s="7" t="s">
        <v>35</v>
      </c>
      <c r="C24" s="6"/>
      <c r="D24" s="61">
        <f>SUM(D19:D23)</f>
        <v>-7989776</v>
      </c>
      <c r="E24" s="39">
        <f>SUM(E19:E23)</f>
        <v>-17303749.350000001</v>
      </c>
      <c r="F24" s="61">
        <f t="shared" ref="F24:V24" si="5">SUM(F19:F23)</f>
        <v>0</v>
      </c>
      <c r="G24" s="39">
        <f t="shared" si="5"/>
        <v>521674.65</v>
      </c>
      <c r="H24" s="61">
        <f t="shared" si="5"/>
        <v>-7112356</v>
      </c>
      <c r="I24" s="39">
        <f t="shared" si="5"/>
        <v>-15619834</v>
      </c>
      <c r="J24" s="61">
        <f t="shared" si="5"/>
        <v>-289339</v>
      </c>
      <c r="K24" s="148">
        <f t="shared" si="5"/>
        <v>-754966</v>
      </c>
      <c r="L24" s="61">
        <f t="shared" si="5"/>
        <v>6499</v>
      </c>
      <c r="M24" s="39">
        <f t="shared" si="5"/>
        <v>-20718</v>
      </c>
      <c r="N24" s="61">
        <f t="shared" si="5"/>
        <v>-594580</v>
      </c>
      <c r="O24" s="39">
        <f t="shared" si="5"/>
        <v>-1436505</v>
      </c>
      <c r="P24" s="61">
        <f t="shared" si="5"/>
        <v>0</v>
      </c>
      <c r="Q24" s="39">
        <f t="shared" si="5"/>
        <v>6599</v>
      </c>
      <c r="R24" s="61">
        <f t="shared" si="5"/>
        <v>-361848</v>
      </c>
      <c r="S24" s="39">
        <f t="shared" si="5"/>
        <v>-847347</v>
      </c>
      <c r="T24" s="61">
        <f t="shared" si="5"/>
        <v>0</v>
      </c>
      <c r="U24" s="39">
        <f>SUM(U19:U23)</f>
        <v>0</v>
      </c>
      <c r="V24" s="61">
        <f t="shared" si="5"/>
        <v>888660</v>
      </c>
      <c r="W24" s="39">
        <f t="shared" ref="W24:AE24" si="6">SUM(W19:W23)</f>
        <v>2067288</v>
      </c>
      <c r="X24" s="61">
        <f t="shared" si="6"/>
        <v>-888660</v>
      </c>
      <c r="Y24" s="39">
        <f t="shared" si="6"/>
        <v>-2067288</v>
      </c>
      <c r="Z24" s="61">
        <f t="shared" si="6"/>
        <v>0</v>
      </c>
      <c r="AA24" s="39">
        <f t="shared" si="6"/>
        <v>0</v>
      </c>
      <c r="AB24" s="61">
        <f t="shared" si="6"/>
        <v>361848</v>
      </c>
      <c r="AC24" s="39">
        <f t="shared" si="6"/>
        <v>847347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  <c r="AN24" s="61">
        <f>SUM(AN19:AN23)</f>
        <v>0</v>
      </c>
      <c r="AO24" s="39">
        <f>SUM(AO19:AO23)</f>
        <v>0</v>
      </c>
    </row>
    <row r="25" spans="1:4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</row>
    <row r="26" spans="1:41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</row>
    <row r="27" spans="1:41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SUM(F27,H27,J27,L27,N27,P27,R27,T27,V27,X27,Z27,AB27,AD27,AF27,AH27,AJ27,AL27,AN27)</f>
        <v>0</v>
      </c>
      <c r="E27" s="38">
        <f>SUM(G27,I27,K27,M27,O27,Q27,S27,U27,W27,Y27,AA27,AC27,AE27,AG27,AI27,AK27,AM27,AO27)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127">
        <f>+Actuals!U294</f>
        <v>0</v>
      </c>
      <c r="Y27" s="128">
        <f>+Actuals!V294</f>
        <v>0</v>
      </c>
      <c r="Z27" s="60">
        <f>+Actuals!W294</f>
        <v>0</v>
      </c>
      <c r="AA27" s="38">
        <f>+Actuals!X294</f>
        <v>0</v>
      </c>
      <c r="AB27" s="60">
        <f>+Actuals!Y294</f>
        <v>0</v>
      </c>
      <c r="AC27" s="38">
        <f>+Actuals!Z294</f>
        <v>0</v>
      </c>
      <c r="AD27" s="60">
        <f>+Actuals!AA294</f>
        <v>0</v>
      </c>
      <c r="AE27" s="38">
        <f>+Actuals!AB294</f>
        <v>0</v>
      </c>
      <c r="AF27" s="60">
        <f>+Actuals!AC294</f>
        <v>0</v>
      </c>
      <c r="AG27" s="38">
        <f>+Actuals!AD294</f>
        <v>0</v>
      </c>
      <c r="AH27" s="60">
        <f>+Actuals!AE294</f>
        <v>0</v>
      </c>
      <c r="AI27" s="38">
        <f>+Actuals!AF294</f>
        <v>0</v>
      </c>
      <c r="AJ27" s="60">
        <f>+Actuals!AG294</f>
        <v>0</v>
      </c>
      <c r="AK27" s="38">
        <f>+Actuals!AH294</f>
        <v>0</v>
      </c>
      <c r="AL27" s="60">
        <f>+Actuals!AI294</f>
        <v>0</v>
      </c>
      <c r="AM27" s="38">
        <f>+Actuals!AJ294</f>
        <v>0</v>
      </c>
      <c r="AN27" s="60">
        <f>+Actuals!AK294</f>
        <v>0</v>
      </c>
      <c r="AO27" s="38">
        <f>+Actuals!AL294</f>
        <v>0</v>
      </c>
    </row>
    <row r="28" spans="1:41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SUM(F28,H28,J28,L28,N28,P28,R28,T28,V28,X28,Z28,AB28,AD28,AF28,AH28,AJ28,AL28,AN28)</f>
        <v>0</v>
      </c>
      <c r="E28" s="38">
        <f>SUM(G28,I28,K28,M28,O28,Q28,S28,U28,W28,Y28,AA28,AC28,AE28,AG28,AI28,AK28,AM28,AO28)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127">
        <f>+Actuals!U295</f>
        <v>0</v>
      </c>
      <c r="Y28" s="128">
        <f>+Actuals!V295</f>
        <v>0</v>
      </c>
      <c r="Z28" s="60">
        <f>+Actuals!W295</f>
        <v>0</v>
      </c>
      <c r="AA28" s="38">
        <f>+Actuals!X295</f>
        <v>0</v>
      </c>
      <c r="AB28" s="60">
        <f>+Actuals!Y295</f>
        <v>0</v>
      </c>
      <c r="AC28" s="38">
        <f>+Actuals!Z295</f>
        <v>0</v>
      </c>
      <c r="AD28" s="60">
        <f>+Actuals!AA295</f>
        <v>0</v>
      </c>
      <c r="AE28" s="38">
        <f>+Actuals!AB295</f>
        <v>0</v>
      </c>
      <c r="AF28" s="60">
        <f>+Actuals!AC295</f>
        <v>0</v>
      </c>
      <c r="AG28" s="38">
        <f>+Actuals!AD295</f>
        <v>0</v>
      </c>
      <c r="AH28" s="60">
        <f>+Actuals!AE295</f>
        <v>0</v>
      </c>
      <c r="AI28" s="38">
        <f>+Actuals!AF295</f>
        <v>0</v>
      </c>
      <c r="AJ28" s="60">
        <f>+Actuals!AG295</f>
        <v>0</v>
      </c>
      <c r="AK28" s="38">
        <f>+Actuals!AH295</f>
        <v>0</v>
      </c>
      <c r="AL28" s="60">
        <f>+Actuals!AI295</f>
        <v>0</v>
      </c>
      <c r="AM28" s="38">
        <f>+Actuals!AJ295</f>
        <v>0</v>
      </c>
      <c r="AN28" s="60">
        <f>+Actuals!AK295</f>
        <v>0</v>
      </c>
      <c r="AO28" s="38">
        <f>+Actuals!AL295</f>
        <v>0</v>
      </c>
    </row>
    <row r="29" spans="1:41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V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 t="shared" ref="W29:AC29" si="9">SUM(W27:W28)</f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ref="AJ29:AO29" si="11">SUM(AJ27:AJ28)</f>
        <v>0</v>
      </c>
      <c r="AK29" s="39">
        <f t="shared" si="11"/>
        <v>0</v>
      </c>
      <c r="AL29" s="61">
        <f t="shared" si="11"/>
        <v>0</v>
      </c>
      <c r="AM29" s="39">
        <f t="shared" si="11"/>
        <v>0</v>
      </c>
      <c r="AN29" s="61">
        <f t="shared" si="11"/>
        <v>0</v>
      </c>
      <c r="AO29" s="39">
        <f t="shared" si="11"/>
        <v>0</v>
      </c>
    </row>
    <row r="30" spans="1:4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</row>
    <row r="31" spans="1:41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</row>
    <row r="32" spans="1:41" x14ac:dyDescent="0.2">
      <c r="A32" s="9">
        <v>13</v>
      </c>
      <c r="B32" s="7"/>
      <c r="C32" s="18" t="s">
        <v>41</v>
      </c>
      <c r="D32" s="60">
        <f t="shared" ref="D32:E35" si="12">SUM(F32,H32,J32,L32,N32,P32,R32,T32,V32,X32,Z32,AB32,AD32,AF32,AH32,AJ32,AL32,AN32)</f>
        <v>0</v>
      </c>
      <c r="E32" s="38">
        <f t="shared" si="12"/>
        <v>0</v>
      </c>
      <c r="F32" s="64">
        <f>'TIE-OUT'!V32+RECLASS!V32</f>
        <v>0</v>
      </c>
      <c r="G32" s="68">
        <f>'TIE-OUT'!W32+RECLASS!W32</f>
        <v>0</v>
      </c>
      <c r="H32" s="60">
        <v>-2053685</v>
      </c>
      <c r="I32" s="38">
        <v>-4805623</v>
      </c>
      <c r="J32" s="60">
        <v>2053685</v>
      </c>
      <c r="K32" s="147">
        <v>4805623</v>
      </c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127">
        <f>+Actuals!U296</f>
        <v>0</v>
      </c>
      <c r="Y32" s="128">
        <f>+Actuals!V296</f>
        <v>0</v>
      </c>
      <c r="Z32" s="60">
        <f>+Actuals!W296</f>
        <v>0</v>
      </c>
      <c r="AA32" s="38">
        <f>+Actuals!X296</f>
        <v>0</v>
      </c>
      <c r="AB32" s="60">
        <f>+Actuals!Y296</f>
        <v>0</v>
      </c>
      <c r="AC32" s="38">
        <f>+Actuals!Z296</f>
        <v>0</v>
      </c>
      <c r="AD32" s="60">
        <f>+Actuals!AA296</f>
        <v>0</v>
      </c>
      <c r="AE32" s="38">
        <f>+Actuals!AB296</f>
        <v>0</v>
      </c>
      <c r="AF32" s="60">
        <f>+Actuals!AC296</f>
        <v>0</v>
      </c>
      <c r="AG32" s="38">
        <f>+Actuals!AD296</f>
        <v>0</v>
      </c>
      <c r="AH32" s="60">
        <f>+Actuals!AE296</f>
        <v>0</v>
      </c>
      <c r="AI32" s="38">
        <f>+Actuals!AF296</f>
        <v>0</v>
      </c>
      <c r="AJ32" s="60">
        <f>+Actuals!AG296</f>
        <v>0</v>
      </c>
      <c r="AK32" s="38">
        <f>+Actuals!AH296</f>
        <v>0</v>
      </c>
      <c r="AL32" s="60">
        <f>+Actuals!AI296</f>
        <v>0</v>
      </c>
      <c r="AM32" s="38">
        <f>+Actuals!AJ296</f>
        <v>0</v>
      </c>
      <c r="AN32" s="60">
        <f>+Actuals!AK296</f>
        <v>0</v>
      </c>
      <c r="AO32" s="38">
        <f>+Actuals!AL296</f>
        <v>0</v>
      </c>
    </row>
    <row r="33" spans="1:41" x14ac:dyDescent="0.2">
      <c r="A33" s="9">
        <v>14</v>
      </c>
      <c r="B33" s="7"/>
      <c r="C33" s="18" t="s">
        <v>42</v>
      </c>
      <c r="D33" s="60">
        <f t="shared" si="12"/>
        <v>0</v>
      </c>
      <c r="E33" s="38">
        <f t="shared" si="12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127">
        <f>+Actuals!U297</f>
        <v>0</v>
      </c>
      <c r="Y33" s="128">
        <f>+Actuals!V297</f>
        <v>0</v>
      </c>
      <c r="Z33" s="60">
        <f>+Actuals!W297</f>
        <v>0</v>
      </c>
      <c r="AA33" s="38">
        <f>+Actuals!X297</f>
        <v>0</v>
      </c>
      <c r="AB33" s="60">
        <f>+Actuals!Y297</f>
        <v>0</v>
      </c>
      <c r="AC33" s="38">
        <f>+Actuals!Z297</f>
        <v>0</v>
      </c>
      <c r="AD33" s="60">
        <f>+Actuals!AA297</f>
        <v>0</v>
      </c>
      <c r="AE33" s="38">
        <f>+Actuals!AB297</f>
        <v>0</v>
      </c>
      <c r="AF33" s="60">
        <f>+Actuals!AC297</f>
        <v>0</v>
      </c>
      <c r="AG33" s="38">
        <f>+Actuals!AD297</f>
        <v>0</v>
      </c>
      <c r="AH33" s="60">
        <f>+Actuals!AE297</f>
        <v>0</v>
      </c>
      <c r="AI33" s="38">
        <f>+Actuals!AF297</f>
        <v>0</v>
      </c>
      <c r="AJ33" s="60">
        <f>+Actuals!AG297</f>
        <v>0</v>
      </c>
      <c r="AK33" s="38">
        <f>+Actuals!AH297</f>
        <v>0</v>
      </c>
      <c r="AL33" s="60">
        <f>+Actuals!AI297</f>
        <v>0</v>
      </c>
      <c r="AM33" s="38">
        <f>+Actuals!AJ297</f>
        <v>0</v>
      </c>
      <c r="AN33" s="60">
        <f>+Actuals!AK297</f>
        <v>0</v>
      </c>
      <c r="AO33" s="38">
        <f>+Actuals!AL297</f>
        <v>0</v>
      </c>
    </row>
    <row r="34" spans="1:41" x14ac:dyDescent="0.2">
      <c r="A34" s="9">
        <v>15</v>
      </c>
      <c r="B34" s="7"/>
      <c r="C34" s="18" t="s">
        <v>43</v>
      </c>
      <c r="D34" s="60">
        <f t="shared" si="12"/>
        <v>0</v>
      </c>
      <c r="E34" s="38">
        <f t="shared" si="12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127">
        <f>+Actuals!U298</f>
        <v>0</v>
      </c>
      <c r="Y34" s="128">
        <f>+Actuals!V298</f>
        <v>0</v>
      </c>
      <c r="Z34" s="60">
        <f>+Actuals!W298</f>
        <v>0</v>
      </c>
      <c r="AA34" s="38">
        <f>+Actuals!X298</f>
        <v>0</v>
      </c>
      <c r="AB34" s="60">
        <f>+Actuals!Y298</f>
        <v>0</v>
      </c>
      <c r="AC34" s="38">
        <f>+Actuals!Z298</f>
        <v>0</v>
      </c>
      <c r="AD34" s="60">
        <f>+Actuals!AA298</f>
        <v>0</v>
      </c>
      <c r="AE34" s="38">
        <f>+Actuals!AB298</f>
        <v>0</v>
      </c>
      <c r="AF34" s="60">
        <f>+Actuals!AC298</f>
        <v>0</v>
      </c>
      <c r="AG34" s="38">
        <f>+Actuals!AD298</f>
        <v>0</v>
      </c>
      <c r="AH34" s="60">
        <f>+Actuals!AE298</f>
        <v>0</v>
      </c>
      <c r="AI34" s="38">
        <f>+Actuals!AF298</f>
        <v>0</v>
      </c>
      <c r="AJ34" s="60">
        <f>+Actuals!AG298</f>
        <v>0</v>
      </c>
      <c r="AK34" s="38">
        <f>+Actuals!AH298</f>
        <v>0</v>
      </c>
      <c r="AL34" s="60">
        <f>+Actuals!AI298</f>
        <v>0</v>
      </c>
      <c r="AM34" s="38">
        <f>+Actuals!AJ298</f>
        <v>0</v>
      </c>
      <c r="AN34" s="60">
        <f>+Actuals!AK298</f>
        <v>0</v>
      </c>
      <c r="AO34" s="38">
        <f>+Actuals!AL298</f>
        <v>0</v>
      </c>
    </row>
    <row r="35" spans="1:41" x14ac:dyDescent="0.2">
      <c r="A35" s="9">
        <v>16</v>
      </c>
      <c r="B35" s="7"/>
      <c r="C35" s="18" t="s">
        <v>44</v>
      </c>
      <c r="D35" s="60">
        <f t="shared" si="12"/>
        <v>218793</v>
      </c>
      <c r="E35" s="38">
        <f t="shared" si="12"/>
        <v>514317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7"/>
      <c r="L35" s="60"/>
      <c r="M35" s="38"/>
      <c r="N35" s="60">
        <v>218793</v>
      </c>
      <c r="O35" s="38">
        <v>514317</v>
      </c>
      <c r="P35" s="60"/>
      <c r="Q35" s="38"/>
      <c r="R35" s="60"/>
      <c r="S35" s="38"/>
      <c r="T35" s="60"/>
      <c r="U35" s="38"/>
      <c r="V35" s="60"/>
      <c r="W35" s="38"/>
      <c r="X35" s="127">
        <f>+Actuals!U299</f>
        <v>0</v>
      </c>
      <c r="Y35" s="128">
        <f>+Actuals!V299</f>
        <v>0</v>
      </c>
      <c r="Z35" s="60">
        <f>+Actuals!W299</f>
        <v>0</v>
      </c>
      <c r="AA35" s="38">
        <f>+Actuals!X299</f>
        <v>0</v>
      </c>
      <c r="AB35" s="60">
        <f>+Actuals!Y299</f>
        <v>0</v>
      </c>
      <c r="AC35" s="38">
        <f>+Actuals!Z299</f>
        <v>0</v>
      </c>
      <c r="AD35" s="60">
        <f>+Actuals!AA299</f>
        <v>0</v>
      </c>
      <c r="AE35" s="38">
        <f>+Actuals!AB299</f>
        <v>0</v>
      </c>
      <c r="AF35" s="60">
        <f>+Actuals!AC299</f>
        <v>0</v>
      </c>
      <c r="AG35" s="38">
        <f>+Actuals!AD299</f>
        <v>0</v>
      </c>
      <c r="AH35" s="60">
        <f>+Actuals!AE299</f>
        <v>0</v>
      </c>
      <c r="AI35" s="38">
        <f>+Actuals!AF299</f>
        <v>0</v>
      </c>
      <c r="AJ35" s="60">
        <f>+Actuals!AG299</f>
        <v>0</v>
      </c>
      <c r="AK35" s="38">
        <f>+Actuals!AH299</f>
        <v>0</v>
      </c>
      <c r="AL35" s="60">
        <f>+Actuals!AI299</f>
        <v>0</v>
      </c>
      <c r="AM35" s="38">
        <f>+Actuals!AJ299</f>
        <v>0</v>
      </c>
      <c r="AN35" s="60">
        <f>+Actuals!AK299</f>
        <v>0</v>
      </c>
      <c r="AO35" s="38">
        <f>+Actuals!AL299</f>
        <v>0</v>
      </c>
    </row>
    <row r="36" spans="1:41" x14ac:dyDescent="0.2">
      <c r="A36" s="9"/>
      <c r="B36" s="7" t="s">
        <v>45</v>
      </c>
      <c r="C36" s="6"/>
      <c r="D36" s="61">
        <f>SUM(D32:D35)</f>
        <v>218793</v>
      </c>
      <c r="E36" s="39">
        <f>SUM(E32:E35)</f>
        <v>514317</v>
      </c>
      <c r="F36" s="61">
        <f t="shared" ref="F36:V36" si="13">SUM(F32:F35)</f>
        <v>0</v>
      </c>
      <c r="G36" s="39">
        <f t="shared" si="13"/>
        <v>0</v>
      </c>
      <c r="H36" s="61">
        <f t="shared" si="13"/>
        <v>-2053685</v>
      </c>
      <c r="I36" s="39">
        <f t="shared" si="13"/>
        <v>-4805623</v>
      </c>
      <c r="J36" s="61">
        <f t="shared" si="13"/>
        <v>2053685</v>
      </c>
      <c r="K36" s="148">
        <f t="shared" si="13"/>
        <v>4805623</v>
      </c>
      <c r="L36" s="61">
        <f t="shared" si="13"/>
        <v>0</v>
      </c>
      <c r="M36" s="39">
        <f t="shared" si="13"/>
        <v>0</v>
      </c>
      <c r="N36" s="61">
        <f t="shared" si="13"/>
        <v>218793</v>
      </c>
      <c r="O36" s="39">
        <f t="shared" si="13"/>
        <v>514317</v>
      </c>
      <c r="P36" s="61">
        <f t="shared" si="13"/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 t="shared" si="13"/>
        <v>0</v>
      </c>
      <c r="U36" s="39">
        <f>SUM(U32:U35)</f>
        <v>0</v>
      </c>
      <c r="V36" s="61">
        <f t="shared" si="13"/>
        <v>0</v>
      </c>
      <c r="W36" s="39">
        <f t="shared" ref="W36:AE36" si="14">SUM(W32:W35)</f>
        <v>0</v>
      </c>
      <c r="X36" s="61">
        <f t="shared" si="14"/>
        <v>0</v>
      </c>
      <c r="Y36" s="39">
        <f t="shared" si="14"/>
        <v>0</v>
      </c>
      <c r="Z36" s="61">
        <f t="shared" si="14"/>
        <v>0</v>
      </c>
      <c r="AA36" s="39">
        <f t="shared" si="14"/>
        <v>0</v>
      </c>
      <c r="AB36" s="61">
        <f t="shared" si="14"/>
        <v>0</v>
      </c>
      <c r="AC36" s="39">
        <f t="shared" si="14"/>
        <v>0</v>
      </c>
      <c r="AD36" s="61">
        <f t="shared" si="14"/>
        <v>0</v>
      </c>
      <c r="AE36" s="39">
        <f t="shared" si="14"/>
        <v>0</v>
      </c>
      <c r="AF36" s="61">
        <f t="shared" ref="AF36:AK36" si="15">SUM(AF32:AF35)</f>
        <v>0</v>
      </c>
      <c r="AG36" s="39">
        <f t="shared" si="15"/>
        <v>0</v>
      </c>
      <c r="AH36" s="61">
        <f t="shared" si="15"/>
        <v>0</v>
      </c>
      <c r="AI36" s="39">
        <f t="shared" si="15"/>
        <v>0</v>
      </c>
      <c r="AJ36" s="61">
        <f t="shared" si="15"/>
        <v>0</v>
      </c>
      <c r="AK36" s="39">
        <f t="shared" si="15"/>
        <v>0</v>
      </c>
      <c r="AL36" s="61">
        <f>SUM(AL32:AL35)</f>
        <v>0</v>
      </c>
      <c r="AM36" s="39">
        <f>SUM(AM32:AM35)</f>
        <v>0</v>
      </c>
      <c r="AN36" s="61">
        <f>SUM(AN32:AN35)</f>
        <v>0</v>
      </c>
      <c r="AO36" s="39">
        <f>SUM(AO32:AO35)</f>
        <v>0</v>
      </c>
    </row>
    <row r="37" spans="1:4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</row>
    <row r="38" spans="1:41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</row>
    <row r="39" spans="1:41" x14ac:dyDescent="0.2">
      <c r="A39" s="9">
        <v>17</v>
      </c>
      <c r="B39" s="7"/>
      <c r="C39" s="18" t="s">
        <v>47</v>
      </c>
      <c r="D39" s="60">
        <f t="shared" ref="D39:E41" si="16">SUM(F39,H39,J39,L39,N39,P39,R39,T39,V39,X39,Z39,AB39,AD39,AF39,AH39,AJ39,AL39,AN39)</f>
        <v>0</v>
      </c>
      <c r="E39" s="38">
        <f t="shared" si="16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127">
        <f>+Actuals!U300</f>
        <v>0</v>
      </c>
      <c r="Y39" s="128">
        <f>+Actuals!V300</f>
        <v>0</v>
      </c>
      <c r="Z39" s="60">
        <f>+Actuals!W300</f>
        <v>0</v>
      </c>
      <c r="AA39" s="38">
        <f>+Actuals!X300</f>
        <v>0</v>
      </c>
      <c r="AB39" s="60">
        <f>+Actuals!Y300</f>
        <v>0</v>
      </c>
      <c r="AC39" s="38">
        <f>+Actuals!Z300</f>
        <v>0</v>
      </c>
      <c r="AD39" s="60">
        <f>+Actuals!AA300</f>
        <v>0</v>
      </c>
      <c r="AE39" s="38">
        <f>+Actuals!AB300</f>
        <v>0</v>
      </c>
      <c r="AF39" s="60">
        <f>+Actuals!AC300</f>
        <v>0</v>
      </c>
      <c r="AG39" s="38">
        <f>+Actuals!AD300</f>
        <v>0</v>
      </c>
      <c r="AH39" s="60">
        <f>+Actuals!AE300</f>
        <v>0</v>
      </c>
      <c r="AI39" s="38">
        <f>+Actuals!AF300</f>
        <v>0</v>
      </c>
      <c r="AJ39" s="60">
        <f>+Actuals!AG300</f>
        <v>0</v>
      </c>
      <c r="AK39" s="38">
        <f>+Actuals!AH300</f>
        <v>0</v>
      </c>
      <c r="AL39" s="60">
        <f>+Actuals!AI300</f>
        <v>0</v>
      </c>
      <c r="AM39" s="38">
        <f>+Actuals!AJ300</f>
        <v>0</v>
      </c>
      <c r="AN39" s="60">
        <f>+Actuals!AK300</f>
        <v>0</v>
      </c>
      <c r="AO39" s="38">
        <f>+Actuals!AL300</f>
        <v>0</v>
      </c>
    </row>
    <row r="40" spans="1:41" ht="22.5" customHeight="1" x14ac:dyDescent="0.2">
      <c r="A40" s="9">
        <v>18</v>
      </c>
      <c r="B40" s="7"/>
      <c r="C40" s="18" t="s">
        <v>48</v>
      </c>
      <c r="D40" s="60">
        <f t="shared" si="16"/>
        <v>0</v>
      </c>
      <c r="E40" s="38">
        <f t="shared" si="16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127">
        <f>+Actuals!U301</f>
        <v>0</v>
      </c>
      <c r="Y40" s="128">
        <f>+Actuals!V301</f>
        <v>0</v>
      </c>
      <c r="Z40" s="60">
        <f>+Actuals!W301</f>
        <v>0</v>
      </c>
      <c r="AA40" s="38">
        <f>+Actuals!X301</f>
        <v>0</v>
      </c>
      <c r="AB40" s="60">
        <f>+Actuals!Y301</f>
        <v>0</v>
      </c>
      <c r="AC40" s="38">
        <f>+Actuals!Z301</f>
        <v>0</v>
      </c>
      <c r="AD40" s="60">
        <f>+Actuals!AA301</f>
        <v>0</v>
      </c>
      <c r="AE40" s="38">
        <f>+Actuals!AB301</f>
        <v>0</v>
      </c>
      <c r="AF40" s="60">
        <f>+Actuals!AC301</f>
        <v>0</v>
      </c>
      <c r="AG40" s="38">
        <f>+Actuals!AD301</f>
        <v>0</v>
      </c>
      <c r="AH40" s="60">
        <f>+Actuals!AE301</f>
        <v>0</v>
      </c>
      <c r="AI40" s="38">
        <f>+Actuals!AF301</f>
        <v>0</v>
      </c>
      <c r="AJ40" s="60">
        <f>+Actuals!AG301</f>
        <v>0</v>
      </c>
      <c r="AK40" s="38">
        <f>+Actuals!AH301</f>
        <v>0</v>
      </c>
      <c r="AL40" s="60">
        <f>+Actuals!AI301</f>
        <v>0</v>
      </c>
      <c r="AM40" s="38">
        <f>+Actuals!AJ301</f>
        <v>0</v>
      </c>
      <c r="AN40" s="60">
        <f>+Actuals!AK301</f>
        <v>0</v>
      </c>
      <c r="AO40" s="38">
        <f>+Actuals!AL301</f>
        <v>0</v>
      </c>
    </row>
    <row r="41" spans="1:41" x14ac:dyDescent="0.2">
      <c r="A41" s="9">
        <v>19</v>
      </c>
      <c r="B41" s="7"/>
      <c r="C41" s="18" t="s">
        <v>49</v>
      </c>
      <c r="D41" s="60">
        <f t="shared" si="16"/>
        <v>0</v>
      </c>
      <c r="E41" s="38">
        <f t="shared" si="16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127">
        <f>+Actuals!U302</f>
        <v>0</v>
      </c>
      <c r="Y41" s="128">
        <f>+Actuals!V302</f>
        <v>0</v>
      </c>
      <c r="Z41" s="60">
        <f>+Actuals!W302</f>
        <v>0</v>
      </c>
      <c r="AA41" s="38">
        <f>+Actuals!X302</f>
        <v>0</v>
      </c>
      <c r="AB41" s="60">
        <f>+Actuals!Y302</f>
        <v>0</v>
      </c>
      <c r="AC41" s="38">
        <f>+Actuals!Z302</f>
        <v>0</v>
      </c>
      <c r="AD41" s="60">
        <f>+Actuals!AA302</f>
        <v>0</v>
      </c>
      <c r="AE41" s="38">
        <f>+Actuals!AB302</f>
        <v>0</v>
      </c>
      <c r="AF41" s="60">
        <f>+Actuals!AC302</f>
        <v>0</v>
      </c>
      <c r="AG41" s="38">
        <f>+Actuals!AD302</f>
        <v>0</v>
      </c>
      <c r="AH41" s="60">
        <f>+Actuals!AE302</f>
        <v>0</v>
      </c>
      <c r="AI41" s="38">
        <f>+Actuals!AF302</f>
        <v>0</v>
      </c>
      <c r="AJ41" s="60">
        <f>+Actuals!AG302</f>
        <v>0</v>
      </c>
      <c r="AK41" s="38">
        <f>+Actuals!AH302</f>
        <v>0</v>
      </c>
      <c r="AL41" s="60">
        <f>+Actuals!AI302</f>
        <v>0</v>
      </c>
      <c r="AM41" s="38">
        <f>+Actuals!AJ302</f>
        <v>0</v>
      </c>
      <c r="AN41" s="60">
        <f>+Actuals!AK302</f>
        <v>0</v>
      </c>
      <c r="AO41" s="38">
        <f>+Actuals!AL302</f>
        <v>0</v>
      </c>
    </row>
    <row r="42" spans="1:41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1">
        <f t="shared" ref="F42:V42" si="17">SUM(F40:F41)</f>
        <v>0</v>
      </c>
      <c r="G42" s="39">
        <f t="shared" si="17"/>
        <v>0</v>
      </c>
      <c r="H42" s="61">
        <f t="shared" si="17"/>
        <v>0</v>
      </c>
      <c r="I42" s="39">
        <f t="shared" si="17"/>
        <v>0</v>
      </c>
      <c r="J42" s="61">
        <f t="shared" si="17"/>
        <v>0</v>
      </c>
      <c r="K42" s="148">
        <f t="shared" si="17"/>
        <v>0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>SUM(U40:U41)</f>
        <v>0</v>
      </c>
      <c r="V42" s="61">
        <f t="shared" si="17"/>
        <v>0</v>
      </c>
      <c r="W42" s="39">
        <f t="shared" ref="W42:AE42" si="18">SUM(W40:W41)</f>
        <v>0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8"/>
        <v>0</v>
      </c>
      <c r="AC42" s="39">
        <f t="shared" si="18"/>
        <v>0</v>
      </c>
      <c r="AD42" s="61">
        <f t="shared" si="18"/>
        <v>0</v>
      </c>
      <c r="AE42" s="39">
        <f t="shared" si="18"/>
        <v>0</v>
      </c>
      <c r="AF42" s="61">
        <f t="shared" ref="AF42:AK42" si="19">SUM(AF40:AF41)</f>
        <v>0</v>
      </c>
      <c r="AG42" s="39">
        <f t="shared" si="19"/>
        <v>0</v>
      </c>
      <c r="AH42" s="61">
        <f t="shared" si="19"/>
        <v>0</v>
      </c>
      <c r="AI42" s="39">
        <f t="shared" si="19"/>
        <v>0</v>
      </c>
      <c r="AJ42" s="61">
        <f t="shared" si="19"/>
        <v>0</v>
      </c>
      <c r="AK42" s="39">
        <f t="shared" si="19"/>
        <v>0</v>
      </c>
      <c r="AL42" s="61">
        <f>SUM(AL40:AL41)</f>
        <v>0</v>
      </c>
      <c r="AM42" s="39">
        <f>SUM(AM40:AM41)</f>
        <v>0</v>
      </c>
      <c r="AN42" s="61">
        <f>SUM(AN40:AN41)</f>
        <v>0</v>
      </c>
      <c r="AO42" s="39">
        <f>SUM(AO40:AO41)</f>
        <v>0</v>
      </c>
    </row>
    <row r="43" spans="1:41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V43" si="20">F42+F39</f>
        <v>0</v>
      </c>
      <c r="G43" s="39">
        <f t="shared" si="20"/>
        <v>0</v>
      </c>
      <c r="H43" s="61">
        <f t="shared" si="20"/>
        <v>0</v>
      </c>
      <c r="I43" s="39">
        <f t="shared" si="20"/>
        <v>0</v>
      </c>
      <c r="J43" s="61">
        <f t="shared" si="20"/>
        <v>0</v>
      </c>
      <c r="K43" s="148">
        <f t="shared" si="20"/>
        <v>0</v>
      </c>
      <c r="L43" s="61">
        <f t="shared" si="20"/>
        <v>0</v>
      </c>
      <c r="M43" s="39">
        <f t="shared" si="20"/>
        <v>0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>U42+U39</f>
        <v>0</v>
      </c>
      <c r="V43" s="61">
        <f t="shared" si="20"/>
        <v>0</v>
      </c>
      <c r="W43" s="39">
        <f t="shared" ref="W43:AE43" si="21">W42+W39</f>
        <v>0</v>
      </c>
      <c r="X43" s="61">
        <f t="shared" si="21"/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1"/>
        <v>0</v>
      </c>
      <c r="AC43" s="39">
        <f t="shared" si="21"/>
        <v>0</v>
      </c>
      <c r="AD43" s="61">
        <f t="shared" si="21"/>
        <v>0</v>
      </c>
      <c r="AE43" s="39">
        <f t="shared" si="21"/>
        <v>0</v>
      </c>
      <c r="AF43" s="61">
        <f t="shared" ref="AF43:AK43" si="22">AF42+AF39</f>
        <v>0</v>
      </c>
      <c r="AG43" s="39">
        <f t="shared" si="22"/>
        <v>0</v>
      </c>
      <c r="AH43" s="61">
        <f t="shared" si="22"/>
        <v>0</v>
      </c>
      <c r="AI43" s="39">
        <f t="shared" si="22"/>
        <v>0</v>
      </c>
      <c r="AJ43" s="61">
        <f t="shared" si="22"/>
        <v>0</v>
      </c>
      <c r="AK43" s="39">
        <f t="shared" si="22"/>
        <v>0</v>
      </c>
      <c r="AL43" s="61">
        <f>AL42+AL39</f>
        <v>0</v>
      </c>
      <c r="AM43" s="39">
        <f>AM42+AM39</f>
        <v>0</v>
      </c>
      <c r="AN43" s="61">
        <f>AN42+AN39</f>
        <v>0</v>
      </c>
      <c r="AO43" s="39">
        <f>AO42+AO39</f>
        <v>0</v>
      </c>
    </row>
    <row r="44" spans="1:4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</row>
    <row r="45" spans="1:41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SUM(F45,H45,J45,L45,N45,P45,R45,T45,V45,X45,Z45,AB45,AD45,AF45,AH45,AJ45,AL45,AN45)</f>
        <v>0</v>
      </c>
      <c r="E45" s="38">
        <f>SUM(G45,I45,K45,M45,O45,Q45,S45,U45,W45,Y45,AA45,AC45,AE45,AG45,AI45,AK45,AM45,AO45)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127">
        <f>+Actuals!U303</f>
        <v>0</v>
      </c>
      <c r="Y45" s="128">
        <f>+Actuals!V303</f>
        <v>0</v>
      </c>
      <c r="Z45" s="60">
        <f>+Actuals!W303</f>
        <v>0</v>
      </c>
      <c r="AA45" s="38">
        <f>+Actuals!X303</f>
        <v>0</v>
      </c>
      <c r="AB45" s="60">
        <f>+Actuals!Y303</f>
        <v>0</v>
      </c>
      <c r="AC45" s="38">
        <f>+Actuals!Z303</f>
        <v>0</v>
      </c>
      <c r="AD45" s="60">
        <f>+Actuals!AA303</f>
        <v>0</v>
      </c>
      <c r="AE45" s="38">
        <f>+Actuals!AB303</f>
        <v>0</v>
      </c>
      <c r="AF45" s="60">
        <f>+Actuals!AC303</f>
        <v>0</v>
      </c>
      <c r="AG45" s="38">
        <f>+Actuals!AD303</f>
        <v>0</v>
      </c>
      <c r="AH45" s="60">
        <f>+Actuals!AE303</f>
        <v>0</v>
      </c>
      <c r="AI45" s="38">
        <f>+Actuals!AF303</f>
        <v>0</v>
      </c>
      <c r="AJ45" s="60">
        <f>+Actuals!AG303</f>
        <v>0</v>
      </c>
      <c r="AK45" s="38">
        <f>+Actuals!AH303</f>
        <v>0</v>
      </c>
      <c r="AL45" s="60">
        <f>+Actuals!AI303</f>
        <v>0</v>
      </c>
      <c r="AM45" s="38">
        <f>+Actuals!AJ303</f>
        <v>0</v>
      </c>
      <c r="AN45" s="60">
        <f>+Actuals!AK303</f>
        <v>0</v>
      </c>
      <c r="AO45" s="38">
        <f>+Actuals!AL303</f>
        <v>0</v>
      </c>
    </row>
    <row r="46" spans="1:4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</row>
    <row r="47" spans="1:41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SUM(F47,H47,J47,L47,N47,P47,R47,T47,V47,X47,Z47,AB47,AD47,AF47,AH47,AJ47,AL47,AN47)</f>
        <v>0</v>
      </c>
      <c r="E47" s="38">
        <f>SUM(G47,I47,K47,M47,O47,Q47,S47,U47,W47,Y47,AA47,AC47,AE47,AG47,AI47,AK47,AM47,AO47)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127">
        <f>+Actuals!U304</f>
        <v>0</v>
      </c>
      <c r="Y47" s="128">
        <f>+Actuals!V304</f>
        <v>0</v>
      </c>
      <c r="Z47" s="60">
        <f>+Actuals!W304</f>
        <v>0</v>
      </c>
      <c r="AA47" s="38">
        <f>+Actuals!X304</f>
        <v>0</v>
      </c>
      <c r="AB47" s="60">
        <f>+Actuals!Y304</f>
        <v>0</v>
      </c>
      <c r="AC47" s="38">
        <f>+Actuals!Z304</f>
        <v>0</v>
      </c>
      <c r="AD47" s="60">
        <f>+Actuals!AA304</f>
        <v>0</v>
      </c>
      <c r="AE47" s="38">
        <f>+Actuals!AB304</f>
        <v>0</v>
      </c>
      <c r="AF47" s="60">
        <f>+Actuals!AC304</f>
        <v>0</v>
      </c>
      <c r="AG47" s="38">
        <f>+Actuals!AD304</f>
        <v>0</v>
      </c>
      <c r="AH47" s="60">
        <f>+Actuals!AE304</f>
        <v>0</v>
      </c>
      <c r="AI47" s="38">
        <f>+Actuals!AF304</f>
        <v>0</v>
      </c>
      <c r="AJ47" s="60">
        <f>+Actuals!AG304</f>
        <v>0</v>
      </c>
      <c r="AK47" s="38">
        <f>+Actuals!AH304</f>
        <v>0</v>
      </c>
      <c r="AL47" s="60">
        <f>+Actuals!AI304</f>
        <v>0</v>
      </c>
      <c r="AM47" s="38">
        <f>+Actuals!AJ304</f>
        <v>0</v>
      </c>
      <c r="AN47" s="60">
        <f>+Actuals!AK304</f>
        <v>0</v>
      </c>
      <c r="AO47" s="38">
        <f>+Actuals!AL304</f>
        <v>0</v>
      </c>
    </row>
    <row r="48" spans="1:4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</row>
    <row r="49" spans="1:41" x14ac:dyDescent="0.2">
      <c r="A49" s="9">
        <v>22</v>
      </c>
      <c r="B49" s="11" t="s">
        <v>54</v>
      </c>
      <c r="C49" s="6"/>
      <c r="D49" s="60">
        <f t="shared" ref="D49:E51" si="23">SUM(F49,H49,J49,L49,N49,P49,R49,T49,V49,X49,Z49,AB49,AD49,AF49,AH49,AJ49,AL49,AN49)</f>
        <v>-1176825</v>
      </c>
      <c r="E49" s="38">
        <f t="shared" si="23"/>
        <v>-2753771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-1436998</v>
      </c>
      <c r="K49" s="147">
        <v>-3362575</v>
      </c>
      <c r="L49" s="60">
        <v>-6499</v>
      </c>
      <c r="M49" s="38">
        <v>-15208</v>
      </c>
      <c r="N49" s="60">
        <v>352636</v>
      </c>
      <c r="O49" s="38">
        <v>825168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-85964</v>
      </c>
      <c r="W49" s="38">
        <v>-201156</v>
      </c>
      <c r="X49" s="127">
        <f>+Actuals!U305</f>
        <v>85964</v>
      </c>
      <c r="Y49" s="128">
        <f>+Actuals!V305</f>
        <v>201155.76</v>
      </c>
      <c r="Z49" s="60">
        <f>+Actuals!W305</f>
        <v>0</v>
      </c>
      <c r="AA49" s="38">
        <f>+Actuals!X305</f>
        <v>0</v>
      </c>
      <c r="AB49" s="60">
        <f>+Actuals!Y305</f>
        <v>-85964</v>
      </c>
      <c r="AC49" s="38">
        <f>+Actuals!Z305</f>
        <v>-201155.76</v>
      </c>
      <c r="AD49" s="60">
        <f>+Actuals!AA305</f>
        <v>0</v>
      </c>
      <c r="AE49" s="38">
        <f>+Actuals!AB305</f>
        <v>0</v>
      </c>
      <c r="AF49" s="60">
        <f>+Actuals!AC305</f>
        <v>0</v>
      </c>
      <c r="AG49" s="38">
        <f>+Actuals!AD305</f>
        <v>0</v>
      </c>
      <c r="AH49" s="60">
        <f>+Actuals!AE305</f>
        <v>0</v>
      </c>
      <c r="AI49" s="38">
        <f>+Actuals!AF305</f>
        <v>0</v>
      </c>
      <c r="AJ49" s="60">
        <f>+Actuals!AG305</f>
        <v>0</v>
      </c>
      <c r="AK49" s="38">
        <f>+Actuals!AH305</f>
        <v>0</v>
      </c>
      <c r="AL49" s="60">
        <f>+Actuals!AI305</f>
        <v>0</v>
      </c>
      <c r="AM49" s="38">
        <f>+Actuals!AJ305</f>
        <v>0</v>
      </c>
      <c r="AN49" s="60">
        <f>+Actuals!AK305</f>
        <v>0</v>
      </c>
      <c r="AO49" s="38">
        <f>+Actuals!AL305</f>
        <v>0</v>
      </c>
    </row>
    <row r="50" spans="1:41" x14ac:dyDescent="0.2">
      <c r="A50" s="9"/>
      <c r="B50" s="7"/>
      <c r="C50" s="6"/>
      <c r="D50" s="60">
        <f t="shared" si="23"/>
        <v>0</v>
      </c>
      <c r="E50" s="38">
        <f t="shared" si="23"/>
        <v>0</v>
      </c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</row>
    <row r="51" spans="1:41" x14ac:dyDescent="0.2">
      <c r="A51" s="9">
        <v>23</v>
      </c>
      <c r="B51" s="11" t="s">
        <v>55</v>
      </c>
      <c r="C51" s="6"/>
      <c r="D51" s="60">
        <f t="shared" si="23"/>
        <v>0</v>
      </c>
      <c r="E51" s="38">
        <f t="shared" si="23"/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127">
        <f>+Actuals!U306</f>
        <v>0</v>
      </c>
      <c r="Y51" s="128">
        <f>+Actuals!V306</f>
        <v>0</v>
      </c>
      <c r="Z51" s="60">
        <f>+Actuals!W306</f>
        <v>0</v>
      </c>
      <c r="AA51" s="38">
        <f>+Actuals!X306</f>
        <v>0</v>
      </c>
      <c r="AB51" s="60">
        <f>+Actuals!Y306</f>
        <v>0</v>
      </c>
      <c r="AC51" s="38">
        <f>+Actuals!Z306</f>
        <v>0</v>
      </c>
      <c r="AD51" s="60">
        <f>+Actuals!AA306</f>
        <v>0</v>
      </c>
      <c r="AE51" s="38">
        <f>+Actuals!AB306</f>
        <v>0</v>
      </c>
      <c r="AF51" s="60">
        <f>+Actuals!AC306</f>
        <v>0</v>
      </c>
      <c r="AG51" s="38">
        <f>+Actuals!AD306</f>
        <v>0</v>
      </c>
      <c r="AH51" s="60">
        <f>+Actuals!AE306</f>
        <v>0</v>
      </c>
      <c r="AI51" s="38">
        <f>+Actuals!AF306</f>
        <v>0</v>
      </c>
      <c r="AJ51" s="60">
        <f>+Actuals!AG306</f>
        <v>0</v>
      </c>
      <c r="AK51" s="38">
        <f>+Actuals!AH306</f>
        <v>0</v>
      </c>
      <c r="AL51" s="60">
        <f>+Actuals!AI306</f>
        <v>0</v>
      </c>
      <c r="AM51" s="38">
        <f>+Actuals!AJ306</f>
        <v>0</v>
      </c>
      <c r="AN51" s="60">
        <f>+Actuals!AK306</f>
        <v>0</v>
      </c>
      <c r="AO51" s="38">
        <f>+Actuals!AL306</f>
        <v>0</v>
      </c>
    </row>
    <row r="52" spans="1:4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</row>
    <row r="53" spans="1:41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</row>
    <row r="54" spans="1:41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SUM(F54,H54,J54,L54,N54,P54,R54,T54,V54,X54,Z54,AB54,AD54,AF54,AH54,AJ54,AL54,AN54)</f>
        <v>0</v>
      </c>
      <c r="E54" s="38">
        <f>SUM(G54,I54,K54,M54,O54,Q54,S54,U54,W54,Y54,AA54,AC54,AE54,AG54,AI54,AK54,AM54,AO54)</f>
        <v>1261908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>
        <v>1261908</v>
      </c>
      <c r="R54" s="60"/>
      <c r="S54" s="38"/>
      <c r="T54" s="60"/>
      <c r="U54" s="38"/>
      <c r="V54" s="60"/>
      <c r="W54" s="38"/>
      <c r="X54" s="127">
        <f>+Actuals!U307</f>
        <v>0</v>
      </c>
      <c r="Y54" s="128">
        <f>+Actuals!V307</f>
        <v>0</v>
      </c>
      <c r="Z54" s="60">
        <f>+Actuals!W307</f>
        <v>0</v>
      </c>
      <c r="AA54" s="38">
        <f>+Actuals!X307</f>
        <v>0</v>
      </c>
      <c r="AB54" s="60">
        <f>+Actuals!Y307</f>
        <v>0</v>
      </c>
      <c r="AC54" s="38">
        <f>+Actuals!Z307</f>
        <v>0</v>
      </c>
      <c r="AD54" s="60">
        <f>+Actuals!AA307</f>
        <v>0</v>
      </c>
      <c r="AE54" s="38">
        <f>+Actuals!AB307</f>
        <v>0</v>
      </c>
      <c r="AF54" s="60">
        <f>+Actuals!AC307</f>
        <v>0</v>
      </c>
      <c r="AG54" s="38">
        <f>+Actuals!AD307</f>
        <v>0</v>
      </c>
      <c r="AH54" s="60">
        <f>+Actuals!AE307</f>
        <v>0</v>
      </c>
      <c r="AI54" s="38">
        <f>+Actuals!AF307</f>
        <v>0</v>
      </c>
      <c r="AJ54" s="60">
        <f>+Actuals!AG307</f>
        <v>0</v>
      </c>
      <c r="AK54" s="38">
        <f>+Actuals!AH307</f>
        <v>0</v>
      </c>
      <c r="AL54" s="60">
        <f>+Actuals!AI307</f>
        <v>0</v>
      </c>
      <c r="AM54" s="38">
        <f>+Actuals!AJ307</f>
        <v>0</v>
      </c>
      <c r="AN54" s="60">
        <f>+Actuals!AK307</f>
        <v>0</v>
      </c>
      <c r="AO54" s="38">
        <f>+Actuals!AL307</f>
        <v>0</v>
      </c>
    </row>
    <row r="55" spans="1:41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SUM(F55,H55,J55,L55,N55,P55,R55,T55,V55,X55,Z55,AB55,AD55,AF55,AH55,AJ55,AL55,AN55)</f>
        <v>0</v>
      </c>
      <c r="E55" s="38">
        <f>SUM(G55,I55,K55,M55,O55,Q55,S55,U55,W55,Y55,AA55,AC55,AE55,AG55,AI55,AK55,AM55,AO55)</f>
        <v>-1237958</v>
      </c>
      <c r="F55" s="81">
        <f>'TIE-OUT'!V55+RECLASS!V55</f>
        <v>0</v>
      </c>
      <c r="G55" s="82">
        <f>'TIE-OUT'!W55+RECLASS!W55</f>
        <v>-1237958</v>
      </c>
      <c r="H55" s="60"/>
      <c r="I55" s="38">
        <v>-620000</v>
      </c>
      <c r="J55" s="60"/>
      <c r="K55" s="147"/>
      <c r="L55" s="60"/>
      <c r="M55" s="38">
        <v>620000</v>
      </c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127">
        <f>+Actuals!U308</f>
        <v>0</v>
      </c>
      <c r="Y55" s="128">
        <f>+Actuals!V308</f>
        <v>0</v>
      </c>
      <c r="Z55" s="60">
        <f>+Actuals!W308</f>
        <v>0</v>
      </c>
      <c r="AA55" s="38">
        <f>+Actuals!X308</f>
        <v>0</v>
      </c>
      <c r="AB55" s="60">
        <f>+Actuals!Y308</f>
        <v>0</v>
      </c>
      <c r="AC55" s="38">
        <f>+Actuals!Z308</f>
        <v>0</v>
      </c>
      <c r="AD55" s="60">
        <f>+Actuals!AA308</f>
        <v>0</v>
      </c>
      <c r="AE55" s="38">
        <f>+Actuals!AB308</f>
        <v>0</v>
      </c>
      <c r="AF55" s="60">
        <f>+Actuals!AC308</f>
        <v>0</v>
      </c>
      <c r="AG55" s="38">
        <f>+Actuals!AD308</f>
        <v>0</v>
      </c>
      <c r="AH55" s="60">
        <f>+Actuals!AE308</f>
        <v>0</v>
      </c>
      <c r="AI55" s="38">
        <f>+Actuals!AF308</f>
        <v>0</v>
      </c>
      <c r="AJ55" s="60">
        <f>+Actuals!AG308</f>
        <v>0</v>
      </c>
      <c r="AK55" s="38">
        <f>+Actuals!AH308</f>
        <v>0</v>
      </c>
      <c r="AL55" s="60">
        <f>+Actuals!AI308</f>
        <v>0</v>
      </c>
      <c r="AM55" s="38">
        <f>+Actuals!AJ308</f>
        <v>0</v>
      </c>
      <c r="AN55" s="60">
        <f>+Actuals!AK308</f>
        <v>0</v>
      </c>
      <c r="AO55" s="38">
        <f>+Actuals!AL308</f>
        <v>0</v>
      </c>
    </row>
    <row r="56" spans="1:41" x14ac:dyDescent="0.2">
      <c r="A56" s="9"/>
      <c r="B56" s="7" t="s">
        <v>59</v>
      </c>
      <c r="C56" s="6"/>
      <c r="D56" s="61">
        <f>SUM(D54:D55)</f>
        <v>0</v>
      </c>
      <c r="E56" s="39">
        <f>SUM(E54:E55)</f>
        <v>23950</v>
      </c>
      <c r="F56" s="61">
        <f t="shared" ref="F56:V56" si="24">SUM(F54:F55)</f>
        <v>0</v>
      </c>
      <c r="G56" s="39">
        <f t="shared" si="24"/>
        <v>-1237958</v>
      </c>
      <c r="H56" s="61">
        <f t="shared" si="24"/>
        <v>0</v>
      </c>
      <c r="I56" s="39">
        <f t="shared" si="24"/>
        <v>-620000</v>
      </c>
      <c r="J56" s="61">
        <f t="shared" si="24"/>
        <v>0</v>
      </c>
      <c r="K56" s="148">
        <f t="shared" si="24"/>
        <v>0</v>
      </c>
      <c r="L56" s="61">
        <f t="shared" si="24"/>
        <v>0</v>
      </c>
      <c r="M56" s="39">
        <f t="shared" si="24"/>
        <v>620000</v>
      </c>
      <c r="N56" s="61">
        <f t="shared" si="24"/>
        <v>0</v>
      </c>
      <c r="O56" s="39">
        <f t="shared" si="24"/>
        <v>0</v>
      </c>
      <c r="P56" s="61">
        <f t="shared" si="24"/>
        <v>0</v>
      </c>
      <c r="Q56" s="39">
        <f t="shared" si="24"/>
        <v>1261908</v>
      </c>
      <c r="R56" s="61">
        <f t="shared" si="24"/>
        <v>0</v>
      </c>
      <c r="S56" s="39">
        <f t="shared" si="24"/>
        <v>0</v>
      </c>
      <c r="T56" s="61">
        <f t="shared" si="24"/>
        <v>0</v>
      </c>
      <c r="U56" s="39">
        <f>SUM(U54:U55)</f>
        <v>0</v>
      </c>
      <c r="V56" s="61">
        <f t="shared" si="24"/>
        <v>0</v>
      </c>
      <c r="W56" s="39">
        <f t="shared" ref="W56:AC56" si="25">SUM(W54:W55)</f>
        <v>0</v>
      </c>
      <c r="X56" s="61">
        <f t="shared" si="25"/>
        <v>0</v>
      </c>
      <c r="Y56" s="39">
        <f t="shared" si="25"/>
        <v>0</v>
      </c>
      <c r="Z56" s="61">
        <f t="shared" si="25"/>
        <v>0</v>
      </c>
      <c r="AA56" s="39">
        <f t="shared" si="25"/>
        <v>0</v>
      </c>
      <c r="AB56" s="61">
        <f t="shared" si="25"/>
        <v>0</v>
      </c>
      <c r="AC56" s="39">
        <f t="shared" si="25"/>
        <v>0</v>
      </c>
      <c r="AD56" s="61">
        <f t="shared" ref="AD56:AI56" si="26">SUM(AD54:AD55)</f>
        <v>0</v>
      </c>
      <c r="AE56" s="39">
        <f t="shared" si="26"/>
        <v>0</v>
      </c>
      <c r="AF56" s="61">
        <f t="shared" si="26"/>
        <v>0</v>
      </c>
      <c r="AG56" s="39">
        <f t="shared" si="26"/>
        <v>0</v>
      </c>
      <c r="AH56" s="61">
        <f t="shared" si="26"/>
        <v>0</v>
      </c>
      <c r="AI56" s="39">
        <f t="shared" si="26"/>
        <v>0</v>
      </c>
      <c r="AJ56" s="61">
        <f t="shared" ref="AJ56:AO56" si="27">SUM(AJ54:AJ55)</f>
        <v>0</v>
      </c>
      <c r="AK56" s="39">
        <f t="shared" si="27"/>
        <v>0</v>
      </c>
      <c r="AL56" s="61">
        <f t="shared" si="27"/>
        <v>0</v>
      </c>
      <c r="AM56" s="39">
        <f t="shared" si="27"/>
        <v>0</v>
      </c>
      <c r="AN56" s="61">
        <f t="shared" si="27"/>
        <v>0</v>
      </c>
      <c r="AO56" s="39">
        <f t="shared" si="27"/>
        <v>0</v>
      </c>
    </row>
    <row r="57" spans="1:4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</row>
    <row r="58" spans="1:41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</row>
    <row r="59" spans="1:41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SUM(F59,H59,J59,L59,N59,P59,R59,T59,V59,X59,Z59,AB59,AD59,AF59,AH59,AJ59,AL59,AN59)</f>
        <v>0</v>
      </c>
      <c r="E59" s="38">
        <f>SUM(G59,I59,K59,M59,O59,Q59,S59,U59,W59,Y59,AA59,AC59,AE59,AG59,AI59,AK59,AM59,AO59)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127">
        <f>+Actuals!U309</f>
        <v>0</v>
      </c>
      <c r="Y59" s="128">
        <f>+Actuals!V309</f>
        <v>0</v>
      </c>
      <c r="Z59" s="60">
        <f>+Actuals!W309</f>
        <v>0</v>
      </c>
      <c r="AA59" s="38">
        <f>+Actuals!X309</f>
        <v>0</v>
      </c>
      <c r="AB59" s="60">
        <f>+Actuals!Y309</f>
        <v>0</v>
      </c>
      <c r="AC59" s="38">
        <f>+Actuals!Z309</f>
        <v>0</v>
      </c>
      <c r="AD59" s="60">
        <f>+Actuals!AA309</f>
        <v>0</v>
      </c>
      <c r="AE59" s="38">
        <f>+Actuals!AB309</f>
        <v>0</v>
      </c>
      <c r="AF59" s="60">
        <f>+Actuals!AC309</f>
        <v>0</v>
      </c>
      <c r="AG59" s="38">
        <f>+Actuals!AD309</f>
        <v>0</v>
      </c>
      <c r="AH59" s="60">
        <f>+Actuals!AE309</f>
        <v>0</v>
      </c>
      <c r="AI59" s="38">
        <f>+Actuals!AF309</f>
        <v>0</v>
      </c>
      <c r="AJ59" s="60">
        <f>+Actuals!AG309</f>
        <v>0</v>
      </c>
      <c r="AK59" s="38">
        <f>+Actuals!AH309</f>
        <v>0</v>
      </c>
      <c r="AL59" s="60">
        <f>+Actuals!AI309</f>
        <v>0</v>
      </c>
      <c r="AM59" s="38">
        <f>+Actuals!AJ309</f>
        <v>0</v>
      </c>
      <c r="AN59" s="60">
        <f>+Actuals!AK309</f>
        <v>0</v>
      </c>
      <c r="AO59" s="38">
        <f>+Actuals!AL309</f>
        <v>0</v>
      </c>
    </row>
    <row r="60" spans="1:41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SUM(F60,H60,J60,L60,N60,P60,R60,T60,V60,X60,Z60,AB60,AD60,AF60,AH60,AJ60,AL60,AN60)</f>
        <v>0</v>
      </c>
      <c r="E60" s="38">
        <f>SUM(G60,I60,K60,M60,O60,Q60,S60,U60,W60,Y60,AA60,AC60,AE60,AG60,AI60,AK60,AM60,AO60)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7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127">
        <f>+Actuals!U310</f>
        <v>0</v>
      </c>
      <c r="Y60" s="128">
        <f>+Actuals!V310</f>
        <v>0</v>
      </c>
      <c r="Z60" s="60">
        <f>+Actuals!W310</f>
        <v>0</v>
      </c>
      <c r="AA60" s="38">
        <f>+Actuals!X310</f>
        <v>0</v>
      </c>
      <c r="AB60" s="60">
        <f>+Actuals!Y310</f>
        <v>0</v>
      </c>
      <c r="AC60" s="38">
        <f>+Actuals!Z310</f>
        <v>0</v>
      </c>
      <c r="AD60" s="60">
        <f>+Actuals!AA310</f>
        <v>0</v>
      </c>
      <c r="AE60" s="38">
        <f>+Actuals!AB310</f>
        <v>0</v>
      </c>
      <c r="AF60" s="60">
        <f>+Actuals!AC310</f>
        <v>0</v>
      </c>
      <c r="AG60" s="38">
        <f>+Actuals!AD310</f>
        <v>0</v>
      </c>
      <c r="AH60" s="60">
        <f>+Actuals!AE310</f>
        <v>0</v>
      </c>
      <c r="AI60" s="38">
        <f>+Actuals!AF310</f>
        <v>0</v>
      </c>
      <c r="AJ60" s="60">
        <f>+Actuals!AG310</f>
        <v>0</v>
      </c>
      <c r="AK60" s="38">
        <f>+Actuals!AH310</f>
        <v>0</v>
      </c>
      <c r="AL60" s="60">
        <f>+Actuals!AI310</f>
        <v>0</v>
      </c>
      <c r="AM60" s="38">
        <f>+Actuals!AJ310</f>
        <v>0</v>
      </c>
      <c r="AN60" s="60">
        <f>+Actuals!AK310</f>
        <v>0</v>
      </c>
      <c r="AO60" s="38">
        <f>+Actuals!AL310</f>
        <v>0</v>
      </c>
    </row>
    <row r="61" spans="1:41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V61" si="28">SUM(F59:F60)</f>
        <v>0</v>
      </c>
      <c r="G61" s="39">
        <f t="shared" si="28"/>
        <v>0</v>
      </c>
      <c r="H61" s="61">
        <f t="shared" si="28"/>
        <v>0</v>
      </c>
      <c r="I61" s="39">
        <f t="shared" si="28"/>
        <v>0</v>
      </c>
      <c r="J61" s="61">
        <f t="shared" si="28"/>
        <v>0</v>
      </c>
      <c r="K61" s="148">
        <f t="shared" si="28"/>
        <v>0</v>
      </c>
      <c r="L61" s="61">
        <f t="shared" si="28"/>
        <v>0</v>
      </c>
      <c r="M61" s="39">
        <f t="shared" si="28"/>
        <v>0</v>
      </c>
      <c r="N61" s="61">
        <f t="shared" si="28"/>
        <v>0</v>
      </c>
      <c r="O61" s="39">
        <f t="shared" si="28"/>
        <v>0</v>
      </c>
      <c r="P61" s="61">
        <f t="shared" si="28"/>
        <v>0</v>
      </c>
      <c r="Q61" s="39">
        <f t="shared" si="28"/>
        <v>0</v>
      </c>
      <c r="R61" s="61">
        <f t="shared" si="28"/>
        <v>0</v>
      </c>
      <c r="S61" s="39">
        <f t="shared" si="28"/>
        <v>0</v>
      </c>
      <c r="T61" s="61">
        <f t="shared" si="28"/>
        <v>0</v>
      </c>
      <c r="U61" s="39">
        <f>SUM(U59:U60)</f>
        <v>0</v>
      </c>
      <c r="V61" s="61">
        <f t="shared" si="28"/>
        <v>0</v>
      </c>
      <c r="W61" s="39">
        <f t="shared" ref="W61:AC61" si="29">SUM(W59:W60)</f>
        <v>0</v>
      </c>
      <c r="X61" s="61">
        <f t="shared" si="29"/>
        <v>0</v>
      </c>
      <c r="Y61" s="39">
        <f t="shared" si="29"/>
        <v>0</v>
      </c>
      <c r="Z61" s="61">
        <f t="shared" si="29"/>
        <v>0</v>
      </c>
      <c r="AA61" s="39">
        <f t="shared" si="29"/>
        <v>0</v>
      </c>
      <c r="AB61" s="61">
        <f t="shared" si="29"/>
        <v>0</v>
      </c>
      <c r="AC61" s="39">
        <f t="shared" si="29"/>
        <v>0</v>
      </c>
      <c r="AD61" s="61">
        <f t="shared" ref="AD61:AI61" si="30">SUM(AD59:AD60)</f>
        <v>0</v>
      </c>
      <c r="AE61" s="39">
        <f t="shared" si="30"/>
        <v>0</v>
      </c>
      <c r="AF61" s="61">
        <f t="shared" si="30"/>
        <v>0</v>
      </c>
      <c r="AG61" s="39">
        <f t="shared" si="30"/>
        <v>0</v>
      </c>
      <c r="AH61" s="61">
        <f t="shared" si="30"/>
        <v>0</v>
      </c>
      <c r="AI61" s="39">
        <f t="shared" si="30"/>
        <v>0</v>
      </c>
      <c r="AJ61" s="61">
        <f t="shared" ref="AJ61:AO61" si="31">SUM(AJ59:AJ60)</f>
        <v>0</v>
      </c>
      <c r="AK61" s="39">
        <f t="shared" si="31"/>
        <v>0</v>
      </c>
      <c r="AL61" s="61">
        <f t="shared" si="31"/>
        <v>0</v>
      </c>
      <c r="AM61" s="39">
        <f t="shared" si="31"/>
        <v>0</v>
      </c>
      <c r="AN61" s="61">
        <f t="shared" si="31"/>
        <v>0</v>
      </c>
      <c r="AO61" s="39">
        <f t="shared" si="31"/>
        <v>0</v>
      </c>
    </row>
    <row r="62" spans="1:4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</row>
    <row r="63" spans="1:41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</row>
    <row r="64" spans="1:41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SUM(F64,H64,J64,L64,N64,P64,R64,T64,V64,X64,Z64,AB64,AD64,AF64,AH64,AJ64,AL64,AN64)</f>
        <v>0</v>
      </c>
      <c r="E64" s="38">
        <f>SUM(G64,I64,K64,M64,O64,Q64,S64,U64,W64,Y64,AA64,AC64,AE64,AG64,AI64,AK64,AM64,AO64)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127">
        <f>+Actuals!U311</f>
        <v>0</v>
      </c>
      <c r="Y64" s="128">
        <f>+Actuals!V311</f>
        <v>0</v>
      </c>
      <c r="Z64" s="60">
        <f>+Actuals!W311</f>
        <v>0</v>
      </c>
      <c r="AA64" s="38">
        <f>+Actuals!X311</f>
        <v>0</v>
      </c>
      <c r="AB64" s="60">
        <f>+Actuals!Y311</f>
        <v>0</v>
      </c>
      <c r="AC64" s="38">
        <f>+Actuals!Z311</f>
        <v>0</v>
      </c>
      <c r="AD64" s="60">
        <f>+Actuals!AA311</f>
        <v>0</v>
      </c>
      <c r="AE64" s="38">
        <f>+Actuals!AB311</f>
        <v>0</v>
      </c>
      <c r="AF64" s="60">
        <f>+Actuals!AC311</f>
        <v>0</v>
      </c>
      <c r="AG64" s="38">
        <f>+Actuals!AD311</f>
        <v>0</v>
      </c>
      <c r="AH64" s="60">
        <f>+Actuals!AE311</f>
        <v>0</v>
      </c>
      <c r="AI64" s="38">
        <f>+Actuals!AF311</f>
        <v>0</v>
      </c>
      <c r="AJ64" s="60">
        <f>+Actuals!AG311</f>
        <v>0</v>
      </c>
      <c r="AK64" s="38">
        <f>+Actuals!AH311</f>
        <v>0</v>
      </c>
      <c r="AL64" s="60">
        <f>+Actuals!AI311</f>
        <v>0</v>
      </c>
      <c r="AM64" s="38">
        <f>+Actuals!AJ311</f>
        <v>0</v>
      </c>
      <c r="AN64" s="60">
        <f>+Actuals!AK311</f>
        <v>0</v>
      </c>
      <c r="AO64" s="38">
        <f>+Actuals!AL311</f>
        <v>0</v>
      </c>
    </row>
    <row r="65" spans="1:41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SUM(F65,H65,J65,L65,N65,P65,R65,T65,V65,X65,Z65,AB65,AD65,AF65,AH65,AJ65,AL65,AN65)</f>
        <v>0</v>
      </c>
      <c r="E65" s="38">
        <f>SUM(G65,I65,K65,M65,O65,Q65,S65,U65,W65,Y65,AA65,AC65,AE65,AG65,AI65,AK65,AM65,AO65)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127">
        <f>+Actuals!U312</f>
        <v>0</v>
      </c>
      <c r="Y65" s="128">
        <f>+Actuals!V312</f>
        <v>0</v>
      </c>
      <c r="Z65" s="60">
        <f>+Actuals!W312</f>
        <v>0</v>
      </c>
      <c r="AA65" s="38">
        <f>+Actuals!X312</f>
        <v>0</v>
      </c>
      <c r="AB65" s="60">
        <f>+Actuals!Y312</f>
        <v>0</v>
      </c>
      <c r="AC65" s="38">
        <f>+Actuals!Z312</f>
        <v>0</v>
      </c>
      <c r="AD65" s="60">
        <f>+Actuals!AA312</f>
        <v>0</v>
      </c>
      <c r="AE65" s="38">
        <f>+Actuals!AB312</f>
        <v>0</v>
      </c>
      <c r="AF65" s="60">
        <f>+Actuals!AC312</f>
        <v>0</v>
      </c>
      <c r="AG65" s="38">
        <f>+Actuals!AD312</f>
        <v>0</v>
      </c>
      <c r="AH65" s="60">
        <f>+Actuals!AE312</f>
        <v>0</v>
      </c>
      <c r="AI65" s="38">
        <f>+Actuals!AF312</f>
        <v>0</v>
      </c>
      <c r="AJ65" s="60">
        <f>+Actuals!AG312</f>
        <v>0</v>
      </c>
      <c r="AK65" s="38">
        <f>+Actuals!AH312</f>
        <v>0</v>
      </c>
      <c r="AL65" s="60">
        <f>+Actuals!AI312</f>
        <v>0</v>
      </c>
      <c r="AM65" s="38">
        <f>+Actuals!AJ312</f>
        <v>0</v>
      </c>
      <c r="AN65" s="60">
        <f>+Actuals!AK312</f>
        <v>0</v>
      </c>
      <c r="AO65" s="38">
        <f>+Actuals!AL312</f>
        <v>0</v>
      </c>
    </row>
    <row r="66" spans="1:41" x14ac:dyDescent="0.2">
      <c r="A66" s="9"/>
      <c r="B66" s="7" t="s">
        <v>66</v>
      </c>
      <c r="C66" s="6"/>
      <c r="D66" s="61">
        <f>SUM(F66,H66,J66,L66,N66,P66,R66,T66,V66,X66,Z66,AB66,AD66,AF66,AH66)</f>
        <v>0</v>
      </c>
      <c r="E66" s="39">
        <f>SUM(G66,I66,K66,M66,O66,Q66,S66,U66,W66,Y66,AA66,AC66,AE66,AG66,AI66)</f>
        <v>0</v>
      </c>
      <c r="F66" s="61">
        <f t="shared" ref="F66:V66" si="32">SUM(F64:F65)</f>
        <v>0</v>
      </c>
      <c r="G66" s="39">
        <f t="shared" si="32"/>
        <v>0</v>
      </c>
      <c r="H66" s="61">
        <f t="shared" si="32"/>
        <v>0</v>
      </c>
      <c r="I66" s="39">
        <f t="shared" si="32"/>
        <v>0</v>
      </c>
      <c r="J66" s="61">
        <f t="shared" si="32"/>
        <v>0</v>
      </c>
      <c r="K66" s="148">
        <f t="shared" si="32"/>
        <v>0</v>
      </c>
      <c r="L66" s="61">
        <f t="shared" si="32"/>
        <v>0</v>
      </c>
      <c r="M66" s="39">
        <f t="shared" si="32"/>
        <v>0</v>
      </c>
      <c r="N66" s="61">
        <f t="shared" si="32"/>
        <v>0</v>
      </c>
      <c r="O66" s="39">
        <f t="shared" si="32"/>
        <v>0</v>
      </c>
      <c r="P66" s="61">
        <f t="shared" si="32"/>
        <v>0</v>
      </c>
      <c r="Q66" s="39">
        <f t="shared" si="32"/>
        <v>0</v>
      </c>
      <c r="R66" s="61">
        <f t="shared" si="32"/>
        <v>0</v>
      </c>
      <c r="S66" s="39">
        <f t="shared" si="32"/>
        <v>0</v>
      </c>
      <c r="T66" s="61">
        <f t="shared" si="32"/>
        <v>0</v>
      </c>
      <c r="U66" s="39">
        <f>SUM(U64:U65)</f>
        <v>0</v>
      </c>
      <c r="V66" s="61">
        <f t="shared" si="32"/>
        <v>0</v>
      </c>
      <c r="W66" s="39">
        <f t="shared" ref="W66:AC66" si="33">SUM(W64:W65)</f>
        <v>0</v>
      </c>
      <c r="X66" s="61">
        <f t="shared" si="33"/>
        <v>0</v>
      </c>
      <c r="Y66" s="39">
        <f t="shared" si="33"/>
        <v>0</v>
      </c>
      <c r="Z66" s="61">
        <f t="shared" si="33"/>
        <v>0</v>
      </c>
      <c r="AA66" s="39">
        <f t="shared" si="33"/>
        <v>0</v>
      </c>
      <c r="AB66" s="61">
        <f t="shared" si="33"/>
        <v>0</v>
      </c>
      <c r="AC66" s="39">
        <f t="shared" si="33"/>
        <v>0</v>
      </c>
      <c r="AD66" s="61">
        <f t="shared" ref="AD66:AI66" si="34">SUM(AD64:AD65)</f>
        <v>0</v>
      </c>
      <c r="AE66" s="39">
        <f t="shared" si="34"/>
        <v>0</v>
      </c>
      <c r="AF66" s="61">
        <f t="shared" si="34"/>
        <v>0</v>
      </c>
      <c r="AG66" s="39">
        <f t="shared" si="34"/>
        <v>0</v>
      </c>
      <c r="AH66" s="61">
        <f t="shared" si="34"/>
        <v>0</v>
      </c>
      <c r="AI66" s="39">
        <f t="shared" si="34"/>
        <v>0</v>
      </c>
      <c r="AJ66" s="61">
        <f t="shared" ref="AJ66:AO66" si="35">SUM(AJ64:AJ65)</f>
        <v>0</v>
      </c>
      <c r="AK66" s="39">
        <f t="shared" si="35"/>
        <v>0</v>
      </c>
      <c r="AL66" s="61">
        <f t="shared" si="35"/>
        <v>0</v>
      </c>
      <c r="AM66" s="39">
        <f t="shared" si="35"/>
        <v>0</v>
      </c>
      <c r="AN66" s="61">
        <f t="shared" si="35"/>
        <v>0</v>
      </c>
      <c r="AO66" s="39">
        <f t="shared" si="35"/>
        <v>0</v>
      </c>
    </row>
    <row r="67" spans="1:4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</row>
    <row r="68" spans="1:41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</row>
    <row r="69" spans="1:41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</row>
    <row r="70" spans="1:41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SUM(F70,H70,J70,L70,N70,P70,R70,T70,V70,X70,Z70,AB70,AD70,AF70,AH70,AJ70,AL70,AN70)</f>
        <v>0</v>
      </c>
      <c r="E70" s="38">
        <f>SUM(G70,I70,K70,M70,O70,Q70,S70,U70,W70,Y70,AA70,AC70,AE70,AG70,AI70,AK70,AM70,AO70)</f>
        <v>-276473.63</v>
      </c>
      <c r="F70" s="64">
        <f>'TIE-OUT'!V70+RECLASS!V70</f>
        <v>0</v>
      </c>
      <c r="G70" s="68">
        <f>'TIE-OUT'!W70+RECLASS!W70</f>
        <v>-808256.63</v>
      </c>
      <c r="H70" s="60"/>
      <c r="I70" s="38"/>
      <c r="J70" s="60"/>
      <c r="K70" s="147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127">
        <f>+Actuals!U313</f>
        <v>0</v>
      </c>
      <c r="Y70" s="128">
        <f>+Actuals!V313</f>
        <v>0</v>
      </c>
      <c r="Z70" s="60">
        <f>+Actuals!W313</f>
        <v>0</v>
      </c>
      <c r="AA70" s="38">
        <f>+Actuals!X313</f>
        <v>0</v>
      </c>
      <c r="AB70" s="60">
        <f>+Actuals!Y313</f>
        <v>0</v>
      </c>
      <c r="AC70" s="160">
        <v>531783</v>
      </c>
      <c r="AD70" s="60">
        <f>+Actuals!AA313</f>
        <v>0</v>
      </c>
      <c r="AE70" s="38"/>
      <c r="AF70" s="60">
        <f>+Actuals!AC313</f>
        <v>0</v>
      </c>
      <c r="AG70" s="38"/>
      <c r="AH70" s="60">
        <f>+Actuals!AE313</f>
        <v>0</v>
      </c>
      <c r="AI70" s="38"/>
      <c r="AJ70" s="60">
        <f>+Actuals!AG313</f>
        <v>0</v>
      </c>
      <c r="AK70" s="38"/>
      <c r="AL70" s="60">
        <f>+Actuals!AI313</f>
        <v>0</v>
      </c>
      <c r="AM70" s="38"/>
      <c r="AN70" s="60">
        <f>+Actuals!AK313</f>
        <v>0</v>
      </c>
      <c r="AO70" s="38"/>
    </row>
    <row r="71" spans="1:41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SUM(F71,H71,J71,L71,N71,P71,R71,T71,V71,X71,Z71,AB71,AD71,AF71,AH71,AJ71,AL71,AN71)</f>
        <v>0</v>
      </c>
      <c r="E71" s="38">
        <f>SUM(G71,I71,K71,M71,O71,Q71,S71,U71,W71,Y71,AA71,AC71,AE71,AG71,AI71,AK71,AM71,AO71)</f>
        <v>420951</v>
      </c>
      <c r="F71" s="81">
        <f>'TIE-OUT'!V71+RECLASS!V71</f>
        <v>0</v>
      </c>
      <c r="G71" s="82">
        <f>'TIE-OUT'!W71+RECLASS!W71</f>
        <v>420951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127">
        <f>+Actuals!U314</f>
        <v>0</v>
      </c>
      <c r="Y71" s="128">
        <f>+Actuals!V314</f>
        <v>0</v>
      </c>
      <c r="Z71" s="60">
        <f>+Actuals!W314</f>
        <v>0</v>
      </c>
      <c r="AA71" s="38">
        <f>+Actuals!X314</f>
        <v>0</v>
      </c>
      <c r="AB71" s="60">
        <f>+Actuals!Y314</f>
        <v>0</v>
      </c>
      <c r="AC71" s="38">
        <f>+Actuals!Z314</f>
        <v>0</v>
      </c>
      <c r="AD71" s="60">
        <f>+Actuals!AA314</f>
        <v>0</v>
      </c>
      <c r="AE71" s="38">
        <f>+Actuals!AB314</f>
        <v>0</v>
      </c>
      <c r="AF71" s="60">
        <f>+Actuals!AC314</f>
        <v>0</v>
      </c>
      <c r="AG71" s="38">
        <f>+Actuals!AD314</f>
        <v>0</v>
      </c>
      <c r="AH71" s="60">
        <f>+Actuals!AE314</f>
        <v>0</v>
      </c>
      <c r="AI71" s="38">
        <f>+Actuals!AF314</f>
        <v>0</v>
      </c>
      <c r="AJ71" s="60">
        <f>+Actuals!AG314</f>
        <v>0</v>
      </c>
      <c r="AK71" s="38">
        <f>+Actuals!AH314</f>
        <v>0</v>
      </c>
      <c r="AL71" s="60">
        <f>+Actuals!AI314</f>
        <v>0</v>
      </c>
      <c r="AM71" s="38">
        <f>+Actuals!AJ314</f>
        <v>0</v>
      </c>
      <c r="AN71" s="60">
        <f>+Actuals!AK314</f>
        <v>0</v>
      </c>
      <c r="AO71" s="38">
        <f>+Actuals!AL314</f>
        <v>0</v>
      </c>
    </row>
    <row r="72" spans="1:41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144477.37</v>
      </c>
      <c r="F72" s="61">
        <f t="shared" ref="F72:V72" si="36">SUM(F70:F71)</f>
        <v>0</v>
      </c>
      <c r="G72" s="39">
        <f t="shared" si="36"/>
        <v>-387305.63</v>
      </c>
      <c r="H72" s="61">
        <f t="shared" si="36"/>
        <v>0</v>
      </c>
      <c r="I72" s="39">
        <f t="shared" si="36"/>
        <v>0</v>
      </c>
      <c r="J72" s="61">
        <f t="shared" si="36"/>
        <v>0</v>
      </c>
      <c r="K72" s="148">
        <f t="shared" si="36"/>
        <v>0</v>
      </c>
      <c r="L72" s="61">
        <f t="shared" si="36"/>
        <v>0</v>
      </c>
      <c r="M72" s="39">
        <f t="shared" si="36"/>
        <v>0</v>
      </c>
      <c r="N72" s="61">
        <f t="shared" si="36"/>
        <v>0</v>
      </c>
      <c r="O72" s="39">
        <f t="shared" si="36"/>
        <v>0</v>
      </c>
      <c r="P72" s="61">
        <f t="shared" si="36"/>
        <v>0</v>
      </c>
      <c r="Q72" s="39">
        <f t="shared" si="36"/>
        <v>0</v>
      </c>
      <c r="R72" s="61">
        <f t="shared" si="36"/>
        <v>0</v>
      </c>
      <c r="S72" s="39">
        <f t="shared" si="36"/>
        <v>0</v>
      </c>
      <c r="T72" s="61">
        <f t="shared" si="36"/>
        <v>0</v>
      </c>
      <c r="U72" s="39">
        <f>SUM(U70:U71)</f>
        <v>0</v>
      </c>
      <c r="V72" s="61">
        <f t="shared" si="36"/>
        <v>0</v>
      </c>
      <c r="W72" s="39">
        <f t="shared" ref="W72:AE72" si="37">SUM(W70:W71)</f>
        <v>0</v>
      </c>
      <c r="X72" s="61">
        <f t="shared" si="37"/>
        <v>0</v>
      </c>
      <c r="Y72" s="39">
        <f t="shared" si="37"/>
        <v>0</v>
      </c>
      <c r="Z72" s="61">
        <f t="shared" si="37"/>
        <v>0</v>
      </c>
      <c r="AA72" s="39">
        <f t="shared" si="37"/>
        <v>0</v>
      </c>
      <c r="AB72" s="61">
        <f t="shared" si="37"/>
        <v>0</v>
      </c>
      <c r="AC72" s="39">
        <f t="shared" si="37"/>
        <v>531783</v>
      </c>
      <c r="AD72" s="61">
        <f t="shared" si="37"/>
        <v>0</v>
      </c>
      <c r="AE72" s="39">
        <f t="shared" si="37"/>
        <v>0</v>
      </c>
      <c r="AF72" s="61">
        <f t="shared" ref="AF72:AK72" si="38">SUM(AF70:AF71)</f>
        <v>0</v>
      </c>
      <c r="AG72" s="39">
        <f t="shared" si="38"/>
        <v>0</v>
      </c>
      <c r="AH72" s="61">
        <f t="shared" si="38"/>
        <v>0</v>
      </c>
      <c r="AI72" s="39">
        <f t="shared" si="38"/>
        <v>0</v>
      </c>
      <c r="AJ72" s="61">
        <f t="shared" si="38"/>
        <v>0</v>
      </c>
      <c r="AK72" s="39">
        <f t="shared" si="38"/>
        <v>0</v>
      </c>
      <c r="AL72" s="61">
        <f>SUM(AL70:AL71)</f>
        <v>0</v>
      </c>
      <c r="AM72" s="39">
        <f>SUM(AM70:AM71)</f>
        <v>0</v>
      </c>
      <c r="AN72" s="61">
        <f>SUM(AN70:AN71)</f>
        <v>0</v>
      </c>
      <c r="AO72" s="39">
        <f>SUM(AO70:AO71)</f>
        <v>0</v>
      </c>
    </row>
    <row r="73" spans="1:41" x14ac:dyDescent="0.2">
      <c r="A73" s="9">
        <v>32</v>
      </c>
      <c r="B73" s="3"/>
      <c r="C73" s="10" t="s">
        <v>72</v>
      </c>
      <c r="D73" s="60">
        <f t="shared" ref="D73:D81" si="39">SUM(F73,H73,J73,L73,N73,P73,R73,T73,V73,X73,Z73,AB73,AD73,AF73,AH73,AJ73,AL73,AN73)</f>
        <v>0</v>
      </c>
      <c r="E73" s="38">
        <f t="shared" ref="E73:E81" si="40">SUM(G73,I73,K73,M73,O73,Q73,S73,U73,W73,Y73,AA73,AC73,AE73,AG73,AI73,AK73,AM73,AO73)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127">
        <f>+Actuals!U315</f>
        <v>0</v>
      </c>
      <c r="Y73" s="128">
        <f>+Actuals!V315</f>
        <v>0</v>
      </c>
      <c r="Z73" s="60">
        <f>+Actuals!W315</f>
        <v>0</v>
      </c>
      <c r="AA73" s="38">
        <f>+Actuals!X315</f>
        <v>0</v>
      </c>
      <c r="AB73" s="60">
        <f>+Actuals!Y315</f>
        <v>0</v>
      </c>
      <c r="AC73" s="38">
        <f>+Actuals!Z315</f>
        <v>0</v>
      </c>
      <c r="AD73" s="60">
        <f>+Actuals!AA315</f>
        <v>0</v>
      </c>
      <c r="AE73" s="38">
        <f>+Actuals!AB315</f>
        <v>0</v>
      </c>
      <c r="AF73" s="60">
        <f>+Actuals!AC315</f>
        <v>0</v>
      </c>
      <c r="AG73" s="38">
        <f>+Actuals!AD315</f>
        <v>0</v>
      </c>
      <c r="AH73" s="60">
        <f>+Actuals!AE315</f>
        <v>0</v>
      </c>
      <c r="AI73" s="38">
        <f>+Actuals!AF315</f>
        <v>0</v>
      </c>
      <c r="AJ73" s="60">
        <f>+Actuals!AG315</f>
        <v>0</v>
      </c>
      <c r="AK73" s="38">
        <f>+Actuals!AH315</f>
        <v>0</v>
      </c>
      <c r="AL73" s="60">
        <f>+Actuals!AI315</f>
        <v>0</v>
      </c>
      <c r="AM73" s="38">
        <f>+Actuals!AJ315</f>
        <v>0</v>
      </c>
      <c r="AN73" s="60">
        <f>+Actuals!AK315</f>
        <v>0</v>
      </c>
      <c r="AO73" s="38">
        <f>+Actuals!AL315</f>
        <v>0</v>
      </c>
    </row>
    <row r="74" spans="1:41" x14ac:dyDescent="0.2">
      <c r="A74" s="9">
        <v>33</v>
      </c>
      <c r="B74" s="3"/>
      <c r="C74" s="10" t="s">
        <v>73</v>
      </c>
      <c r="D74" s="60">
        <f t="shared" si="39"/>
        <v>0</v>
      </c>
      <c r="E74" s="38">
        <f t="shared" si="40"/>
        <v>-412865.52</v>
      </c>
      <c r="F74" s="60">
        <f>'TIE-OUT'!V74+RECLASS!V74</f>
        <v>0</v>
      </c>
      <c r="G74" s="60">
        <f>'TIE-OUT'!W74+RECLASS!W74</f>
        <v>-412865.52</v>
      </c>
      <c r="H74" s="60"/>
      <c r="I74" s="38"/>
      <c r="J74" s="60"/>
      <c r="K74" s="147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127">
        <f>+Actuals!U316</f>
        <v>0</v>
      </c>
      <c r="Y74" s="128">
        <f>+Actuals!V316</f>
        <v>0</v>
      </c>
      <c r="Z74" s="60">
        <f>+Actuals!W316</f>
        <v>0</v>
      </c>
      <c r="AA74" s="38">
        <f>+Actuals!X316</f>
        <v>0</v>
      </c>
      <c r="AB74" s="60">
        <f>+Actuals!Y316</f>
        <v>0</v>
      </c>
      <c r="AC74" s="38">
        <f>+Actuals!Z316</f>
        <v>0</v>
      </c>
      <c r="AD74" s="60">
        <f>+Actuals!AA316</f>
        <v>0</v>
      </c>
      <c r="AE74" s="38">
        <f>+Actuals!AB316</f>
        <v>0</v>
      </c>
      <c r="AF74" s="60">
        <f>+Actuals!AC316</f>
        <v>0</v>
      </c>
      <c r="AG74" s="38">
        <f>+Actuals!AD316</f>
        <v>0</v>
      </c>
      <c r="AH74" s="60">
        <f>+Actuals!AE316</f>
        <v>0</v>
      </c>
      <c r="AI74" s="38">
        <f>+Actuals!AF316</f>
        <v>0</v>
      </c>
      <c r="AJ74" s="60">
        <f>+Actuals!AG316</f>
        <v>0</v>
      </c>
      <c r="AK74" s="38">
        <f>+Actuals!AH316</f>
        <v>0</v>
      </c>
      <c r="AL74" s="60">
        <f>+Actuals!AI316</f>
        <v>0</v>
      </c>
      <c r="AM74" s="38">
        <f>+Actuals!AJ316</f>
        <v>0</v>
      </c>
      <c r="AN74" s="60">
        <f>+Actuals!AK316</f>
        <v>0</v>
      </c>
      <c r="AO74" s="38">
        <f>+Actuals!AL316</f>
        <v>0</v>
      </c>
    </row>
    <row r="75" spans="1:41" x14ac:dyDescent="0.2">
      <c r="A75" s="9">
        <v>34</v>
      </c>
      <c r="B75" s="3"/>
      <c r="C75" s="10" t="s">
        <v>74</v>
      </c>
      <c r="D75" s="60">
        <f t="shared" si="39"/>
        <v>0</v>
      </c>
      <c r="E75" s="38">
        <f t="shared" si="40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127">
        <f>+Actuals!U317</f>
        <v>0</v>
      </c>
      <c r="Y75" s="128">
        <f>+Actuals!V317</f>
        <v>0</v>
      </c>
      <c r="Z75" s="60">
        <f>+Actuals!W317</f>
        <v>0</v>
      </c>
      <c r="AA75" s="38">
        <f>+Actuals!X317</f>
        <v>0</v>
      </c>
      <c r="AB75" s="60">
        <f>+Actuals!Y317</f>
        <v>0</v>
      </c>
      <c r="AC75" s="38">
        <f>+Actuals!Z317</f>
        <v>0</v>
      </c>
      <c r="AD75" s="60">
        <f>+Actuals!AA317</f>
        <v>0</v>
      </c>
      <c r="AE75" s="38">
        <f>+Actuals!AB317</f>
        <v>0</v>
      </c>
      <c r="AF75" s="60">
        <f>+Actuals!AC317</f>
        <v>0</v>
      </c>
      <c r="AG75" s="38">
        <f>+Actuals!AD317</f>
        <v>0</v>
      </c>
      <c r="AH75" s="60">
        <f>+Actuals!AE317</f>
        <v>0</v>
      </c>
      <c r="AI75" s="38">
        <f>+Actuals!AF317</f>
        <v>0</v>
      </c>
      <c r="AJ75" s="60">
        <f>+Actuals!AG317</f>
        <v>0</v>
      </c>
      <c r="AK75" s="38">
        <f>+Actuals!AH317</f>
        <v>0</v>
      </c>
      <c r="AL75" s="60">
        <f>+Actuals!AI317</f>
        <v>0</v>
      </c>
      <c r="AM75" s="38">
        <f>+Actuals!AJ317</f>
        <v>0</v>
      </c>
      <c r="AN75" s="60">
        <f>+Actuals!AK317</f>
        <v>0</v>
      </c>
      <c r="AO75" s="38">
        <f>+Actuals!AL317</f>
        <v>0</v>
      </c>
    </row>
    <row r="76" spans="1:41" x14ac:dyDescent="0.2">
      <c r="A76" s="9">
        <v>35</v>
      </c>
      <c r="B76" s="3"/>
      <c r="C76" s="10" t="s">
        <v>75</v>
      </c>
      <c r="D76" s="60">
        <f t="shared" si="39"/>
        <v>0</v>
      </c>
      <c r="E76" s="38">
        <f t="shared" si="40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7"/>
      <c r="L76" s="60"/>
      <c r="M76" s="38"/>
      <c r="N76" s="60"/>
      <c r="O76" s="38"/>
      <c r="P76" s="60"/>
      <c r="Q76" s="38">
        <v>0</v>
      </c>
      <c r="R76" s="60"/>
      <c r="S76" s="38"/>
      <c r="T76" s="60"/>
      <c r="U76" s="38"/>
      <c r="V76" s="60"/>
      <c r="W76" s="38"/>
      <c r="X76" s="127">
        <f>+Actuals!U318</f>
        <v>0</v>
      </c>
      <c r="Y76" s="128">
        <f>+Actuals!V318</f>
        <v>0</v>
      </c>
      <c r="Z76" s="60">
        <f>+Actuals!W318</f>
        <v>0</v>
      </c>
      <c r="AA76" s="38">
        <f>+Actuals!X318</f>
        <v>0</v>
      </c>
      <c r="AB76" s="60">
        <f>+Actuals!Y318</f>
        <v>0</v>
      </c>
      <c r="AC76" s="38">
        <f>+Actuals!Z318</f>
        <v>0</v>
      </c>
      <c r="AD76" s="60">
        <f>+Actuals!AA318</f>
        <v>0</v>
      </c>
      <c r="AE76" s="38">
        <f>+Actuals!AB318</f>
        <v>0</v>
      </c>
      <c r="AF76" s="60">
        <f>+Actuals!AC318</f>
        <v>0</v>
      </c>
      <c r="AG76" s="38">
        <f>+Actuals!AD318</f>
        <v>0</v>
      </c>
      <c r="AH76" s="60">
        <f>+Actuals!AE318</f>
        <v>0</v>
      </c>
      <c r="AI76" s="38">
        <f>+Actuals!AF318</f>
        <v>0</v>
      </c>
      <c r="AJ76" s="60">
        <f>+Actuals!AG318</f>
        <v>0</v>
      </c>
      <c r="AK76" s="38">
        <f>+Actuals!AH318</f>
        <v>0</v>
      </c>
      <c r="AL76" s="60">
        <f>+Actuals!AI318</f>
        <v>0</v>
      </c>
      <c r="AM76" s="38">
        <f>+Actuals!AJ318</f>
        <v>0</v>
      </c>
      <c r="AN76" s="60">
        <f>+Actuals!AK318</f>
        <v>0</v>
      </c>
      <c r="AO76" s="38">
        <f>+Actuals!AL318</f>
        <v>0</v>
      </c>
    </row>
    <row r="77" spans="1:41" x14ac:dyDescent="0.2">
      <c r="A77" s="9">
        <v>36</v>
      </c>
      <c r="B77" s="3"/>
      <c r="C77" s="10" t="s">
        <v>76</v>
      </c>
      <c r="D77" s="60">
        <f t="shared" si="39"/>
        <v>0</v>
      </c>
      <c r="E77" s="38">
        <f t="shared" si="40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127">
        <f>+Actuals!U319</f>
        <v>0</v>
      </c>
      <c r="Y77" s="128">
        <f>+Actuals!V319</f>
        <v>0</v>
      </c>
      <c r="Z77" s="60">
        <f>+Actuals!W319</f>
        <v>0</v>
      </c>
      <c r="AA77" s="38">
        <f>+Actuals!X319</f>
        <v>0</v>
      </c>
      <c r="AB77" s="60">
        <f>+Actuals!Y319</f>
        <v>0</v>
      </c>
      <c r="AC77" s="38">
        <f>+Actuals!Z319</f>
        <v>0</v>
      </c>
      <c r="AD77" s="60">
        <f>+Actuals!AA319</f>
        <v>0</v>
      </c>
      <c r="AE77" s="38">
        <f>+Actuals!AB319</f>
        <v>0</v>
      </c>
      <c r="AF77" s="60">
        <f>+Actuals!AC319</f>
        <v>0</v>
      </c>
      <c r="AG77" s="38">
        <f>+Actuals!AD319</f>
        <v>0</v>
      </c>
      <c r="AH77" s="60">
        <f>+Actuals!AE319</f>
        <v>0</v>
      </c>
      <c r="AI77" s="38">
        <f>+Actuals!AF319</f>
        <v>0</v>
      </c>
      <c r="AJ77" s="60">
        <f>+Actuals!AG319</f>
        <v>0</v>
      </c>
      <c r="AK77" s="38">
        <f>+Actuals!AH319</f>
        <v>0</v>
      </c>
      <c r="AL77" s="60">
        <f>+Actuals!AI319</f>
        <v>0</v>
      </c>
      <c r="AM77" s="38">
        <f>+Actuals!AJ319</f>
        <v>0</v>
      </c>
      <c r="AN77" s="60">
        <f>+Actuals!AK319</f>
        <v>0</v>
      </c>
      <c r="AO77" s="38">
        <f>+Actuals!AL319</f>
        <v>0</v>
      </c>
    </row>
    <row r="78" spans="1:41" x14ac:dyDescent="0.2">
      <c r="A78" s="9">
        <v>37</v>
      </c>
      <c r="B78" s="3"/>
      <c r="C78" s="10" t="s">
        <v>77</v>
      </c>
      <c r="D78" s="60">
        <f t="shared" si="39"/>
        <v>0</v>
      </c>
      <c r="E78" s="38">
        <f t="shared" si="40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127">
        <f>+Actuals!U320</f>
        <v>0</v>
      </c>
      <c r="Y78" s="128">
        <f>+Actuals!V320</f>
        <v>0</v>
      </c>
      <c r="Z78" s="60">
        <f>+Actuals!W320</f>
        <v>0</v>
      </c>
      <c r="AA78" s="38">
        <f>+Actuals!X320</f>
        <v>0</v>
      </c>
      <c r="AB78" s="60">
        <f>+Actuals!Y320</f>
        <v>0</v>
      </c>
      <c r="AC78" s="38">
        <f>+Actuals!Z320</f>
        <v>0</v>
      </c>
      <c r="AD78" s="60">
        <f>+Actuals!AA320</f>
        <v>0</v>
      </c>
      <c r="AE78" s="38">
        <f>+Actuals!AB320</f>
        <v>0</v>
      </c>
      <c r="AF78" s="60">
        <f>+Actuals!AC320</f>
        <v>0</v>
      </c>
      <c r="AG78" s="38">
        <f>+Actuals!AD320</f>
        <v>0</v>
      </c>
      <c r="AH78" s="60">
        <f>+Actuals!AE320</f>
        <v>0</v>
      </c>
      <c r="AI78" s="38">
        <f>+Actuals!AF320</f>
        <v>0</v>
      </c>
      <c r="AJ78" s="60">
        <f>+Actuals!AG320</f>
        <v>0</v>
      </c>
      <c r="AK78" s="38">
        <f>+Actuals!AH320</f>
        <v>0</v>
      </c>
      <c r="AL78" s="60">
        <f>+Actuals!AI320</f>
        <v>0</v>
      </c>
      <c r="AM78" s="38">
        <f>+Actuals!AJ320</f>
        <v>0</v>
      </c>
      <c r="AN78" s="60">
        <f>+Actuals!AK320</f>
        <v>0</v>
      </c>
      <c r="AO78" s="38">
        <f>+Actuals!AL320</f>
        <v>0</v>
      </c>
    </row>
    <row r="79" spans="1:41" x14ac:dyDescent="0.2">
      <c r="A79" s="9">
        <v>38</v>
      </c>
      <c r="B79" s="3"/>
      <c r="C79" s="10" t="s">
        <v>78</v>
      </c>
      <c r="D79" s="60">
        <f t="shared" si="39"/>
        <v>0</v>
      </c>
      <c r="E79" s="38">
        <f t="shared" si="40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127">
        <f>+Actuals!U321</f>
        <v>0</v>
      </c>
      <c r="Y79" s="128">
        <f>+Actuals!V321</f>
        <v>0</v>
      </c>
      <c r="Z79" s="60">
        <f>+Actuals!W321</f>
        <v>0</v>
      </c>
      <c r="AA79" s="38">
        <f>+Actuals!X321</f>
        <v>0</v>
      </c>
      <c r="AB79" s="60">
        <f>+Actuals!Y321</f>
        <v>0</v>
      </c>
      <c r="AC79" s="38">
        <f>+Actuals!Z321</f>
        <v>0</v>
      </c>
      <c r="AD79" s="60">
        <f>+Actuals!AA321</f>
        <v>0</v>
      </c>
      <c r="AE79" s="38">
        <f>+Actuals!AB321</f>
        <v>0</v>
      </c>
      <c r="AF79" s="60">
        <f>+Actuals!AC321</f>
        <v>0</v>
      </c>
      <c r="AG79" s="38">
        <f>+Actuals!AD321</f>
        <v>0</v>
      </c>
      <c r="AH79" s="60">
        <f>+Actuals!AE321</f>
        <v>0</v>
      </c>
      <c r="AI79" s="38">
        <f>+Actuals!AF321</f>
        <v>0</v>
      </c>
      <c r="AJ79" s="60">
        <f>+Actuals!AG321</f>
        <v>0</v>
      </c>
      <c r="AK79" s="38">
        <f>+Actuals!AH321</f>
        <v>0</v>
      </c>
      <c r="AL79" s="60">
        <f>+Actuals!AI321</f>
        <v>0</v>
      </c>
      <c r="AM79" s="38">
        <f>+Actuals!AJ321</f>
        <v>0</v>
      </c>
      <c r="AN79" s="60">
        <f>+Actuals!AK321</f>
        <v>0</v>
      </c>
      <c r="AO79" s="38">
        <f>+Actuals!AL321</f>
        <v>0</v>
      </c>
    </row>
    <row r="80" spans="1:41" x14ac:dyDescent="0.2">
      <c r="A80" s="9">
        <v>39</v>
      </c>
      <c r="B80" s="3"/>
      <c r="C80" s="10" t="s">
        <v>79</v>
      </c>
      <c r="D80" s="60">
        <f t="shared" si="39"/>
        <v>0</v>
      </c>
      <c r="E80" s="38">
        <f t="shared" si="40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127">
        <f>+Actuals!U322</f>
        <v>0</v>
      </c>
      <c r="Y80" s="128">
        <f>+Actuals!V322</f>
        <v>0</v>
      </c>
      <c r="Z80" s="60">
        <f>+Actuals!W322</f>
        <v>0</v>
      </c>
      <c r="AA80" s="38">
        <f>+Actuals!X322</f>
        <v>0</v>
      </c>
      <c r="AB80" s="60">
        <f>+Actuals!Y322</f>
        <v>0</v>
      </c>
      <c r="AC80" s="38">
        <f>+Actuals!Z322</f>
        <v>0</v>
      </c>
      <c r="AD80" s="60">
        <f>+Actuals!AA322</f>
        <v>0</v>
      </c>
      <c r="AE80" s="38">
        <f>+Actuals!AB322</f>
        <v>0</v>
      </c>
      <c r="AF80" s="60">
        <f>+Actuals!AC322</f>
        <v>0</v>
      </c>
      <c r="AG80" s="38">
        <f>+Actuals!AD322</f>
        <v>0</v>
      </c>
      <c r="AH80" s="60">
        <f>+Actuals!AE322</f>
        <v>0</v>
      </c>
      <c r="AI80" s="38">
        <f>+Actuals!AF322</f>
        <v>0</v>
      </c>
      <c r="AJ80" s="60">
        <f>+Actuals!AG322</f>
        <v>0</v>
      </c>
      <c r="AK80" s="38">
        <f>+Actuals!AH322</f>
        <v>0</v>
      </c>
      <c r="AL80" s="60">
        <f>+Actuals!AI322</f>
        <v>0</v>
      </c>
      <c r="AM80" s="38">
        <f>+Actuals!AJ322</f>
        <v>0</v>
      </c>
      <c r="AN80" s="60">
        <f>+Actuals!AK322</f>
        <v>0</v>
      </c>
      <c r="AO80" s="38">
        <f>+Actuals!AL322</f>
        <v>0</v>
      </c>
    </row>
    <row r="81" spans="1:73" x14ac:dyDescent="0.2">
      <c r="A81" s="9">
        <v>40</v>
      </c>
      <c r="B81" s="3"/>
      <c r="C81" s="10" t="s">
        <v>80</v>
      </c>
      <c r="D81" s="60">
        <f t="shared" si="39"/>
        <v>0</v>
      </c>
      <c r="E81" s="38">
        <f t="shared" si="40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7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127">
        <f>+Actuals!U323</f>
        <v>0</v>
      </c>
      <c r="Y81" s="128">
        <f>+Actuals!V323</f>
        <v>0</v>
      </c>
      <c r="Z81" s="60">
        <f>+Actuals!W323</f>
        <v>0</v>
      </c>
      <c r="AA81" s="38">
        <f>+Actuals!X323</f>
        <v>0</v>
      </c>
      <c r="AB81" s="60">
        <f>+Actuals!Y323</f>
        <v>0</v>
      </c>
      <c r="AC81" s="38">
        <f>+Actuals!Z323</f>
        <v>0</v>
      </c>
      <c r="AD81" s="60">
        <f>+Actuals!AA323</f>
        <v>0</v>
      </c>
      <c r="AE81" s="38">
        <f>+Actuals!AB323</f>
        <v>0</v>
      </c>
      <c r="AF81" s="60">
        <f>+Actuals!AC323</f>
        <v>0</v>
      </c>
      <c r="AG81" s="38">
        <f>+Actuals!AD323</f>
        <v>0</v>
      </c>
      <c r="AH81" s="60">
        <f>+Actuals!AE323</f>
        <v>0</v>
      </c>
      <c r="AI81" s="38">
        <f>+Actuals!AF323</f>
        <v>0</v>
      </c>
      <c r="AJ81" s="60">
        <f>+Actuals!AG323</f>
        <v>0</v>
      </c>
      <c r="AK81" s="38">
        <f>+Actuals!AH323</f>
        <v>0</v>
      </c>
      <c r="AL81" s="60">
        <f>+Actuals!AI323</f>
        <v>0</v>
      </c>
      <c r="AM81" s="38">
        <f>+Actuals!AJ323</f>
        <v>0</v>
      </c>
      <c r="AN81" s="60">
        <f>+Actuals!AK323</f>
        <v>0</v>
      </c>
      <c r="AO81" s="38">
        <f>+Actuals!AL323</f>
        <v>0</v>
      </c>
    </row>
    <row r="82" spans="1:7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-118942.58999999985</v>
      </c>
      <c r="F82" s="92">
        <f>F16+F24+F29+F36+F43+F45+F47+F49</f>
        <v>0</v>
      </c>
      <c r="G82" s="93">
        <f>SUM(G72:G81)+G16+G24+G29+G36+G43+G45+G47+G49+G51+G56+G61+G66</f>
        <v>-1935342.5899999999</v>
      </c>
      <c r="H82" s="92">
        <f>H16+H24+H29+H36+H43+H45+H47+H49</f>
        <v>0</v>
      </c>
      <c r="I82" s="93">
        <f>SUM(I72:I81)+I16+I24+I29+I36+I43+I45+I47+I49+I51+I56+I61+I66</f>
        <v>-423520</v>
      </c>
      <c r="J82" s="92">
        <f>J16+J24+J29+J36+J43+J45+J47+J49</f>
        <v>0</v>
      </c>
      <c r="K82" s="164">
        <f>SUM(K72:K81)+K16+K24+K29+K36+K43+K45+K47+K49+K51+K56+K61+K66</f>
        <v>-65488</v>
      </c>
      <c r="L82" s="92">
        <f>L16+L24+L29+L36+L43+L45+L47+L49</f>
        <v>0</v>
      </c>
      <c r="M82" s="93">
        <f>SUM(M72:M81)+M16+M24+M29+M36+M43+M45+M47+M49+M51+M56+M61+M66</f>
        <v>584074</v>
      </c>
      <c r="N82" s="92">
        <f>N16+N24+N29+N36+N43+N45+N47+N49</f>
        <v>0</v>
      </c>
      <c r="O82" s="93">
        <f>SUM(O72:O81)+O16+O24+O29+O36+O43+O45+O47+O49+O51+O56+O61+O66</f>
        <v>-45161</v>
      </c>
      <c r="P82" s="92">
        <f>P16+P24+P29+P36+P43+P45+P47+P49</f>
        <v>0</v>
      </c>
      <c r="Q82" s="93">
        <f>SUM(Q72:Q81)+Q16+Q24+Q29+Q36+Q43+Q45+Q47+Q49+Q51+Q56+Q61+Q66</f>
        <v>1268507</v>
      </c>
      <c r="R82" s="92">
        <f>R16+R24+R29+R36+R43+R45+R47+R49</f>
        <v>0</v>
      </c>
      <c r="S82" s="93">
        <f>SUM(S72:S81)+S16+S24+S29+S36+S43+S45+S47+S49+S51+S56+S61+S66</f>
        <v>-21000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-12795</v>
      </c>
      <c r="X82" s="92">
        <f>X16+X24+X29+X36+X43+X45+X47+X49</f>
        <v>0</v>
      </c>
      <c r="Y82" s="93">
        <f>SUM(Y72:Y81)+Y16+Y24+Y29+Y36+Y43+Y45+Y47+Y49+Y51+Y56+Y61+Y66</f>
        <v>12794.760000000009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518988.24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</row>
    <row r="83" spans="1:73" ht="13.5" thickTop="1" x14ac:dyDescent="0.2">
      <c r="A83" s="4"/>
      <c r="B83" s="3"/>
    </row>
    <row r="84" spans="1:73" x14ac:dyDescent="0.2">
      <c r="A84" s="4"/>
      <c r="B84" s="3"/>
    </row>
    <row r="85" spans="1:73" x14ac:dyDescent="0.2">
      <c r="A85" s="4" t="s">
        <v>171</v>
      </c>
      <c r="B85" s="3"/>
      <c r="F85" s="31"/>
      <c r="G85" s="31"/>
      <c r="H85" s="31"/>
      <c r="I85" s="31"/>
      <c r="K85"/>
      <c r="L85" s="45"/>
    </row>
    <row r="86" spans="1:73" s="3" customFormat="1" x14ac:dyDescent="0.2">
      <c r="A86" s="172"/>
      <c r="C86" s="10" t="s">
        <v>175</v>
      </c>
      <c r="D86" s="173">
        <f t="shared" ref="D86:E88" si="41">SUM(F86,H86,J86,L86,N86,P86,R86,T86,V86,X86,Z86,AB86,AD86)</f>
        <v>0</v>
      </c>
      <c r="E86" s="173">
        <f t="shared" si="41"/>
        <v>609448</v>
      </c>
      <c r="F86" s="173">
        <f>'TIE-OUT'!V86+RECLASS!V86</f>
        <v>0</v>
      </c>
      <c r="G86" s="173">
        <f>'TIE-OUT'!W86+RECLASS!W86</f>
        <v>477009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  <c r="N86" s="173">
        <v>0</v>
      </c>
      <c r="O86" s="173">
        <v>0</v>
      </c>
      <c r="P86" s="173">
        <v>0</v>
      </c>
      <c r="Q86" s="173">
        <v>132439</v>
      </c>
      <c r="R86" s="173">
        <v>0</v>
      </c>
      <c r="S86" s="173">
        <v>0</v>
      </c>
      <c r="T86" s="173">
        <v>0</v>
      </c>
      <c r="U86" s="173">
        <v>0</v>
      </c>
      <c r="V86" s="173">
        <v>0</v>
      </c>
      <c r="W86" s="173">
        <v>0</v>
      </c>
      <c r="X86" s="173">
        <v>0</v>
      </c>
      <c r="Y86" s="173">
        <v>0</v>
      </c>
      <c r="Z86" s="173">
        <v>0</v>
      </c>
      <c r="AA86" s="173">
        <v>0</v>
      </c>
      <c r="AB86" s="173">
        <v>0</v>
      </c>
      <c r="AC86" s="173">
        <v>0</v>
      </c>
      <c r="AD86" s="173">
        <v>0</v>
      </c>
      <c r="AE86" s="173">
        <v>0</v>
      </c>
      <c r="AF86" s="173">
        <v>0</v>
      </c>
      <c r="AG86" s="173">
        <v>0</v>
      </c>
      <c r="AH86" s="173">
        <v>0</v>
      </c>
      <c r="AI86" s="173">
        <v>0</v>
      </c>
      <c r="AJ86" s="173">
        <v>0</v>
      </c>
      <c r="AK86" s="173">
        <v>0</v>
      </c>
      <c r="AL86" s="173">
        <v>0</v>
      </c>
      <c r="AM86" s="173">
        <v>0</v>
      </c>
      <c r="AN86" s="173">
        <v>0</v>
      </c>
      <c r="AO86" s="173">
        <v>0</v>
      </c>
    </row>
    <row r="87" spans="1:73" s="3" customFormat="1" x14ac:dyDescent="0.2">
      <c r="A87" s="172"/>
      <c r="C87" s="10" t="s">
        <v>73</v>
      </c>
      <c r="D87" s="174">
        <f t="shared" si="41"/>
        <v>0</v>
      </c>
      <c r="E87" s="174">
        <f t="shared" si="41"/>
        <v>0</v>
      </c>
      <c r="F87" s="174">
        <f>'TIE-OUT'!V87+RECLASS!V87</f>
        <v>0</v>
      </c>
      <c r="G87" s="174">
        <f>'TIE-OUT'!W87+RECLASS!W87</f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v>0</v>
      </c>
      <c r="T87" s="174">
        <v>0</v>
      </c>
      <c r="U87" s="174">
        <v>0</v>
      </c>
      <c r="V87" s="174">
        <v>0</v>
      </c>
      <c r="W87" s="174">
        <v>0</v>
      </c>
      <c r="X87" s="174">
        <v>0</v>
      </c>
      <c r="Y87" s="174">
        <v>0</v>
      </c>
      <c r="Z87" s="174">
        <v>0</v>
      </c>
      <c r="AA87" s="174">
        <v>0</v>
      </c>
      <c r="AB87" s="174">
        <v>0</v>
      </c>
      <c r="AC87" s="174">
        <v>0</v>
      </c>
      <c r="AD87" s="174">
        <v>0</v>
      </c>
      <c r="AE87" s="174">
        <v>0</v>
      </c>
      <c r="AF87" s="174">
        <v>0</v>
      </c>
      <c r="AG87" s="174">
        <v>0</v>
      </c>
      <c r="AH87" s="174">
        <v>0</v>
      </c>
      <c r="AI87" s="174">
        <v>0</v>
      </c>
      <c r="AJ87" s="174">
        <v>0</v>
      </c>
      <c r="AK87" s="174">
        <v>0</v>
      </c>
      <c r="AL87" s="174">
        <v>0</v>
      </c>
      <c r="AM87" s="174">
        <v>0</v>
      </c>
      <c r="AN87" s="174">
        <v>0</v>
      </c>
      <c r="AO87" s="174">
        <v>0</v>
      </c>
    </row>
    <row r="88" spans="1:73" s="3" customFormat="1" x14ac:dyDescent="0.2">
      <c r="A88" s="172"/>
      <c r="C88" s="10" t="s">
        <v>74</v>
      </c>
      <c r="D88" s="175">
        <f t="shared" si="41"/>
        <v>0</v>
      </c>
      <c r="E88" s="175">
        <f t="shared" si="41"/>
        <v>-15648</v>
      </c>
      <c r="F88" s="175">
        <f>'TIE-OUT'!V88+RECLASS!V88</f>
        <v>0</v>
      </c>
      <c r="G88" s="175">
        <f>'TIE-OUT'!W88+RECLASS!W88</f>
        <v>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-15648</v>
      </c>
      <c r="R88" s="175">
        <v>0</v>
      </c>
      <c r="S88" s="175">
        <v>0</v>
      </c>
      <c r="T88" s="175">
        <v>0</v>
      </c>
      <c r="U88" s="175">
        <v>0</v>
      </c>
      <c r="V88" s="175">
        <v>0</v>
      </c>
      <c r="W88" s="175">
        <v>0</v>
      </c>
      <c r="X88" s="175">
        <v>0</v>
      </c>
      <c r="Y88" s="175">
        <v>0</v>
      </c>
      <c r="Z88" s="175">
        <v>0</v>
      </c>
      <c r="AA88" s="175">
        <v>0</v>
      </c>
      <c r="AB88" s="175">
        <v>0</v>
      </c>
      <c r="AC88" s="175">
        <v>0</v>
      </c>
      <c r="AD88" s="175">
        <v>0</v>
      </c>
      <c r="AE88" s="175">
        <v>0</v>
      </c>
      <c r="AF88" s="175">
        <v>0</v>
      </c>
      <c r="AG88" s="175">
        <v>0</v>
      </c>
      <c r="AH88" s="175">
        <v>0</v>
      </c>
      <c r="AI88" s="175">
        <v>0</v>
      </c>
      <c r="AJ88" s="175">
        <v>0</v>
      </c>
      <c r="AK88" s="175">
        <v>0</v>
      </c>
      <c r="AL88" s="175">
        <v>0</v>
      </c>
      <c r="AM88" s="175">
        <v>0</v>
      </c>
      <c r="AN88" s="175">
        <v>0</v>
      </c>
      <c r="AO88" s="175">
        <v>0</v>
      </c>
    </row>
    <row r="89" spans="1:73" s="44" customFormat="1" ht="20.25" customHeight="1" x14ac:dyDescent="0.2">
      <c r="A89" s="179"/>
      <c r="B89" s="180"/>
      <c r="C89" s="185" t="s">
        <v>178</v>
      </c>
      <c r="D89" s="183">
        <f>SUM(D86:D88)</f>
        <v>0</v>
      </c>
      <c r="E89" s="183">
        <f t="shared" ref="E89:M89" si="42">SUM(E86:E88)</f>
        <v>593800</v>
      </c>
      <c r="F89" s="183">
        <f t="shared" si="42"/>
        <v>0</v>
      </c>
      <c r="G89" s="183">
        <f t="shared" si="42"/>
        <v>477009</v>
      </c>
      <c r="H89" s="183">
        <f t="shared" si="42"/>
        <v>0</v>
      </c>
      <c r="I89" s="183">
        <f t="shared" si="42"/>
        <v>0</v>
      </c>
      <c r="J89" s="183">
        <f t="shared" si="42"/>
        <v>0</v>
      </c>
      <c r="K89" s="183">
        <f t="shared" si="42"/>
        <v>0</v>
      </c>
      <c r="L89" s="183">
        <f t="shared" si="42"/>
        <v>0</v>
      </c>
      <c r="M89" s="183">
        <f t="shared" si="42"/>
        <v>0</v>
      </c>
      <c r="N89" s="183">
        <f t="shared" ref="N89:AE89" si="43">SUM(N86:N88)</f>
        <v>0</v>
      </c>
      <c r="O89" s="183">
        <f t="shared" si="43"/>
        <v>0</v>
      </c>
      <c r="P89" s="183">
        <f t="shared" si="43"/>
        <v>0</v>
      </c>
      <c r="Q89" s="183">
        <f t="shared" si="43"/>
        <v>116791</v>
      </c>
      <c r="R89" s="183">
        <f t="shared" si="43"/>
        <v>0</v>
      </c>
      <c r="S89" s="183">
        <f t="shared" si="43"/>
        <v>0</v>
      </c>
      <c r="T89" s="183">
        <f t="shared" si="43"/>
        <v>0</v>
      </c>
      <c r="U89" s="183">
        <f t="shared" si="43"/>
        <v>0</v>
      </c>
      <c r="V89" s="183">
        <f t="shared" si="43"/>
        <v>0</v>
      </c>
      <c r="W89" s="183">
        <f t="shared" si="43"/>
        <v>0</v>
      </c>
      <c r="X89" s="183">
        <f t="shared" si="43"/>
        <v>0</v>
      </c>
      <c r="Y89" s="183">
        <f t="shared" si="43"/>
        <v>0</v>
      </c>
      <c r="Z89" s="183">
        <f t="shared" si="43"/>
        <v>0</v>
      </c>
      <c r="AA89" s="183">
        <f t="shared" si="43"/>
        <v>0</v>
      </c>
      <c r="AB89" s="183">
        <f t="shared" si="43"/>
        <v>0</v>
      </c>
      <c r="AC89" s="183">
        <f t="shared" si="43"/>
        <v>0</v>
      </c>
      <c r="AD89" s="183">
        <f t="shared" si="43"/>
        <v>0</v>
      </c>
      <c r="AE89" s="183">
        <f t="shared" si="43"/>
        <v>0</v>
      </c>
      <c r="AF89" s="183">
        <f t="shared" ref="AF89:AK89" si="44">SUM(AF86:AF88)</f>
        <v>0</v>
      </c>
      <c r="AG89" s="183">
        <f t="shared" si="44"/>
        <v>0</v>
      </c>
      <c r="AH89" s="183">
        <f t="shared" si="44"/>
        <v>0</v>
      </c>
      <c r="AI89" s="183">
        <f t="shared" si="44"/>
        <v>0</v>
      </c>
      <c r="AJ89" s="183">
        <f t="shared" si="44"/>
        <v>0</v>
      </c>
      <c r="AK89" s="183">
        <f t="shared" si="44"/>
        <v>0</v>
      </c>
      <c r="AL89" s="183">
        <f>SUM(AL86:AL88)</f>
        <v>0</v>
      </c>
      <c r="AM89" s="183">
        <f>SUM(AM86:AM88)</f>
        <v>0</v>
      </c>
      <c r="AN89" s="183">
        <f>SUM(AN86:AN88)</f>
        <v>0</v>
      </c>
      <c r="AO89" s="183">
        <f>SUM(AO86:AO88)</f>
        <v>0</v>
      </c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1:73" x14ac:dyDescent="0.2">
      <c r="A90" s="4"/>
      <c r="B90" s="3"/>
      <c r="F90" s="31"/>
      <c r="G90" s="31"/>
      <c r="H90" s="31"/>
      <c r="I90" s="31"/>
      <c r="K90"/>
    </row>
    <row r="91" spans="1:73" s="44" customFormat="1" ht="20.25" customHeight="1" x14ac:dyDescent="0.2">
      <c r="A91" s="179"/>
      <c r="B91" s="180"/>
      <c r="C91" s="185" t="s">
        <v>181</v>
      </c>
      <c r="D91" s="183">
        <f>+D82+D89</f>
        <v>0</v>
      </c>
      <c r="E91" s="183">
        <f t="shared" ref="E91:M91" si="45">+E82+E89</f>
        <v>474857.41000000015</v>
      </c>
      <c r="F91" s="183">
        <f t="shared" si="45"/>
        <v>0</v>
      </c>
      <c r="G91" s="183">
        <f t="shared" si="45"/>
        <v>-1458333.5899999999</v>
      </c>
      <c r="H91" s="183">
        <f t="shared" si="45"/>
        <v>0</v>
      </c>
      <c r="I91" s="183">
        <f t="shared" si="45"/>
        <v>-423520</v>
      </c>
      <c r="J91" s="183">
        <f t="shared" si="45"/>
        <v>0</v>
      </c>
      <c r="K91" s="183">
        <f t="shared" si="45"/>
        <v>-65488</v>
      </c>
      <c r="L91" s="183">
        <f t="shared" si="45"/>
        <v>0</v>
      </c>
      <c r="M91" s="183">
        <f t="shared" si="45"/>
        <v>584074</v>
      </c>
      <c r="N91" s="183">
        <f t="shared" ref="N91:AE91" si="46">+N82+N89</f>
        <v>0</v>
      </c>
      <c r="O91" s="183">
        <f t="shared" si="46"/>
        <v>-45161</v>
      </c>
      <c r="P91" s="183">
        <f t="shared" si="46"/>
        <v>0</v>
      </c>
      <c r="Q91" s="183">
        <f t="shared" si="46"/>
        <v>1385298</v>
      </c>
      <c r="R91" s="183">
        <f t="shared" si="46"/>
        <v>0</v>
      </c>
      <c r="S91" s="183">
        <f t="shared" si="46"/>
        <v>-21000</v>
      </c>
      <c r="T91" s="183">
        <f t="shared" si="46"/>
        <v>0</v>
      </c>
      <c r="U91" s="183">
        <f t="shared" si="46"/>
        <v>0</v>
      </c>
      <c r="V91" s="183">
        <f t="shared" si="46"/>
        <v>0</v>
      </c>
      <c r="W91" s="183">
        <f t="shared" si="46"/>
        <v>-12795</v>
      </c>
      <c r="X91" s="183">
        <f t="shared" si="46"/>
        <v>0</v>
      </c>
      <c r="Y91" s="183">
        <f t="shared" si="46"/>
        <v>12794.760000000009</v>
      </c>
      <c r="Z91" s="183">
        <f t="shared" si="46"/>
        <v>0</v>
      </c>
      <c r="AA91" s="183">
        <f t="shared" si="46"/>
        <v>0</v>
      </c>
      <c r="AB91" s="183">
        <f t="shared" si="46"/>
        <v>0</v>
      </c>
      <c r="AC91" s="183">
        <f t="shared" si="46"/>
        <v>518988.24</v>
      </c>
      <c r="AD91" s="183">
        <f t="shared" si="46"/>
        <v>0</v>
      </c>
      <c r="AE91" s="183">
        <f t="shared" si="46"/>
        <v>0</v>
      </c>
      <c r="AF91" s="183">
        <f t="shared" ref="AF91:AK91" si="47">+AF82+AF89</f>
        <v>0</v>
      </c>
      <c r="AG91" s="183">
        <f t="shared" si="47"/>
        <v>0</v>
      </c>
      <c r="AH91" s="183">
        <f t="shared" si="47"/>
        <v>0</v>
      </c>
      <c r="AI91" s="183">
        <f t="shared" si="47"/>
        <v>0</v>
      </c>
      <c r="AJ91" s="183">
        <f t="shared" si="47"/>
        <v>0</v>
      </c>
      <c r="AK91" s="183">
        <f t="shared" si="47"/>
        <v>0</v>
      </c>
      <c r="AL91" s="183">
        <f>+AL82+AL89</f>
        <v>0</v>
      </c>
      <c r="AM91" s="183">
        <f>+AM82+AM89</f>
        <v>0</v>
      </c>
      <c r="AN91" s="183">
        <f>+AN82+AN89</f>
        <v>0</v>
      </c>
      <c r="AO91" s="183">
        <f>+AO82+AO89</f>
        <v>0</v>
      </c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1:73" x14ac:dyDescent="0.2">
      <c r="A92" s="4"/>
      <c r="B92" s="3"/>
    </row>
    <row r="93" spans="1:73" x14ac:dyDescent="0.2">
      <c r="A93" s="4"/>
      <c r="B93" s="3"/>
    </row>
    <row r="94" spans="1:73" x14ac:dyDescent="0.2">
      <c r="A94" s="4"/>
      <c r="B94" s="3"/>
    </row>
    <row r="95" spans="1:73" x14ac:dyDescent="0.2">
      <c r="A95" s="4"/>
      <c r="B95" s="3"/>
    </row>
    <row r="96" spans="1:7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D11" sqref="D11:E81"/>
      <selection pane="topRight" activeCell="D11" sqref="D11:E81"/>
      <selection pane="bottomLeft" activeCell="D11" sqref="D11:E81"/>
      <selection pane="bottomRight" activeCell="D11" sqref="D11:E8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'CE-FLSH'!L11</f>
        <v>46055997</v>
      </c>
      <c r="E11" s="66">
        <f>'CE-FLSH'!M11</f>
        <v>105225079</v>
      </c>
      <c r="F11" s="60">
        <f>CE_GL!D11</f>
        <v>46988958</v>
      </c>
      <c r="G11" s="38">
        <f>CE_GL!E11</f>
        <v>113341030.24000001</v>
      </c>
      <c r="H11" s="60">
        <f>F11-D11</f>
        <v>932961</v>
      </c>
      <c r="I11" s="38">
        <f>G11-E11</f>
        <v>8115951.2400000095</v>
      </c>
    </row>
    <row r="12" spans="1:22" x14ac:dyDescent="0.2">
      <c r="A12" s="9">
        <v>2</v>
      </c>
      <c r="B12" s="7"/>
      <c r="C12" s="18" t="s">
        <v>28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-4081461.65</v>
      </c>
      <c r="H12" s="60">
        <f>F12-D12</f>
        <v>0</v>
      </c>
      <c r="I12" s="38">
        <f>G12-E12</f>
        <v>-4081461.65</v>
      </c>
    </row>
    <row r="13" spans="1:22" x14ac:dyDescent="0.2">
      <c r="A13" s="9">
        <v>3</v>
      </c>
      <c r="B13" s="7"/>
      <c r="C13" s="18" t="s">
        <v>29</v>
      </c>
      <c r="D13" s="65">
        <f>'CE-FLSH'!L13</f>
        <v>20240342</v>
      </c>
      <c r="E13" s="66">
        <f>'CE-FLSH'!M13</f>
        <v>46092175</v>
      </c>
      <c r="F13" s="60">
        <f>CE_GL!D13</f>
        <v>19030434</v>
      </c>
      <c r="G13" s="38">
        <f>CE_GL!E13</f>
        <v>43171267</v>
      </c>
      <c r="H13" s="60">
        <f t="shared" ref="H13:I15" si="0">F13-D13</f>
        <v>-1209908</v>
      </c>
      <c r="I13" s="38">
        <f t="shared" si="0"/>
        <v>-2920908</v>
      </c>
    </row>
    <row r="14" spans="1:22" x14ac:dyDescent="0.2">
      <c r="A14" s="9">
        <v>4</v>
      </c>
      <c r="B14" s="7"/>
      <c r="C14" s="18" t="s">
        <v>30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-1243774.74</v>
      </c>
      <c r="H15" s="60">
        <f t="shared" si="0"/>
        <v>0</v>
      </c>
      <c r="I15" s="38">
        <f t="shared" si="0"/>
        <v>-1243774.74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66296339</v>
      </c>
      <c r="E16" s="39">
        <f t="shared" si="1"/>
        <v>151317254</v>
      </c>
      <c r="F16" s="61">
        <f t="shared" si="1"/>
        <v>66019392</v>
      </c>
      <c r="G16" s="39">
        <f t="shared" si="1"/>
        <v>151187060.84999999</v>
      </c>
      <c r="H16" s="61">
        <f t="shared" si="1"/>
        <v>-276947</v>
      </c>
      <c r="I16" s="39">
        <f t="shared" si="1"/>
        <v>-130193.14999999036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'CE-FLSH'!L19</f>
        <v>-39778827</v>
      </c>
      <c r="E19" s="66">
        <f>'CE-FLSH'!M19</f>
        <v>-89690039</v>
      </c>
      <c r="F19" s="60">
        <f>CE_GL!D19</f>
        <v>-46710656</v>
      </c>
      <c r="G19" s="38">
        <f>CE_GL!E19</f>
        <v>-103773340.03999996</v>
      </c>
      <c r="H19" s="60">
        <f>F19-D19</f>
        <v>-6931829</v>
      </c>
      <c r="I19" s="38">
        <f>G19-E19</f>
        <v>-14083301.039999962</v>
      </c>
    </row>
    <row r="20" spans="1:9" x14ac:dyDescent="0.2">
      <c r="A20" s="9">
        <v>7</v>
      </c>
      <c r="B20" s="7"/>
      <c r="C20" s="18" t="s">
        <v>28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-874736.80999999994</v>
      </c>
      <c r="H20" s="60">
        <f>F20-D20</f>
        <v>0</v>
      </c>
      <c r="I20" s="38">
        <f>G20-E20</f>
        <v>-874736.80999999994</v>
      </c>
    </row>
    <row r="21" spans="1:9" x14ac:dyDescent="0.2">
      <c r="A21" s="9">
        <v>8</v>
      </c>
      <c r="B21" s="7"/>
      <c r="C21" s="18" t="s">
        <v>29</v>
      </c>
      <c r="D21" s="65">
        <f>'CE-FLSH'!L21</f>
        <v>-26987857</v>
      </c>
      <c r="E21" s="66">
        <f>'CE-FLSH'!M21</f>
        <v>-61385107</v>
      </c>
      <c r="F21" s="60">
        <f>CE_GL!D21</f>
        <v>-18815314</v>
      </c>
      <c r="G21" s="38">
        <f>CE_GL!E21</f>
        <v>-42663071</v>
      </c>
      <c r="H21" s="60">
        <f t="shared" ref="H21:I23" si="2">F21-D21</f>
        <v>8172543</v>
      </c>
      <c r="I21" s="38">
        <f t="shared" si="2"/>
        <v>18722036</v>
      </c>
    </row>
    <row r="22" spans="1:9" x14ac:dyDescent="0.2">
      <c r="A22" s="9">
        <v>9</v>
      </c>
      <c r="B22" s="7"/>
      <c r="C22" s="18" t="s">
        <v>30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'CE-FLSH'!L23</f>
        <v>333756</v>
      </c>
      <c r="E23" s="66">
        <f>'CE-FLSH'!M23</f>
        <v>726383</v>
      </c>
      <c r="F23" s="60">
        <f>CE_GL!D23</f>
        <v>353716</v>
      </c>
      <c r="G23" s="38">
        <f>CE_GL!E23</f>
        <v>575279.29200000002</v>
      </c>
      <c r="H23" s="60">
        <f t="shared" si="2"/>
        <v>19960</v>
      </c>
      <c r="I23" s="38">
        <f t="shared" si="2"/>
        <v>-151103.70799999998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-66432928</v>
      </c>
      <c r="E24" s="39">
        <f t="shared" si="3"/>
        <v>-150348763</v>
      </c>
      <c r="F24" s="61">
        <f t="shared" si="3"/>
        <v>-65172254</v>
      </c>
      <c r="G24" s="39">
        <f t="shared" si="3"/>
        <v>-146735868.55799997</v>
      </c>
      <c r="H24" s="61">
        <f t="shared" si="3"/>
        <v>1260674</v>
      </c>
      <c r="I24" s="39">
        <f t="shared" si="3"/>
        <v>3612894.4420000375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'CE-FLSH'!L27</f>
        <v>0</v>
      </c>
      <c r="E27" s="66">
        <f>'CE-FLSH'!M27</f>
        <v>0</v>
      </c>
      <c r="F27" s="60">
        <f>CE_GL!D27</f>
        <v>8901</v>
      </c>
      <c r="G27" s="38">
        <f>CE_GL!E27</f>
        <v>19849.23</v>
      </c>
      <c r="H27" s="60">
        <f>F27-D27</f>
        <v>8901</v>
      </c>
      <c r="I27" s="38">
        <f>G27-E27</f>
        <v>19849.23</v>
      </c>
    </row>
    <row r="28" spans="1:9" x14ac:dyDescent="0.2">
      <c r="A28" s="9">
        <v>12</v>
      </c>
      <c r="B28" s="7"/>
      <c r="C28" s="18" t="s">
        <v>38</v>
      </c>
      <c r="D28" s="65">
        <f>'CE-FLSH'!L28</f>
        <v>0</v>
      </c>
      <c r="E28" s="66">
        <f>'CE-FLSH'!M28</f>
        <v>0</v>
      </c>
      <c r="F28" s="60">
        <f>CE_GL!D28</f>
        <v>-18600</v>
      </c>
      <c r="G28" s="38">
        <f>CE_GL!E28</f>
        <v>-42180.15</v>
      </c>
      <c r="H28" s="60">
        <f>F28-D28</f>
        <v>-18600</v>
      </c>
      <c r="I28" s="38">
        <f>G28-E28</f>
        <v>-42180.15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-9699</v>
      </c>
      <c r="G29" s="70">
        <f t="shared" si="4"/>
        <v>-22330.920000000002</v>
      </c>
      <c r="H29" s="69">
        <f t="shared" si="4"/>
        <v>-9699</v>
      </c>
      <c r="I29" s="70">
        <f t="shared" si="4"/>
        <v>-22330.920000000002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'CE-FLSH'!L32</f>
        <v>2812410</v>
      </c>
      <c r="E32" s="66">
        <f>'CE-FLSH'!M32</f>
        <v>6475934</v>
      </c>
      <c r="F32" s="60">
        <f>CE_GL!D32</f>
        <v>-35640</v>
      </c>
      <c r="G32" s="38">
        <f>CE_GL!E32</f>
        <v>-81279.909999999742</v>
      </c>
      <c r="H32" s="60">
        <f>F32-D32</f>
        <v>-2848050</v>
      </c>
      <c r="I32" s="38">
        <f>G32-E32</f>
        <v>-6557213.9100000001</v>
      </c>
    </row>
    <row r="33" spans="1:9" x14ac:dyDescent="0.2">
      <c r="A33" s="9">
        <v>14</v>
      </c>
      <c r="B33" s="7"/>
      <c r="C33" s="18" t="s">
        <v>42</v>
      </c>
      <c r="D33" s="65">
        <f>'CE-FLSH'!L33</f>
        <v>-2858336</v>
      </c>
      <c r="E33" s="66">
        <f>'CE-FLSH'!M33</f>
        <v>-6575369</v>
      </c>
      <c r="F33" s="60">
        <f>CE_GL!D33</f>
        <v>-19237</v>
      </c>
      <c r="G33" s="38">
        <f>CE_GL!E33</f>
        <v>-44195.33</v>
      </c>
      <c r="H33" s="60">
        <f t="shared" ref="H33:I35" si="5">F33-D33</f>
        <v>2839099</v>
      </c>
      <c r="I33" s="38">
        <f t="shared" si="5"/>
        <v>6531173.6699999999</v>
      </c>
    </row>
    <row r="34" spans="1:9" x14ac:dyDescent="0.2">
      <c r="A34" s="9">
        <v>15</v>
      </c>
      <c r="B34" s="7"/>
      <c r="C34" s="18" t="s">
        <v>43</v>
      </c>
      <c r="D34" s="65">
        <f>'CE-FLSH'!L34</f>
        <v>0</v>
      </c>
      <c r="E34" s="66">
        <f>'CE-FLSH'!M34</f>
        <v>0</v>
      </c>
      <c r="F34" s="60">
        <f>CE_GL!D34</f>
        <v>1083</v>
      </c>
      <c r="G34" s="38">
        <f>CE_GL!E34</f>
        <v>2322.9499999999998</v>
      </c>
      <c r="H34" s="60">
        <f t="shared" si="5"/>
        <v>1083</v>
      </c>
      <c r="I34" s="38">
        <f t="shared" si="5"/>
        <v>2322.9499999999998</v>
      </c>
    </row>
    <row r="35" spans="1:9" x14ac:dyDescent="0.2">
      <c r="A35" s="9">
        <v>16</v>
      </c>
      <c r="B35" s="7"/>
      <c r="C35" s="18" t="s">
        <v>44</v>
      </c>
      <c r="D35" s="65">
        <f>'CE-FLSH'!L35</f>
        <v>0</v>
      </c>
      <c r="E35" s="66">
        <f>'CE-FLSH'!M35</f>
        <v>0</v>
      </c>
      <c r="F35" s="60">
        <f>CE_GL!D35</f>
        <v>-500000</v>
      </c>
      <c r="G35" s="38">
        <f>CE_GL!E35</f>
        <v>-0.02</v>
      </c>
      <c r="H35" s="60">
        <f t="shared" si="5"/>
        <v>-500000</v>
      </c>
      <c r="I35" s="38">
        <f t="shared" si="5"/>
        <v>-0.02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-45926</v>
      </c>
      <c r="E36" s="39">
        <f t="shared" si="6"/>
        <v>-99435</v>
      </c>
      <c r="F36" s="61">
        <f t="shared" si="6"/>
        <v>-553794</v>
      </c>
      <c r="G36" s="39">
        <f t="shared" si="6"/>
        <v>-123152.30999999975</v>
      </c>
      <c r="H36" s="61">
        <f t="shared" si="6"/>
        <v>-507868</v>
      </c>
      <c r="I36" s="39">
        <f t="shared" si="6"/>
        <v>-23717.310000000223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'CE-FLSH'!L39</f>
        <v>0</v>
      </c>
      <c r="E39" s="66">
        <f>'CE-FLSH'!M39</f>
        <v>0</v>
      </c>
      <c r="F39" s="60">
        <f>CE_GL!D39</f>
        <v>117311</v>
      </c>
      <c r="G39" s="38">
        <f>CE_GL!E39</f>
        <v>265241.75999999995</v>
      </c>
      <c r="H39" s="60">
        <f t="shared" ref="H39:I41" si="7">F39-D39</f>
        <v>117311</v>
      </c>
      <c r="I39" s="38">
        <f t="shared" si="7"/>
        <v>265241.75999999995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'CE-FLSH'!L40</f>
        <v>0</v>
      </c>
      <c r="E40" s="66">
        <f>'CE-FLSH'!M40</f>
        <v>0</v>
      </c>
      <c r="F40" s="60">
        <f>CE_GL!D40</f>
        <v>11</v>
      </c>
      <c r="G40" s="38">
        <f>CE_GL!E40</f>
        <v>24.929999999999836</v>
      </c>
      <c r="H40" s="60">
        <f t="shared" si="7"/>
        <v>11</v>
      </c>
      <c r="I40" s="38">
        <f t="shared" si="7"/>
        <v>24.929999999999836</v>
      </c>
    </row>
    <row r="41" spans="1:9" x14ac:dyDescent="0.2">
      <c r="A41" s="9">
        <v>19</v>
      </c>
      <c r="B41" s="7"/>
      <c r="C41" s="18" t="s">
        <v>49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11</v>
      </c>
      <c r="G42" s="70">
        <f t="shared" si="8"/>
        <v>24.929999999999836</v>
      </c>
      <c r="H42" s="69">
        <f t="shared" si="8"/>
        <v>11</v>
      </c>
      <c r="I42" s="70">
        <f t="shared" si="8"/>
        <v>24.929999999999836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117322</v>
      </c>
      <c r="G43" s="39">
        <f t="shared" si="9"/>
        <v>265266.68999999994</v>
      </c>
      <c r="H43" s="61">
        <f t="shared" si="9"/>
        <v>117322</v>
      </c>
      <c r="I43" s="39">
        <f t="shared" si="9"/>
        <v>265266.68999999994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'CE-FLSH'!L49</f>
        <v>182515</v>
      </c>
      <c r="E49" s="66">
        <f>'CE-FLSH'!M49</f>
        <v>413524.96555999998</v>
      </c>
      <c r="F49" s="60">
        <f>CE_GL!D49</f>
        <v>-400967</v>
      </c>
      <c r="G49" s="38">
        <f>CE_GL!E49</f>
        <v>-908591.22399999993</v>
      </c>
      <c r="H49" s="60">
        <f>F49-D49</f>
        <v>-583482</v>
      </c>
      <c r="I49" s="38">
        <f>G49-E49</f>
        <v>-1322116.1895599999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'CE-FLSH'!L51</f>
        <v>-333756</v>
      </c>
      <c r="E51" s="66">
        <f>'CE-FLSH'!M51</f>
        <v>-726383</v>
      </c>
      <c r="F51" s="60">
        <f>CE_GL!D51</f>
        <v>-353716</v>
      </c>
      <c r="G51" s="38">
        <f>CE_GL!E51</f>
        <v>-820411.45200000005</v>
      </c>
      <c r="H51" s="60">
        <f>F51-D51</f>
        <v>-19960</v>
      </c>
      <c r="I51" s="38">
        <f>G51-E51</f>
        <v>-94028.452000000048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'CE-FLSH'!L54</f>
        <v>0</v>
      </c>
      <c r="E54" s="66">
        <f>'CE-FLSH'!M54</f>
        <v>-83193</v>
      </c>
      <c r="F54" s="60">
        <f>CE_GL!D54</f>
        <v>-28604832</v>
      </c>
      <c r="G54" s="38">
        <f>CE_GL!E54</f>
        <v>-3156490.5999999996</v>
      </c>
      <c r="H54" s="60">
        <f>F54-D54</f>
        <v>-28604832</v>
      </c>
      <c r="I54" s="38">
        <f>G54-E54</f>
        <v>-3073297.5999999996</v>
      </c>
    </row>
    <row r="55" spans="1:9" x14ac:dyDescent="0.2">
      <c r="A55" s="9">
        <v>25</v>
      </c>
      <c r="B55" s="7"/>
      <c r="C55" s="18" t="s">
        <v>58</v>
      </c>
      <c r="D55" s="65">
        <f>'CE-FLSH'!L55</f>
        <v>0</v>
      </c>
      <c r="E55" s="66">
        <f>'CE-FLSH'!M55</f>
        <v>-2261341</v>
      </c>
      <c r="F55" s="60">
        <f>CE_GL!D55</f>
        <v>0</v>
      </c>
      <c r="G55" s="38">
        <f>CE_GL!E55</f>
        <v>999813.00999999989</v>
      </c>
      <c r="H55" s="60">
        <f>F55-D55</f>
        <v>0</v>
      </c>
      <c r="I55" s="38">
        <f>G55-E55</f>
        <v>3261154.01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-2344534</v>
      </c>
      <c r="F56" s="61">
        <f t="shared" si="10"/>
        <v>-28604832</v>
      </c>
      <c r="G56" s="39">
        <f t="shared" si="10"/>
        <v>-2156677.59</v>
      </c>
      <c r="H56" s="61">
        <f t="shared" si="10"/>
        <v>-28604832</v>
      </c>
      <c r="I56" s="39">
        <f t="shared" si="10"/>
        <v>187856.41000000015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-8137.5</v>
      </c>
      <c r="H59" s="60">
        <f>F59-D59</f>
        <v>0</v>
      </c>
      <c r="I59" s="38">
        <f>G59-E59</f>
        <v>-8137.5</v>
      </c>
    </row>
    <row r="60" spans="1:9" x14ac:dyDescent="0.2">
      <c r="A60" s="9">
        <v>27</v>
      </c>
      <c r="B60" s="11"/>
      <c r="C60" s="18" t="s">
        <v>62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-8137.5</v>
      </c>
      <c r="H61" s="69">
        <f t="shared" si="11"/>
        <v>0</v>
      </c>
      <c r="I61" s="70">
        <f t="shared" si="11"/>
        <v>-8137.5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'CE-FLSH'!L70</f>
        <v>0</v>
      </c>
      <c r="E70" s="66">
        <f>'CE-FLSH'!M70</f>
        <v>1086087</v>
      </c>
      <c r="F70" s="60">
        <f>CE_GL!D70</f>
        <v>0</v>
      </c>
      <c r="G70" s="38">
        <f>CE_GL!E70</f>
        <v>1086087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'CE-FLSH'!L71</f>
        <v>0</v>
      </c>
      <c r="E71" s="66">
        <f>'CE-FLSH'!M71</f>
        <v>-2230799</v>
      </c>
      <c r="F71" s="60">
        <f>CE_GL!D71</f>
        <v>0</v>
      </c>
      <c r="G71" s="38">
        <f>CE_GL!E71</f>
        <v>-1513816.64</v>
      </c>
      <c r="H71" s="60">
        <f>F71-D71</f>
        <v>0</v>
      </c>
      <c r="I71" s="38">
        <f>G71-E71</f>
        <v>716982.3600000001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-1144712</v>
      </c>
      <c r="F72" s="69">
        <f t="shared" si="13"/>
        <v>0</v>
      </c>
      <c r="G72" s="70">
        <f t="shared" si="13"/>
        <v>-427729.6399999999</v>
      </c>
      <c r="H72" s="69">
        <f t="shared" si="13"/>
        <v>0</v>
      </c>
      <c r="I72" s="70">
        <f t="shared" si="13"/>
        <v>716982.3600000001</v>
      </c>
    </row>
    <row r="73" spans="1:9" x14ac:dyDescent="0.2">
      <c r="A73" s="9">
        <v>32</v>
      </c>
      <c r="B73" s="3"/>
      <c r="C73" s="10" t="s">
        <v>72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'CE-FLSH'!L74</f>
        <v>0</v>
      </c>
      <c r="E74" s="66">
        <f>'CE-FLSH'!M74</f>
        <v>2293654.0588235296</v>
      </c>
      <c r="F74" s="60">
        <f>CE_GL!D74</f>
        <v>0</v>
      </c>
      <c r="G74" s="38">
        <f>CE_GL!E74</f>
        <v>2342273</v>
      </c>
      <c r="H74" s="60">
        <f t="shared" ref="H74:I79" si="14">F74-D74</f>
        <v>0</v>
      </c>
      <c r="I74" s="38">
        <f t="shared" si="14"/>
        <v>48618.941176470369</v>
      </c>
    </row>
    <row r="75" spans="1:9" x14ac:dyDescent="0.2">
      <c r="A75" s="9">
        <v>34</v>
      </c>
      <c r="B75" s="3"/>
      <c r="C75" s="10" t="s">
        <v>74</v>
      </c>
      <c r="D75" s="65">
        <f>'CE-FLSH'!L75</f>
        <v>0</v>
      </c>
      <c r="E75" s="66">
        <f>'CE-FLSH'!M75</f>
        <v>106310.5</v>
      </c>
      <c r="F75" s="60">
        <f>CE_GL!D75</f>
        <v>0</v>
      </c>
      <c r="G75" s="38">
        <f>CE_GL!E75</f>
        <v>106300</v>
      </c>
      <c r="H75" s="60">
        <f t="shared" si="14"/>
        <v>0</v>
      </c>
      <c r="I75" s="38">
        <f t="shared" si="14"/>
        <v>-10.5</v>
      </c>
    </row>
    <row r="76" spans="1:9" x14ac:dyDescent="0.2">
      <c r="A76" s="9">
        <v>35</v>
      </c>
      <c r="B76" s="3"/>
      <c r="C76" s="10" t="s">
        <v>75</v>
      </c>
      <c r="D76" s="65">
        <f>'CE-FLSH'!L76</f>
        <v>0</v>
      </c>
      <c r="E76" s="66">
        <f>'CE-FLSH'!M76</f>
        <v>-10679</v>
      </c>
      <c r="F76" s="60">
        <f>CE_GL!D76</f>
        <v>0</v>
      </c>
      <c r="G76" s="38">
        <f>CE_GL!E76</f>
        <v>-10200.48</v>
      </c>
      <c r="H76" s="60">
        <f t="shared" si="14"/>
        <v>0</v>
      </c>
      <c r="I76" s="38">
        <f t="shared" si="14"/>
        <v>478.52000000000044</v>
      </c>
    </row>
    <row r="77" spans="1:9" x14ac:dyDescent="0.2">
      <c r="A77" s="9">
        <v>36</v>
      </c>
      <c r="B77" s="3"/>
      <c r="C77" s="10" t="s">
        <v>76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'CE-FLSH'!L79</f>
        <v>0</v>
      </c>
      <c r="E79" s="66">
        <f>'CE-FLSH'!M79</f>
        <v>1385895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-1385895</v>
      </c>
    </row>
    <row r="80" spans="1:9" x14ac:dyDescent="0.2">
      <c r="A80" s="9">
        <v>39</v>
      </c>
      <c r="B80" s="3"/>
      <c r="C80" s="10" t="s">
        <v>79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'CE-FLSH'!L81</f>
        <v>0</v>
      </c>
      <c r="E81" s="66">
        <f>'CE-FLSH'!M81</f>
        <v>331813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-331813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0</v>
      </c>
      <c r="E82" s="72">
        <f>SUM(E72:E81)+E16+E24+E29+E36+E43+E45+E47+E49+E51+E56+E61+E66</f>
        <v>1173945.5243835263</v>
      </c>
      <c r="F82" s="71">
        <f>F16+F24+F29+F36+F43+F45+F47+F49</f>
        <v>0</v>
      </c>
      <c r="G82" s="72">
        <f>SUM(G72:G81)+G16+G24+G29+G36+G43+G45+G47+G49+G51+G56+G61+G66</f>
        <v>2687800.8660000227</v>
      </c>
      <c r="H82" s="71">
        <f>H16+H24+H29+H36+H43+H45+H47+H49</f>
        <v>0</v>
      </c>
      <c r="I82" s="72">
        <f>SUM(I72:I81)+I16+I24+I29+I36+I43+I45+I47+I49+I51+I56+I61+I66</f>
        <v>1513855.3416165179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5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D11" sqref="D11:E81"/>
      <selection pane="topRight" activeCell="D11" sqref="D11:E81"/>
      <selection pane="bottomLeft" activeCell="D11" sqref="D11:E81"/>
      <selection pane="bottomRight" activeCell="D11" sqref="D11:E8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'EAST-EGM-FLSH'!L11</f>
        <v>66050158</v>
      </c>
      <c r="E11" s="66">
        <f>'EAST-EGM-FLSH'!M11</f>
        <v>157021800.05000001</v>
      </c>
      <c r="F11" s="60">
        <f>'EAST-EGM-GL'!D11</f>
        <v>85219193</v>
      </c>
      <c r="G11" s="38">
        <f>'EAST-EGM-GL'!E11</f>
        <v>207567202.66999999</v>
      </c>
      <c r="H11" s="60">
        <f>F11-D11</f>
        <v>19169035</v>
      </c>
      <c r="I11" s="38">
        <f>G11-E11</f>
        <v>50545402.619999975</v>
      </c>
    </row>
    <row r="12" spans="1:22" x14ac:dyDescent="0.2">
      <c r="A12" s="9">
        <v>2</v>
      </c>
      <c r="B12" s="7"/>
      <c r="C12" s="18" t="s">
        <v>28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-1670858.48</v>
      </c>
      <c r="H12" s="60">
        <f>F12-D12</f>
        <v>0</v>
      </c>
      <c r="I12" s="38">
        <f>G12-E12</f>
        <v>-1670858.48</v>
      </c>
    </row>
    <row r="13" spans="1:22" x14ac:dyDescent="0.2">
      <c r="A13" s="9">
        <v>3</v>
      </c>
      <c r="B13" s="7"/>
      <c r="C13" s="18" t="s">
        <v>29</v>
      </c>
      <c r="D13" s="65">
        <f>'EAST-EGM-FLSH'!L13</f>
        <v>69521578</v>
      </c>
      <c r="E13" s="66">
        <f>'EAST-EGM-FLSH'!M13</f>
        <v>159508985.94999999</v>
      </c>
      <c r="F13" s="60">
        <f>'EAST-EGM-GL'!D13</f>
        <v>48098747</v>
      </c>
      <c r="G13" s="38">
        <f>'EAST-EGM-GL'!E13</f>
        <v>110384760</v>
      </c>
      <c r="H13" s="60">
        <f t="shared" ref="H13:I15" si="0">F13-D13</f>
        <v>-21422831</v>
      </c>
      <c r="I13" s="38">
        <f t="shared" si="0"/>
        <v>-49124225.949999988</v>
      </c>
    </row>
    <row r="14" spans="1:22" x14ac:dyDescent="0.2">
      <c r="A14" s="9">
        <v>4</v>
      </c>
      <c r="B14" s="7"/>
      <c r="C14" s="18" t="s">
        <v>30</v>
      </c>
      <c r="D14" s="65">
        <f>'EAST-EGM-FLSH'!L14</f>
        <v>0</v>
      </c>
      <c r="E14" s="66">
        <f>'EAST-EGM-FLSH'!M14</f>
        <v>24768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-24768</v>
      </c>
    </row>
    <row r="15" spans="1:22" x14ac:dyDescent="0.2">
      <c r="A15" s="9">
        <v>5</v>
      </c>
      <c r="B15" s="7"/>
      <c r="C15" s="18" t="s">
        <v>31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135571736</v>
      </c>
      <c r="E16" s="39">
        <f t="shared" si="1"/>
        <v>316555554</v>
      </c>
      <c r="F16" s="61">
        <f t="shared" si="1"/>
        <v>133317940</v>
      </c>
      <c r="G16" s="39">
        <f t="shared" si="1"/>
        <v>316281104.19</v>
      </c>
      <c r="H16" s="61">
        <f t="shared" si="1"/>
        <v>-2253796</v>
      </c>
      <c r="I16" s="39">
        <f t="shared" si="1"/>
        <v>-274449.81000000983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'EAST-EGM-FLSH'!L19</f>
        <v>-86507193</v>
      </c>
      <c r="E19" s="66">
        <f>'EAST-EGM-FLSH'!M19</f>
        <v>-202900168</v>
      </c>
      <c r="F19" s="60">
        <f>'EAST-EGM-GL'!D19</f>
        <v>-91658596</v>
      </c>
      <c r="G19" s="38">
        <f>'EAST-EGM-GL'!E19</f>
        <v>-214688413.23000002</v>
      </c>
      <c r="H19" s="60">
        <f>F19-D19</f>
        <v>-5151403</v>
      </c>
      <c r="I19" s="38">
        <f>G19-E19</f>
        <v>-11788245.230000019</v>
      </c>
    </row>
    <row r="20" spans="1:9" x14ac:dyDescent="0.2">
      <c r="A20" s="9">
        <v>7</v>
      </c>
      <c r="B20" s="7"/>
      <c r="C20" s="18" t="s">
        <v>28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-3291131.21</v>
      </c>
      <c r="H20" s="60">
        <f>F20-D20</f>
        <v>0</v>
      </c>
      <c r="I20" s="38">
        <f>G20-E20</f>
        <v>-3291131.21</v>
      </c>
    </row>
    <row r="21" spans="1:9" x14ac:dyDescent="0.2">
      <c r="A21" s="9">
        <v>8</v>
      </c>
      <c r="B21" s="7"/>
      <c r="C21" s="18" t="s">
        <v>29</v>
      </c>
      <c r="D21" s="65">
        <f>'EAST-EGM-FLSH'!L21</f>
        <v>-49770103</v>
      </c>
      <c r="E21" s="66">
        <f>'EAST-EGM-FLSH'!M21</f>
        <v>-114326909</v>
      </c>
      <c r="F21" s="60">
        <f>'EAST-EGM-GL'!D21</f>
        <v>-40530677</v>
      </c>
      <c r="G21" s="38">
        <f>'EAST-EGM-GL'!E21</f>
        <v>-92564051</v>
      </c>
      <c r="H21" s="60">
        <f t="shared" ref="H21:I23" si="2">F21-D21</f>
        <v>9239426</v>
      </c>
      <c r="I21" s="38">
        <f t="shared" si="2"/>
        <v>21762858</v>
      </c>
    </row>
    <row r="22" spans="1:9" x14ac:dyDescent="0.2">
      <c r="A22" s="9">
        <v>9</v>
      </c>
      <c r="B22" s="7"/>
      <c r="C22" s="18" t="s">
        <v>30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'EAST-EGM-FLSH'!L23</f>
        <v>237567</v>
      </c>
      <c r="E23" s="66">
        <f>'EAST-EGM-FLSH'!M23</f>
        <v>531921</v>
      </c>
      <c r="F23" s="60">
        <f>'EAST-EGM-GL'!D23</f>
        <v>309807</v>
      </c>
      <c r="G23" s="38">
        <f>'EAST-EGM-GL'!E23</f>
        <v>729595.46</v>
      </c>
      <c r="H23" s="60">
        <f t="shared" si="2"/>
        <v>72240</v>
      </c>
      <c r="I23" s="38">
        <f t="shared" si="2"/>
        <v>197674.45999999996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-136039729</v>
      </c>
      <c r="E24" s="39">
        <f t="shared" si="3"/>
        <v>-316695156</v>
      </c>
      <c r="F24" s="61">
        <f t="shared" si="3"/>
        <v>-131879466</v>
      </c>
      <c r="G24" s="39">
        <f t="shared" si="3"/>
        <v>-309813999.98000008</v>
      </c>
      <c r="H24" s="61">
        <f t="shared" si="3"/>
        <v>4160263</v>
      </c>
      <c r="I24" s="39">
        <f t="shared" si="3"/>
        <v>6881156.01999998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'EAST-EGM-FLSH'!L27</f>
        <v>-1004508</v>
      </c>
      <c r="E27" s="66">
        <f>'EAST-EGM-FLSH'!M27</f>
        <v>-2299953</v>
      </c>
      <c r="F27" s="60">
        <f>'EAST-EGM-GL'!D27</f>
        <v>-27001</v>
      </c>
      <c r="G27" s="38">
        <f>'EAST-EGM-GL'!E27</f>
        <v>-62507.23</v>
      </c>
      <c r="H27" s="60">
        <f>F27-D27</f>
        <v>977507</v>
      </c>
      <c r="I27" s="38">
        <f>G27-E27</f>
        <v>2237445.77</v>
      </c>
    </row>
    <row r="28" spans="1:9" x14ac:dyDescent="0.2">
      <c r="A28" s="9">
        <v>12</v>
      </c>
      <c r="B28" s="7"/>
      <c r="C28" s="18" t="s">
        <v>38</v>
      </c>
      <c r="D28" s="65">
        <f>'EAST-EGM-FLSH'!L28</f>
        <v>582660</v>
      </c>
      <c r="E28" s="66">
        <f>'EAST-EGM-FLSH'!M28</f>
        <v>1315137</v>
      </c>
      <c r="F28" s="60">
        <f>'EAST-EGM-GL'!D28</f>
        <v>-3076342</v>
      </c>
      <c r="G28" s="38">
        <f>'EAST-EGM-GL'!E28</f>
        <v>-6935034.3099999996</v>
      </c>
      <c r="H28" s="60">
        <f>F28-D28</f>
        <v>-3659002</v>
      </c>
      <c r="I28" s="38">
        <f>G28-E28</f>
        <v>-8250171.3099999996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-421848</v>
      </c>
      <c r="E29" s="70">
        <f t="shared" si="4"/>
        <v>-984816</v>
      </c>
      <c r="F29" s="69">
        <f t="shared" si="4"/>
        <v>-3103343</v>
      </c>
      <c r="G29" s="70">
        <f t="shared" si="4"/>
        <v>-6997541.54</v>
      </c>
      <c r="H29" s="69">
        <f t="shared" si="4"/>
        <v>-2681495</v>
      </c>
      <c r="I29" s="70">
        <f t="shared" si="4"/>
        <v>-6012725.5399999991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'EAST-EGM-FLSH'!L32</f>
        <v>326249</v>
      </c>
      <c r="E32" s="66">
        <f>'EAST-EGM-FLSH'!M32</f>
        <v>812865</v>
      </c>
      <c r="F32" s="60">
        <f>'EAST-EGM-GL'!D32</f>
        <v>388226</v>
      </c>
      <c r="G32" s="38">
        <f>'EAST-EGM-GL'!E32</f>
        <v>914272.8949999999</v>
      </c>
      <c r="H32" s="60">
        <f>F32-D32</f>
        <v>61977</v>
      </c>
      <c r="I32" s="38">
        <f>G32-E32</f>
        <v>101407.8949999999</v>
      </c>
    </row>
    <row r="33" spans="1:9" x14ac:dyDescent="0.2">
      <c r="A33" s="9">
        <v>14</v>
      </c>
      <c r="B33" s="7"/>
      <c r="C33" s="18" t="s">
        <v>42</v>
      </c>
      <c r="D33" s="65">
        <f>'EAST-EGM-FLSH'!L33</f>
        <v>41175</v>
      </c>
      <c r="E33" s="66">
        <f>'EAST-EGM-FLSH'!M33</f>
        <v>54822.219054628862</v>
      </c>
      <c r="F33" s="60">
        <f>'EAST-EGM-GL'!D33</f>
        <v>-201207</v>
      </c>
      <c r="G33" s="38">
        <f>'EAST-EGM-GL'!E33</f>
        <v>-469944.86000000004</v>
      </c>
      <c r="H33" s="60">
        <f t="shared" ref="H33:I35" si="5">F33-D33</f>
        <v>-242382</v>
      </c>
      <c r="I33" s="38">
        <f t="shared" si="5"/>
        <v>-524767.07905462896</v>
      </c>
    </row>
    <row r="34" spans="1:9" x14ac:dyDescent="0.2">
      <c r="A34" s="9">
        <v>15</v>
      </c>
      <c r="B34" s="7"/>
      <c r="C34" s="18" t="s">
        <v>43</v>
      </c>
      <c r="D34" s="65">
        <f>'EAST-EGM-FLSH'!L34</f>
        <v>559377</v>
      </c>
      <c r="E34" s="66">
        <f>'EAST-EGM-FLSH'!M34</f>
        <v>1269071</v>
      </c>
      <c r="F34" s="60">
        <f>'EAST-EGM-GL'!D34</f>
        <v>134795</v>
      </c>
      <c r="G34" s="38">
        <f>'EAST-EGM-GL'!E34</f>
        <v>294426.44999999995</v>
      </c>
      <c r="H34" s="60">
        <f t="shared" si="5"/>
        <v>-424582</v>
      </c>
      <c r="I34" s="38">
        <f t="shared" si="5"/>
        <v>-974644.55</v>
      </c>
    </row>
    <row r="35" spans="1:9" x14ac:dyDescent="0.2">
      <c r="A35" s="9">
        <v>16</v>
      </c>
      <c r="B35" s="7"/>
      <c r="C35" s="18" t="s">
        <v>44</v>
      </c>
      <c r="D35" s="65">
        <f>'EAST-EGM-FLSH'!L35</f>
        <v>-346452</v>
      </c>
      <c r="E35" s="66">
        <f>'EAST-EGM-FLSH'!M35</f>
        <v>-778472</v>
      </c>
      <c r="F35" s="60">
        <f>'EAST-EGM-GL'!D35</f>
        <v>500000</v>
      </c>
      <c r="G35" s="38">
        <f>'EAST-EGM-GL'!E35</f>
        <v>1177499.99</v>
      </c>
      <c r="H35" s="60">
        <f t="shared" si="5"/>
        <v>846452</v>
      </c>
      <c r="I35" s="38">
        <f t="shared" si="5"/>
        <v>1955971.99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580349</v>
      </c>
      <c r="E36" s="39">
        <f t="shared" si="6"/>
        <v>1358286.2190546291</v>
      </c>
      <c r="F36" s="61">
        <f t="shared" si="6"/>
        <v>821814</v>
      </c>
      <c r="G36" s="39">
        <f t="shared" si="6"/>
        <v>1916254.4749999999</v>
      </c>
      <c r="H36" s="61">
        <f t="shared" si="6"/>
        <v>241465</v>
      </c>
      <c r="I36" s="39">
        <f t="shared" si="6"/>
        <v>557968.25594537077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'EAST-EGM-FLSH'!L39</f>
        <v>-311859</v>
      </c>
      <c r="E39" s="66">
        <f>'EAST-EGM-FLSH'!M39</f>
        <v>-736027</v>
      </c>
      <c r="F39" s="60">
        <f>'EAST-EGM-GL'!D39</f>
        <v>0</v>
      </c>
      <c r="G39" s="38">
        <f>'EAST-EGM-GL'!E39</f>
        <v>0</v>
      </c>
      <c r="H39" s="60">
        <f t="shared" ref="H39:I41" si="7">F39-D39</f>
        <v>311859</v>
      </c>
      <c r="I39" s="38">
        <f t="shared" si="7"/>
        <v>736027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'EAST-EGM-FLSH'!L40</f>
        <v>205867</v>
      </c>
      <c r="E40" s="66">
        <f>'EAST-EGM-FLSH'!M40</f>
        <v>483787</v>
      </c>
      <c r="F40" s="60">
        <f>'EAST-EGM-GL'!D40</f>
        <v>0</v>
      </c>
      <c r="G40" s="38">
        <f>'EAST-EGM-GL'!E40</f>
        <v>0</v>
      </c>
      <c r="H40" s="60">
        <f t="shared" si="7"/>
        <v>-205867</v>
      </c>
      <c r="I40" s="38">
        <f t="shared" si="7"/>
        <v>-483787</v>
      </c>
    </row>
    <row r="41" spans="1:9" x14ac:dyDescent="0.2">
      <c r="A41" s="9">
        <v>19</v>
      </c>
      <c r="B41" s="7"/>
      <c r="C41" s="18" t="s">
        <v>49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205867</v>
      </c>
      <c r="E42" s="70">
        <f t="shared" si="8"/>
        <v>483787</v>
      </c>
      <c r="F42" s="69">
        <f t="shared" si="8"/>
        <v>0</v>
      </c>
      <c r="G42" s="70">
        <f t="shared" si="8"/>
        <v>0</v>
      </c>
      <c r="H42" s="69">
        <f t="shared" si="8"/>
        <v>-205867</v>
      </c>
      <c r="I42" s="70">
        <f t="shared" si="8"/>
        <v>-483787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-105992</v>
      </c>
      <c r="E43" s="39">
        <f t="shared" si="9"/>
        <v>-252240</v>
      </c>
      <c r="F43" s="61">
        <f t="shared" si="9"/>
        <v>0</v>
      </c>
      <c r="G43" s="39">
        <f t="shared" si="9"/>
        <v>0</v>
      </c>
      <c r="H43" s="61">
        <f t="shared" si="9"/>
        <v>105992</v>
      </c>
      <c r="I43" s="39">
        <f t="shared" si="9"/>
        <v>252240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'EAST-EGM-FLSH'!L49</f>
        <v>475484</v>
      </c>
      <c r="E49" s="66">
        <f>'EAST-EGM-FLSH'!M49</f>
        <v>1074270.9391440554</v>
      </c>
      <c r="F49" s="60">
        <f>'EAST-EGM-GL'!D49</f>
        <v>843055</v>
      </c>
      <c r="G49" s="38">
        <f>'EAST-EGM-GL'!E49</f>
        <v>1985394.5249999994</v>
      </c>
      <c r="H49" s="60">
        <f>F49-D49</f>
        <v>367571</v>
      </c>
      <c r="I49" s="38">
        <f>G49-E49</f>
        <v>911123.58585594408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'EAST-EGM-FLSH'!L51</f>
        <v>-237567</v>
      </c>
      <c r="E51" s="66">
        <f>'EAST-EGM-FLSH'!M51</f>
        <v>-531921</v>
      </c>
      <c r="F51" s="60">
        <f>'EAST-EGM-GL'!D51</f>
        <v>-397034</v>
      </c>
      <c r="G51" s="38">
        <f>'EAST-EGM-GL'!E51</f>
        <v>-729666.14</v>
      </c>
      <c r="H51" s="60">
        <f>F51-D51</f>
        <v>-159467</v>
      </c>
      <c r="I51" s="38">
        <f>G51-E51</f>
        <v>-197745.14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'EAST-EGM-FLSH'!L54</f>
        <v>0</v>
      </c>
      <c r="E54" s="66">
        <f>'EAST-EGM-FLSH'!M54</f>
        <v>-509841</v>
      </c>
      <c r="F54" s="60">
        <f>'EAST-EGM-GL'!D54</f>
        <v>-27577363</v>
      </c>
      <c r="G54" s="38">
        <f>'EAST-EGM-GL'!E54</f>
        <v>-602463.67000000004</v>
      </c>
      <c r="H54" s="60">
        <f>F54-D54</f>
        <v>-27577363</v>
      </c>
      <c r="I54" s="38">
        <f>G54-E54</f>
        <v>-92622.670000000042</v>
      </c>
    </row>
    <row r="55" spans="1:9" x14ac:dyDescent="0.2">
      <c r="A55" s="9">
        <v>25</v>
      </c>
      <c r="B55" s="7"/>
      <c r="C55" s="18" t="s">
        <v>58</v>
      </c>
      <c r="D55" s="65">
        <f>'EAST-EGM-FLSH'!L55</f>
        <v>0</v>
      </c>
      <c r="E55" s="66">
        <f>'EAST-EGM-FLSH'!M55</f>
        <v>-1302091</v>
      </c>
      <c r="F55" s="60">
        <f>'EAST-EGM-GL'!D55</f>
        <v>0</v>
      </c>
      <c r="G55" s="38">
        <f>'EAST-EGM-GL'!E55</f>
        <v>-2640939.2300000004</v>
      </c>
      <c r="H55" s="60">
        <f>F55-D55</f>
        <v>0</v>
      </c>
      <c r="I55" s="38">
        <f>G55-E55</f>
        <v>-1338848.2300000004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-1811932</v>
      </c>
      <c r="F56" s="61">
        <f t="shared" si="10"/>
        <v>-27577363</v>
      </c>
      <c r="G56" s="39">
        <f t="shared" si="10"/>
        <v>-3243402.9000000004</v>
      </c>
      <c r="H56" s="61">
        <f t="shared" si="10"/>
        <v>-27577363</v>
      </c>
      <c r="I56" s="39">
        <f t="shared" si="10"/>
        <v>-1431470.9000000004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'EAST-EGM-FLSH'!L60</f>
        <v>0</v>
      </c>
      <c r="E60" s="66">
        <f>'EAST-EGM-FLSH'!M60</f>
        <v>-104001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104001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-104001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104001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'EAST-EGM-FLSH'!L64</f>
        <v>0</v>
      </c>
      <c r="E64" s="66">
        <f>'EAST-EGM-FLSH'!M64</f>
        <v>70884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-70884</v>
      </c>
    </row>
    <row r="65" spans="1:9" x14ac:dyDescent="0.2">
      <c r="A65" s="9">
        <v>29</v>
      </c>
      <c r="B65" s="11"/>
      <c r="C65" s="18" t="s">
        <v>65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70884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-70884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'EAST-EGM-FLSH'!L70</f>
        <v>0</v>
      </c>
      <c r="E70" s="66">
        <f>'EAST-EGM-FLSH'!M70</f>
        <v>2849705.85</v>
      </c>
      <c r="F70" s="60">
        <f>'EAST-EGM-GL'!D70</f>
        <v>0</v>
      </c>
      <c r="G70" s="38">
        <f>'EAST-EGM-GL'!E70</f>
        <v>2978874.85</v>
      </c>
      <c r="H70" s="60">
        <f>F70-D70</f>
        <v>0</v>
      </c>
      <c r="I70" s="38">
        <f>G70-E70</f>
        <v>129169</v>
      </c>
    </row>
    <row r="71" spans="1:9" x14ac:dyDescent="0.2">
      <c r="A71" s="9">
        <v>31</v>
      </c>
      <c r="B71" s="3"/>
      <c r="C71" s="10" t="s">
        <v>70</v>
      </c>
      <c r="D71" s="65">
        <f>'EAST-EGM-FLSH'!L71</f>
        <v>0</v>
      </c>
      <c r="E71" s="66">
        <f>'EAST-EGM-FLSH'!M71</f>
        <v>196193</v>
      </c>
      <c r="F71" s="60">
        <f>'EAST-EGM-GL'!D71</f>
        <v>0</v>
      </c>
      <c r="G71" s="38">
        <f>'EAST-EGM-GL'!E71</f>
        <v>196194.06</v>
      </c>
      <c r="H71" s="60">
        <f>F71-D71</f>
        <v>0</v>
      </c>
      <c r="I71" s="38">
        <f>G71-E71</f>
        <v>1.0599999999976717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3045898.85</v>
      </c>
      <c r="F72" s="69">
        <f t="shared" si="13"/>
        <v>0</v>
      </c>
      <c r="G72" s="70">
        <f t="shared" si="13"/>
        <v>3175068.91</v>
      </c>
      <c r="H72" s="69">
        <f t="shared" si="13"/>
        <v>0</v>
      </c>
      <c r="I72" s="70">
        <f t="shared" si="13"/>
        <v>129170.06</v>
      </c>
    </row>
    <row r="73" spans="1:9" x14ac:dyDescent="0.2">
      <c r="A73" s="9">
        <v>32</v>
      </c>
      <c r="B73" s="3"/>
      <c r="C73" s="10" t="s">
        <v>72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'EAST-EGM-FLSH'!L74</f>
        <v>0</v>
      </c>
      <c r="E74" s="66">
        <f>'EAST-EGM-FLSH'!M74</f>
        <v>-2871909</v>
      </c>
      <c r="F74" s="60">
        <f>'EAST-EGM-GL'!D74</f>
        <v>0</v>
      </c>
      <c r="G74" s="38">
        <f>'EAST-EGM-GL'!E74</f>
        <v>-3062891.35</v>
      </c>
      <c r="H74" s="60">
        <f t="shared" ref="H74:I79" si="14">F74-D74</f>
        <v>0</v>
      </c>
      <c r="I74" s="38">
        <f t="shared" si="14"/>
        <v>-190982.35000000009</v>
      </c>
    </row>
    <row r="75" spans="1:9" x14ac:dyDescent="0.2">
      <c r="A75" s="9">
        <v>34</v>
      </c>
      <c r="B75" s="3"/>
      <c r="C75" s="10" t="s">
        <v>74</v>
      </c>
      <c r="D75" s="65">
        <f>'EAST-EGM-FLSH'!L75</f>
        <v>0</v>
      </c>
      <c r="E75" s="66">
        <f>'EAST-EGM-FLSH'!M75</f>
        <v>667651</v>
      </c>
      <c r="F75" s="60">
        <f>'EAST-EGM-GL'!D75</f>
        <v>0</v>
      </c>
      <c r="G75" s="38">
        <f>'EAST-EGM-GL'!E75</f>
        <v>667700</v>
      </c>
      <c r="H75" s="60">
        <f t="shared" si="14"/>
        <v>0</v>
      </c>
      <c r="I75" s="38">
        <f t="shared" si="14"/>
        <v>49</v>
      </c>
    </row>
    <row r="76" spans="1:9" x14ac:dyDescent="0.2">
      <c r="A76" s="9">
        <v>35</v>
      </c>
      <c r="B76" s="3"/>
      <c r="C76" s="10" t="s">
        <v>75</v>
      </c>
      <c r="D76" s="65">
        <f>'EAST-EGM-FLSH'!L76</f>
        <v>0</v>
      </c>
      <c r="E76" s="66">
        <f>'EAST-EGM-FLSH'!M76</f>
        <v>-8213</v>
      </c>
      <c r="F76" s="60">
        <f>'EAST-EGM-GL'!D76</f>
        <v>0</v>
      </c>
      <c r="G76" s="38">
        <f>'EAST-EGM-GL'!E76</f>
        <v>-283837.52</v>
      </c>
      <c r="H76" s="60">
        <f t="shared" si="14"/>
        <v>0</v>
      </c>
      <c r="I76" s="38">
        <f t="shared" si="14"/>
        <v>-275624.52</v>
      </c>
    </row>
    <row r="77" spans="1:9" x14ac:dyDescent="0.2">
      <c r="A77" s="9">
        <v>36</v>
      </c>
      <c r="B77" s="3"/>
      <c r="C77" s="10" t="s">
        <v>76</v>
      </c>
      <c r="D77" s="65">
        <f>'EAST-EGM-FLSH'!L77</f>
        <v>0</v>
      </c>
      <c r="E77" s="66">
        <f>'EAST-EGM-FLSH'!M77</f>
        <v>2670191</v>
      </c>
      <c r="F77" s="60">
        <f>'EAST-EGM-GL'!D77</f>
        <v>0</v>
      </c>
      <c r="G77" s="38">
        <f>'EAST-EGM-GL'!E77</f>
        <v>-3226809</v>
      </c>
      <c r="H77" s="60">
        <f t="shared" si="14"/>
        <v>0</v>
      </c>
      <c r="I77" s="38">
        <f t="shared" si="14"/>
        <v>-5897000</v>
      </c>
    </row>
    <row r="78" spans="1:9" x14ac:dyDescent="0.2">
      <c r="A78" s="9">
        <v>37</v>
      </c>
      <c r="B78" s="3"/>
      <c r="C78" s="10" t="s">
        <v>77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78</v>
      </c>
      <c r="D79" s="65">
        <f>'EAST-EGM-FLSH'!L79</f>
        <v>0</v>
      </c>
      <c r="E79" s="66">
        <f>'EAST-EGM-FLSH'!M79</f>
        <v>878217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-878217</v>
      </c>
    </row>
    <row r="80" spans="1:9" x14ac:dyDescent="0.2">
      <c r="A80" s="9">
        <v>39</v>
      </c>
      <c r="B80" s="3"/>
      <c r="C80" s="10" t="s">
        <v>79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'EAST-EGM-FLSH'!L81</f>
        <v>0</v>
      </c>
      <c r="E81" s="66">
        <f>'EAST-EGM-FLSH'!M81</f>
        <v>-1987039</v>
      </c>
      <c r="F81" s="60">
        <f>'EAST-EGM-GL'!D81</f>
        <v>0</v>
      </c>
      <c r="G81" s="38">
        <f>'EAST-EGM-GL'!E81</f>
        <v>849655.87</v>
      </c>
      <c r="H81" s="60">
        <f>F81-D81</f>
        <v>0</v>
      </c>
      <c r="I81" s="38">
        <f>G81-E81</f>
        <v>2836694.87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60000</v>
      </c>
      <c r="E82" s="72">
        <f>SUM(E72:E81)+E16+E24+E29+E36+E43+E45+E47+E49+E51+E56+E61+E66</f>
        <v>1098249.9531987011</v>
      </c>
      <c r="F82" s="71">
        <f>F16+F24+F29+F36+F43+F45+F47+F49</f>
        <v>0</v>
      </c>
      <c r="G82" s="72">
        <f>SUM(G72:G81)+G16+G24+G29+G36+G43+G45+G47+G49+G51+G56+G61+G66</f>
        <v>-2482970.4600000558</v>
      </c>
      <c r="H82" s="71">
        <f>H16+H24+H29+H36+H43+H45+H47+H49</f>
        <v>-60000</v>
      </c>
      <c r="I82" s="72">
        <f>SUM(I72:I81)+I16+I24+I29+I36+I43+I45+I47+I49+I51+I56+I61+I66</f>
        <v>-3581220.4131987155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171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175</v>
      </c>
      <c r="D86" s="173">
        <f>'EAST-EGM-FLSH'!L86</f>
        <v>0</v>
      </c>
      <c r="E86" s="173">
        <f>'EAST-EGM-FLSH'!M86</f>
        <v>-199187</v>
      </c>
      <c r="F86" s="173">
        <f>'EAST-EGM-GL'!D86</f>
        <v>0</v>
      </c>
      <c r="G86" s="173">
        <f>'EAST-EGM-GL'!E86</f>
        <v>-199187.04</v>
      </c>
      <c r="H86" s="173">
        <f t="shared" ref="H86:I88" si="15">F86-D86</f>
        <v>0</v>
      </c>
      <c r="I86" s="173">
        <f t="shared" si="15"/>
        <v>-4.0000000008149073E-2</v>
      </c>
    </row>
    <row r="87" spans="1:63" x14ac:dyDescent="0.2">
      <c r="A87" s="172"/>
      <c r="B87" s="3"/>
      <c r="C87" s="10" t="s">
        <v>73</v>
      </c>
      <c r="D87" s="174">
        <f>'EAST-EGM-FLSH'!L87</f>
        <v>0</v>
      </c>
      <c r="E87" s="174">
        <f>'EAST-EGM-FLSH'!M87</f>
        <v>0</v>
      </c>
      <c r="F87" s="174">
        <f>'EAST-EGM-GL'!D87</f>
        <v>0</v>
      </c>
      <c r="G87" s="174">
        <f>'EAST-EGM-GL'!E87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74</v>
      </c>
      <c r="D88" s="175">
        <f>'EAST-EGM-FLSH'!L88</f>
        <v>0</v>
      </c>
      <c r="E88" s="175">
        <f>'EAST-EGM-FLSH'!M88</f>
        <v>0</v>
      </c>
      <c r="F88" s="175">
        <f>'EAST-EGM-GL'!D88</f>
        <v>0</v>
      </c>
      <c r="G88" s="175">
        <f>'EAST-EGM-GL'!E88</f>
        <v>0</v>
      </c>
      <c r="H88" s="175">
        <f t="shared" si="15"/>
        <v>0</v>
      </c>
      <c r="I88" s="175">
        <f t="shared" si="15"/>
        <v>0</v>
      </c>
    </row>
    <row r="89" spans="1:63" s="143" customFormat="1" x14ac:dyDescent="0.2">
      <c r="A89" s="186"/>
      <c r="B89" s="187"/>
      <c r="C89" s="185" t="s">
        <v>178</v>
      </c>
      <c r="D89" s="188">
        <f t="shared" ref="D89:I89" si="16">SUM(D86:D88)</f>
        <v>0</v>
      </c>
      <c r="E89" s="188">
        <f t="shared" si="16"/>
        <v>-199187</v>
      </c>
      <c r="F89" s="188">
        <f t="shared" si="16"/>
        <v>0</v>
      </c>
      <c r="G89" s="188">
        <f t="shared" si="16"/>
        <v>-199187.04</v>
      </c>
      <c r="H89" s="188">
        <f t="shared" si="16"/>
        <v>0</v>
      </c>
      <c r="I89" s="188">
        <f t="shared" si="16"/>
        <v>-4.0000000008149073E-2</v>
      </c>
    </row>
    <row r="90" spans="1:63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63" s="143" customFormat="1" x14ac:dyDescent="0.2">
      <c r="A91" s="186"/>
      <c r="B91" s="187"/>
      <c r="C91" s="185" t="s">
        <v>181</v>
      </c>
      <c r="D91" s="188">
        <f t="shared" ref="D91:I91" si="17">+D82+D89</f>
        <v>60000</v>
      </c>
      <c r="E91" s="188">
        <f t="shared" si="17"/>
        <v>899062.95319870114</v>
      </c>
      <c r="F91" s="188">
        <f t="shared" si="17"/>
        <v>0</v>
      </c>
      <c r="G91" s="188">
        <f t="shared" si="17"/>
        <v>-2682157.5000000559</v>
      </c>
      <c r="H91" s="188">
        <f t="shared" si="17"/>
        <v>-60000</v>
      </c>
      <c r="I91" s="188">
        <f t="shared" si="17"/>
        <v>-3581220.4531987156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'EAST-LRC-FLSH'!L11</f>
        <v>8944488</v>
      </c>
      <c r="E11" s="66">
        <f>'EAST-LRC-FLSH'!M11</f>
        <v>21132760.949999999</v>
      </c>
      <c r="F11" s="60">
        <f>'EAST-LRC-GL'!D11</f>
        <v>8540664</v>
      </c>
      <c r="G11" s="38">
        <f>'EAST-LRC-GL'!E11</f>
        <v>20328942.759999998</v>
      </c>
      <c r="H11" s="60">
        <f>F11-D11</f>
        <v>-403824</v>
      </c>
      <c r="I11" s="38">
        <f>G11-E11</f>
        <v>-803818.19000000134</v>
      </c>
    </row>
    <row r="12" spans="1:22" x14ac:dyDescent="0.2">
      <c r="A12" s="9">
        <v>2</v>
      </c>
      <c r="B12" s="7"/>
      <c r="C12" s="18" t="s">
        <v>28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19314.579999999998</v>
      </c>
      <c r="H12" s="60">
        <f>F12-D12</f>
        <v>0</v>
      </c>
      <c r="I12" s="38">
        <f>G12-E12</f>
        <v>19314.579999999998</v>
      </c>
    </row>
    <row r="13" spans="1:22" x14ac:dyDescent="0.2">
      <c r="A13" s="9">
        <v>3</v>
      </c>
      <c r="B13" s="7"/>
      <c r="C13" s="18" t="s">
        <v>29</v>
      </c>
      <c r="D13" s="65">
        <f>'EAST-LRC-FLSH'!L13</f>
        <v>3201196</v>
      </c>
      <c r="E13" s="66">
        <f>'EAST-LRC-FLSH'!M13</f>
        <v>7224493.0499999998</v>
      </c>
      <c r="F13" s="60">
        <f>'EAST-LRC-GL'!D13</f>
        <v>0</v>
      </c>
      <c r="G13" s="38">
        <f>'EAST-LRC-GL'!E13</f>
        <v>0</v>
      </c>
      <c r="H13" s="60">
        <f t="shared" ref="H13:I15" si="0">F13-D13</f>
        <v>-3201196</v>
      </c>
      <c r="I13" s="38">
        <f t="shared" si="0"/>
        <v>-7224493.0499999998</v>
      </c>
    </row>
    <row r="14" spans="1:22" x14ac:dyDescent="0.2">
      <c r="A14" s="9">
        <v>4</v>
      </c>
      <c r="B14" s="7"/>
      <c r="C14" s="18" t="s">
        <v>30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12145684</v>
      </c>
      <c r="E16" s="39">
        <f t="shared" si="1"/>
        <v>28357254</v>
      </c>
      <c r="F16" s="61">
        <f t="shared" si="1"/>
        <v>8540664</v>
      </c>
      <c r="G16" s="39">
        <f t="shared" si="1"/>
        <v>20348257.339999996</v>
      </c>
      <c r="H16" s="61">
        <f t="shared" si="1"/>
        <v>-3605020</v>
      </c>
      <c r="I16" s="39">
        <f t="shared" si="1"/>
        <v>-8008996.6600000011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'EAST-LRC-FLSH'!L19</f>
        <v>-1284613</v>
      </c>
      <c r="E19" s="66">
        <f>'EAST-LRC-FLSH'!M19</f>
        <v>-2888637</v>
      </c>
      <c r="F19" s="60">
        <f>'EAST-LRC-GL'!D19</f>
        <v>-939754</v>
      </c>
      <c r="G19" s="38">
        <f>'EAST-LRC-GL'!E19</f>
        <v>-2183142.54</v>
      </c>
      <c r="H19" s="60">
        <f>F19-D19</f>
        <v>344859</v>
      </c>
      <c r="I19" s="38">
        <f>G19-E19</f>
        <v>705494.46</v>
      </c>
    </row>
    <row r="20" spans="1:9" x14ac:dyDescent="0.2">
      <c r="A20" s="9">
        <v>7</v>
      </c>
      <c r="B20" s="7"/>
      <c r="C20" s="18" t="s">
        <v>28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2188.84</v>
      </c>
      <c r="H20" s="60">
        <f>F20-D20</f>
        <v>0</v>
      </c>
      <c r="I20" s="38">
        <f>G20-E20</f>
        <v>2188.84</v>
      </c>
    </row>
    <row r="21" spans="1:9" x14ac:dyDescent="0.2">
      <c r="A21" s="9">
        <v>8</v>
      </c>
      <c r="B21" s="7"/>
      <c r="C21" s="18" t="s">
        <v>29</v>
      </c>
      <c r="D21" s="65">
        <f>'EAST-LRC-FLSH'!L21</f>
        <v>-11270806</v>
      </c>
      <c r="E21" s="66">
        <f>'EAST-LRC-FLSH'!M21</f>
        <v>-25429998</v>
      </c>
      <c r="F21" s="60">
        <f>'EAST-LRC-GL'!D21</f>
        <v>0</v>
      </c>
      <c r="G21" s="38">
        <f>'EAST-LRC-GL'!E21</f>
        <v>0</v>
      </c>
      <c r="H21" s="60">
        <f t="shared" ref="H21:I23" si="2">F21-D21</f>
        <v>11270806</v>
      </c>
      <c r="I21" s="38">
        <f t="shared" si="2"/>
        <v>25429998</v>
      </c>
    </row>
    <row r="22" spans="1:9" x14ac:dyDescent="0.2">
      <c r="A22" s="9">
        <v>9</v>
      </c>
      <c r="B22" s="7"/>
      <c r="C22" s="18" t="s">
        <v>30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'EAST-LRC-FLSH'!L23</f>
        <v>0</v>
      </c>
      <c r="E23" s="66">
        <f>'EAST-LRC-FLSH'!M23</f>
        <v>0</v>
      </c>
      <c r="F23" s="60">
        <f>'EAST-LRC-GL'!D23</f>
        <v>29643</v>
      </c>
      <c r="G23" s="38">
        <f>'EAST-LRC-GL'!E23</f>
        <v>67271.51999999999</v>
      </c>
      <c r="H23" s="60">
        <f t="shared" si="2"/>
        <v>29643</v>
      </c>
      <c r="I23" s="38">
        <f t="shared" si="2"/>
        <v>67271.51999999999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-12555419</v>
      </c>
      <c r="E24" s="39">
        <f t="shared" si="3"/>
        <v>-28318635</v>
      </c>
      <c r="F24" s="61">
        <f t="shared" si="3"/>
        <v>-910111</v>
      </c>
      <c r="G24" s="39">
        <f t="shared" si="3"/>
        <v>-2113682.1800000002</v>
      </c>
      <c r="H24" s="61">
        <f t="shared" si="3"/>
        <v>11645308</v>
      </c>
      <c r="I24" s="39">
        <f t="shared" si="3"/>
        <v>26204952.82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'EAST-LRC-FLSH'!L27</f>
        <v>1004508</v>
      </c>
      <c r="E27" s="66">
        <f>'EAST-LRC-FLSH'!M27</f>
        <v>2299953</v>
      </c>
      <c r="F27" s="60">
        <f>'EAST-LRC-GL'!D27</f>
        <v>3209792</v>
      </c>
      <c r="G27" s="38">
        <f>'EAST-LRC-GL'!E27</f>
        <v>7225555.830000001</v>
      </c>
      <c r="H27" s="60">
        <f>F27-D27</f>
        <v>2205284</v>
      </c>
      <c r="I27" s="38">
        <f>G27-E27</f>
        <v>4925602.830000001</v>
      </c>
    </row>
    <row r="28" spans="1:9" x14ac:dyDescent="0.2">
      <c r="A28" s="9">
        <v>12</v>
      </c>
      <c r="B28" s="7"/>
      <c r="C28" s="18" t="s">
        <v>38</v>
      </c>
      <c r="D28" s="65">
        <f>'EAST-LRC-FLSH'!L28</f>
        <v>-582660</v>
      </c>
      <c r="E28" s="66">
        <f>'EAST-LRC-FLSH'!M28</f>
        <v>-1315137</v>
      </c>
      <c r="F28" s="60">
        <f>'EAST-LRC-GL'!D28</f>
        <v>-11381875</v>
      </c>
      <c r="G28" s="38">
        <f>'EAST-LRC-GL'!E28</f>
        <v>-25635177.670000006</v>
      </c>
      <c r="H28" s="60">
        <f>F28-D28</f>
        <v>-10799215</v>
      </c>
      <c r="I28" s="38">
        <f>G28-E28</f>
        <v>-24320040.670000006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421848</v>
      </c>
      <c r="E29" s="70">
        <f t="shared" si="4"/>
        <v>984816</v>
      </c>
      <c r="F29" s="69">
        <f t="shared" si="4"/>
        <v>-8172083</v>
      </c>
      <c r="G29" s="70">
        <f t="shared" si="4"/>
        <v>-18409621.840000004</v>
      </c>
      <c r="H29" s="69">
        <f t="shared" si="4"/>
        <v>-8593931</v>
      </c>
      <c r="I29" s="70">
        <f t="shared" si="4"/>
        <v>-19394437.840000004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'EAST-LRC-FLSH'!L32</f>
        <v>0</v>
      </c>
      <c r="E32" s="66">
        <f>'EAST-LRC-FLSH'!M32</f>
        <v>0</v>
      </c>
      <c r="F32" s="60">
        <f>'EAST-LRC-GL'!D32</f>
        <v>97465</v>
      </c>
      <c r="G32" s="38">
        <f>'EAST-LRC-GL'!E32</f>
        <v>229530.07500000001</v>
      </c>
      <c r="H32" s="60">
        <f>F32-D32</f>
        <v>97465</v>
      </c>
      <c r="I32" s="38">
        <f>G32-E32</f>
        <v>229530.07500000001</v>
      </c>
    </row>
    <row r="33" spans="1:9" x14ac:dyDescent="0.2">
      <c r="A33" s="9">
        <v>14</v>
      </c>
      <c r="B33" s="7"/>
      <c r="C33" s="18" t="s">
        <v>42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97465</v>
      </c>
      <c r="G36" s="39">
        <f t="shared" si="6"/>
        <v>229530.07500000001</v>
      </c>
      <c r="H36" s="61">
        <f t="shared" si="6"/>
        <v>97465</v>
      </c>
      <c r="I36" s="39">
        <f t="shared" si="6"/>
        <v>229530.07500000001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'EAST-LRC-FLSH'!L39</f>
        <v>947768</v>
      </c>
      <c r="E39" s="66">
        <f>'EAST-LRC-FLSH'!M39</f>
        <v>2227256</v>
      </c>
      <c r="F39" s="60">
        <f>'EAST-LRC-GL'!D39</f>
        <v>997496</v>
      </c>
      <c r="G39" s="38">
        <f>'EAST-LRC-GL'!E39</f>
        <v>2344115.6</v>
      </c>
      <c r="H39" s="60">
        <f t="shared" ref="H39:I41" si="7">F39-D39</f>
        <v>49728</v>
      </c>
      <c r="I39" s="38">
        <f t="shared" si="7"/>
        <v>116859.60000000009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'EAST-LRC-FLSH'!L40</f>
        <v>-544397</v>
      </c>
      <c r="E40" s="66">
        <f>'EAST-LRC-FLSH'!M40</f>
        <v>-1279332</v>
      </c>
      <c r="F40" s="60">
        <f>'EAST-LRC-GL'!D40</f>
        <v>-596064</v>
      </c>
      <c r="G40" s="38">
        <f>'EAST-LRC-GL'!E40</f>
        <v>-1400750.4000000001</v>
      </c>
      <c r="H40" s="60">
        <f t="shared" si="7"/>
        <v>-51667</v>
      </c>
      <c r="I40" s="38">
        <f t="shared" si="7"/>
        <v>-121418.40000000014</v>
      </c>
    </row>
    <row r="41" spans="1:9" x14ac:dyDescent="0.2">
      <c r="A41" s="9">
        <v>19</v>
      </c>
      <c r="B41" s="7"/>
      <c r="C41" s="18" t="s">
        <v>49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-544397</v>
      </c>
      <c r="E42" s="70">
        <f t="shared" si="8"/>
        <v>-1279332</v>
      </c>
      <c r="F42" s="69">
        <f t="shared" si="8"/>
        <v>-596064</v>
      </c>
      <c r="G42" s="70">
        <f t="shared" si="8"/>
        <v>-1400750.4000000001</v>
      </c>
      <c r="H42" s="69">
        <f t="shared" si="8"/>
        <v>-51667</v>
      </c>
      <c r="I42" s="70">
        <f t="shared" si="8"/>
        <v>-121418.40000000014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403371</v>
      </c>
      <c r="E43" s="39">
        <f t="shared" si="9"/>
        <v>947924</v>
      </c>
      <c r="F43" s="61">
        <f t="shared" si="9"/>
        <v>401432</v>
      </c>
      <c r="G43" s="39">
        <f t="shared" si="9"/>
        <v>943365.2</v>
      </c>
      <c r="H43" s="61">
        <f t="shared" si="9"/>
        <v>-1939</v>
      </c>
      <c r="I43" s="39">
        <f t="shared" si="9"/>
        <v>-4558.8000000000466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20900</v>
      </c>
      <c r="G45" s="38">
        <f>'EAST-LRC-GL'!E45</f>
        <v>35728.140000000014</v>
      </c>
      <c r="H45" s="60">
        <f>F45-D45</f>
        <v>20900</v>
      </c>
      <c r="I45" s="38">
        <f>G45-E45</f>
        <v>35728.140000000014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'EAST-LRC-FLSH'!L49</f>
        <v>-475484</v>
      </c>
      <c r="E49" s="66">
        <f>'EAST-LRC-FLSH'!M49</f>
        <v>-1074270.9391440554</v>
      </c>
      <c r="F49" s="60">
        <f>'EAST-LRC-GL'!D49</f>
        <v>13555</v>
      </c>
      <c r="G49" s="38">
        <f>'EAST-LRC-GL'!E49</f>
        <v>31922.019999999953</v>
      </c>
      <c r="H49" s="60">
        <f>F49-D49</f>
        <v>489039</v>
      </c>
      <c r="I49" s="38">
        <f>G49-E49</f>
        <v>1106192.9591440554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-38420</v>
      </c>
      <c r="G51" s="38">
        <f>'EAST-LRC-GL'!E51</f>
        <v>-87136.51999999999</v>
      </c>
      <c r="H51" s="60">
        <f>F51-D51</f>
        <v>-38420</v>
      </c>
      <c r="I51" s="38">
        <f>G51-E51</f>
        <v>-87136.51999999999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'EAST-LRC-FLSH'!L54</f>
        <v>0</v>
      </c>
      <c r="E54" s="66">
        <f>'EAST-LRC-FLSH'!M54</f>
        <v>0</v>
      </c>
      <c r="F54" s="60">
        <f>'EAST-LRC-GL'!D54</f>
        <v>-11444</v>
      </c>
      <c r="G54" s="38">
        <f>'EAST-LRC-GL'!E54</f>
        <v>29294.05</v>
      </c>
      <c r="H54" s="60">
        <f>F54-D54</f>
        <v>-11444</v>
      </c>
      <c r="I54" s="38">
        <f>G54-E54</f>
        <v>29294.05</v>
      </c>
    </row>
    <row r="55" spans="1:9" x14ac:dyDescent="0.2">
      <c r="A55" s="9">
        <v>25</v>
      </c>
      <c r="B55" s="7"/>
      <c r="C55" s="18" t="s">
        <v>58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-11444</v>
      </c>
      <c r="G56" s="39">
        <f t="shared" si="10"/>
        <v>29294.05</v>
      </c>
      <c r="H56" s="61">
        <f t="shared" si="10"/>
        <v>-11444</v>
      </c>
      <c r="I56" s="39">
        <f t="shared" si="10"/>
        <v>29294.05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'EAST-LRC-FLSH'!L59</f>
        <v>0</v>
      </c>
      <c r="E59" s="66">
        <f>'EAST-LRC-FLSH'!M59</f>
        <v>0</v>
      </c>
      <c r="F59" s="60">
        <f>'EAST-LRC-GL'!D59</f>
        <v>3034645</v>
      </c>
      <c r="G59" s="38">
        <f>'EAST-LRC-GL'!E59</f>
        <v>58367.839999999997</v>
      </c>
      <c r="H59" s="60">
        <f>F59-D59</f>
        <v>3034645</v>
      </c>
      <c r="I59" s="38">
        <f>G59-E59</f>
        <v>58367.839999999997</v>
      </c>
    </row>
    <row r="60" spans="1:9" x14ac:dyDescent="0.2">
      <c r="A60" s="9">
        <v>27</v>
      </c>
      <c r="B60" s="11"/>
      <c r="C60" s="18" t="s">
        <v>62</v>
      </c>
      <c r="D60" s="65">
        <f>'EAST-LRC-FLSH'!L60</f>
        <v>0</v>
      </c>
      <c r="E60" s="66">
        <f>'EAST-LRC-FLSH'!M60</f>
        <v>104001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-104001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104001</v>
      </c>
      <c r="F61" s="69">
        <f t="shared" si="11"/>
        <v>3034645</v>
      </c>
      <c r="G61" s="70">
        <f t="shared" si="11"/>
        <v>58367.839999999997</v>
      </c>
      <c r="H61" s="69">
        <f t="shared" si="11"/>
        <v>3034645</v>
      </c>
      <c r="I61" s="70">
        <f t="shared" si="11"/>
        <v>-45633.16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'EAST-LRC-FLSH'!L64</f>
        <v>0</v>
      </c>
      <c r="E64" s="66">
        <f>'EAST-LRC-FLSH'!M64</f>
        <v>0</v>
      </c>
      <c r="F64" s="60">
        <f>'EAST-LRC-GL'!D64</f>
        <v>-22171519</v>
      </c>
      <c r="G64" s="38">
        <f>'EAST-LRC-GL'!E64</f>
        <v>-2470573.3600000003</v>
      </c>
      <c r="H64" s="60">
        <f>F64-D64</f>
        <v>-22171519</v>
      </c>
      <c r="I64" s="38">
        <f>G64-E64</f>
        <v>-2470573.3600000003</v>
      </c>
    </row>
    <row r="65" spans="1:9" x14ac:dyDescent="0.2">
      <c r="A65" s="9">
        <v>29</v>
      </c>
      <c r="B65" s="11"/>
      <c r="C65" s="18" t="s">
        <v>65</v>
      </c>
      <c r="D65" s="65">
        <f>'EAST-LRC-FLSH'!L65</f>
        <v>0</v>
      </c>
      <c r="E65" s="66">
        <f>'EAST-LRC-FLSH'!M65</f>
        <v>0</v>
      </c>
      <c r="F65" s="60">
        <f>'EAST-LRC-GL'!D65</f>
        <v>22202788</v>
      </c>
      <c r="G65" s="38">
        <f>'EAST-LRC-GL'!E65</f>
        <v>2300573.36</v>
      </c>
      <c r="H65" s="60">
        <f>F65-D65</f>
        <v>22202788</v>
      </c>
      <c r="I65" s="38">
        <f>G65-E65</f>
        <v>2300573.36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31269</v>
      </c>
      <c r="G66" s="39">
        <f t="shared" si="12"/>
        <v>-170000.00000000047</v>
      </c>
      <c r="H66" s="61">
        <f t="shared" si="12"/>
        <v>31269</v>
      </c>
      <c r="I66" s="39">
        <f t="shared" si="12"/>
        <v>-170000.00000000047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77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'EAST-LRC-FLSH'!L81</f>
        <v>0</v>
      </c>
      <c r="E81" s="66">
        <f>'EAST-LRC-FLSH'!M81</f>
        <v>0</v>
      </c>
      <c r="F81" s="60">
        <f>'EAST-LRC-GL'!D81</f>
        <v>-31269</v>
      </c>
      <c r="G81" s="38">
        <f>'EAST-LRC-GL'!E81</f>
        <v>170000</v>
      </c>
      <c r="H81" s="60">
        <f>F81-D81</f>
        <v>-31269</v>
      </c>
      <c r="I81" s="38">
        <f>G81-E81</f>
        <v>170000</v>
      </c>
    </row>
    <row r="82" spans="1:63" s="12" customFormat="1" ht="20.25" customHeight="1" thickBot="1" x14ac:dyDescent="0.3">
      <c r="A82" s="20"/>
      <c r="B82" s="21"/>
      <c r="C82" s="22" t="s">
        <v>81</v>
      </c>
      <c r="D82" s="71">
        <f>D16+D24+D29+D36+D43+D45+D47+D49</f>
        <v>-60000</v>
      </c>
      <c r="E82" s="72">
        <f>SUM(E72:E81)+E16+E24+E29+E36+E43+E45+E47+E49+E51+E56+E61+E66</f>
        <v>-2895910.9391440554</v>
      </c>
      <c r="F82" s="71">
        <f>F16+F24+F29+F36+F43+F45+F47+F49</f>
        <v>-8178</v>
      </c>
      <c r="G82" s="72">
        <f>SUM(G72:G81)+G16+G24+G29+G36+G43+G45+G47+G49+G51+G56+G61+G66</f>
        <v>1066024.1249999925</v>
      </c>
      <c r="H82" s="71">
        <f>H16+H24+H29+H36+H43+H45+H47+H49</f>
        <v>51822</v>
      </c>
      <c r="I82" s="72">
        <f>SUM(I72:I81)+I16+I24+I29+I36+I43+I45+I47+I49+I51+I56+I61+I66</f>
        <v>3961935.0641440516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26" activePane="bottomRight" state="frozen"/>
      <selection activeCell="H86" sqref="H86"/>
      <selection pane="topRight" activeCell="H86" sqref="H86"/>
      <selection pane="bottomLeft" activeCell="H86" sqref="H86"/>
      <selection pane="bottomRight" activeCell="I26" sqref="I2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'EAST-CON-FLSH'!L11</f>
        <v>74994646</v>
      </c>
      <c r="E11" s="66">
        <f>'EAST-CON-FLSH'!M11</f>
        <v>178154561</v>
      </c>
      <c r="F11" s="60">
        <f>'EAST-CON-GL '!D11</f>
        <v>93753776</v>
      </c>
      <c r="G11" s="38">
        <f>'EAST-CON-GL '!E11</f>
        <v>227872085.43999997</v>
      </c>
      <c r="H11" s="60">
        <f>F11-D11</f>
        <v>18759130</v>
      </c>
      <c r="I11" s="38">
        <f>G11-E11</f>
        <v>49717524.439999968</v>
      </c>
    </row>
    <row r="12" spans="1:22" x14ac:dyDescent="0.2">
      <c r="A12" s="9">
        <v>2</v>
      </c>
      <c r="B12" s="7"/>
      <c r="C12" s="18" t="s">
        <v>28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-1651543.9000000001</v>
      </c>
      <c r="H12" s="60">
        <f>F12-D12</f>
        <v>0</v>
      </c>
      <c r="I12" s="38">
        <f>G12-E12</f>
        <v>-1651543.9000000001</v>
      </c>
    </row>
    <row r="13" spans="1:22" x14ac:dyDescent="0.2">
      <c r="A13" s="9">
        <v>3</v>
      </c>
      <c r="B13" s="7"/>
      <c r="C13" s="18" t="s">
        <v>29</v>
      </c>
      <c r="D13" s="65">
        <f>'EAST-CON-FLSH'!L13</f>
        <v>72722774</v>
      </c>
      <c r="E13" s="66">
        <f>'EAST-CON-FLSH'!M13</f>
        <v>166733479</v>
      </c>
      <c r="F13" s="60">
        <f>'EAST-CON-GL '!D13</f>
        <v>48098747</v>
      </c>
      <c r="G13" s="38">
        <f>'EAST-CON-GL '!E13</f>
        <v>110384760</v>
      </c>
      <c r="H13" s="60">
        <f t="shared" ref="H13:I15" si="0">F13-D13</f>
        <v>-24624027</v>
      </c>
      <c r="I13" s="38">
        <f t="shared" si="0"/>
        <v>-56348719</v>
      </c>
    </row>
    <row r="14" spans="1:22" x14ac:dyDescent="0.2">
      <c r="A14" s="9">
        <v>4</v>
      </c>
      <c r="B14" s="7"/>
      <c r="C14" s="18" t="s">
        <v>30</v>
      </c>
      <c r="D14" s="65">
        <f>'EAST-CON-FLSH'!L14</f>
        <v>0</v>
      </c>
      <c r="E14" s="66">
        <f>'EAST-CON-FLSH'!M14</f>
        <v>24768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-24768</v>
      </c>
    </row>
    <row r="15" spans="1:22" x14ac:dyDescent="0.2">
      <c r="A15" s="9">
        <v>5</v>
      </c>
      <c r="B15" s="7"/>
      <c r="C15" s="18" t="s">
        <v>31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147717420</v>
      </c>
      <c r="E16" s="39">
        <f t="shared" si="1"/>
        <v>344912808</v>
      </c>
      <c r="F16" s="61">
        <f t="shared" si="1"/>
        <v>141852523</v>
      </c>
      <c r="G16" s="39">
        <f t="shared" si="1"/>
        <v>336605301.53999996</v>
      </c>
      <c r="H16" s="61">
        <f t="shared" si="1"/>
        <v>-5864897</v>
      </c>
      <c r="I16" s="39">
        <f t="shared" si="1"/>
        <v>-8307506.4600000307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'EAST-CON-FLSH'!L19</f>
        <v>-87791806</v>
      </c>
      <c r="E19" s="66">
        <f>'EAST-CON-FLSH'!M19</f>
        <v>-205788805</v>
      </c>
      <c r="F19" s="60">
        <f>'EAST-CON-GL '!D19</f>
        <v>-92598252</v>
      </c>
      <c r="G19" s="38">
        <f>'EAST-CON-GL '!E19</f>
        <v>-216871224.41999996</v>
      </c>
      <c r="H19" s="60">
        <f>F19-D19</f>
        <v>-4806446</v>
      </c>
      <c r="I19" s="38">
        <f>G19-E19</f>
        <v>-11082419.419999957</v>
      </c>
    </row>
    <row r="20" spans="1:9" x14ac:dyDescent="0.2">
      <c r="A20" s="9">
        <v>7</v>
      </c>
      <c r="B20" s="7"/>
      <c r="C20" s="18" t="s">
        <v>28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-3288942.37</v>
      </c>
      <c r="H20" s="60">
        <f>F20-D20</f>
        <v>0</v>
      </c>
      <c r="I20" s="38">
        <f>G20-E20</f>
        <v>-3288942.37</v>
      </c>
    </row>
    <row r="21" spans="1:9" x14ac:dyDescent="0.2">
      <c r="A21" s="9">
        <v>8</v>
      </c>
      <c r="B21" s="7"/>
      <c r="C21" s="18" t="s">
        <v>29</v>
      </c>
      <c r="D21" s="65">
        <f>'EAST-CON-FLSH'!L21</f>
        <v>-61040909</v>
      </c>
      <c r="E21" s="66">
        <f>'EAST-CON-FLSH'!M21</f>
        <v>-139756907</v>
      </c>
      <c r="F21" s="60">
        <f>'EAST-CON-GL '!D21</f>
        <v>-40530677</v>
      </c>
      <c r="G21" s="38">
        <f>'EAST-CON-GL '!E21</f>
        <v>-92564051</v>
      </c>
      <c r="H21" s="60">
        <f t="shared" ref="H21:I23" si="2">F21-D21</f>
        <v>20510232</v>
      </c>
      <c r="I21" s="38">
        <f t="shared" si="2"/>
        <v>47192856</v>
      </c>
    </row>
    <row r="22" spans="1:9" x14ac:dyDescent="0.2">
      <c r="A22" s="9">
        <v>9</v>
      </c>
      <c r="B22" s="7"/>
      <c r="C22" s="18" t="s">
        <v>30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'EAST-CON-FLSH'!L23</f>
        <v>237567</v>
      </c>
      <c r="E23" s="66">
        <f>'EAST-CON-FLSH'!M23</f>
        <v>531921</v>
      </c>
      <c r="F23" s="60">
        <f>'EAST-CON-GL '!D23</f>
        <v>339450</v>
      </c>
      <c r="G23" s="38">
        <f>'EAST-CON-GL '!E23</f>
        <v>796866.98</v>
      </c>
      <c r="H23" s="60">
        <f t="shared" si="2"/>
        <v>101883</v>
      </c>
      <c r="I23" s="38">
        <f t="shared" si="2"/>
        <v>264945.98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-148595148</v>
      </c>
      <c r="E24" s="39">
        <f t="shared" si="3"/>
        <v>-345013791</v>
      </c>
      <c r="F24" s="61">
        <f t="shared" si="3"/>
        <v>-132789479</v>
      </c>
      <c r="G24" s="39">
        <f t="shared" si="3"/>
        <v>-311927350.80999994</v>
      </c>
      <c r="H24" s="61">
        <f t="shared" si="3"/>
        <v>15805669</v>
      </c>
      <c r="I24" s="39">
        <f t="shared" si="3"/>
        <v>33086440.190000042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'EAST-CON-FLSH'!L27</f>
        <v>0</v>
      </c>
      <c r="E27" s="66">
        <f>'EAST-CON-FLSH'!M27</f>
        <v>0</v>
      </c>
      <c r="F27" s="60">
        <f>'EAST-CON-GL '!D27</f>
        <v>3182791</v>
      </c>
      <c r="G27" s="38">
        <f>'EAST-CON-GL '!E27</f>
        <v>7163048.6000000006</v>
      </c>
      <c r="H27" s="60">
        <f>F27-D27</f>
        <v>3182791</v>
      </c>
      <c r="I27" s="38">
        <f>G27-E27</f>
        <v>7163048.6000000006</v>
      </c>
    </row>
    <row r="28" spans="1:9" x14ac:dyDescent="0.2">
      <c r="A28" s="9">
        <v>12</v>
      </c>
      <c r="B28" s="7"/>
      <c r="C28" s="18" t="s">
        <v>38</v>
      </c>
      <c r="D28" s="65">
        <f>'EAST-CON-FLSH'!L28</f>
        <v>0</v>
      </c>
      <c r="E28" s="66">
        <f>'EAST-CON-FLSH'!M28</f>
        <v>0</v>
      </c>
      <c r="F28" s="60">
        <f>'EAST-CON-GL '!D28</f>
        <v>-14458217</v>
      </c>
      <c r="G28" s="38">
        <f>'EAST-CON-GL '!E28</f>
        <v>-32605974.980000008</v>
      </c>
      <c r="H28" s="60">
        <f>F28-D28</f>
        <v>-14458217</v>
      </c>
      <c r="I28" s="38">
        <f>G28-E28</f>
        <v>-32605974.980000008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-11275426</v>
      </c>
      <c r="G29" s="70">
        <f t="shared" si="4"/>
        <v>-25442926.380000006</v>
      </c>
      <c r="H29" s="69">
        <f t="shared" si="4"/>
        <v>-11275426</v>
      </c>
      <c r="I29" s="70">
        <f t="shared" si="4"/>
        <v>-25442926.380000006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'EAST-CON-FLSH'!L32</f>
        <v>326249</v>
      </c>
      <c r="E32" s="66">
        <f>'EAST-CON-FLSH'!M32</f>
        <v>812865</v>
      </c>
      <c r="F32" s="60">
        <f>'EAST-CON-GL '!D32</f>
        <v>487907</v>
      </c>
      <c r="G32" s="38">
        <f>'EAST-CON-GL '!E32</f>
        <v>1149021.6500000001</v>
      </c>
      <c r="H32" s="60">
        <f>F32-D32</f>
        <v>161658</v>
      </c>
      <c r="I32" s="38">
        <f>G32-E32</f>
        <v>336156.65000000014</v>
      </c>
    </row>
    <row r="33" spans="1:9" x14ac:dyDescent="0.2">
      <c r="A33" s="9">
        <v>14</v>
      </c>
      <c r="B33" s="7"/>
      <c r="C33" s="18" t="s">
        <v>42</v>
      </c>
      <c r="D33" s="65">
        <f>'EAST-CON-FLSH'!L33</f>
        <v>41175</v>
      </c>
      <c r="E33" s="66">
        <f>'EAST-CON-FLSH'!M33</f>
        <v>54822.219054628862</v>
      </c>
      <c r="F33" s="60">
        <f>'EAST-CON-GL '!D33</f>
        <v>-201207</v>
      </c>
      <c r="G33" s="38">
        <f>'EAST-CON-GL '!E33</f>
        <v>-469944.86000000004</v>
      </c>
      <c r="H33" s="60">
        <f t="shared" ref="H33:I35" si="5">F33-D33</f>
        <v>-242382</v>
      </c>
      <c r="I33" s="38">
        <f t="shared" si="5"/>
        <v>-524767.07905462896</v>
      </c>
    </row>
    <row r="34" spans="1:9" x14ac:dyDescent="0.2">
      <c r="A34" s="9">
        <v>15</v>
      </c>
      <c r="B34" s="7"/>
      <c r="C34" s="18" t="s">
        <v>43</v>
      </c>
      <c r="D34" s="65">
        <f>'EAST-CON-FLSH'!L34</f>
        <v>559377</v>
      </c>
      <c r="E34" s="66">
        <f>'EAST-CON-FLSH'!M34</f>
        <v>1269071</v>
      </c>
      <c r="F34" s="60">
        <f>'EAST-CON-GL '!D34</f>
        <v>134795</v>
      </c>
      <c r="G34" s="38">
        <f>'EAST-CON-GL '!E34</f>
        <v>294426.44999999995</v>
      </c>
      <c r="H34" s="60">
        <f t="shared" si="5"/>
        <v>-424582</v>
      </c>
      <c r="I34" s="38">
        <f t="shared" si="5"/>
        <v>-974644.55</v>
      </c>
    </row>
    <row r="35" spans="1:9" x14ac:dyDescent="0.2">
      <c r="A35" s="9">
        <v>16</v>
      </c>
      <c r="B35" s="7"/>
      <c r="C35" s="18" t="s">
        <v>44</v>
      </c>
      <c r="D35" s="65">
        <f>'EAST-CON-FLSH'!L35</f>
        <v>-346452</v>
      </c>
      <c r="E35" s="66">
        <f>'EAST-CON-FLSH'!M35</f>
        <v>-778472</v>
      </c>
      <c r="F35" s="60">
        <f>'EAST-CON-GL '!D35</f>
        <v>500000</v>
      </c>
      <c r="G35" s="38">
        <f>'EAST-CON-GL '!E35</f>
        <v>1177499.99</v>
      </c>
      <c r="H35" s="60">
        <f t="shared" si="5"/>
        <v>846452</v>
      </c>
      <c r="I35" s="38">
        <f t="shared" si="5"/>
        <v>1955971.99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580349</v>
      </c>
      <c r="E36" s="39">
        <f t="shared" si="6"/>
        <v>1358286.2190546291</v>
      </c>
      <c r="F36" s="61">
        <f t="shared" si="6"/>
        <v>921495</v>
      </c>
      <c r="G36" s="39">
        <f t="shared" si="6"/>
        <v>2151003.23</v>
      </c>
      <c r="H36" s="61">
        <f t="shared" si="6"/>
        <v>341146</v>
      </c>
      <c r="I36" s="39">
        <f t="shared" si="6"/>
        <v>792717.01094537112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'EAST-CON-FLSH'!L39</f>
        <v>635909</v>
      </c>
      <c r="E39" s="66">
        <f>'EAST-CON-FLSH'!M39</f>
        <v>1491229</v>
      </c>
      <c r="F39" s="60">
        <f>'EAST-CON-GL '!D39</f>
        <v>997496</v>
      </c>
      <c r="G39" s="38">
        <f>'EAST-CON-GL '!E39</f>
        <v>2344115.6</v>
      </c>
      <c r="H39" s="60">
        <f t="shared" ref="H39:I41" si="7">F39-D39</f>
        <v>361587</v>
      </c>
      <c r="I39" s="38">
        <f t="shared" si="7"/>
        <v>852886.60000000009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'EAST-CON-FLSH'!L40</f>
        <v>-338530</v>
      </c>
      <c r="E40" s="66">
        <f>'EAST-CON-FLSH'!M40</f>
        <v>-795545</v>
      </c>
      <c r="F40" s="60">
        <f>'EAST-CON-GL '!D40</f>
        <v>-596064</v>
      </c>
      <c r="G40" s="38">
        <f>'EAST-CON-GL '!E40</f>
        <v>-1400750.4000000001</v>
      </c>
      <c r="H40" s="60">
        <f t="shared" si="7"/>
        <v>-257534</v>
      </c>
      <c r="I40" s="38">
        <f t="shared" si="7"/>
        <v>-605205.40000000014</v>
      </c>
    </row>
    <row r="41" spans="1:9" x14ac:dyDescent="0.2">
      <c r="A41" s="9">
        <v>19</v>
      </c>
      <c r="B41" s="7"/>
      <c r="C41" s="18" t="s">
        <v>49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-338530</v>
      </c>
      <c r="E42" s="70">
        <f t="shared" si="8"/>
        <v>-795545</v>
      </c>
      <c r="F42" s="69">
        <f t="shared" si="8"/>
        <v>-596064</v>
      </c>
      <c r="G42" s="70">
        <f t="shared" si="8"/>
        <v>-1400750.4000000001</v>
      </c>
      <c r="H42" s="69">
        <f t="shared" si="8"/>
        <v>-257534</v>
      </c>
      <c r="I42" s="70">
        <f t="shared" si="8"/>
        <v>-605205.40000000014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297379</v>
      </c>
      <c r="E43" s="39">
        <f t="shared" si="9"/>
        <v>695684</v>
      </c>
      <c r="F43" s="61">
        <f t="shared" si="9"/>
        <v>401432</v>
      </c>
      <c r="G43" s="39">
        <f t="shared" si="9"/>
        <v>943365.2</v>
      </c>
      <c r="H43" s="61">
        <f t="shared" si="9"/>
        <v>104053</v>
      </c>
      <c r="I43" s="39">
        <f t="shared" si="9"/>
        <v>247681.19999999995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20900</v>
      </c>
      <c r="G45" s="38">
        <f>'EAST-CON-GL '!E45</f>
        <v>35728.140000000014</v>
      </c>
      <c r="H45" s="60">
        <f>F45-D45</f>
        <v>20900</v>
      </c>
      <c r="I45" s="38">
        <f>G45-E45</f>
        <v>35728.140000000014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'EAST-CON-FLSH'!L49</f>
        <v>0</v>
      </c>
      <c r="E49" s="66">
        <f>'EAST-CON-FLSH'!M49</f>
        <v>0</v>
      </c>
      <c r="F49" s="60">
        <f>'EAST-CON-GL '!D49</f>
        <v>860377</v>
      </c>
      <c r="G49" s="38">
        <f>'EAST-CON-GL '!E49</f>
        <v>2026187.8299999991</v>
      </c>
      <c r="H49" s="60">
        <f>F49-D49</f>
        <v>860377</v>
      </c>
      <c r="I49" s="38">
        <f>G49-E49</f>
        <v>2026187.8299999991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'EAST-CON-FLSH'!L51</f>
        <v>-237567</v>
      </c>
      <c r="E51" s="66">
        <f>'EAST-CON-FLSH'!M51</f>
        <v>-531921</v>
      </c>
      <c r="F51" s="60">
        <f>'EAST-CON-GL '!D51</f>
        <v>-435454</v>
      </c>
      <c r="G51" s="38">
        <f>'EAST-CON-GL '!E51</f>
        <v>-816802.66</v>
      </c>
      <c r="H51" s="60">
        <f>F51-D51</f>
        <v>-197887</v>
      </c>
      <c r="I51" s="38">
        <f>G51-E51</f>
        <v>-284881.66000000003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'EAST-CON-FLSH'!L54</f>
        <v>0</v>
      </c>
      <c r="E54" s="66">
        <f>'EAST-CON-FLSH'!M54</f>
        <v>-509841</v>
      </c>
      <c r="F54" s="60">
        <f>'EAST-CON-GL '!D54</f>
        <v>-27591023</v>
      </c>
      <c r="G54" s="38">
        <f>'EAST-CON-GL '!E54</f>
        <v>-506377.36000000004</v>
      </c>
      <c r="H54" s="60">
        <f>F54-D54</f>
        <v>-27591023</v>
      </c>
      <c r="I54" s="38">
        <f>G54-E54</f>
        <v>3463.6399999999558</v>
      </c>
    </row>
    <row r="55" spans="1:9" x14ac:dyDescent="0.2">
      <c r="A55" s="9">
        <v>25</v>
      </c>
      <c r="B55" s="7"/>
      <c r="C55" s="18" t="s">
        <v>58</v>
      </c>
      <c r="D55" s="65">
        <f>'EAST-CON-FLSH'!L55</f>
        <v>0</v>
      </c>
      <c r="E55" s="66">
        <f>'EAST-CON-FLSH'!M55</f>
        <v>-1302091</v>
      </c>
      <c r="F55" s="60">
        <f>'EAST-CON-GL '!D55</f>
        <v>0</v>
      </c>
      <c r="G55" s="38">
        <f>'EAST-CON-GL '!E55</f>
        <v>-2640939.2300000004</v>
      </c>
      <c r="H55" s="60">
        <f>F55-D55</f>
        <v>0</v>
      </c>
      <c r="I55" s="38">
        <f>G55-E55</f>
        <v>-1338848.2300000004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-1811932</v>
      </c>
      <c r="F56" s="61">
        <f t="shared" si="10"/>
        <v>-27591023</v>
      </c>
      <c r="G56" s="39">
        <f t="shared" si="10"/>
        <v>-3147316.5900000003</v>
      </c>
      <c r="H56" s="61">
        <f t="shared" si="10"/>
        <v>-27591023</v>
      </c>
      <c r="I56" s="39">
        <f t="shared" si="10"/>
        <v>-1335384.5900000005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'EAST-CON-FLSH'!L59</f>
        <v>0</v>
      </c>
      <c r="E59" s="66">
        <f>'EAST-CON-FLSH'!M59</f>
        <v>0</v>
      </c>
      <c r="F59" s="60">
        <f>'EAST-CON-GL '!D59</f>
        <v>3034645</v>
      </c>
      <c r="G59" s="38">
        <f>'EAST-CON-GL '!E59</f>
        <v>58367.839999999997</v>
      </c>
      <c r="H59" s="60">
        <f>F59-D59</f>
        <v>3034645</v>
      </c>
      <c r="I59" s="38">
        <f>G59-E59</f>
        <v>58367.839999999997</v>
      </c>
    </row>
    <row r="60" spans="1:9" x14ac:dyDescent="0.2">
      <c r="A60" s="9">
        <v>27</v>
      </c>
      <c r="B60" s="11"/>
      <c r="C60" s="18" t="s">
        <v>62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3034645</v>
      </c>
      <c r="G61" s="70">
        <f t="shared" si="11"/>
        <v>58367.839999999997</v>
      </c>
      <c r="H61" s="69">
        <f t="shared" si="11"/>
        <v>3034645</v>
      </c>
      <c r="I61" s="70">
        <f t="shared" si="11"/>
        <v>58367.839999999997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'EAST-CON-FLSH'!L64</f>
        <v>0</v>
      </c>
      <c r="E64" s="66">
        <f>'EAST-CON-FLSH'!M64</f>
        <v>70884</v>
      </c>
      <c r="F64" s="60">
        <f>'EAST-CON-GL '!D64</f>
        <v>-22331183</v>
      </c>
      <c r="G64" s="38">
        <f>'EAST-CON-GL '!E64</f>
        <v>-2486539.7600000002</v>
      </c>
      <c r="H64" s="60">
        <f>F64-D64</f>
        <v>-22331183</v>
      </c>
      <c r="I64" s="38">
        <f>G64-E64</f>
        <v>-2557423.7600000002</v>
      </c>
    </row>
    <row r="65" spans="1:9" x14ac:dyDescent="0.2">
      <c r="A65" s="9">
        <v>29</v>
      </c>
      <c r="B65" s="11"/>
      <c r="C65" s="18" t="s">
        <v>65</v>
      </c>
      <c r="D65" s="65">
        <f>'EAST-CON-FLSH'!L65</f>
        <v>0</v>
      </c>
      <c r="E65" s="66">
        <f>'EAST-CON-FLSH'!M65</f>
        <v>0</v>
      </c>
      <c r="F65" s="60">
        <f>'EAST-CON-GL '!D65</f>
        <v>22362452</v>
      </c>
      <c r="G65" s="38">
        <f>'EAST-CON-GL '!E65</f>
        <v>2316539.7599999998</v>
      </c>
      <c r="H65" s="60">
        <f>F65-D65</f>
        <v>22362452</v>
      </c>
      <c r="I65" s="38">
        <f>G65-E65</f>
        <v>2316539.7599999998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70884</v>
      </c>
      <c r="F66" s="61">
        <f t="shared" si="12"/>
        <v>31269</v>
      </c>
      <c r="G66" s="39">
        <f t="shared" si="12"/>
        <v>-170000.00000000047</v>
      </c>
      <c r="H66" s="61">
        <f t="shared" si="12"/>
        <v>31269</v>
      </c>
      <c r="I66" s="39">
        <f t="shared" si="12"/>
        <v>-240884.00000000047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'EAST-CON-FLSH'!L70</f>
        <v>0</v>
      </c>
      <c r="E70" s="66">
        <f>'EAST-CON-FLSH'!M70</f>
        <v>2849705.85</v>
      </c>
      <c r="F70" s="60">
        <f>'EAST-CON-GL '!D70</f>
        <v>0</v>
      </c>
      <c r="G70" s="38">
        <f>'EAST-CON-GL '!E70</f>
        <v>2978874.85</v>
      </c>
      <c r="H70" s="60">
        <f>F70-D70</f>
        <v>0</v>
      </c>
      <c r="I70" s="38">
        <f>G70-E70</f>
        <v>129169</v>
      </c>
    </row>
    <row r="71" spans="1:9" x14ac:dyDescent="0.2">
      <c r="A71" s="9">
        <v>31</v>
      </c>
      <c r="B71" s="3"/>
      <c r="C71" s="10" t="s">
        <v>70</v>
      </c>
      <c r="D71" s="65">
        <f>'EAST-CON-FLSH'!L71</f>
        <v>0</v>
      </c>
      <c r="E71" s="66">
        <f>'EAST-CON-FLSH'!M71</f>
        <v>196193</v>
      </c>
      <c r="F71" s="60">
        <f>'EAST-CON-GL '!D71</f>
        <v>0</v>
      </c>
      <c r="G71" s="38">
        <f>'EAST-CON-GL '!E71</f>
        <v>196194.06</v>
      </c>
      <c r="H71" s="60">
        <f>F71-D71</f>
        <v>0</v>
      </c>
      <c r="I71" s="38">
        <f>G71-E71</f>
        <v>1.0599999999976717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3045898.85</v>
      </c>
      <c r="F72" s="69">
        <f t="shared" si="13"/>
        <v>0</v>
      </c>
      <c r="G72" s="70">
        <f t="shared" si="13"/>
        <v>3175068.91</v>
      </c>
      <c r="H72" s="69">
        <f t="shared" si="13"/>
        <v>0</v>
      </c>
      <c r="I72" s="70">
        <f t="shared" si="13"/>
        <v>129170.06</v>
      </c>
    </row>
    <row r="73" spans="1:9" x14ac:dyDescent="0.2">
      <c r="A73" s="9">
        <v>32</v>
      </c>
      <c r="B73" s="3"/>
      <c r="C73" s="10" t="s">
        <v>72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'EAST-CON-FLSH'!L74</f>
        <v>0</v>
      </c>
      <c r="E74" s="66">
        <f>'EAST-CON-FLSH'!M74</f>
        <v>-2871909</v>
      </c>
      <c r="F74" s="60">
        <f>'EAST-CON-GL '!D74</f>
        <v>0</v>
      </c>
      <c r="G74" s="38">
        <f>'EAST-CON-GL '!E74</f>
        <v>-3062891.35</v>
      </c>
      <c r="H74" s="60">
        <f t="shared" ref="H74:I79" si="14">F74-D74</f>
        <v>0</v>
      </c>
      <c r="I74" s="38">
        <f t="shared" si="14"/>
        <v>-190982.35000000009</v>
      </c>
    </row>
    <row r="75" spans="1:9" x14ac:dyDescent="0.2">
      <c r="A75" s="9">
        <v>34</v>
      </c>
      <c r="B75" s="3"/>
      <c r="C75" s="10" t="s">
        <v>74</v>
      </c>
      <c r="D75" s="65">
        <f>'EAST-CON-FLSH'!L75</f>
        <v>0</v>
      </c>
      <c r="E75" s="66">
        <f>'EAST-CON-FLSH'!M75</f>
        <v>667651</v>
      </c>
      <c r="F75" s="60">
        <f>'EAST-CON-GL '!D75</f>
        <v>0</v>
      </c>
      <c r="G75" s="38">
        <f>'EAST-CON-GL '!E75</f>
        <v>667700</v>
      </c>
      <c r="H75" s="60">
        <f t="shared" si="14"/>
        <v>0</v>
      </c>
      <c r="I75" s="38">
        <f t="shared" si="14"/>
        <v>49</v>
      </c>
    </row>
    <row r="76" spans="1:9" x14ac:dyDescent="0.2">
      <c r="A76" s="9">
        <v>35</v>
      </c>
      <c r="B76" s="3"/>
      <c r="C76" s="10" t="s">
        <v>75</v>
      </c>
      <c r="D76" s="65">
        <f>'EAST-CON-FLSH'!L76</f>
        <v>0</v>
      </c>
      <c r="E76" s="66">
        <f>'EAST-CON-FLSH'!M76</f>
        <v>-8213</v>
      </c>
      <c r="F76" s="60">
        <f>'EAST-CON-GL '!D76</f>
        <v>0</v>
      </c>
      <c r="G76" s="38">
        <f>'EAST-CON-GL '!E76</f>
        <v>-283837.52</v>
      </c>
      <c r="H76" s="60">
        <f t="shared" si="14"/>
        <v>0</v>
      </c>
      <c r="I76" s="38">
        <f t="shared" si="14"/>
        <v>-275624.52</v>
      </c>
    </row>
    <row r="77" spans="1:9" x14ac:dyDescent="0.2">
      <c r="A77" s="9">
        <v>36</v>
      </c>
      <c r="B77" s="3"/>
      <c r="C77" s="10" t="s">
        <v>76</v>
      </c>
      <c r="D77" s="65">
        <f>'EAST-CON-FLSH'!L77</f>
        <v>0</v>
      </c>
      <c r="E77" s="66">
        <f>'EAST-CON-FLSH'!M77</f>
        <v>-1226809</v>
      </c>
      <c r="F77" s="60">
        <f>'EAST-CON-GL '!D77</f>
        <v>0</v>
      </c>
      <c r="G77" s="38">
        <f>'EAST-CON-GL '!E77</f>
        <v>-3226809</v>
      </c>
      <c r="H77" s="60">
        <f t="shared" si="14"/>
        <v>0</v>
      </c>
      <c r="I77" s="38">
        <f t="shared" si="14"/>
        <v>-2000000</v>
      </c>
    </row>
    <row r="78" spans="1:9" x14ac:dyDescent="0.2">
      <c r="A78" s="9">
        <v>37</v>
      </c>
      <c r="B78" s="3"/>
      <c r="C78" s="10" t="s">
        <v>77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78</v>
      </c>
      <c r="D79" s="65">
        <f>'EAST-CON-FLSH'!L79</f>
        <v>0</v>
      </c>
      <c r="E79" s="66">
        <f>'EAST-CON-FLSH'!M79</f>
        <v>878217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-878217</v>
      </c>
    </row>
    <row r="80" spans="1:9" x14ac:dyDescent="0.2">
      <c r="A80" s="9">
        <v>39</v>
      </c>
      <c r="B80" s="3"/>
      <c r="C80" s="10" t="s">
        <v>79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'EAST-CON-FLSH'!L81</f>
        <v>0</v>
      </c>
      <c r="E81" s="66">
        <f>'EAST-CON-FLSH'!M81</f>
        <v>-1987039</v>
      </c>
      <c r="F81" s="60">
        <f>'EAST-CON-GL '!D81</f>
        <v>-31269</v>
      </c>
      <c r="G81" s="38">
        <f>'EAST-CON-GL '!E81</f>
        <v>1019655.87</v>
      </c>
      <c r="H81" s="60">
        <f>F81-D81</f>
        <v>-31269</v>
      </c>
      <c r="I81" s="38">
        <f>G81-E81</f>
        <v>3006694.87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-1797660.9859453542</v>
      </c>
      <c r="F82" s="111">
        <f>F16+F24+F29+F36+F43+F45+F47+F49</f>
        <v>-8178</v>
      </c>
      <c r="G82" s="112">
        <f>SUM(G72:G81)+G16+G24+G29+G36+G43+G45+G47+G49+G51+G56+G61+G66</f>
        <v>-1395555.749999963</v>
      </c>
      <c r="H82" s="111">
        <f>H16+H24+H29+H36+H43+H45+H47+H49</f>
        <v>-8178</v>
      </c>
      <c r="I82" s="112">
        <f>SUM(I72:I81)+I16+I24+I29+I36+I43+I45+I47+I49+I51+I56+I61+I66</f>
        <v>402105.23594537645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171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175</v>
      </c>
      <c r="D86" s="173">
        <f>'EAST-CON-FLSH'!L86</f>
        <v>0</v>
      </c>
      <c r="E86" s="173">
        <f>'EAST-CON-FLSH'!M86</f>
        <v>-199187</v>
      </c>
      <c r="F86" s="173">
        <f>'EAST-CON-GL '!D86</f>
        <v>0</v>
      </c>
      <c r="G86" s="173">
        <f>'EAST-CON-GL '!E86</f>
        <v>-199187.04</v>
      </c>
      <c r="H86" s="173">
        <f t="shared" ref="H86:I88" si="15">F86-D86</f>
        <v>0</v>
      </c>
      <c r="I86" s="173">
        <f t="shared" si="15"/>
        <v>-4.0000000008149073E-2</v>
      </c>
    </row>
    <row r="87" spans="1:63" x14ac:dyDescent="0.2">
      <c r="A87" s="172"/>
      <c r="B87" s="3"/>
      <c r="C87" s="10" t="s">
        <v>73</v>
      </c>
      <c r="D87" s="174">
        <f>'EAST-CON-FLSH'!L87</f>
        <v>0</v>
      </c>
      <c r="E87" s="174">
        <f>'EAST-CON-FLSH'!M87</f>
        <v>0</v>
      </c>
      <c r="F87" s="174">
        <f>'EAST-CON-GL '!D87</f>
        <v>0</v>
      </c>
      <c r="G87" s="174">
        <f>'EAST-CON-GL 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74</v>
      </c>
      <c r="D88" s="175">
        <f>'EAST-CON-FLSH'!L88</f>
        <v>0</v>
      </c>
      <c r="E88" s="175">
        <f>'EAST-CON-FLSH'!M88</f>
        <v>0</v>
      </c>
      <c r="F88" s="175">
        <f>'EAST-CON-GL '!D88</f>
        <v>0</v>
      </c>
      <c r="G88" s="175">
        <f>'EAST-CON-GL '!E88</f>
        <v>0</v>
      </c>
      <c r="H88" s="175">
        <f t="shared" si="15"/>
        <v>0</v>
      </c>
      <c r="I88" s="175">
        <f t="shared" si="15"/>
        <v>0</v>
      </c>
    </row>
    <row r="89" spans="1:63" ht="15" x14ac:dyDescent="0.2">
      <c r="A89" s="179"/>
      <c r="B89" s="180"/>
      <c r="C89" s="185" t="s">
        <v>178</v>
      </c>
      <c r="D89" s="183">
        <f t="shared" ref="D89:I89" si="16">SUM(D86:D88)</f>
        <v>0</v>
      </c>
      <c r="E89" s="183">
        <f t="shared" si="16"/>
        <v>-199187</v>
      </c>
      <c r="F89" s="183">
        <f t="shared" si="16"/>
        <v>0</v>
      </c>
      <c r="G89" s="183">
        <f t="shared" si="16"/>
        <v>-199187.04</v>
      </c>
      <c r="H89" s="183">
        <f t="shared" si="16"/>
        <v>0</v>
      </c>
      <c r="I89" s="183">
        <f t="shared" si="16"/>
        <v>-4.0000000008149073E-2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6"/>
      <c r="B91" s="187"/>
      <c r="C91" s="185" t="s">
        <v>181</v>
      </c>
      <c r="D91" s="188">
        <f t="shared" ref="D91:I91" si="17">+D82+D89</f>
        <v>0</v>
      </c>
      <c r="E91" s="188">
        <f t="shared" si="17"/>
        <v>-1996847.9859453542</v>
      </c>
      <c r="F91" s="188">
        <f t="shared" si="17"/>
        <v>-8178</v>
      </c>
      <c r="G91" s="188">
        <f t="shared" si="17"/>
        <v>-1594742.789999963</v>
      </c>
      <c r="H91" s="188">
        <f t="shared" si="17"/>
        <v>-8178</v>
      </c>
      <c r="I91" s="188">
        <f t="shared" si="17"/>
        <v>402105.19594537641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2"/>
      <c r="B94" s="193"/>
      <c r="D94" s="31"/>
      <c r="E94" s="14">
        <f>+'EAST-EGM-VAR'!E91+'EAST-LRC-VAR'!E82</f>
        <v>-1996847.9859453542</v>
      </c>
      <c r="G94" s="14">
        <f>+'EAST-EGM-VAR'!G91+'EAST-LRC-VAR'!G82</f>
        <v>-1616133.3750000633</v>
      </c>
      <c r="I94" s="14">
        <f>+'EAST-EGM-VAR'!I91+'EAST-LRC-VAR'!I82</f>
        <v>380714.61094533606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28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30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3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'TX-EGM-FLSH'!L11</f>
        <v>50782978</v>
      </c>
      <c r="E11" s="66">
        <f>'TX-EGM-FLSH'!M11</f>
        <v>118286936.95999998</v>
      </c>
      <c r="F11" s="60">
        <f>'TX-EGM-GL'!D11</f>
        <v>49501006</v>
      </c>
      <c r="G11" s="38">
        <f>'TX-EGM-GL'!E11</f>
        <v>117826134.73999999</v>
      </c>
      <c r="H11" s="60">
        <f>F11-D11</f>
        <v>-1281972</v>
      </c>
      <c r="I11" s="38">
        <f>G11-E11</f>
        <v>-460802.21999998391</v>
      </c>
    </row>
    <row r="12" spans="1:22" x14ac:dyDescent="0.2">
      <c r="A12" s="9">
        <v>2</v>
      </c>
      <c r="B12" s="7"/>
      <c r="C12" s="18" t="s">
        <v>28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-3061539.4299999997</v>
      </c>
      <c r="H12" s="60">
        <f>F12-D12</f>
        <v>0</v>
      </c>
      <c r="I12" s="38">
        <f>G12-E12</f>
        <v>-3061539.4299999997</v>
      </c>
    </row>
    <row r="13" spans="1:22" x14ac:dyDescent="0.2">
      <c r="A13" s="9">
        <v>3</v>
      </c>
      <c r="B13" s="7"/>
      <c r="C13" s="18" t="s">
        <v>29</v>
      </c>
      <c r="D13" s="65">
        <f>'TX-EGM-FLSH'!L13</f>
        <v>71127</v>
      </c>
      <c r="E13" s="66">
        <f>'TX-EGM-FLSH'!M13</f>
        <v>159944.9</v>
      </c>
      <c r="F13" s="60">
        <f>'TX-EGM-GL'!D13</f>
        <v>33068401</v>
      </c>
      <c r="G13" s="38">
        <f>'TX-EGM-GL'!E13</f>
        <v>74404619</v>
      </c>
      <c r="H13" s="60">
        <f t="shared" ref="H13:I15" si="0">F13-D13</f>
        <v>32997274</v>
      </c>
      <c r="I13" s="38">
        <f t="shared" si="0"/>
        <v>74244674.099999994</v>
      </c>
    </row>
    <row r="14" spans="1:22" x14ac:dyDescent="0.2">
      <c r="A14" s="9">
        <v>4</v>
      </c>
      <c r="B14" s="7"/>
      <c r="C14" s="18" t="s">
        <v>30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50854105</v>
      </c>
      <c r="E16" s="39">
        <f t="shared" si="1"/>
        <v>118446881.85999998</v>
      </c>
      <c r="F16" s="61">
        <f t="shared" si="1"/>
        <v>82569407</v>
      </c>
      <c r="G16" s="39">
        <f t="shared" si="1"/>
        <v>189169214.31</v>
      </c>
      <c r="H16" s="61">
        <f t="shared" si="1"/>
        <v>31715302</v>
      </c>
      <c r="I16" s="39">
        <f t="shared" si="1"/>
        <v>70722332.450000018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'TX-EGM-FLSH'!L19</f>
        <v>-56565409</v>
      </c>
      <c r="E19" s="66">
        <f>'TX-EGM-FLSH'!M19</f>
        <v>-129583943.57000001</v>
      </c>
      <c r="F19" s="60">
        <f>'TX-EGM-GL'!D19</f>
        <v>-41085848</v>
      </c>
      <c r="G19" s="38">
        <f>'TX-EGM-GL'!E19</f>
        <v>-92497209.00999999</v>
      </c>
      <c r="H19" s="60">
        <f>F19-D19</f>
        <v>15479561</v>
      </c>
      <c r="I19" s="38">
        <f>G19-E19</f>
        <v>37086734.560000017</v>
      </c>
    </row>
    <row r="20" spans="1:9" x14ac:dyDescent="0.2">
      <c r="A20" s="9">
        <v>7</v>
      </c>
      <c r="B20" s="7"/>
      <c r="C20" s="18" t="s">
        <v>28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-602673.74000000011</v>
      </c>
      <c r="H20" s="60">
        <f>F20-D20</f>
        <v>0</v>
      </c>
      <c r="I20" s="38">
        <f>G20-E20</f>
        <v>-602673.74000000011</v>
      </c>
    </row>
    <row r="21" spans="1:9" x14ac:dyDescent="0.2">
      <c r="A21" s="9">
        <v>8</v>
      </c>
      <c r="B21" s="7"/>
      <c r="C21" s="18" t="s">
        <v>29</v>
      </c>
      <c r="D21" s="65">
        <f>'TX-EGM-FLSH'!L21</f>
        <v>-2052275</v>
      </c>
      <c r="E21" s="66">
        <f>'TX-EGM-FLSH'!M21</f>
        <v>-4472679.1100000003</v>
      </c>
      <c r="F21" s="60">
        <f>'TX-EGM-GL'!D21</f>
        <v>-35034400</v>
      </c>
      <c r="G21" s="38">
        <f>'TX-EGM-GL'!E21</f>
        <v>-78683911</v>
      </c>
      <c r="H21" s="60">
        <f t="shared" ref="H21:I23" si="2">F21-D21</f>
        <v>-32982125</v>
      </c>
      <c r="I21" s="38">
        <f t="shared" si="2"/>
        <v>-74211231.890000001</v>
      </c>
    </row>
    <row r="22" spans="1:9" x14ac:dyDescent="0.2">
      <c r="A22" s="9">
        <v>9</v>
      </c>
      <c r="B22" s="7"/>
      <c r="C22" s="18" t="s">
        <v>30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'TX-EGM-FLSH'!L23</f>
        <v>0</v>
      </c>
      <c r="E23" s="66">
        <f>'TX-EGM-FLSH'!M23</f>
        <v>0</v>
      </c>
      <c r="F23" s="60">
        <f>'TX-EGM-GL'!D23</f>
        <v>11841</v>
      </c>
      <c r="G23" s="38">
        <f>'TX-EGM-GL'!E23</f>
        <v>27092.21</v>
      </c>
      <c r="H23" s="60">
        <f t="shared" si="2"/>
        <v>11841</v>
      </c>
      <c r="I23" s="38">
        <f t="shared" si="2"/>
        <v>27092.21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-58617684</v>
      </c>
      <c r="E24" s="39">
        <f t="shared" si="3"/>
        <v>-134056622.68000001</v>
      </c>
      <c r="F24" s="61">
        <f t="shared" si="3"/>
        <v>-76108407</v>
      </c>
      <c r="G24" s="39">
        <f t="shared" si="3"/>
        <v>-171756701.53999999</v>
      </c>
      <c r="H24" s="61">
        <f t="shared" si="3"/>
        <v>-17490723</v>
      </c>
      <c r="I24" s="39">
        <f t="shared" si="3"/>
        <v>-37700078.859999985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'TX-EGM-FLSH'!L27</f>
        <v>32997274</v>
      </c>
      <c r="E27" s="66">
        <f>'TX-EGM-FLSH'!M27</f>
        <v>74244674.739999995</v>
      </c>
      <c r="F27" s="60">
        <f>'TX-EGM-GL'!D27</f>
        <v>216191</v>
      </c>
      <c r="G27" s="38">
        <f>'TX-EGM-GL'!E27</f>
        <v>508049.6</v>
      </c>
      <c r="H27" s="60">
        <f>F27-D27</f>
        <v>-32781083</v>
      </c>
      <c r="I27" s="38">
        <f>G27-E27</f>
        <v>-73736625.140000001</v>
      </c>
    </row>
    <row r="28" spans="1:9" x14ac:dyDescent="0.2">
      <c r="A28" s="9">
        <v>12</v>
      </c>
      <c r="B28" s="7"/>
      <c r="C28" s="18" t="s">
        <v>38</v>
      </c>
      <c r="D28" s="65">
        <f>'TX-EGM-FLSH'!L28</f>
        <v>-33022074</v>
      </c>
      <c r="E28" s="66">
        <f>'TX-EGM-FLSH'!M28</f>
        <v>-74302955</v>
      </c>
      <c r="F28" s="60">
        <f>'TX-EGM-GL'!D28</f>
        <v>-15245803</v>
      </c>
      <c r="G28" s="38">
        <f>'TX-EGM-GL'!E28</f>
        <v>-35695942.630000018</v>
      </c>
      <c r="H28" s="60">
        <f>F28-D28</f>
        <v>17776271</v>
      </c>
      <c r="I28" s="38">
        <f>G28-E28</f>
        <v>38607012.369999982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-24800</v>
      </c>
      <c r="E29" s="70">
        <f t="shared" si="4"/>
        <v>-58280.260000005364</v>
      </c>
      <c r="F29" s="69">
        <f t="shared" si="4"/>
        <v>-15029612</v>
      </c>
      <c r="G29" s="70">
        <f t="shared" si="4"/>
        <v>-35187893.030000016</v>
      </c>
      <c r="H29" s="69">
        <f t="shared" si="4"/>
        <v>-15004812</v>
      </c>
      <c r="I29" s="70">
        <f t="shared" si="4"/>
        <v>-35129612.770000018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'TX-EGM-FLSH'!L32</f>
        <v>0</v>
      </c>
      <c r="E32" s="66">
        <f>'TX-EGM-FLSH'!M32</f>
        <v>0</v>
      </c>
      <c r="F32" s="60">
        <f>'TX-EGM-GL'!D32</f>
        <v>13537</v>
      </c>
      <c r="G32" s="38">
        <f>'TX-EGM-GL'!E32</f>
        <v>30971.701999999885</v>
      </c>
      <c r="H32" s="60">
        <f>F32-D32</f>
        <v>13537</v>
      </c>
      <c r="I32" s="38">
        <f>G32-E32</f>
        <v>30971.701999999885</v>
      </c>
    </row>
    <row r="33" spans="1:9" x14ac:dyDescent="0.2">
      <c r="A33" s="9">
        <v>14</v>
      </c>
      <c r="B33" s="7"/>
      <c r="C33" s="18" t="s">
        <v>42</v>
      </c>
      <c r="D33" s="65">
        <f>'TX-EGM-FLSH'!L33</f>
        <v>1027777</v>
      </c>
      <c r="E33" s="66">
        <f>'TX-EGM-FLSH'!M33</f>
        <v>1867759.4615309306</v>
      </c>
      <c r="F33" s="60">
        <f>'TX-EGM-GL'!D33</f>
        <v>0</v>
      </c>
      <c r="G33" s="38">
        <f>'TX-EGM-GL'!E33</f>
        <v>0</v>
      </c>
      <c r="H33" s="60">
        <f t="shared" ref="H33:I35" si="5">F33-D33</f>
        <v>-1027777</v>
      </c>
      <c r="I33" s="38">
        <f t="shared" si="5"/>
        <v>-1867759.4615309306</v>
      </c>
    </row>
    <row r="34" spans="1:9" x14ac:dyDescent="0.2">
      <c r="A34" s="9">
        <v>15</v>
      </c>
      <c r="B34" s="7"/>
      <c r="C34" s="18" t="s">
        <v>43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1027777</v>
      </c>
      <c r="E36" s="39">
        <f t="shared" si="6"/>
        <v>1867759.4615309306</v>
      </c>
      <c r="F36" s="61">
        <f t="shared" si="6"/>
        <v>13537</v>
      </c>
      <c r="G36" s="39">
        <f t="shared" si="6"/>
        <v>30971.711999999883</v>
      </c>
      <c r="H36" s="61">
        <f t="shared" si="6"/>
        <v>-1014240</v>
      </c>
      <c r="I36" s="39">
        <f t="shared" si="6"/>
        <v>-1836787.7495309308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'TX-EGM-FLSH'!L39</f>
        <v>7337145</v>
      </c>
      <c r="E39" s="66">
        <f>'TX-EGM-FLSH'!M39</f>
        <v>16945465.600000001</v>
      </c>
      <c r="F39" s="60">
        <f>'TX-EGM-GL'!D39</f>
        <v>8549066</v>
      </c>
      <c r="G39" s="38">
        <f>'TX-EGM-GL'!E39</f>
        <v>20531898.220000003</v>
      </c>
      <c r="H39" s="60">
        <f t="shared" ref="H39:I41" si="7">F39-D39</f>
        <v>1211921</v>
      </c>
      <c r="I39" s="38">
        <f t="shared" si="7"/>
        <v>3586432.620000001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'TX-EGM-FLSH'!L40</f>
        <v>-576543</v>
      </c>
      <c r="E40" s="66">
        <f>'TX-EGM-FLSH'!M40</f>
        <v>-1293656.32</v>
      </c>
      <c r="F40" s="60">
        <f>'TX-EGM-GL'!D40</f>
        <v>0</v>
      </c>
      <c r="G40" s="38">
        <f>'TX-EGM-GL'!E40</f>
        <v>1403.45</v>
      </c>
      <c r="H40" s="60">
        <f t="shared" si="7"/>
        <v>576543</v>
      </c>
      <c r="I40" s="38">
        <f t="shared" si="7"/>
        <v>1295059.77</v>
      </c>
    </row>
    <row r="41" spans="1:9" x14ac:dyDescent="0.2">
      <c r="A41" s="9">
        <v>19</v>
      </c>
      <c r="B41" s="7"/>
      <c r="C41" s="18" t="s">
        <v>49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-22343</v>
      </c>
      <c r="H41" s="60">
        <f t="shared" si="7"/>
        <v>0</v>
      </c>
      <c r="I41" s="38">
        <f t="shared" si="7"/>
        <v>-22343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-576543</v>
      </c>
      <c r="E42" s="70">
        <f t="shared" si="8"/>
        <v>-1293656.32</v>
      </c>
      <c r="F42" s="69">
        <f t="shared" si="8"/>
        <v>0</v>
      </c>
      <c r="G42" s="70">
        <f t="shared" si="8"/>
        <v>-20939.55</v>
      </c>
      <c r="H42" s="69">
        <f t="shared" si="8"/>
        <v>576543</v>
      </c>
      <c r="I42" s="70">
        <f t="shared" si="8"/>
        <v>1272716.77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6760602</v>
      </c>
      <c r="E43" s="39">
        <f t="shared" si="9"/>
        <v>15651809.280000001</v>
      </c>
      <c r="F43" s="61">
        <f t="shared" si="9"/>
        <v>8549066</v>
      </c>
      <c r="G43" s="39">
        <f t="shared" si="9"/>
        <v>20510958.670000002</v>
      </c>
      <c r="H43" s="61">
        <f t="shared" si="9"/>
        <v>1788464</v>
      </c>
      <c r="I43" s="39">
        <f t="shared" si="9"/>
        <v>4859149.3900000006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6009</v>
      </c>
      <c r="G49" s="38">
        <f>'TX-EGM-GL'!E49</f>
        <v>14463.814000000071</v>
      </c>
      <c r="H49" s="60">
        <f>F49-D49</f>
        <v>6009</v>
      </c>
      <c r="I49" s="38">
        <f>G49-E49</f>
        <v>14463.814000000071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-11841</v>
      </c>
      <c r="G51" s="38">
        <f>'TX-EGM-GL'!E51</f>
        <v>-8201.2100000000009</v>
      </c>
      <c r="H51" s="60">
        <f>F51-D51</f>
        <v>-11841</v>
      </c>
      <c r="I51" s="38">
        <f>G51-E51</f>
        <v>16798.79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'TX-EGM-FLSH'!L54</f>
        <v>0</v>
      </c>
      <c r="E54" s="66">
        <f>'TX-EGM-FLSH'!M54</f>
        <v>-992568.27</v>
      </c>
      <c r="F54" s="60">
        <f>'TX-EGM-GL'!D54</f>
        <v>-7494430</v>
      </c>
      <c r="G54" s="38">
        <f>'TX-EGM-GL'!E54</f>
        <v>-357285.86</v>
      </c>
      <c r="H54" s="60">
        <f>F54-D54</f>
        <v>-7494430</v>
      </c>
      <c r="I54" s="38">
        <f>G54-E54</f>
        <v>635282.41</v>
      </c>
    </row>
    <row r="55" spans="1:9" x14ac:dyDescent="0.2">
      <c r="A55" s="9">
        <v>25</v>
      </c>
      <c r="B55" s="7"/>
      <c r="C55" s="18" t="s">
        <v>58</v>
      </c>
      <c r="D55" s="65">
        <f>'TX-EGM-FLSH'!L55</f>
        <v>0</v>
      </c>
      <c r="E55" s="66">
        <f>'TX-EGM-FLSH'!M55</f>
        <v>0</v>
      </c>
      <c r="F55" s="60">
        <f>'TX-EGM-GL'!D55</f>
        <v>684</v>
      </c>
      <c r="G55" s="38">
        <f>'TX-EGM-GL'!E55</f>
        <v>20.52</v>
      </c>
      <c r="H55" s="60">
        <f>F55-D55</f>
        <v>684</v>
      </c>
      <c r="I55" s="38">
        <f>G55-E55</f>
        <v>20.52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-992568.27</v>
      </c>
      <c r="F56" s="61">
        <f t="shared" si="10"/>
        <v>-7493746</v>
      </c>
      <c r="G56" s="39">
        <f t="shared" si="10"/>
        <v>-357265.33999999997</v>
      </c>
      <c r="H56" s="61">
        <f t="shared" si="10"/>
        <v>-7493746</v>
      </c>
      <c r="I56" s="39">
        <f t="shared" si="10"/>
        <v>635302.93000000005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8204.74</v>
      </c>
      <c r="H59" s="60">
        <f>F59-D59</f>
        <v>0</v>
      </c>
      <c r="I59" s="38">
        <f>G59-E59</f>
        <v>8204.74</v>
      </c>
    </row>
    <row r="60" spans="1:9" x14ac:dyDescent="0.2">
      <c r="A60" s="9">
        <v>27</v>
      </c>
      <c r="B60" s="11"/>
      <c r="C60" s="18" t="s">
        <v>62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8204.74</v>
      </c>
      <c r="H61" s="69">
        <f t="shared" si="11"/>
        <v>0</v>
      </c>
      <c r="I61" s="70">
        <f t="shared" si="11"/>
        <v>8204.74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'TX-EGM-FLSH'!L64</f>
        <v>0</v>
      </c>
      <c r="E64" s="66">
        <f>'TX-EGM-FLSH'!M64</f>
        <v>0</v>
      </c>
      <c r="F64" s="60">
        <f>'TX-EGM-GL'!D64</f>
        <v>-57910603</v>
      </c>
      <c r="G64" s="38">
        <f>'TX-EGM-GL'!E64</f>
        <v>-1115395.74</v>
      </c>
      <c r="H64" s="60">
        <f>F64-D64</f>
        <v>-57910603</v>
      </c>
      <c r="I64" s="38">
        <f>G64-E64</f>
        <v>-1115395.74</v>
      </c>
    </row>
    <row r="65" spans="1:9" x14ac:dyDescent="0.2">
      <c r="A65" s="9">
        <v>29</v>
      </c>
      <c r="B65" s="11"/>
      <c r="C65" s="18" t="s">
        <v>65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1039798</v>
      </c>
      <c r="H65" s="60">
        <f>F65-D65</f>
        <v>0</v>
      </c>
      <c r="I65" s="38">
        <f>G65-E65</f>
        <v>1039798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-57910603</v>
      </c>
      <c r="G66" s="39">
        <f t="shared" si="12"/>
        <v>-75597.739999999991</v>
      </c>
      <c r="H66" s="61">
        <f t="shared" si="12"/>
        <v>-57910603</v>
      </c>
      <c r="I66" s="39">
        <f t="shared" si="12"/>
        <v>-75597.739999999991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'TX-EGM-FLSH'!L70</f>
        <v>0</v>
      </c>
      <c r="E70" s="66">
        <f>'TX-EGM-FLSH'!M70</f>
        <v>250999.06</v>
      </c>
      <c r="F70" s="60">
        <f>'TX-EGM-GL'!D70</f>
        <v>0</v>
      </c>
      <c r="G70" s="38">
        <f>'TX-EGM-GL'!E70</f>
        <v>250999.06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'TX-EGM-FLSH'!L71</f>
        <v>0</v>
      </c>
      <c r="E71" s="66">
        <f>'TX-EGM-FLSH'!M71</f>
        <v>-1054678</v>
      </c>
      <c r="F71" s="60">
        <f>'TX-EGM-GL'!D71</f>
        <v>0</v>
      </c>
      <c r="G71" s="38">
        <f>'TX-EGM-GL'!E71</f>
        <v>-1054678.81</v>
      </c>
      <c r="H71" s="60">
        <f>F71-D71</f>
        <v>0</v>
      </c>
      <c r="I71" s="38">
        <f>G71-E71</f>
        <v>-0.81000000005587935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-803678.94</v>
      </c>
      <c r="F72" s="69">
        <f t="shared" si="13"/>
        <v>0</v>
      </c>
      <c r="G72" s="70">
        <f t="shared" si="13"/>
        <v>-803679.75</v>
      </c>
      <c r="H72" s="69">
        <f t="shared" si="13"/>
        <v>0</v>
      </c>
      <c r="I72" s="70">
        <f t="shared" si="13"/>
        <v>-0.81000000005587935</v>
      </c>
    </row>
    <row r="73" spans="1:9" x14ac:dyDescent="0.2">
      <c r="A73" s="9">
        <v>32</v>
      </c>
      <c r="B73" s="3"/>
      <c r="C73" s="10" t="s">
        <v>72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'TX-EGM-FLSH'!L74</f>
        <v>0</v>
      </c>
      <c r="E74" s="66">
        <f>'TX-EGM-FLSH'!M74</f>
        <v>1019748.41</v>
      </c>
      <c r="F74" s="60">
        <f>'TX-EGM-GL'!D74</f>
        <v>0</v>
      </c>
      <c r="G74" s="38">
        <f>'TX-EGM-GL'!E74</f>
        <v>1009624.5</v>
      </c>
      <c r="H74" s="60">
        <f t="shared" ref="H74:I79" si="14">F74-D74</f>
        <v>0</v>
      </c>
      <c r="I74" s="38">
        <f t="shared" si="14"/>
        <v>-10123.910000000033</v>
      </c>
    </row>
    <row r="75" spans="1:9" x14ac:dyDescent="0.2">
      <c r="A75" s="9">
        <v>34</v>
      </c>
      <c r="B75" s="3"/>
      <c r="C75" s="10" t="s">
        <v>74</v>
      </c>
      <c r="D75" s="65">
        <f>'TX-EGM-FLSH'!L75</f>
        <v>0</v>
      </c>
      <c r="E75" s="66">
        <f>'TX-EGM-FLSH'!M75</f>
        <v>81200</v>
      </c>
      <c r="F75" s="60">
        <f>'TX-EGM-GL'!D75</f>
        <v>0</v>
      </c>
      <c r="G75" s="38">
        <f>'TX-EGM-GL'!E75</f>
        <v>81300</v>
      </c>
      <c r="H75" s="60">
        <f t="shared" si="14"/>
        <v>0</v>
      </c>
      <c r="I75" s="38">
        <f t="shared" si="14"/>
        <v>100</v>
      </c>
    </row>
    <row r="76" spans="1:9" x14ac:dyDescent="0.2">
      <c r="A76" s="9">
        <v>35</v>
      </c>
      <c r="B76" s="3"/>
      <c r="C76" s="10" t="s">
        <v>75</v>
      </c>
      <c r="D76" s="65">
        <f>'TX-EGM-FLSH'!L76</f>
        <v>0</v>
      </c>
      <c r="E76" s="66">
        <f>'TX-EGM-FLSH'!M76</f>
        <v>-4060</v>
      </c>
      <c r="F76" s="60">
        <f>'TX-EGM-GL'!D76</f>
        <v>0</v>
      </c>
      <c r="G76" s="38">
        <f>'TX-EGM-GL'!E76</f>
        <v>-10059.73</v>
      </c>
      <c r="H76" s="60">
        <f t="shared" si="14"/>
        <v>0</v>
      </c>
      <c r="I76" s="38">
        <f t="shared" si="14"/>
        <v>-5999.73</v>
      </c>
    </row>
    <row r="77" spans="1:9" x14ac:dyDescent="0.2">
      <c r="A77" s="9">
        <v>36</v>
      </c>
      <c r="B77" s="3"/>
      <c r="C77" s="10" t="s">
        <v>76</v>
      </c>
      <c r="D77" s="65">
        <f>'TX-EGM-FLSH'!L77</f>
        <v>0</v>
      </c>
      <c r="E77" s="66">
        <f>'TX-EGM-FLSH'!M77</f>
        <v>-108300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108300</v>
      </c>
    </row>
    <row r="78" spans="1:9" x14ac:dyDescent="0.2">
      <c r="A78" s="9">
        <v>37</v>
      </c>
      <c r="B78" s="3"/>
      <c r="C78" s="10" t="s">
        <v>77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'TX-EGM-FLSH'!L81</f>
        <v>0</v>
      </c>
      <c r="E81" s="66">
        <f>'TX-EGM-FLSH'!M81</f>
        <v>0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1018888.8615309033</v>
      </c>
      <c r="F82" s="111">
        <f>F16+F24+F29+F36+F43+F45+F47+F49</f>
        <v>0</v>
      </c>
      <c r="G82" s="112">
        <f>SUM(G72:G81)+G16+G24+G29+G36+G43+G45+G47+G49+G51+G56+G61+G66</f>
        <v>2625339.4060000088</v>
      </c>
      <c r="H82" s="111">
        <f>H16+H24+H29+H36+H43+H45+H47+H49</f>
        <v>0</v>
      </c>
      <c r="I82" s="112">
        <f>SUM(I72:I81)+I16+I24+I29+I36+I43+I45+I47+I49+I51+I56+I61+I66</f>
        <v>1606450.5444690818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171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175</v>
      </c>
      <c r="D86" s="173">
        <f>'TX-EGM-FLSH'!L86</f>
        <v>0</v>
      </c>
      <c r="E86" s="173">
        <f>'TX-EGM-FLSH'!M86</f>
        <v>114066</v>
      </c>
      <c r="F86" s="173">
        <f>'TX-EGM-GL'!D86</f>
        <v>0</v>
      </c>
      <c r="G86" s="173">
        <f>'TX-EGM-GL'!E86</f>
        <v>69330.429999999993</v>
      </c>
      <c r="H86" s="173">
        <f t="shared" ref="H86:I88" si="15">F86-D86</f>
        <v>0</v>
      </c>
      <c r="I86" s="173">
        <f t="shared" si="15"/>
        <v>-44735.570000000007</v>
      </c>
    </row>
    <row r="87" spans="1:63" x14ac:dyDescent="0.2">
      <c r="A87" s="172"/>
      <c r="B87" s="3"/>
      <c r="C87" s="10" t="s">
        <v>73</v>
      </c>
      <c r="D87" s="174">
        <f>'TX-EGM-FLSH'!L87</f>
        <v>0</v>
      </c>
      <c r="E87" s="174">
        <f>'TX-EGM-FLSH'!M87</f>
        <v>0</v>
      </c>
      <c r="F87" s="174">
        <f>'TX-EGM-GL'!D87</f>
        <v>0</v>
      </c>
      <c r="G87" s="174">
        <f>'TX-EGM-GL'!E87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74</v>
      </c>
      <c r="D88" s="175">
        <f>'TX-EGM-FLSH'!L88</f>
        <v>0</v>
      </c>
      <c r="E88" s="175">
        <f>'TX-EGM-FLSH'!M88</f>
        <v>-113464</v>
      </c>
      <c r="F88" s="175">
        <f>'TX-EGM-GL'!D88</f>
        <v>0</v>
      </c>
      <c r="G88" s="175">
        <f>'TX-EGM-GL'!E88</f>
        <v>-35600</v>
      </c>
      <c r="H88" s="175">
        <f t="shared" si="15"/>
        <v>0</v>
      </c>
      <c r="I88" s="175">
        <f t="shared" si="15"/>
        <v>77864</v>
      </c>
    </row>
    <row r="89" spans="1:63" s="143" customFormat="1" x14ac:dyDescent="0.2">
      <c r="A89" s="186"/>
      <c r="B89" s="187"/>
      <c r="C89" s="185" t="s">
        <v>178</v>
      </c>
      <c r="D89" s="188">
        <f t="shared" ref="D89:I89" si="16">SUM(D86:D88)</f>
        <v>0</v>
      </c>
      <c r="E89" s="188">
        <f t="shared" si="16"/>
        <v>602</v>
      </c>
      <c r="F89" s="188">
        <f t="shared" si="16"/>
        <v>0</v>
      </c>
      <c r="G89" s="188">
        <f t="shared" si="16"/>
        <v>33730.429999999993</v>
      </c>
      <c r="H89" s="188">
        <f t="shared" si="16"/>
        <v>0</v>
      </c>
      <c r="I89" s="188">
        <f t="shared" si="16"/>
        <v>33128.429999999993</v>
      </c>
    </row>
    <row r="90" spans="1:63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63" s="143" customFormat="1" x14ac:dyDescent="0.2">
      <c r="A91" s="186"/>
      <c r="B91" s="187"/>
      <c r="C91" s="185" t="s">
        <v>181</v>
      </c>
      <c r="D91" s="188">
        <f t="shared" ref="D91:I91" si="17">+D82+D89</f>
        <v>0</v>
      </c>
      <c r="E91" s="188">
        <f t="shared" si="17"/>
        <v>1019490.8615309033</v>
      </c>
      <c r="F91" s="188">
        <f t="shared" si="17"/>
        <v>0</v>
      </c>
      <c r="G91" s="188">
        <f t="shared" si="17"/>
        <v>2659069.836000009</v>
      </c>
      <c r="H91" s="188">
        <f t="shared" si="17"/>
        <v>0</v>
      </c>
      <c r="I91" s="188">
        <f t="shared" si="17"/>
        <v>1639578.9744690817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'TX-HPL-FLSH'!L11</f>
        <v>942514</v>
      </c>
      <c r="E11" s="66">
        <f>'TX-HPL-FLSH'!M11</f>
        <v>2190441.0400000215</v>
      </c>
      <c r="F11" s="60">
        <f>'TX-HPL-GL '!D11</f>
        <v>949374</v>
      </c>
      <c r="G11" s="38">
        <f>'TX-HPL-GL '!E11</f>
        <v>2134832.5100000002</v>
      </c>
      <c r="H11" s="60">
        <f>F11-D11</f>
        <v>6860</v>
      </c>
      <c r="I11" s="38">
        <f>G11-E11</f>
        <v>-55608.530000021216</v>
      </c>
    </row>
    <row r="12" spans="1:22" x14ac:dyDescent="0.2">
      <c r="A12" s="9">
        <v>2</v>
      </c>
      <c r="B12" s="7"/>
      <c r="C12" s="18" t="s">
        <v>28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4146.6399999999994</v>
      </c>
      <c r="H12" s="60">
        <f>F12-D12</f>
        <v>0</v>
      </c>
      <c r="I12" s="38">
        <f>G12-E12</f>
        <v>4146.6399999999994</v>
      </c>
    </row>
    <row r="13" spans="1:22" x14ac:dyDescent="0.2">
      <c r="A13" s="9">
        <v>3</v>
      </c>
      <c r="B13" s="7"/>
      <c r="C13" s="18" t="s">
        <v>29</v>
      </c>
      <c r="D13" s="65">
        <f>'TX-HPL-FLSH'!L13</f>
        <v>0</v>
      </c>
      <c r="E13" s="66">
        <f>'TX-HPL-FLSH'!M13</f>
        <v>-0.89999999999417923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0.89999999999417923</v>
      </c>
    </row>
    <row r="14" spans="1:22" x14ac:dyDescent="0.2">
      <c r="A14" s="9">
        <v>4</v>
      </c>
      <c r="B14" s="7"/>
      <c r="C14" s="18" t="s">
        <v>30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942514</v>
      </c>
      <c r="E16" s="39">
        <f t="shared" si="1"/>
        <v>2190440.1400000216</v>
      </c>
      <c r="F16" s="61">
        <f t="shared" si="1"/>
        <v>949374</v>
      </c>
      <c r="G16" s="39">
        <f t="shared" si="1"/>
        <v>2138979.1500000004</v>
      </c>
      <c r="H16" s="61">
        <f t="shared" si="1"/>
        <v>6860</v>
      </c>
      <c r="I16" s="39">
        <f t="shared" si="1"/>
        <v>-51460.990000021222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'TX-HPL-FLSH'!L19</f>
        <v>-1123944</v>
      </c>
      <c r="E19" s="66">
        <f>'TX-HPL-FLSH'!M19</f>
        <v>-2561345.4299999923</v>
      </c>
      <c r="F19" s="60">
        <f>'TX-HPL-GL '!D19</f>
        <v>-1120385</v>
      </c>
      <c r="G19" s="38">
        <f>'TX-HPL-GL '!E19</f>
        <v>-2524336.4900000002</v>
      </c>
      <c r="H19" s="60">
        <f>F19-D19</f>
        <v>3559</v>
      </c>
      <c r="I19" s="38">
        <f>G19-E19</f>
        <v>37008.939999992028</v>
      </c>
    </row>
    <row r="20" spans="1:9" x14ac:dyDescent="0.2">
      <c r="A20" s="9">
        <v>7</v>
      </c>
      <c r="B20" s="7"/>
      <c r="C20" s="18" t="s">
        <v>28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-12522.5</v>
      </c>
      <c r="H20" s="60">
        <f>F20-D20</f>
        <v>0</v>
      </c>
      <c r="I20" s="38">
        <f>G20-E20</f>
        <v>-12522.5</v>
      </c>
    </row>
    <row r="21" spans="1:9" x14ac:dyDescent="0.2">
      <c r="A21" s="9">
        <v>8</v>
      </c>
      <c r="B21" s="7"/>
      <c r="C21" s="18" t="s">
        <v>29</v>
      </c>
      <c r="D21" s="65">
        <f>'TX-HPL-FLSH'!L21</f>
        <v>0</v>
      </c>
      <c r="E21" s="66">
        <f>'TX-HPL-FLSH'!M21</f>
        <v>0.10999999940395355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-0.10999999940395355</v>
      </c>
    </row>
    <row r="22" spans="1:9" x14ac:dyDescent="0.2">
      <c r="A22" s="9">
        <v>9</v>
      </c>
      <c r="B22" s="7"/>
      <c r="C22" s="18" t="s">
        <v>30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'TX-HPL-FLSH'!L23</f>
        <v>0</v>
      </c>
      <c r="E23" s="66">
        <f>'TX-HPL-FLSH'!M23</f>
        <v>0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-1123944</v>
      </c>
      <c r="E24" s="39">
        <f t="shared" si="3"/>
        <v>-2561345.3199999928</v>
      </c>
      <c r="F24" s="61">
        <f t="shared" si="3"/>
        <v>-1120385</v>
      </c>
      <c r="G24" s="39">
        <f t="shared" si="3"/>
        <v>-2536858.9900000002</v>
      </c>
      <c r="H24" s="61">
        <f t="shared" si="3"/>
        <v>3559</v>
      </c>
      <c r="I24" s="39">
        <f t="shared" si="3"/>
        <v>24486.329999992624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'TX-HPL-FLSH'!L27</f>
        <v>0</v>
      </c>
      <c r="E27" s="66">
        <f>'TX-HPL-FLSH'!M27</f>
        <v>0</v>
      </c>
      <c r="F27" s="60">
        <f>'TX-HPL-GL '!D27</f>
        <v>179837</v>
      </c>
      <c r="G27" s="38">
        <f>'TX-HPL-GL '!E27</f>
        <v>423222.30460000003</v>
      </c>
      <c r="H27" s="60">
        <f>F27-D27</f>
        <v>179837</v>
      </c>
      <c r="I27" s="38">
        <f>G27-E27</f>
        <v>423222.30460000003</v>
      </c>
    </row>
    <row r="28" spans="1:9" x14ac:dyDescent="0.2">
      <c r="A28" s="9">
        <v>12</v>
      </c>
      <c r="B28" s="7"/>
      <c r="C28" s="18" t="s">
        <v>38</v>
      </c>
      <c r="D28" s="65">
        <f>'TX-HPL-FLSH'!L28</f>
        <v>0</v>
      </c>
      <c r="E28" s="66">
        <f>'TX-HPL-FLSH'!M28</f>
        <v>2</v>
      </c>
      <c r="F28" s="60">
        <f>'TX-HPL-GL '!D28</f>
        <v>-8835</v>
      </c>
      <c r="G28" s="38">
        <f>'TX-HPL-GL '!E28</f>
        <v>-20067.32</v>
      </c>
      <c r="H28" s="60">
        <f>F28-D28</f>
        <v>-8835</v>
      </c>
      <c r="I28" s="38">
        <f>G28-E28</f>
        <v>-20069.32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2</v>
      </c>
      <c r="F29" s="69">
        <f t="shared" si="4"/>
        <v>171002</v>
      </c>
      <c r="G29" s="70">
        <f t="shared" si="4"/>
        <v>403154.98460000003</v>
      </c>
      <c r="H29" s="69">
        <f t="shared" si="4"/>
        <v>171002</v>
      </c>
      <c r="I29" s="70">
        <f t="shared" si="4"/>
        <v>403152.98460000003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'TX-HPL-FLSH'!L32</f>
        <v>0</v>
      </c>
      <c r="E32" s="66">
        <f>'TX-HPL-FLSH'!M32</f>
        <v>0</v>
      </c>
      <c r="F32" s="60">
        <f>'TX-HPL-GL '!D32</f>
        <v>10235</v>
      </c>
      <c r="G32" s="38">
        <f>'TX-HPL-GL '!E32</f>
        <v>23417.68</v>
      </c>
      <c r="H32" s="60">
        <f>F32-D32</f>
        <v>10235</v>
      </c>
      <c r="I32" s="38">
        <f>G32-E32</f>
        <v>23417.68</v>
      </c>
    </row>
    <row r="33" spans="1:9" x14ac:dyDescent="0.2">
      <c r="A33" s="9">
        <v>14</v>
      </c>
      <c r="B33" s="7"/>
      <c r="C33" s="18" t="s">
        <v>42</v>
      </c>
      <c r="D33" s="65">
        <f>'TX-HPL-FLSH'!L33</f>
        <v>181430</v>
      </c>
      <c r="E33" s="66">
        <f>'TX-HPL-FLSH'!M33</f>
        <v>899183.66491468926</v>
      </c>
      <c r="F33" s="60">
        <f>'TX-HPL-GL '!D33</f>
        <v>0</v>
      </c>
      <c r="G33" s="38">
        <f>'TX-HPL-GL '!E33</f>
        <v>0</v>
      </c>
      <c r="H33" s="60">
        <f t="shared" ref="H33:I35" si="5">F33-D33</f>
        <v>-181430</v>
      </c>
      <c r="I33" s="38">
        <f t="shared" si="5"/>
        <v>-899183.66491468926</v>
      </c>
    </row>
    <row r="34" spans="1:9" x14ac:dyDescent="0.2">
      <c r="A34" s="9">
        <v>15</v>
      </c>
      <c r="B34" s="7"/>
      <c r="C34" s="18" t="s">
        <v>43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181430</v>
      </c>
      <c r="E36" s="39">
        <f t="shared" si="6"/>
        <v>899183.66491468926</v>
      </c>
      <c r="F36" s="61">
        <f t="shared" si="6"/>
        <v>10235</v>
      </c>
      <c r="G36" s="39">
        <f t="shared" si="6"/>
        <v>23417.68</v>
      </c>
      <c r="H36" s="61">
        <f t="shared" si="6"/>
        <v>-171195</v>
      </c>
      <c r="I36" s="39">
        <f t="shared" si="6"/>
        <v>-875765.98491468921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'TX-HPL-FLSH'!L39</f>
        <v>0</v>
      </c>
      <c r="E39" s="66">
        <f>'TX-HPL-FLSH'!M39</f>
        <v>-0.60000000149011612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0.60000000149011612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'TX-HPL-FLSH'!L40</f>
        <v>0</v>
      </c>
      <c r="E40" s="66">
        <f>'TX-HPL-FLSH'!M40</f>
        <v>-0.67999999993480742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0.67999999993480742</v>
      </c>
    </row>
    <row r="41" spans="1:9" x14ac:dyDescent="0.2">
      <c r="A41" s="9">
        <v>19</v>
      </c>
      <c r="B41" s="7"/>
      <c r="C41" s="18" t="s">
        <v>49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-0.67999999993480742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0.67999999993480742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-1.2800000014249235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1.2800000014249235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-10226</v>
      </c>
      <c r="G49" s="38">
        <f>'TX-HPL-GL '!E49</f>
        <v>-22568.78</v>
      </c>
      <c r="H49" s="60">
        <f>F49-D49</f>
        <v>-10226</v>
      </c>
      <c r="I49" s="38">
        <f>G49-E49</f>
        <v>-22568.78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'TX-HPL-FLSH'!L54</f>
        <v>0</v>
      </c>
      <c r="E54" s="66">
        <f>'TX-HPL-FLSH'!M54</f>
        <v>0</v>
      </c>
      <c r="F54" s="60">
        <f>'TX-HPL-GL '!D54</f>
        <v>-30000</v>
      </c>
      <c r="G54" s="38">
        <f>'TX-HPL-GL '!E54</f>
        <v>73.16</v>
      </c>
      <c r="H54" s="60">
        <f>F54-D54</f>
        <v>-30000</v>
      </c>
      <c r="I54" s="38">
        <f>G54-E54</f>
        <v>73.16</v>
      </c>
    </row>
    <row r="55" spans="1:9" x14ac:dyDescent="0.2">
      <c r="A55" s="9">
        <v>25</v>
      </c>
      <c r="B55" s="7"/>
      <c r="C55" s="18" t="s">
        <v>58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-666794.11</v>
      </c>
      <c r="H55" s="60">
        <f>F55-D55</f>
        <v>0</v>
      </c>
      <c r="I55" s="38">
        <f>G55-E55</f>
        <v>-666794.11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-30000</v>
      </c>
      <c r="G56" s="39">
        <f t="shared" si="10"/>
        <v>-666720.94999999995</v>
      </c>
      <c r="H56" s="61">
        <f t="shared" si="10"/>
        <v>-30000</v>
      </c>
      <c r="I56" s="39">
        <f t="shared" si="10"/>
        <v>-666720.94999999995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-4542.88</v>
      </c>
      <c r="H59" s="60">
        <f>F59-D59</f>
        <v>0</v>
      </c>
      <c r="I59" s="38">
        <f>G59-E59</f>
        <v>-4542.88</v>
      </c>
    </row>
    <row r="60" spans="1:9" x14ac:dyDescent="0.2">
      <c r="A60" s="9">
        <v>27</v>
      </c>
      <c r="B60" s="11"/>
      <c r="C60" s="18" t="s">
        <v>62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-4542.88</v>
      </c>
      <c r="H61" s="69">
        <f t="shared" si="11"/>
        <v>0</v>
      </c>
      <c r="I61" s="70">
        <f t="shared" si="11"/>
        <v>-4542.88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'TX-HPL-FLSH'!L64</f>
        <v>0</v>
      </c>
      <c r="E64" s="66">
        <f>'TX-HPL-FLSH'!M64</f>
        <v>0</v>
      </c>
      <c r="F64" s="60">
        <f>'TX-HPL-GL '!D64</f>
        <v>-850463</v>
      </c>
      <c r="G64" s="38">
        <f>'TX-HPL-GL '!E64</f>
        <v>-97852.200000000012</v>
      </c>
      <c r="H64" s="60">
        <f>F64-D64</f>
        <v>-850463</v>
      </c>
      <c r="I64" s="38">
        <f>G64-E64</f>
        <v>-97852.200000000012</v>
      </c>
    </row>
    <row r="65" spans="1:9" x14ac:dyDescent="0.2">
      <c r="A65" s="9">
        <v>29</v>
      </c>
      <c r="B65" s="11"/>
      <c r="C65" s="18" t="s">
        <v>65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169025</v>
      </c>
      <c r="H65" s="60">
        <f>F65-D65</f>
        <v>0</v>
      </c>
      <c r="I65" s="38">
        <f>G65-E65</f>
        <v>169025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-850463</v>
      </c>
      <c r="G66" s="39">
        <f t="shared" si="12"/>
        <v>71172.799999999988</v>
      </c>
      <c r="H66" s="61">
        <f t="shared" si="12"/>
        <v>-850463</v>
      </c>
      <c r="I66" s="39">
        <f t="shared" si="12"/>
        <v>71172.799999999988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31161</v>
      </c>
      <c r="H81" s="60">
        <f>F81-D81</f>
        <v>0</v>
      </c>
      <c r="I81" s="38">
        <f>G81-E81</f>
        <v>31161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553279.20491471654</v>
      </c>
      <c r="F82" s="111">
        <f>F16+F24+F29+F36+F43+F45+F47+F49</f>
        <v>0</v>
      </c>
      <c r="G82" s="112">
        <f>SUM(G72:G81)+G16+G24+G29+G36+G43+G45+G47+G49+G51+G56+G61+G66</f>
        <v>-572523.98539999989</v>
      </c>
      <c r="H82" s="111">
        <f>H16+H24+H29+H36+H43+H45+H47+H49</f>
        <v>0</v>
      </c>
      <c r="I82" s="112">
        <f>SUM(I72:I81)+I16+I24+I29+I36+I43+I45+I47+I49+I51+I56+I61+I66</f>
        <v>-1125803.1903147162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G74" sqref="G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'TX-CON-FLSH'!L11</f>
        <v>51725492</v>
      </c>
      <c r="E11" s="66">
        <f>'TX-CON-FLSH'!M11</f>
        <v>120477378</v>
      </c>
      <c r="F11" s="60">
        <f>'TX-CON-GL '!D11</f>
        <v>50490864</v>
      </c>
      <c r="G11" s="38">
        <f>'TX-CON-GL '!E11</f>
        <v>120072874.70999999</v>
      </c>
      <c r="H11" s="60">
        <f>F11-D11</f>
        <v>-1234628</v>
      </c>
      <c r="I11" s="38">
        <f>G11-E11</f>
        <v>-404503.29000000656</v>
      </c>
    </row>
    <row r="12" spans="1:22" x14ac:dyDescent="0.2">
      <c r="A12" s="9">
        <v>2</v>
      </c>
      <c r="B12" s="7"/>
      <c r="C12" s="18" t="s">
        <v>28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-3057392.79</v>
      </c>
      <c r="H12" s="60">
        <f>F12-D12</f>
        <v>0</v>
      </c>
      <c r="I12" s="38">
        <f>G12-E12</f>
        <v>-3057392.79</v>
      </c>
    </row>
    <row r="13" spans="1:22" x14ac:dyDescent="0.2">
      <c r="A13" s="9">
        <v>3</v>
      </c>
      <c r="B13" s="7"/>
      <c r="C13" s="18" t="s">
        <v>29</v>
      </c>
      <c r="D13" s="65">
        <f>'TX-CON-FLSH'!L13</f>
        <v>71127</v>
      </c>
      <c r="E13" s="66">
        <f>'TX-CON-FLSH'!M13</f>
        <v>159944</v>
      </c>
      <c r="F13" s="60">
        <f>'TX-CON-GL '!D13</f>
        <v>33068401</v>
      </c>
      <c r="G13" s="38">
        <f>'TX-CON-GL '!E13</f>
        <v>74404619</v>
      </c>
      <c r="H13" s="60">
        <f t="shared" ref="H13:I15" si="0">F13-D13</f>
        <v>32997274</v>
      </c>
      <c r="I13" s="38">
        <f t="shared" si="0"/>
        <v>74244675</v>
      </c>
    </row>
    <row r="14" spans="1:22" x14ac:dyDescent="0.2">
      <c r="A14" s="9">
        <v>4</v>
      </c>
      <c r="B14" s="7"/>
      <c r="C14" s="18" t="s">
        <v>30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51796619</v>
      </c>
      <c r="E16" s="39">
        <f t="shared" si="1"/>
        <v>120637322</v>
      </c>
      <c r="F16" s="61">
        <f t="shared" si="1"/>
        <v>83559265</v>
      </c>
      <c r="G16" s="39">
        <f t="shared" si="1"/>
        <v>191420100.91999999</v>
      </c>
      <c r="H16" s="61">
        <f t="shared" si="1"/>
        <v>31762646</v>
      </c>
      <c r="I16" s="39">
        <f t="shared" si="1"/>
        <v>70782778.919999987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'TX-CON-FLSH'!L19</f>
        <v>-57689353</v>
      </c>
      <c r="E19" s="66">
        <f>'TX-CON-FLSH'!M19</f>
        <v>-132145289</v>
      </c>
      <c r="F19" s="60">
        <f>'TX-CON-GL '!D19</f>
        <v>-41827370</v>
      </c>
      <c r="G19" s="38">
        <f>'TX-CON-GL '!E19</f>
        <v>-94152377.339999989</v>
      </c>
      <c r="H19" s="60">
        <f>F19-D19</f>
        <v>15861983</v>
      </c>
      <c r="I19" s="38">
        <f>G19-E19</f>
        <v>37992911.660000011</v>
      </c>
    </row>
    <row r="20" spans="1:9" x14ac:dyDescent="0.2">
      <c r="A20" s="9">
        <v>7</v>
      </c>
      <c r="B20" s="7"/>
      <c r="C20" s="18" t="s">
        <v>28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-615196.24000000011</v>
      </c>
      <c r="H20" s="60">
        <f>F20-D20</f>
        <v>0</v>
      </c>
      <c r="I20" s="38">
        <f>G20-E20</f>
        <v>-615196.24000000011</v>
      </c>
    </row>
    <row r="21" spans="1:9" x14ac:dyDescent="0.2">
      <c r="A21" s="9">
        <v>8</v>
      </c>
      <c r="B21" s="7"/>
      <c r="C21" s="18" t="s">
        <v>29</v>
      </c>
      <c r="D21" s="65">
        <f>'TX-CON-FLSH'!L21</f>
        <v>-2052275</v>
      </c>
      <c r="E21" s="66">
        <f>'TX-CON-FLSH'!M21</f>
        <v>-4472679.0000000009</v>
      </c>
      <c r="F21" s="60">
        <f>'TX-CON-GL '!D21</f>
        <v>-35034400</v>
      </c>
      <c r="G21" s="38">
        <f>'TX-CON-GL '!E21</f>
        <v>-78683911</v>
      </c>
      <c r="H21" s="60">
        <f t="shared" ref="H21:I23" si="2">F21-D21</f>
        <v>-32982125</v>
      </c>
      <c r="I21" s="38">
        <f t="shared" si="2"/>
        <v>-74211232</v>
      </c>
    </row>
    <row r="22" spans="1:9" x14ac:dyDescent="0.2">
      <c r="A22" s="9">
        <v>9</v>
      </c>
      <c r="B22" s="7"/>
      <c r="C22" s="18" t="s">
        <v>30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'TX-CON-FLSH'!L23</f>
        <v>0</v>
      </c>
      <c r="E23" s="66">
        <f>'TX-CON-FLSH'!M23</f>
        <v>0</v>
      </c>
      <c r="F23" s="60">
        <f>'TX-CON-GL '!D23</f>
        <v>11841</v>
      </c>
      <c r="G23" s="38">
        <f>'TX-CON-GL '!E23</f>
        <v>27092.21</v>
      </c>
      <c r="H23" s="60">
        <f t="shared" si="2"/>
        <v>11841</v>
      </c>
      <c r="I23" s="38">
        <f t="shared" si="2"/>
        <v>27092.21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-59741628</v>
      </c>
      <c r="E24" s="39">
        <f t="shared" si="3"/>
        <v>-136617968</v>
      </c>
      <c r="F24" s="61">
        <f t="shared" si="3"/>
        <v>-76849929</v>
      </c>
      <c r="G24" s="39">
        <f t="shared" si="3"/>
        <v>-173424392.36999997</v>
      </c>
      <c r="H24" s="61">
        <f t="shared" si="3"/>
        <v>-17108301</v>
      </c>
      <c r="I24" s="39">
        <f t="shared" si="3"/>
        <v>-36806424.36999999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'TX-CON-FLSH'!L27</f>
        <v>32997274</v>
      </c>
      <c r="E27" s="66">
        <f>'TX-CON-FLSH'!M27</f>
        <v>74244674.739999995</v>
      </c>
      <c r="F27" s="60">
        <f>'TX-CON-GL '!D27</f>
        <v>396028</v>
      </c>
      <c r="G27" s="38">
        <f>'TX-CON-GL '!E27</f>
        <v>931298.08819999988</v>
      </c>
      <c r="H27" s="60">
        <f>F27-D27</f>
        <v>-32601246</v>
      </c>
      <c r="I27" s="38">
        <f>G27-E27</f>
        <v>-73313376.651799992</v>
      </c>
    </row>
    <row r="28" spans="1:9" x14ac:dyDescent="0.2">
      <c r="A28" s="9">
        <v>12</v>
      </c>
      <c r="B28" s="7"/>
      <c r="C28" s="18" t="s">
        <v>38</v>
      </c>
      <c r="D28" s="65">
        <f>'TX-CON-FLSH'!L28</f>
        <v>-33022074</v>
      </c>
      <c r="E28" s="66">
        <f>'TX-CON-FLSH'!M28</f>
        <v>-74302953</v>
      </c>
      <c r="F28" s="60">
        <f>'TX-CON-GL '!D28</f>
        <v>-15253906</v>
      </c>
      <c r="G28" s="38">
        <f>'TX-CON-GL '!E28</f>
        <v>-35714289.750000015</v>
      </c>
      <c r="H28" s="60">
        <f>F28-D28</f>
        <v>17768168</v>
      </c>
      <c r="I28" s="38">
        <f>G28-E28</f>
        <v>38588663.249999985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-24800</v>
      </c>
      <c r="E29" s="70">
        <f t="shared" si="4"/>
        <v>-58278.260000005364</v>
      </c>
      <c r="F29" s="69">
        <f t="shared" si="4"/>
        <v>-14857878</v>
      </c>
      <c r="G29" s="70">
        <f t="shared" si="4"/>
        <v>-34782991.661800012</v>
      </c>
      <c r="H29" s="69">
        <f t="shared" si="4"/>
        <v>-14833078</v>
      </c>
      <c r="I29" s="70">
        <f t="shared" si="4"/>
        <v>-34724713.401800007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'TX-CON-FLSH'!L32</f>
        <v>0</v>
      </c>
      <c r="E32" s="66">
        <f>'TX-CON-FLSH'!M32</f>
        <v>0</v>
      </c>
      <c r="F32" s="60">
        <f>'TX-CON-GL '!D32</f>
        <v>-44168</v>
      </c>
      <c r="G32" s="38">
        <f>'TX-CON-GL '!E32</f>
        <v>-101057.34199999983</v>
      </c>
      <c r="H32" s="60">
        <f>F32-D32</f>
        <v>-44168</v>
      </c>
      <c r="I32" s="38">
        <f>G32-E32</f>
        <v>-101057.34199999983</v>
      </c>
    </row>
    <row r="33" spans="1:9" x14ac:dyDescent="0.2">
      <c r="A33" s="9">
        <v>14</v>
      </c>
      <c r="B33" s="7"/>
      <c r="C33" s="18" t="s">
        <v>42</v>
      </c>
      <c r="D33" s="65">
        <f>'TX-CON-FLSH'!L33</f>
        <v>1209207</v>
      </c>
      <c r="E33" s="66">
        <f>'TX-CON-FLSH'!M33</f>
        <v>2766943.1264456199</v>
      </c>
      <c r="F33" s="60">
        <f>'TX-CON-GL '!D33</f>
        <v>0</v>
      </c>
      <c r="G33" s="38">
        <f>'TX-CON-GL '!E33</f>
        <v>0</v>
      </c>
      <c r="H33" s="60">
        <f t="shared" ref="H33:I35" si="5">F33-D33</f>
        <v>-1209207</v>
      </c>
      <c r="I33" s="38">
        <f t="shared" si="5"/>
        <v>-2766943.1264456199</v>
      </c>
    </row>
    <row r="34" spans="1:9" x14ac:dyDescent="0.2">
      <c r="A34" s="9">
        <v>15</v>
      </c>
      <c r="B34" s="7"/>
      <c r="C34" s="18" t="s">
        <v>43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1209207</v>
      </c>
      <c r="E36" s="39">
        <f t="shared" si="6"/>
        <v>2766943.1264456199</v>
      </c>
      <c r="F36" s="61">
        <f t="shared" si="6"/>
        <v>-44168</v>
      </c>
      <c r="G36" s="39">
        <f t="shared" si="6"/>
        <v>-101057.33199999983</v>
      </c>
      <c r="H36" s="61">
        <f t="shared" si="6"/>
        <v>-1253375</v>
      </c>
      <c r="I36" s="39">
        <f t="shared" si="6"/>
        <v>-2868000.4584456198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'TX-CON-FLSH'!L39</f>
        <v>7337145</v>
      </c>
      <c r="E39" s="66">
        <f>'TX-CON-FLSH'!M39</f>
        <v>16945465</v>
      </c>
      <c r="F39" s="60">
        <f>'TX-CON-GL '!D39</f>
        <v>8202246</v>
      </c>
      <c r="G39" s="38">
        <f>'TX-CON-GL '!E39</f>
        <v>19716382.490000002</v>
      </c>
      <c r="H39" s="60">
        <f t="shared" ref="H39:I41" si="7">F39-D39</f>
        <v>865101</v>
      </c>
      <c r="I39" s="38">
        <f t="shared" si="7"/>
        <v>2770917.4900000021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'TX-CON-FLSH'!L40</f>
        <v>-576543</v>
      </c>
      <c r="E40" s="66">
        <f>'TX-CON-FLSH'!M40</f>
        <v>-1293657</v>
      </c>
      <c r="F40" s="60">
        <f>'TX-CON-GL '!D40</f>
        <v>0</v>
      </c>
      <c r="G40" s="38">
        <f>'TX-CON-GL '!E40</f>
        <v>1403.45</v>
      </c>
      <c r="H40" s="60">
        <f t="shared" si="7"/>
        <v>576543</v>
      </c>
      <c r="I40" s="38">
        <f t="shared" si="7"/>
        <v>1295060.45</v>
      </c>
    </row>
    <row r="41" spans="1:9" x14ac:dyDescent="0.2">
      <c r="A41" s="9">
        <v>19</v>
      </c>
      <c r="B41" s="7"/>
      <c r="C41" s="18" t="s">
        <v>49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-22343</v>
      </c>
      <c r="H41" s="60">
        <f t="shared" si="7"/>
        <v>0</v>
      </c>
      <c r="I41" s="38">
        <f t="shared" si="7"/>
        <v>-22343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-576543</v>
      </c>
      <c r="E42" s="70">
        <f t="shared" si="8"/>
        <v>-1293657</v>
      </c>
      <c r="F42" s="69">
        <f t="shared" si="8"/>
        <v>0</v>
      </c>
      <c r="G42" s="70">
        <f t="shared" si="8"/>
        <v>-20939.55</v>
      </c>
      <c r="H42" s="69">
        <f t="shared" si="8"/>
        <v>576543</v>
      </c>
      <c r="I42" s="70">
        <f t="shared" si="8"/>
        <v>1272717.45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6760602</v>
      </c>
      <c r="E43" s="39">
        <f t="shared" si="9"/>
        <v>15651808</v>
      </c>
      <c r="F43" s="61">
        <f t="shared" si="9"/>
        <v>8202246</v>
      </c>
      <c r="G43" s="39">
        <f t="shared" si="9"/>
        <v>19695442.940000001</v>
      </c>
      <c r="H43" s="61">
        <f t="shared" si="9"/>
        <v>1441644</v>
      </c>
      <c r="I43" s="39">
        <f t="shared" si="9"/>
        <v>4043634.9400000023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-9536</v>
      </c>
      <c r="G49" s="38">
        <f>'TX-CON-GL '!E49</f>
        <v>-17159.085999999923</v>
      </c>
      <c r="H49" s="60">
        <f>F49-D49</f>
        <v>-9536</v>
      </c>
      <c r="I49" s="38">
        <f>G49-E49</f>
        <v>-17159.085999999923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-11841</v>
      </c>
      <c r="G51" s="38">
        <f>'TX-CON-GL '!E51</f>
        <v>-8201.2100000000009</v>
      </c>
      <c r="H51" s="60">
        <f>F51-D51</f>
        <v>-11841</v>
      </c>
      <c r="I51" s="38">
        <f>G51-E51</f>
        <v>-8201.2100000000009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'TX-CON-FLSH'!L54</f>
        <v>0</v>
      </c>
      <c r="E54" s="66">
        <f>'TX-CON-FLSH'!M54</f>
        <v>-992568.27</v>
      </c>
      <c r="F54" s="60">
        <f>'TX-CON-GL '!D54</f>
        <v>-7469127</v>
      </c>
      <c r="G54" s="38">
        <f>'TX-CON-GL '!E54</f>
        <v>-356479.79999999993</v>
      </c>
      <c r="H54" s="60">
        <f>F54-D54</f>
        <v>-7469127</v>
      </c>
      <c r="I54" s="38">
        <f>G54-E54</f>
        <v>636088.47000000009</v>
      </c>
    </row>
    <row r="55" spans="1:9" x14ac:dyDescent="0.2">
      <c r="A55" s="9">
        <v>25</v>
      </c>
      <c r="B55" s="7"/>
      <c r="C55" s="18" t="s">
        <v>58</v>
      </c>
      <c r="D55" s="65">
        <f>'TX-CON-FLSH'!L55</f>
        <v>0</v>
      </c>
      <c r="E55" s="66">
        <f>'TX-CON-FLSH'!M55</f>
        <v>0</v>
      </c>
      <c r="F55" s="60">
        <f>'TX-CON-GL '!D55</f>
        <v>684</v>
      </c>
      <c r="G55" s="38">
        <f>'TX-CON-GL '!E55</f>
        <v>-669772.48</v>
      </c>
      <c r="H55" s="60">
        <f>F55-D55</f>
        <v>684</v>
      </c>
      <c r="I55" s="38">
        <f>G55-E55</f>
        <v>-669772.48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-992568.27</v>
      </c>
      <c r="F56" s="61">
        <f t="shared" si="10"/>
        <v>-7468443</v>
      </c>
      <c r="G56" s="39">
        <f t="shared" si="10"/>
        <v>-1026252.2799999999</v>
      </c>
      <c r="H56" s="61">
        <f t="shared" si="10"/>
        <v>-7468443</v>
      </c>
      <c r="I56" s="39">
        <f t="shared" si="10"/>
        <v>-33684.009999999893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3661.8599999999997</v>
      </c>
      <c r="H59" s="60">
        <f>F59-D59</f>
        <v>0</v>
      </c>
      <c r="I59" s="38">
        <f>G59-E59</f>
        <v>3661.8599999999997</v>
      </c>
    </row>
    <row r="60" spans="1:9" x14ac:dyDescent="0.2">
      <c r="A60" s="9">
        <v>27</v>
      </c>
      <c r="B60" s="11"/>
      <c r="C60" s="18" t="s">
        <v>62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3661.8599999999997</v>
      </c>
      <c r="H61" s="69">
        <f t="shared" si="11"/>
        <v>0</v>
      </c>
      <c r="I61" s="70">
        <f t="shared" si="11"/>
        <v>3661.8599999999997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'TX-CON-FLSH'!L64</f>
        <v>0</v>
      </c>
      <c r="E64" s="66">
        <f>'TX-CON-FLSH'!M64</f>
        <v>0</v>
      </c>
      <c r="F64" s="60">
        <f>'TX-CON-GL '!D64</f>
        <v>-58762415</v>
      </c>
      <c r="G64" s="38">
        <f>'TX-CON-GL '!E64</f>
        <v>-1216030.3900000001</v>
      </c>
      <c r="H64" s="60">
        <f>F64-D64</f>
        <v>-58762415</v>
      </c>
      <c r="I64" s="38">
        <f>G64-E64</f>
        <v>-1216030.3900000001</v>
      </c>
    </row>
    <row r="65" spans="1:9" x14ac:dyDescent="0.2">
      <c r="A65" s="9">
        <v>29</v>
      </c>
      <c r="B65" s="11"/>
      <c r="C65" s="18" t="s">
        <v>65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1208823</v>
      </c>
      <c r="H65" s="60">
        <f>F65-D65</f>
        <v>0</v>
      </c>
      <c r="I65" s="38">
        <f>G65-E65</f>
        <v>1208823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-58762415</v>
      </c>
      <c r="G66" s="39">
        <f t="shared" si="12"/>
        <v>-7207.3900000001304</v>
      </c>
      <c r="H66" s="61">
        <f t="shared" si="12"/>
        <v>-58762415</v>
      </c>
      <c r="I66" s="39">
        <f t="shared" si="12"/>
        <v>-7207.3900000001304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'TX-CON-FLSH'!L70</f>
        <v>0</v>
      </c>
      <c r="E70" s="66">
        <f>'TX-CON-FLSH'!M70</f>
        <v>250999.06</v>
      </c>
      <c r="F70" s="60">
        <f>'TX-CON-GL '!D70</f>
        <v>0</v>
      </c>
      <c r="G70" s="38">
        <f>'TX-CON-GL '!E70</f>
        <v>250999.06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'TX-CON-FLSH'!L71</f>
        <v>0</v>
      </c>
      <c r="E71" s="66">
        <f>'TX-CON-FLSH'!M71</f>
        <v>-1054678</v>
      </c>
      <c r="F71" s="60">
        <f>'TX-CON-GL '!D71</f>
        <v>0</v>
      </c>
      <c r="G71" s="38">
        <f>'TX-CON-GL '!E71</f>
        <v>-1054678.81</v>
      </c>
      <c r="H71" s="60">
        <f>F71-D71</f>
        <v>0</v>
      </c>
      <c r="I71" s="38">
        <f>G71-E71</f>
        <v>-0.81000000005587935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-803678.94</v>
      </c>
      <c r="F72" s="69">
        <f t="shared" si="13"/>
        <v>0</v>
      </c>
      <c r="G72" s="70">
        <f t="shared" si="13"/>
        <v>-803679.75</v>
      </c>
      <c r="H72" s="69">
        <f t="shared" si="13"/>
        <v>0</v>
      </c>
      <c r="I72" s="70">
        <f t="shared" si="13"/>
        <v>-0.81000000005587935</v>
      </c>
    </row>
    <row r="73" spans="1:9" x14ac:dyDescent="0.2">
      <c r="A73" s="9">
        <v>32</v>
      </c>
      <c r="B73" s="3"/>
      <c r="C73" s="10" t="s">
        <v>72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'TX-CON-FLSH'!L74</f>
        <v>0</v>
      </c>
      <c r="E74" s="66">
        <f>'TX-CON-FLSH'!M74</f>
        <v>1019748.41</v>
      </c>
      <c r="F74" s="60">
        <f>'TX-CON-GL '!D74</f>
        <v>0</v>
      </c>
      <c r="G74" s="38">
        <f>'TX-CON-GL '!E74</f>
        <v>1009624.5</v>
      </c>
      <c r="H74" s="60">
        <f t="shared" ref="H74:I79" si="14">F74-D74</f>
        <v>0</v>
      </c>
      <c r="I74" s="38">
        <f t="shared" si="14"/>
        <v>-10123.910000000033</v>
      </c>
    </row>
    <row r="75" spans="1:9" x14ac:dyDescent="0.2">
      <c r="A75" s="9">
        <v>34</v>
      </c>
      <c r="B75" s="3"/>
      <c r="C75" s="10" t="s">
        <v>74</v>
      </c>
      <c r="D75" s="65">
        <f>'TX-CON-FLSH'!L75</f>
        <v>0</v>
      </c>
      <c r="E75" s="66">
        <f>'TX-CON-FLSH'!M75</f>
        <v>81200</v>
      </c>
      <c r="F75" s="60">
        <f>'TX-CON-GL '!D75</f>
        <v>0</v>
      </c>
      <c r="G75" s="38">
        <f>'TX-CON-GL '!E75</f>
        <v>81300</v>
      </c>
      <c r="H75" s="60">
        <f t="shared" si="14"/>
        <v>0</v>
      </c>
      <c r="I75" s="38">
        <f t="shared" si="14"/>
        <v>100</v>
      </c>
    </row>
    <row r="76" spans="1:9" x14ac:dyDescent="0.2">
      <c r="A76" s="9">
        <v>35</v>
      </c>
      <c r="B76" s="3"/>
      <c r="C76" s="10" t="s">
        <v>75</v>
      </c>
      <c r="D76" s="65">
        <f>'TX-CON-FLSH'!L76</f>
        <v>0</v>
      </c>
      <c r="E76" s="66">
        <f>'TX-CON-FLSH'!M76</f>
        <v>-4060</v>
      </c>
      <c r="F76" s="60">
        <f>'TX-CON-GL '!D76</f>
        <v>0</v>
      </c>
      <c r="G76" s="38">
        <f>'TX-CON-GL '!E76</f>
        <v>-10059.73</v>
      </c>
      <c r="H76" s="60">
        <f t="shared" si="14"/>
        <v>0</v>
      </c>
      <c r="I76" s="38">
        <f t="shared" si="14"/>
        <v>-5999.73</v>
      </c>
    </row>
    <row r="77" spans="1:9" x14ac:dyDescent="0.2">
      <c r="A77" s="9">
        <v>36</v>
      </c>
      <c r="B77" s="3"/>
      <c r="C77" s="10" t="s">
        <v>76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108300</v>
      </c>
    </row>
    <row r="78" spans="1:9" x14ac:dyDescent="0.2">
      <c r="A78" s="9">
        <v>37</v>
      </c>
      <c r="B78" s="3"/>
      <c r="C78" s="10" t="s">
        <v>77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'TX-CON-FLSH'!L81</f>
        <v>0</v>
      </c>
      <c r="E81" s="66">
        <f>'TX-CON-FLSH'!M81</f>
        <v>0</v>
      </c>
      <c r="F81" s="60">
        <f>'TX-CON-GL '!D81</f>
        <v>0</v>
      </c>
      <c r="G81" s="38">
        <f>'TX-CON-GL '!E81</f>
        <v>31161</v>
      </c>
      <c r="H81" s="60">
        <f>F81-D81</f>
        <v>0</v>
      </c>
      <c r="I81" s="38">
        <f>G81-E81</f>
        <v>31161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1572168.0664456128</v>
      </c>
      <c r="F82" s="111">
        <f>F16+F24+F29+F36+F43+F45+F47+F49</f>
        <v>0</v>
      </c>
      <c r="G82" s="112">
        <f>SUM(G72:G81)+G16+G24+G29+G36+G43+G45+G47+G49+G51+G56+G61+G66</f>
        <v>2050572.4102000117</v>
      </c>
      <c r="H82" s="111">
        <f>H16+H24+H29+H36+H43+H45+H47+H49</f>
        <v>0</v>
      </c>
      <c r="I82" s="112">
        <f>SUM(I72:I81)+I16+I24+I29+I36+I43+I45+I47+I49+I51+I56+I61+I66</f>
        <v>478404.34375436994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171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175</v>
      </c>
      <c r="D86" s="173">
        <f>'TX-CON-FLSH'!L86</f>
        <v>0</v>
      </c>
      <c r="E86" s="173">
        <f>'TX-CON-FLSH'!M86</f>
        <v>114066</v>
      </c>
      <c r="F86" s="173">
        <f>'TX-CON-GL '!D86</f>
        <v>0</v>
      </c>
      <c r="G86" s="173">
        <f>'TX-CON-GL '!E86</f>
        <v>69330.429999999993</v>
      </c>
      <c r="H86" s="173">
        <f t="shared" ref="H86:I88" si="15">F86-D86</f>
        <v>0</v>
      </c>
      <c r="I86" s="173">
        <f t="shared" si="15"/>
        <v>-44735.570000000007</v>
      </c>
    </row>
    <row r="87" spans="1:63" x14ac:dyDescent="0.2">
      <c r="A87" s="172"/>
      <c r="B87" s="3"/>
      <c r="C87" s="10" t="s">
        <v>73</v>
      </c>
      <c r="D87" s="174">
        <f>'TX-CON-FLSH'!L87</f>
        <v>0</v>
      </c>
      <c r="E87" s="174">
        <f>'TX-CON-FLSH'!M87</f>
        <v>0</v>
      </c>
      <c r="F87" s="174">
        <f>'TX-CON-GL '!D87</f>
        <v>0</v>
      </c>
      <c r="G87" s="174">
        <f>'TX-CON-GL 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74</v>
      </c>
      <c r="D88" s="175">
        <f>'TX-CON-FLSH'!L88</f>
        <v>0</v>
      </c>
      <c r="E88" s="175">
        <f>'TX-CON-FLSH'!M88</f>
        <v>-113464</v>
      </c>
      <c r="F88" s="175">
        <f>'TX-CON-GL '!D88</f>
        <v>0</v>
      </c>
      <c r="G88" s="175">
        <f>'TX-CON-GL '!E88</f>
        <v>-35600</v>
      </c>
      <c r="H88" s="175">
        <f t="shared" si="15"/>
        <v>0</v>
      </c>
      <c r="I88" s="175">
        <f t="shared" si="15"/>
        <v>77864</v>
      </c>
    </row>
    <row r="89" spans="1:63" ht="15" x14ac:dyDescent="0.2">
      <c r="A89" s="179"/>
      <c r="B89" s="180"/>
      <c r="C89" s="185" t="s">
        <v>178</v>
      </c>
      <c r="D89" s="183">
        <f t="shared" ref="D89:I89" si="16">SUM(D86:D88)</f>
        <v>0</v>
      </c>
      <c r="E89" s="183">
        <f t="shared" si="16"/>
        <v>602</v>
      </c>
      <c r="F89" s="183">
        <f t="shared" si="16"/>
        <v>0</v>
      </c>
      <c r="G89" s="183">
        <f t="shared" si="16"/>
        <v>33730.429999999993</v>
      </c>
      <c r="H89" s="183">
        <f t="shared" si="16"/>
        <v>0</v>
      </c>
      <c r="I89" s="183">
        <f t="shared" si="16"/>
        <v>33128.429999999993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9"/>
      <c r="B91" s="180"/>
      <c r="C91" s="185" t="s">
        <v>181</v>
      </c>
      <c r="D91" s="183">
        <f t="shared" ref="D91:I91" si="17">+D82+D89</f>
        <v>0</v>
      </c>
      <c r="E91" s="183">
        <f t="shared" si="17"/>
        <v>1572770.0664456128</v>
      </c>
      <c r="F91" s="183">
        <f t="shared" si="17"/>
        <v>0</v>
      </c>
      <c r="G91" s="183">
        <f t="shared" si="17"/>
        <v>2084302.8402000116</v>
      </c>
      <c r="H91" s="183">
        <f t="shared" si="17"/>
        <v>0</v>
      </c>
      <c r="I91" s="183">
        <f t="shared" si="17"/>
        <v>511532.77375436993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32" activePane="bottomRight" state="frozen"/>
      <selection activeCell="H86" sqref="H86"/>
      <selection pane="topRight" activeCell="H86" sqref="H86"/>
      <selection pane="bottomLeft" activeCell="H86" sqref="H86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'WE-FLSH'!L11</f>
        <v>33032516</v>
      </c>
      <c r="E11" s="66">
        <f>'WE-FLSH'!M11</f>
        <v>69663094</v>
      </c>
      <c r="F11" s="60">
        <f>'WE-GL '!D11</f>
        <v>32501259</v>
      </c>
      <c r="G11" s="38">
        <f>'WE-GL '!E11</f>
        <v>67285977.589999989</v>
      </c>
      <c r="H11" s="60">
        <f>F11-D11</f>
        <v>-531257</v>
      </c>
      <c r="I11" s="38">
        <f>G11-E11</f>
        <v>-2377116.4100000113</v>
      </c>
    </row>
    <row r="12" spans="1:22" x14ac:dyDescent="0.2">
      <c r="A12" s="9">
        <v>2</v>
      </c>
      <c r="B12" s="7"/>
      <c r="C12" s="18" t="s">
        <v>28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862645.79</v>
      </c>
      <c r="H12" s="60">
        <f>F12-D12</f>
        <v>0</v>
      </c>
      <c r="I12" s="38">
        <f>G12-E12</f>
        <v>862645.79</v>
      </c>
    </row>
    <row r="13" spans="1:22" x14ac:dyDescent="0.2">
      <c r="A13" s="9">
        <v>3</v>
      </c>
      <c r="B13" s="7"/>
      <c r="C13" s="18" t="s">
        <v>29</v>
      </c>
      <c r="D13" s="65">
        <f>'WE-FLSH'!L13</f>
        <v>23503292</v>
      </c>
      <c r="E13" s="66">
        <f>'WE-FLSH'!M13</f>
        <v>49418174</v>
      </c>
      <c r="F13" s="60">
        <f>'WE-GL '!D13</f>
        <v>22897735</v>
      </c>
      <c r="G13" s="38">
        <f>'WE-GL '!E13</f>
        <v>48355097</v>
      </c>
      <c r="H13" s="60">
        <f t="shared" ref="H13:I15" si="0">F13-D13</f>
        <v>-605557</v>
      </c>
      <c r="I13" s="38">
        <f t="shared" si="0"/>
        <v>-1063077</v>
      </c>
    </row>
    <row r="14" spans="1:22" x14ac:dyDescent="0.2">
      <c r="A14" s="9">
        <v>4</v>
      </c>
      <c r="B14" s="7"/>
      <c r="C14" s="18" t="s">
        <v>30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56535808</v>
      </c>
      <c r="E16" s="39">
        <f t="shared" si="1"/>
        <v>119081268</v>
      </c>
      <c r="F16" s="61">
        <f t="shared" si="1"/>
        <v>55398994</v>
      </c>
      <c r="G16" s="39">
        <f t="shared" si="1"/>
        <v>116503720.38</v>
      </c>
      <c r="H16" s="61">
        <f t="shared" si="1"/>
        <v>-1136814</v>
      </c>
      <c r="I16" s="39">
        <f t="shared" si="1"/>
        <v>-2577547.6200000113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'WE-FLSH'!L19</f>
        <v>-32678947</v>
      </c>
      <c r="E19" s="66">
        <f>'WE-FLSH'!M19</f>
        <v>-67719283</v>
      </c>
      <c r="F19" s="60">
        <f>'WE-GL '!D19</f>
        <v>-35979460</v>
      </c>
      <c r="G19" s="38">
        <f>'WE-GL '!E19</f>
        <v>-72772102.659999996</v>
      </c>
      <c r="H19" s="60">
        <f>F19-D19</f>
        <v>-3300513</v>
      </c>
      <c r="I19" s="38">
        <f>G19-E19</f>
        <v>-5052819.6599999964</v>
      </c>
    </row>
    <row r="20" spans="1:9" x14ac:dyDescent="0.2">
      <c r="A20" s="9">
        <v>7</v>
      </c>
      <c r="B20" s="7"/>
      <c r="C20" s="18" t="s">
        <v>28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-370802.91000000015</v>
      </c>
      <c r="H20" s="60">
        <f>F20-D20</f>
        <v>0</v>
      </c>
      <c r="I20" s="38">
        <f>G20-E20</f>
        <v>-370802.91000000015</v>
      </c>
    </row>
    <row r="21" spans="1:9" x14ac:dyDescent="0.2">
      <c r="A21" s="9">
        <v>8</v>
      </c>
      <c r="B21" s="7"/>
      <c r="C21" s="18" t="s">
        <v>29</v>
      </c>
      <c r="D21" s="65">
        <f>'WE-FLSH'!L21</f>
        <v>-24534760</v>
      </c>
      <c r="E21" s="66">
        <f>'WE-FLSH'!M21</f>
        <v>-51227196</v>
      </c>
      <c r="F21" s="60">
        <f>'WE-GL '!D21</f>
        <v>-20800712</v>
      </c>
      <c r="G21" s="38">
        <f>'WE-GL '!E21</f>
        <v>-43759144</v>
      </c>
      <c r="H21" s="60">
        <f t="shared" ref="H21:I23" si="2">F21-D21</f>
        <v>3734048</v>
      </c>
      <c r="I21" s="38">
        <f t="shared" si="2"/>
        <v>7468052</v>
      </c>
    </row>
    <row r="22" spans="1:9" x14ac:dyDescent="0.2">
      <c r="A22" s="9">
        <v>9</v>
      </c>
      <c r="B22" s="7"/>
      <c r="C22" s="18" t="s">
        <v>30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'WE-FLSH'!L23</f>
        <v>290973</v>
      </c>
      <c r="E23" s="66">
        <f>'WE-FLSH'!M23</f>
        <v>574945</v>
      </c>
      <c r="F23" s="60">
        <f>'WE-GL '!D23</f>
        <v>285033</v>
      </c>
      <c r="G23" s="38">
        <f>'WE-GL '!E23</f>
        <v>592868.6399999999</v>
      </c>
      <c r="H23" s="60">
        <f t="shared" si="2"/>
        <v>-5940</v>
      </c>
      <c r="I23" s="38">
        <f t="shared" si="2"/>
        <v>17923.639999999898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-56922734</v>
      </c>
      <c r="E24" s="39">
        <f t="shared" si="3"/>
        <v>-118371534</v>
      </c>
      <c r="F24" s="61">
        <f t="shared" si="3"/>
        <v>-56495139</v>
      </c>
      <c r="G24" s="39">
        <f t="shared" si="3"/>
        <v>-116309180.92999999</v>
      </c>
      <c r="H24" s="61">
        <f t="shared" si="3"/>
        <v>427595</v>
      </c>
      <c r="I24" s="39">
        <f t="shared" si="3"/>
        <v>2062353.0700000033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'WE-FLSH'!L32</f>
        <v>64836</v>
      </c>
      <c r="E32" s="66">
        <f>'WE-FLSH'!M32</f>
        <v>131336</v>
      </c>
      <c r="F32" s="60">
        <f>'WE-GL '!D32</f>
        <v>-36635</v>
      </c>
      <c r="G32" s="38">
        <f>'WE-GL '!E32</f>
        <v>-74735.574999999983</v>
      </c>
      <c r="H32" s="60">
        <f>F32-D32</f>
        <v>-101471</v>
      </c>
      <c r="I32" s="38">
        <f>G32-E32</f>
        <v>-206071.57499999998</v>
      </c>
    </row>
    <row r="33" spans="1:9" x14ac:dyDescent="0.2">
      <c r="A33" s="9">
        <v>14</v>
      </c>
      <c r="B33" s="7"/>
      <c r="C33" s="18" t="s">
        <v>42</v>
      </c>
      <c r="D33" s="65">
        <f>'WE-FLSH'!L33</f>
        <v>-107073</v>
      </c>
      <c r="E33" s="66">
        <f>'WE-FLSH'!M33</f>
        <v>-220434.15899343032</v>
      </c>
      <c r="F33" s="60">
        <f>'WE-GL '!D33</f>
        <v>-5786</v>
      </c>
      <c r="G33" s="38">
        <f>'WE-GL '!E33</f>
        <v>-11908.38</v>
      </c>
      <c r="H33" s="60">
        <f t="shared" ref="H33:I35" si="5">F33-D33</f>
        <v>101287</v>
      </c>
      <c r="I33" s="38">
        <f t="shared" si="5"/>
        <v>208525.77899343031</v>
      </c>
    </row>
    <row r="34" spans="1:9" x14ac:dyDescent="0.2">
      <c r="A34" s="9">
        <v>15</v>
      </c>
      <c r="B34" s="7"/>
      <c r="C34" s="18" t="s">
        <v>43</v>
      </c>
      <c r="D34" s="65">
        <f>'WE-FLSH'!L34</f>
        <v>0</v>
      </c>
      <c r="E34" s="66">
        <f>'WE-FLSH'!M34</f>
        <v>0</v>
      </c>
      <c r="F34" s="60">
        <f>'WE-GL '!D34</f>
        <v>23164</v>
      </c>
      <c r="G34" s="38">
        <f>'WE-GL '!E34</f>
        <v>47475.09</v>
      </c>
      <c r="H34" s="60">
        <f t="shared" si="5"/>
        <v>23164</v>
      </c>
      <c r="I34" s="38">
        <f t="shared" si="5"/>
        <v>47475.09</v>
      </c>
    </row>
    <row r="35" spans="1:9" x14ac:dyDescent="0.2">
      <c r="A35" s="9">
        <v>16</v>
      </c>
      <c r="B35" s="7"/>
      <c r="C35" s="18" t="s">
        <v>44</v>
      </c>
      <c r="D35" s="65">
        <f>'WE-FLSH'!L35</f>
        <v>0</v>
      </c>
      <c r="E35" s="66">
        <f>'WE-FLSH'!M35</f>
        <v>0</v>
      </c>
      <c r="F35" s="60">
        <f>'WE-GL '!D35</f>
        <v>600017</v>
      </c>
      <c r="G35" s="38">
        <f>'WE-GL '!E35</f>
        <v>701821.01</v>
      </c>
      <c r="H35" s="60">
        <f t="shared" si="5"/>
        <v>600017</v>
      </c>
      <c r="I35" s="38">
        <f t="shared" si="5"/>
        <v>701821.01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-42237</v>
      </c>
      <c r="E36" s="39">
        <f t="shared" si="6"/>
        <v>-89098.158993430319</v>
      </c>
      <c r="F36" s="61">
        <f t="shared" si="6"/>
        <v>580760</v>
      </c>
      <c r="G36" s="39">
        <f t="shared" si="6"/>
        <v>662652.14500000002</v>
      </c>
      <c r="H36" s="61">
        <f t="shared" si="6"/>
        <v>622997</v>
      </c>
      <c r="I36" s="39">
        <f t="shared" si="6"/>
        <v>751750.30399343034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'WE-FLSH'!L39</f>
        <v>614004</v>
      </c>
      <c r="E39" s="66">
        <f>'WE-FLSH'!M39</f>
        <v>1324867</v>
      </c>
      <c r="F39" s="60">
        <f>'WE-GL '!D39</f>
        <v>0</v>
      </c>
      <c r="G39" s="38">
        <f>'WE-GL '!E39</f>
        <v>0</v>
      </c>
      <c r="H39" s="60">
        <f t="shared" ref="H39:I41" si="7">F39-D39</f>
        <v>-614004</v>
      </c>
      <c r="I39" s="38">
        <f t="shared" si="7"/>
        <v>-1324867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'WE-FLSH'!L40</f>
        <v>-184841</v>
      </c>
      <c r="E40" s="66">
        <f>'WE-FLSH'!M40</f>
        <v>-356999</v>
      </c>
      <c r="F40" s="60">
        <f>'WE-GL '!D40</f>
        <v>0</v>
      </c>
      <c r="G40" s="38">
        <f>'WE-GL '!E40</f>
        <v>0</v>
      </c>
      <c r="H40" s="60">
        <f t="shared" si="7"/>
        <v>184841</v>
      </c>
      <c r="I40" s="38">
        <f t="shared" si="7"/>
        <v>356999</v>
      </c>
    </row>
    <row r="41" spans="1:9" x14ac:dyDescent="0.2">
      <c r="A41" s="9">
        <v>19</v>
      </c>
      <c r="B41" s="7"/>
      <c r="C41" s="18" t="s">
        <v>49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1">
        <f t="shared" ref="D42:I42" si="8">SUM(D40:D41)</f>
        <v>-184841</v>
      </c>
      <c r="E42" s="39">
        <f t="shared" si="8"/>
        <v>-356999</v>
      </c>
      <c r="F42" s="61">
        <f t="shared" si="8"/>
        <v>0</v>
      </c>
      <c r="G42" s="39">
        <f t="shared" si="8"/>
        <v>0</v>
      </c>
      <c r="H42" s="61">
        <f t="shared" si="8"/>
        <v>184841</v>
      </c>
      <c r="I42" s="39">
        <f t="shared" si="8"/>
        <v>356999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429163</v>
      </c>
      <c r="E43" s="39">
        <f t="shared" si="9"/>
        <v>967868</v>
      </c>
      <c r="F43" s="61">
        <f t="shared" si="9"/>
        <v>0</v>
      </c>
      <c r="G43" s="39">
        <f t="shared" si="9"/>
        <v>0</v>
      </c>
      <c r="H43" s="61">
        <f t="shared" si="9"/>
        <v>-429163</v>
      </c>
      <c r="I43" s="39">
        <f t="shared" si="9"/>
        <v>-967868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'WE-FLSH'!L49</f>
        <v>0</v>
      </c>
      <c r="E49" s="66">
        <f>'WE-FLSH'!M49</f>
        <v>0</v>
      </c>
      <c r="F49" s="60">
        <f>'WE-GL '!D49</f>
        <v>515385</v>
      </c>
      <c r="G49" s="38">
        <f>'WE-GL '!E49</f>
        <v>1072000.8000000003</v>
      </c>
      <c r="H49" s="60">
        <f>F49-D49</f>
        <v>515385</v>
      </c>
      <c r="I49" s="38">
        <f>G49-E49</f>
        <v>1072000.8000000003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'WE-FLSH'!L51</f>
        <v>-290973</v>
      </c>
      <c r="E51" s="66">
        <f>'WE-FLSH'!M51</f>
        <v>-574945</v>
      </c>
      <c r="F51" s="60">
        <f>'WE-GL '!D51</f>
        <v>-285033</v>
      </c>
      <c r="G51" s="38">
        <f>'WE-GL '!E51</f>
        <v>-592868.6399999999</v>
      </c>
      <c r="H51" s="60">
        <f>F51-D51</f>
        <v>5940</v>
      </c>
      <c r="I51" s="38">
        <f>G51-E51</f>
        <v>-17923.639999999898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'WE-FLSH'!L54</f>
        <v>0</v>
      </c>
      <c r="E54" s="66">
        <f>'WE-FLSH'!M54</f>
        <v>-242944</v>
      </c>
      <c r="F54" s="60">
        <f>'WE-GL '!D54</f>
        <v>-11699377</v>
      </c>
      <c r="G54" s="38">
        <f>'WE-GL '!E54</f>
        <v>-141902.24</v>
      </c>
      <c r="H54" s="60">
        <f>F54-D54</f>
        <v>-11699377</v>
      </c>
      <c r="I54" s="38">
        <f>G54-E54</f>
        <v>101041.76000000001</v>
      </c>
    </row>
    <row r="55" spans="1:9" x14ac:dyDescent="0.2">
      <c r="A55" s="9">
        <v>25</v>
      </c>
      <c r="B55" s="7"/>
      <c r="C55" s="18" t="s">
        <v>58</v>
      </c>
      <c r="D55" s="65">
        <f>'WE-FLSH'!L55</f>
        <v>0</v>
      </c>
      <c r="E55" s="66">
        <f>'WE-FLSH'!M55</f>
        <v>-2652722</v>
      </c>
      <c r="F55" s="60">
        <f>'WE-GL '!D55</f>
        <v>-1130</v>
      </c>
      <c r="G55" s="38">
        <f>'WE-GL '!E55</f>
        <v>-1629652.1900000004</v>
      </c>
      <c r="H55" s="60">
        <f>F55-D55</f>
        <v>-1130</v>
      </c>
      <c r="I55" s="38">
        <f>G55-E55</f>
        <v>1023069.8099999996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-2895666</v>
      </c>
      <c r="F56" s="61">
        <f t="shared" si="10"/>
        <v>-11700507</v>
      </c>
      <c r="G56" s="39">
        <f t="shared" si="10"/>
        <v>-1771554.4300000004</v>
      </c>
      <c r="H56" s="61">
        <f t="shared" si="10"/>
        <v>-11700507</v>
      </c>
      <c r="I56" s="39">
        <f t="shared" si="10"/>
        <v>1124111.5699999996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64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'WE-FLSH'!L70</f>
        <v>0</v>
      </c>
      <c r="E70" s="66">
        <f>'WE-FLSH'!M70</f>
        <v>1493640</v>
      </c>
      <c r="F70" s="60">
        <f>'WE-GL '!D70</f>
        <v>0</v>
      </c>
      <c r="G70" s="38">
        <f>'WE-GL '!E70</f>
        <v>1493640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'WE-FLSH'!L71</f>
        <v>0</v>
      </c>
      <c r="E71" s="66">
        <f>'WE-FLSH'!M71</f>
        <v>-709562</v>
      </c>
      <c r="F71" s="60">
        <f>'WE-GL '!D71</f>
        <v>0</v>
      </c>
      <c r="G71" s="38">
        <f>'WE-GL '!E71</f>
        <v>-709561.76</v>
      </c>
      <c r="H71" s="60">
        <f>F71-D71</f>
        <v>0</v>
      </c>
      <c r="I71" s="38">
        <f>G71-E71</f>
        <v>0.23999999999068677</v>
      </c>
    </row>
    <row r="72" spans="1:9" x14ac:dyDescent="0.2">
      <c r="A72" s="9"/>
      <c r="B72" s="3"/>
      <c r="C72" s="55" t="s">
        <v>71</v>
      </c>
      <c r="D72" s="61">
        <f t="shared" ref="D72:I72" si="13">SUM(D70:D71)</f>
        <v>0</v>
      </c>
      <c r="E72" s="39">
        <f t="shared" si="13"/>
        <v>784078</v>
      </c>
      <c r="F72" s="61">
        <f t="shared" si="13"/>
        <v>0</v>
      </c>
      <c r="G72" s="39">
        <f t="shared" si="13"/>
        <v>784078.24</v>
      </c>
      <c r="H72" s="61">
        <f t="shared" si="13"/>
        <v>0</v>
      </c>
      <c r="I72" s="39">
        <f t="shared" si="13"/>
        <v>0.23999999999068677</v>
      </c>
    </row>
    <row r="73" spans="1:9" x14ac:dyDescent="0.2">
      <c r="A73" s="9">
        <v>32</v>
      </c>
      <c r="B73" s="3"/>
      <c r="C73" s="10" t="s">
        <v>72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'WE-FLSH'!L74</f>
        <v>0</v>
      </c>
      <c r="E74" s="66">
        <f>'WE-FLSH'!M74</f>
        <v>-103453</v>
      </c>
      <c r="F74" s="60">
        <f>'WE-GL '!D74</f>
        <v>0</v>
      </c>
      <c r="G74" s="38">
        <f>'WE-GL '!E74</f>
        <v>573023</v>
      </c>
      <c r="H74" s="60">
        <f t="shared" ref="H74:I79" si="14">F74-D74</f>
        <v>0</v>
      </c>
      <c r="I74" s="38">
        <f t="shared" si="14"/>
        <v>676476</v>
      </c>
    </row>
    <row r="75" spans="1:9" x14ac:dyDescent="0.2">
      <c r="A75" s="9">
        <v>34</v>
      </c>
      <c r="B75" s="3"/>
      <c r="C75" s="10" t="s">
        <v>74</v>
      </c>
      <c r="D75" s="65">
        <f>'WE-FLSH'!L75</f>
        <v>0</v>
      </c>
      <c r="E75" s="66">
        <f>'WE-FLSH'!M75</f>
        <v>111322</v>
      </c>
      <c r="F75" s="60">
        <f>'WE-GL '!D75</f>
        <v>0</v>
      </c>
      <c r="G75" s="38">
        <f>'WE-GL '!E75</f>
        <v>111300</v>
      </c>
      <c r="H75" s="60">
        <f t="shared" si="14"/>
        <v>0</v>
      </c>
      <c r="I75" s="38">
        <f t="shared" si="14"/>
        <v>-22</v>
      </c>
    </row>
    <row r="76" spans="1:9" x14ac:dyDescent="0.2">
      <c r="A76" s="9">
        <v>35</v>
      </c>
      <c r="B76" s="3"/>
      <c r="C76" s="10" t="s">
        <v>75</v>
      </c>
      <c r="D76" s="65">
        <f>'WE-FLSH'!L76</f>
        <v>0</v>
      </c>
      <c r="E76" s="66">
        <f>'WE-FLSH'!M76</f>
        <v>0</v>
      </c>
      <c r="F76" s="60">
        <f>'WE-GL '!D76</f>
        <v>0</v>
      </c>
      <c r="G76" s="38">
        <f>'WE-GL '!E76</f>
        <v>-32332.43</v>
      </c>
      <c r="H76" s="60">
        <f t="shared" si="14"/>
        <v>0</v>
      </c>
      <c r="I76" s="38">
        <f t="shared" si="14"/>
        <v>-32332.43</v>
      </c>
    </row>
    <row r="77" spans="1:9" x14ac:dyDescent="0.2">
      <c r="A77" s="9">
        <v>36</v>
      </c>
      <c r="B77" s="3"/>
      <c r="C77" s="10" t="s">
        <v>76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'WE-FLSH'!L79</f>
        <v>0</v>
      </c>
      <c r="E79" s="66">
        <f>'WE-FLSH'!M79</f>
        <v>1642985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-1642985</v>
      </c>
    </row>
    <row r="80" spans="1:9" x14ac:dyDescent="0.2">
      <c r="A80" s="9">
        <v>39</v>
      </c>
      <c r="B80" s="3"/>
      <c r="C80" s="10" t="s">
        <v>79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'WE-FLSH'!L81</f>
        <v>0</v>
      </c>
      <c r="E81" s="66">
        <f>'WE-FLSH'!M81</f>
        <v>104136</v>
      </c>
      <c r="F81" s="60">
        <f>'WE-GL '!D81</f>
        <v>0</v>
      </c>
      <c r="G81" s="38">
        <f>'WE-GL '!E81</f>
        <v>68664.55</v>
      </c>
      <c r="H81" s="60">
        <f>F81-D81</f>
        <v>0</v>
      </c>
      <c r="I81" s="38">
        <f>G81-E81</f>
        <v>-35471.449999999997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656960.84100656956</v>
      </c>
      <c r="F82" s="111">
        <f>F16+F24+F29+F36+F43+F45+F47+F49</f>
        <v>0</v>
      </c>
      <c r="G82" s="112">
        <f>SUM(G72:G81)+G16+G24+G29+G36+G43+G45+G47+G49+G51+G56+G61+G66</f>
        <v>1069502.6850000026</v>
      </c>
      <c r="H82" s="111">
        <f>H16+H24+H29+H36+H43+H45+H47+H49</f>
        <v>0</v>
      </c>
      <c r="I82" s="112">
        <f>SUM(I72:I81)+I16+I24+I29+I36+I43+I45+I47+I49+I51+I56+I61+I66</f>
        <v>412541.84399342211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2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28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-89420</v>
      </c>
      <c r="H12" s="60">
        <f>F12-D12</f>
        <v>0</v>
      </c>
      <c r="I12" s="38">
        <f>G12-E12</f>
        <v>-89420</v>
      </c>
    </row>
    <row r="13" spans="1:22" x14ac:dyDescent="0.2">
      <c r="A13" s="9">
        <v>3</v>
      </c>
      <c r="B13" s="7"/>
      <c r="C13" s="18" t="s">
        <v>29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-16925369</v>
      </c>
      <c r="H13" s="60">
        <f t="shared" ref="H13:I15" si="0">F13-D13</f>
        <v>0</v>
      </c>
      <c r="I13" s="38">
        <f t="shared" si="0"/>
        <v>-16925369</v>
      </c>
    </row>
    <row r="14" spans="1:22" x14ac:dyDescent="0.2">
      <c r="A14" s="9">
        <v>4</v>
      </c>
      <c r="B14" s="7"/>
      <c r="C14" s="18" t="s">
        <v>30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-17014789</v>
      </c>
      <c r="H16" s="61">
        <f t="shared" si="1"/>
        <v>0</v>
      </c>
      <c r="I16" s="39">
        <f t="shared" si="1"/>
        <v>-17014789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274973</v>
      </c>
      <c r="H41" s="60">
        <f t="shared" si="7"/>
        <v>0</v>
      </c>
      <c r="I41" s="38">
        <f t="shared" si="7"/>
        <v>274973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274973</v>
      </c>
      <c r="H42" s="69">
        <f t="shared" si="8"/>
        <v>0</v>
      </c>
      <c r="I42" s="70">
        <f t="shared" si="8"/>
        <v>274973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274973</v>
      </c>
      <c r="H43" s="61">
        <f t="shared" si="9"/>
        <v>0</v>
      </c>
      <c r="I43" s="39">
        <f t="shared" si="9"/>
        <v>274973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96833</v>
      </c>
      <c r="H60" s="60">
        <f>F60-D60</f>
        <v>0</v>
      </c>
      <c r="I60" s="38">
        <f>G60-E60</f>
        <v>96833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96833</v>
      </c>
      <c r="H61" s="69">
        <f t="shared" si="11"/>
        <v>0</v>
      </c>
      <c r="I61" s="70">
        <f t="shared" si="11"/>
        <v>96833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STG_FLSH!L70</f>
        <v>0</v>
      </c>
      <c r="E70" s="66">
        <f>STG_FLSH!M70</f>
        <v>-3633759</v>
      </c>
      <c r="F70" s="60">
        <f>STG_GL!D70</f>
        <v>0</v>
      </c>
      <c r="G70" s="38">
        <f>STG_GL!E70</f>
        <v>13276154</v>
      </c>
      <c r="H70" s="60">
        <f>F70-D70</f>
        <v>0</v>
      </c>
      <c r="I70" s="38">
        <f>G70-E70</f>
        <v>16909913</v>
      </c>
    </row>
    <row r="71" spans="1:9" x14ac:dyDescent="0.2">
      <c r="A71" s="9">
        <v>31</v>
      </c>
      <c r="B71" s="3"/>
      <c r="C71" s="10" t="s">
        <v>70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-3633759</v>
      </c>
      <c r="F72" s="69">
        <f t="shared" si="13"/>
        <v>0</v>
      </c>
      <c r="G72" s="70">
        <f t="shared" si="13"/>
        <v>13276154</v>
      </c>
      <c r="H72" s="69">
        <f t="shared" si="13"/>
        <v>0</v>
      </c>
      <c r="I72" s="70">
        <f t="shared" si="13"/>
        <v>16909913</v>
      </c>
    </row>
    <row r="73" spans="1:9" x14ac:dyDescent="0.2">
      <c r="A73" s="9">
        <v>32</v>
      </c>
      <c r="B73" s="3"/>
      <c r="C73" s="10" t="s">
        <v>72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2737918</v>
      </c>
      <c r="H74" s="60">
        <f t="shared" ref="H74:I79" si="14">F74-D74</f>
        <v>0</v>
      </c>
      <c r="I74" s="38">
        <f t="shared" si="14"/>
        <v>2737918</v>
      </c>
    </row>
    <row r="75" spans="1:9" x14ac:dyDescent="0.2">
      <c r="A75" s="9">
        <v>34</v>
      </c>
      <c r="B75" s="3"/>
      <c r="C75" s="10" t="s">
        <v>74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-5660</v>
      </c>
      <c r="H76" s="60">
        <f t="shared" si="14"/>
        <v>0</v>
      </c>
      <c r="I76" s="38">
        <f t="shared" si="14"/>
        <v>-5660</v>
      </c>
    </row>
    <row r="77" spans="1:9" x14ac:dyDescent="0.2">
      <c r="A77" s="9">
        <v>36</v>
      </c>
      <c r="B77" s="3"/>
      <c r="C77" s="10" t="s">
        <v>76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-707000</v>
      </c>
      <c r="H77" s="60">
        <f t="shared" si="14"/>
        <v>0</v>
      </c>
      <c r="I77" s="38">
        <f t="shared" si="14"/>
        <v>-707000</v>
      </c>
    </row>
    <row r="78" spans="1:9" x14ac:dyDescent="0.2">
      <c r="A78" s="9">
        <v>37</v>
      </c>
      <c r="B78" s="3"/>
      <c r="C78" s="10" t="s">
        <v>77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STG_FLSH!L81</f>
        <v>0</v>
      </c>
      <c r="E81" s="66">
        <f>STG_FLSH!M81</f>
        <v>3332759</v>
      </c>
      <c r="F81" s="60">
        <f>STG_GL!D81</f>
        <v>0</v>
      </c>
      <c r="G81" s="38">
        <f>STG_GL!E81</f>
        <v>-591891</v>
      </c>
      <c r="H81" s="60">
        <f>F81-D81</f>
        <v>0</v>
      </c>
      <c r="I81" s="38">
        <f>G81-E81</f>
        <v>-3924650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-301000</v>
      </c>
      <c r="F82" s="111">
        <f>F16+F24+F29+F36+F43+F45+F47+F49</f>
        <v>0</v>
      </c>
      <c r="G82" s="112">
        <f>SUM(G72:G81)+G16+G24+G29+G36+G43+G45+G47+G49+G51+G56+G61+G66</f>
        <v>-1933462</v>
      </c>
      <c r="H82" s="111">
        <f>H16+H24+H29+H36+H43+H45+H47+H49</f>
        <v>0</v>
      </c>
      <c r="I82" s="112">
        <f>SUM(I72:I81)+I16+I24+I29+I36+I43+I45+I47+I49+I51+I56+I61+I66</f>
        <v>-1632462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3" activePane="bottomRight" state="frozen"/>
      <selection activeCell="H86" sqref="H86"/>
      <selection pane="topRight" activeCell="H86" sqref="H86"/>
      <selection pane="bottomLeft" activeCell="H86" sqref="H86"/>
      <selection pane="bottomRight" activeCell="F13" sqref="F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166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ONT_FLSH!L11</f>
        <v>7020222</v>
      </c>
      <c r="E11" s="66">
        <f>ONT_FLSH!M11</f>
        <v>16520575</v>
      </c>
      <c r="F11" s="60">
        <f>'ONT_GL '!D11</f>
        <v>7696881</v>
      </c>
      <c r="G11" s="38">
        <f>'ONT_GL '!E11</f>
        <v>17163251</v>
      </c>
      <c r="H11" s="60">
        <f>F11-D11</f>
        <v>676659</v>
      </c>
      <c r="I11" s="38">
        <f>G11-E11</f>
        <v>642676</v>
      </c>
    </row>
    <row r="12" spans="1:22" x14ac:dyDescent="0.2">
      <c r="A12" s="9">
        <v>2</v>
      </c>
      <c r="B12" s="7"/>
      <c r="C12" s="18" t="s">
        <v>28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-418888.09</v>
      </c>
      <c r="H12" s="60">
        <f>F12-D12</f>
        <v>0</v>
      </c>
      <c r="I12" s="38">
        <f>G12-E12</f>
        <v>-418888.09</v>
      </c>
    </row>
    <row r="13" spans="1:22" x14ac:dyDescent="0.2">
      <c r="A13" s="9">
        <v>3</v>
      </c>
      <c r="B13" s="7"/>
      <c r="C13" s="18" t="s">
        <v>29</v>
      </c>
      <c r="D13" s="65">
        <f>ONT_FLSH!L13</f>
        <v>2232777</v>
      </c>
      <c r="E13" s="66">
        <f>ONT_FLSH!M13</f>
        <v>5214825</v>
      </c>
      <c r="F13" s="60">
        <f>'ONT_GL '!D13</f>
        <v>1250927</v>
      </c>
      <c r="G13" s="38">
        <f>'ONT_GL '!E13</f>
        <v>2924336</v>
      </c>
      <c r="H13" s="60">
        <f t="shared" ref="H13:I15" si="0">F13-D13</f>
        <v>-981850</v>
      </c>
      <c r="I13" s="38">
        <f t="shared" si="0"/>
        <v>-2290489</v>
      </c>
    </row>
    <row r="14" spans="1:22" x14ac:dyDescent="0.2">
      <c r="A14" s="9">
        <v>4</v>
      </c>
      <c r="B14" s="7"/>
      <c r="C14" s="18" t="s">
        <v>30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9252999</v>
      </c>
      <c r="E16" s="39">
        <f t="shared" si="1"/>
        <v>21735400</v>
      </c>
      <c r="F16" s="61">
        <f t="shared" si="1"/>
        <v>8947808</v>
      </c>
      <c r="G16" s="39">
        <f t="shared" si="1"/>
        <v>19668698.91</v>
      </c>
      <c r="H16" s="61">
        <f t="shared" si="1"/>
        <v>-305191</v>
      </c>
      <c r="I16" s="39">
        <f t="shared" si="1"/>
        <v>-2066701.09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ONT_FLSH!L19</f>
        <v>-6088585</v>
      </c>
      <c r="E19" s="66">
        <f>ONT_FLSH!M19</f>
        <v>-14323204</v>
      </c>
      <c r="F19" s="60">
        <f>'ONT_GL '!D19</f>
        <v>-7354776</v>
      </c>
      <c r="G19" s="38">
        <f>'ONT_GL '!E19</f>
        <v>-16341609</v>
      </c>
      <c r="H19" s="60">
        <f>F19-D19</f>
        <v>-1266191</v>
      </c>
      <c r="I19" s="38">
        <f>G19-E19</f>
        <v>-2018405</v>
      </c>
    </row>
    <row r="20" spans="1:9" x14ac:dyDescent="0.2">
      <c r="A20" s="9">
        <v>7</v>
      </c>
      <c r="B20" s="7"/>
      <c r="C20" s="18" t="s">
        <v>28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521674.65</v>
      </c>
      <c r="H20" s="60">
        <f>F20-D20</f>
        <v>0</v>
      </c>
      <c r="I20" s="38">
        <f>G20-E20</f>
        <v>521674.65</v>
      </c>
    </row>
    <row r="21" spans="1:9" x14ac:dyDescent="0.2">
      <c r="A21" s="9">
        <v>8</v>
      </c>
      <c r="B21" s="7"/>
      <c r="C21" s="18" t="s">
        <v>29</v>
      </c>
      <c r="D21" s="65">
        <f>ONT_FLSH!L21</f>
        <v>-2936881</v>
      </c>
      <c r="E21" s="66">
        <f>ONT_FLSH!M21</f>
        <v>-6871475</v>
      </c>
      <c r="F21" s="60">
        <f>'ONT_GL '!D21</f>
        <v>-635000</v>
      </c>
      <c r="G21" s="38">
        <f>'ONT_GL '!E21</f>
        <v>-1483815</v>
      </c>
      <c r="H21" s="60">
        <f t="shared" ref="H21:I23" si="2">F21-D21</f>
        <v>2301881</v>
      </c>
      <c r="I21" s="38">
        <f t="shared" si="2"/>
        <v>5387660</v>
      </c>
    </row>
    <row r="22" spans="1:9" x14ac:dyDescent="0.2">
      <c r="A22" s="9">
        <v>9</v>
      </c>
      <c r="B22" s="7"/>
      <c r="C22" s="18" t="s">
        <v>30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-9025466</v>
      </c>
      <c r="E24" s="39">
        <f t="shared" si="3"/>
        <v>-21194679</v>
      </c>
      <c r="F24" s="61">
        <f t="shared" si="3"/>
        <v>-7989776</v>
      </c>
      <c r="G24" s="39">
        <f t="shared" si="3"/>
        <v>-17303749.350000001</v>
      </c>
      <c r="H24" s="61">
        <f t="shared" si="3"/>
        <v>1035690</v>
      </c>
      <c r="I24" s="39">
        <f t="shared" si="3"/>
        <v>3890929.65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ONT_FLSH!L33</f>
        <v>-227533</v>
      </c>
      <c r="E33" s="66">
        <f>ONT_FLSH!M33</f>
        <v>-532427.22</v>
      </c>
      <c r="F33" s="60">
        <f>'ONT_GL '!D33</f>
        <v>0</v>
      </c>
      <c r="G33" s="38">
        <f>'ONT_GL '!E33</f>
        <v>0</v>
      </c>
      <c r="H33" s="60">
        <f t="shared" ref="H33:I35" si="5">F33-D33</f>
        <v>227533</v>
      </c>
      <c r="I33" s="38">
        <f t="shared" si="5"/>
        <v>532427.22</v>
      </c>
    </row>
    <row r="34" spans="1:9" x14ac:dyDescent="0.2">
      <c r="A34" s="9">
        <v>15</v>
      </c>
      <c r="B34" s="7"/>
      <c r="C34" s="18" t="s">
        <v>43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ONT_FLSH!L35</f>
        <v>0</v>
      </c>
      <c r="E35" s="66">
        <f>ONT_FLSH!M35</f>
        <v>0</v>
      </c>
      <c r="F35" s="60">
        <f>'ONT_GL '!D35</f>
        <v>218793</v>
      </c>
      <c r="G35" s="38">
        <f>'ONT_GL '!E35</f>
        <v>514317</v>
      </c>
      <c r="H35" s="60">
        <f t="shared" si="5"/>
        <v>218793</v>
      </c>
      <c r="I35" s="38">
        <f t="shared" si="5"/>
        <v>514317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-227533</v>
      </c>
      <c r="E36" s="39">
        <f t="shared" si="6"/>
        <v>-532427.22</v>
      </c>
      <c r="F36" s="61">
        <f t="shared" si="6"/>
        <v>218793</v>
      </c>
      <c r="G36" s="39">
        <f t="shared" si="6"/>
        <v>514317</v>
      </c>
      <c r="H36" s="61">
        <f t="shared" si="6"/>
        <v>446326</v>
      </c>
      <c r="I36" s="39">
        <f t="shared" si="6"/>
        <v>1046744.22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ONT_FLSH!L49</f>
        <v>0</v>
      </c>
      <c r="E49" s="66">
        <f>ONT_FLSH!M49</f>
        <v>0</v>
      </c>
      <c r="F49" s="60">
        <f>'ONT_GL '!D49</f>
        <v>-1176825</v>
      </c>
      <c r="G49" s="38">
        <f>'ONT_GL '!E49</f>
        <v>-2753771</v>
      </c>
      <c r="H49" s="60">
        <f>F49-D49</f>
        <v>-1176825</v>
      </c>
      <c r="I49" s="38">
        <f>G49-E49</f>
        <v>-2753771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1261908</v>
      </c>
      <c r="H54" s="60">
        <f>F54-D54</f>
        <v>0</v>
      </c>
      <c r="I54" s="38">
        <f>G54-E54</f>
        <v>1261908</v>
      </c>
    </row>
    <row r="55" spans="1:9" x14ac:dyDescent="0.2">
      <c r="A55" s="9">
        <v>25</v>
      </c>
      <c r="B55" s="7"/>
      <c r="C55" s="18" t="s">
        <v>58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-1237958</v>
      </c>
      <c r="H55" s="60">
        <f>F55-D55</f>
        <v>0</v>
      </c>
      <c r="I55" s="38">
        <f>G55-E55</f>
        <v>-1237958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23950</v>
      </c>
      <c r="H56" s="61">
        <f t="shared" si="10"/>
        <v>0</v>
      </c>
      <c r="I56" s="39">
        <f t="shared" si="10"/>
        <v>23950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ONT_FLSH!L70</f>
        <v>0</v>
      </c>
      <c r="E70" s="66">
        <f>ONT_FLSH!M70</f>
        <v>-808256.63</v>
      </c>
      <c r="F70" s="60">
        <f>'ONT_GL '!D70</f>
        <v>0</v>
      </c>
      <c r="G70" s="38">
        <f>'ONT_GL '!E70</f>
        <v>-276473.63</v>
      </c>
      <c r="H70" s="60">
        <f>F70-D70</f>
        <v>0</v>
      </c>
      <c r="I70" s="38">
        <f>G70-E70</f>
        <v>531783</v>
      </c>
    </row>
    <row r="71" spans="1:9" x14ac:dyDescent="0.2">
      <c r="A71" s="9">
        <v>31</v>
      </c>
      <c r="B71" s="3"/>
      <c r="C71" s="10" t="s">
        <v>70</v>
      </c>
      <c r="D71" s="65">
        <f>ONT_FLSH!L71</f>
        <v>0</v>
      </c>
      <c r="E71" s="66">
        <f>ONT_FLSH!M71</f>
        <v>952734</v>
      </c>
      <c r="F71" s="60">
        <f>'ONT_GL '!D71</f>
        <v>0</v>
      </c>
      <c r="G71" s="38">
        <f>'ONT_GL '!E71</f>
        <v>420951</v>
      </c>
      <c r="H71" s="60">
        <f>F71-D71</f>
        <v>0</v>
      </c>
      <c r="I71" s="38">
        <f>G71-E71</f>
        <v>-531783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144477.37</v>
      </c>
      <c r="F72" s="69">
        <f t="shared" si="13"/>
        <v>0</v>
      </c>
      <c r="G72" s="70">
        <f t="shared" si="13"/>
        <v>144477.37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-412865.52</v>
      </c>
      <c r="H74" s="60">
        <f t="shared" ref="H74:I79" si="14">F74-D74</f>
        <v>0</v>
      </c>
      <c r="I74" s="38">
        <f t="shared" si="14"/>
        <v>-412865.52</v>
      </c>
    </row>
    <row r="75" spans="1:9" x14ac:dyDescent="0.2">
      <c r="A75" s="9">
        <v>34</v>
      </c>
      <c r="B75" s="3"/>
      <c r="C75" s="10" t="s">
        <v>74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ONT_FLSH!L81</f>
        <v>0</v>
      </c>
      <c r="E81" s="66">
        <f>ONT_FLSH!M81</f>
        <v>-23232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23232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129539.15000000107</v>
      </c>
      <c r="F82" s="111">
        <f>F16+F24+F29+F36+F43+F45+F47+F49</f>
        <v>0</v>
      </c>
      <c r="G82" s="112">
        <f>SUM(G72:G81)+G16+G24+G29+G36+G43+G45+G47+G49+G51+G56+G61+G66</f>
        <v>-118942.58999999985</v>
      </c>
      <c r="H82" s="111">
        <f>H16+H24+H29+H36+H43+H45+H47+H49</f>
        <v>0</v>
      </c>
      <c r="I82" s="112">
        <f>SUM(I72:I81)+I16+I24+I29+I36+I43+I45+I47+I49+I51+I56+I61+I66</f>
        <v>-248481.74000000022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171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175</v>
      </c>
      <c r="D86" s="173">
        <f>ONT_FLSH!L86</f>
        <v>0</v>
      </c>
      <c r="E86" s="173">
        <f>ONT_FLSH!M86</f>
        <v>593800</v>
      </c>
      <c r="F86" s="173">
        <f>'ONT_GL '!D86</f>
        <v>0</v>
      </c>
      <c r="G86" s="173">
        <f>'ONT_GL '!E86</f>
        <v>609448</v>
      </c>
      <c r="H86" s="173">
        <f t="shared" ref="H86:I88" si="15">F86-D86</f>
        <v>0</v>
      </c>
      <c r="I86" s="173">
        <f t="shared" si="15"/>
        <v>15648</v>
      </c>
    </row>
    <row r="87" spans="1:63" x14ac:dyDescent="0.2">
      <c r="A87" s="172"/>
      <c r="B87" s="3"/>
      <c r="C87" s="10" t="s">
        <v>73</v>
      </c>
      <c r="D87" s="174">
        <f>ONT_FLSH!L87</f>
        <v>0</v>
      </c>
      <c r="E87" s="174">
        <f>ONT_FLSH!M87</f>
        <v>0</v>
      </c>
      <c r="F87" s="174">
        <f>'ONT_GL '!D87</f>
        <v>0</v>
      </c>
      <c r="G87" s="174">
        <f>'ONT_GL 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74</v>
      </c>
      <c r="D88" s="175">
        <f>ONT_FLSH!L88</f>
        <v>0</v>
      </c>
      <c r="E88" s="175">
        <f>ONT_FLSH!M88</f>
        <v>0</v>
      </c>
      <c r="F88" s="175">
        <f>'ONT_GL '!D88</f>
        <v>0</v>
      </c>
      <c r="G88" s="175">
        <f>'ONT_GL '!E88</f>
        <v>-15648</v>
      </c>
      <c r="H88" s="175">
        <f t="shared" si="15"/>
        <v>0</v>
      </c>
      <c r="I88" s="175">
        <f t="shared" si="15"/>
        <v>-15648</v>
      </c>
    </row>
    <row r="89" spans="1:63" s="143" customFormat="1" x14ac:dyDescent="0.2">
      <c r="A89" s="186"/>
      <c r="B89" s="187"/>
      <c r="C89" s="185" t="s">
        <v>178</v>
      </c>
      <c r="D89" s="188">
        <f t="shared" ref="D89:I89" si="16">SUM(D86:D88)</f>
        <v>0</v>
      </c>
      <c r="E89" s="188">
        <f t="shared" si="16"/>
        <v>593800</v>
      </c>
      <c r="F89" s="188">
        <f t="shared" si="16"/>
        <v>0</v>
      </c>
      <c r="G89" s="188">
        <f t="shared" si="16"/>
        <v>593800</v>
      </c>
      <c r="H89" s="188">
        <f t="shared" si="16"/>
        <v>0</v>
      </c>
      <c r="I89" s="188">
        <f t="shared" si="16"/>
        <v>0</v>
      </c>
    </row>
    <row r="90" spans="1:63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63" s="143" customFormat="1" x14ac:dyDescent="0.2">
      <c r="A91" s="186"/>
      <c r="B91" s="187"/>
      <c r="C91" s="185" t="s">
        <v>181</v>
      </c>
      <c r="D91" s="188">
        <f t="shared" ref="D91:I91" si="17">+D82+D89</f>
        <v>0</v>
      </c>
      <c r="E91" s="188">
        <f t="shared" si="17"/>
        <v>723339.15000000107</v>
      </c>
      <c r="F91" s="188">
        <f t="shared" si="17"/>
        <v>0</v>
      </c>
      <c r="G91" s="188">
        <f t="shared" si="17"/>
        <v>474857.41000000015</v>
      </c>
      <c r="H91" s="188">
        <f t="shared" si="17"/>
        <v>0</v>
      </c>
      <c r="I91" s="188">
        <f t="shared" si="17"/>
        <v>-248481.74000000022</v>
      </c>
    </row>
    <row r="92" spans="1:63" s="143" customFormat="1" x14ac:dyDescent="0.2">
      <c r="A92" s="190"/>
      <c r="B92" s="187"/>
      <c r="D92" s="191"/>
      <c r="E92" s="191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86" sqref="H86"/>
      <selection pane="topRight" activeCell="H86" sqref="H86"/>
      <selection pane="bottomLeft" activeCell="H86" sqref="H86"/>
      <selection pane="bottomRight" activeCell="G76" sqref="G7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108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9905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BUG_FLSH!D11</f>
        <v>6494610</v>
      </c>
      <c r="E11" s="66">
        <f>BUG_FLSH!E11</f>
        <v>14058957</v>
      </c>
      <c r="F11" s="60">
        <f>BUG_GL!D11</f>
        <v>6463380</v>
      </c>
      <c r="G11" s="38">
        <f>BUG_GL!E11</f>
        <v>22017902</v>
      </c>
      <c r="H11" s="60">
        <f>F11-D11</f>
        <v>-31230</v>
      </c>
      <c r="I11" s="38">
        <f>G11-E11</f>
        <v>7958945</v>
      </c>
    </row>
    <row r="12" spans="1:22" x14ac:dyDescent="0.2">
      <c r="A12" s="9">
        <v>2</v>
      </c>
      <c r="B12" s="7"/>
      <c r="C12" s="18" t="s">
        <v>28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BUG_FLSH!D13</f>
        <v>22915213</v>
      </c>
      <c r="E13" s="66">
        <f>BUG_FLSH!E13</f>
        <v>55028839</v>
      </c>
      <c r="F13" s="60">
        <f>BUG_GL!D13</f>
        <v>22912116</v>
      </c>
      <c r="G13" s="38">
        <f>BUG_GL!E13</f>
        <v>54912658</v>
      </c>
      <c r="H13" s="60">
        <f t="shared" ref="H13:I15" si="0">F13-D13</f>
        <v>-3097</v>
      </c>
      <c r="I13" s="38">
        <f t="shared" si="0"/>
        <v>-116181</v>
      </c>
    </row>
    <row r="14" spans="1:22" x14ac:dyDescent="0.2">
      <c r="A14" s="9">
        <v>4</v>
      </c>
      <c r="B14" s="7"/>
      <c r="C14" s="18" t="s">
        <v>30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29409823</v>
      </c>
      <c r="E16" s="39">
        <f t="shared" si="1"/>
        <v>69087796</v>
      </c>
      <c r="F16" s="61">
        <f t="shared" si="1"/>
        <v>29375496</v>
      </c>
      <c r="G16" s="39">
        <f t="shared" si="1"/>
        <v>76930560</v>
      </c>
      <c r="H16" s="61">
        <f t="shared" si="1"/>
        <v>-34327</v>
      </c>
      <c r="I16" s="39">
        <f t="shared" si="1"/>
        <v>7842764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BUG_FLSH!D19</f>
        <v>-5863953</v>
      </c>
      <c r="E19" s="66">
        <f>BUG_FLSH!E19</f>
        <v>-12124708</v>
      </c>
      <c r="F19" s="60">
        <f>BUG_GL!D19</f>
        <v>-5309286</v>
      </c>
      <c r="G19" s="38">
        <f>BUG_GL!E19</f>
        <v>-10567518</v>
      </c>
      <c r="H19" s="60">
        <f>F19-D19</f>
        <v>554667</v>
      </c>
      <c r="I19" s="38">
        <f>G19-E19</f>
        <v>1557190</v>
      </c>
    </row>
    <row r="20" spans="1:9" x14ac:dyDescent="0.2">
      <c r="A20" s="9">
        <v>7</v>
      </c>
      <c r="B20" s="7"/>
      <c r="C20" s="18" t="s">
        <v>28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BUG_FLSH!D21</f>
        <v>-31274346</v>
      </c>
      <c r="E21" s="66">
        <f>BUG_FLSH!E21</f>
        <v>-74695765</v>
      </c>
      <c r="F21" s="60">
        <f>BUG_GL!D21</f>
        <v>-31442257</v>
      </c>
      <c r="G21" s="38">
        <f>BUG_GL!E21</f>
        <v>-74998745</v>
      </c>
      <c r="H21" s="60">
        <f t="shared" ref="H21:I23" si="2">F21-D21</f>
        <v>-167911</v>
      </c>
      <c r="I21" s="38">
        <f t="shared" si="2"/>
        <v>-302980</v>
      </c>
    </row>
    <row r="22" spans="1:9" x14ac:dyDescent="0.2">
      <c r="A22" s="9">
        <v>9</v>
      </c>
      <c r="B22" s="7"/>
      <c r="C22" s="18" t="s">
        <v>30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BUG_FLSH!D23</f>
        <v>641864</v>
      </c>
      <c r="E23" s="66">
        <f>BUG_FLSH!E23</f>
        <v>1467209</v>
      </c>
      <c r="F23" s="60">
        <f>BUG_GL!D23</f>
        <v>0</v>
      </c>
      <c r="G23" s="38">
        <f>BUG_GL!E23</f>
        <v>0</v>
      </c>
      <c r="H23" s="60">
        <f t="shared" si="2"/>
        <v>-641864</v>
      </c>
      <c r="I23" s="38">
        <f t="shared" si="2"/>
        <v>-1467209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-36496435</v>
      </c>
      <c r="E24" s="39">
        <f t="shared" si="3"/>
        <v>-85353264</v>
      </c>
      <c r="F24" s="61">
        <f t="shared" si="3"/>
        <v>-36751543</v>
      </c>
      <c r="G24" s="39">
        <f t="shared" si="3"/>
        <v>-85566263</v>
      </c>
      <c r="H24" s="61">
        <f t="shared" si="3"/>
        <v>-255108</v>
      </c>
      <c r="I24" s="39">
        <f t="shared" si="3"/>
        <v>-212999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BUG_FLSH!D32</f>
        <v>5800</v>
      </c>
      <c r="E32" s="66">
        <f>BUG_FLSH!E32</f>
        <v>14500</v>
      </c>
      <c r="F32" s="60">
        <f>BUG_GL!D32</f>
        <v>1814</v>
      </c>
      <c r="G32" s="38">
        <f>BUG_GL!E32</f>
        <v>4274</v>
      </c>
      <c r="H32" s="60">
        <f>F32-D32</f>
        <v>-3986</v>
      </c>
      <c r="I32" s="38">
        <f>G32-E32</f>
        <v>-10226</v>
      </c>
    </row>
    <row r="33" spans="1:9" x14ac:dyDescent="0.2">
      <c r="A33" s="9">
        <v>14</v>
      </c>
      <c r="B33" s="7"/>
      <c r="C33" s="18" t="s">
        <v>42</v>
      </c>
      <c r="D33" s="65">
        <f>BUG_FLSH!D33</f>
        <v>-237957</v>
      </c>
      <c r="E33" s="66">
        <f>BUG_FLSH!E33</f>
        <v>-560626.69199999992</v>
      </c>
      <c r="F33" s="60">
        <f>BUG_GL!D33</f>
        <v>0</v>
      </c>
      <c r="G33" s="38">
        <f>BUG_GL!E33</f>
        <v>0</v>
      </c>
      <c r="H33" s="60">
        <f t="shared" ref="H33:I35" si="5">F33-D33</f>
        <v>237957</v>
      </c>
      <c r="I33" s="38">
        <f t="shared" si="5"/>
        <v>560626.69199999992</v>
      </c>
    </row>
    <row r="34" spans="1:9" x14ac:dyDescent="0.2">
      <c r="A34" s="9">
        <v>15</v>
      </c>
      <c r="B34" s="7"/>
      <c r="C34" s="18" t="s">
        <v>43</v>
      </c>
      <c r="D34" s="65">
        <f>BUG_FLSH!D34</f>
        <v>3325</v>
      </c>
      <c r="E34" s="66">
        <f>BUG_FLSH!E34</f>
        <v>8163</v>
      </c>
      <c r="F34" s="60">
        <f>BUG_GL!D34</f>
        <v>30547</v>
      </c>
      <c r="G34" s="38">
        <f>BUG_GL!E34</f>
        <v>68076</v>
      </c>
      <c r="H34" s="60">
        <f t="shared" si="5"/>
        <v>27222</v>
      </c>
      <c r="I34" s="38">
        <f t="shared" si="5"/>
        <v>59913</v>
      </c>
    </row>
    <row r="35" spans="1:9" x14ac:dyDescent="0.2">
      <c r="A35" s="9">
        <v>16</v>
      </c>
      <c r="B35" s="7"/>
      <c r="C35" s="18" t="s">
        <v>44</v>
      </c>
      <c r="D35" s="65">
        <f>BUG_FLSH!D35</f>
        <v>0</v>
      </c>
      <c r="E35" s="66">
        <f>BUG_FLSH!E35</f>
        <v>0</v>
      </c>
      <c r="F35" s="60">
        <f>BUG_GL!D35</f>
        <v>0</v>
      </c>
      <c r="G35" s="38">
        <f>BUG_GL!E35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-228832</v>
      </c>
      <c r="E36" s="39">
        <f t="shared" si="6"/>
        <v>-537963.69199999992</v>
      </c>
      <c r="F36" s="61">
        <f t="shared" si="6"/>
        <v>32361</v>
      </c>
      <c r="G36" s="39">
        <f t="shared" si="6"/>
        <v>72350</v>
      </c>
      <c r="H36" s="61">
        <f t="shared" si="6"/>
        <v>261193</v>
      </c>
      <c r="I36" s="39">
        <f t="shared" si="6"/>
        <v>610313.69199999992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BUG_FLSH!D39</f>
        <v>7315444</v>
      </c>
      <c r="E39" s="66">
        <f>BUG_FLSH!E39</f>
        <v>18568485</v>
      </c>
      <c r="F39" s="60">
        <f>BUG_GL!D39</f>
        <v>7289426</v>
      </c>
      <c r="G39" s="38">
        <f>BUG_GL!E39</f>
        <v>18505200.699999999</v>
      </c>
      <c r="H39" s="60">
        <f t="shared" ref="H39:I41" si="7">F39-D39</f>
        <v>-26018</v>
      </c>
      <c r="I39" s="38">
        <f t="shared" si="7"/>
        <v>-63284.300000000745</v>
      </c>
    </row>
    <row r="40" spans="1:9" ht="22.5" customHeight="1" x14ac:dyDescent="0.2">
      <c r="A40" s="9">
        <v>18</v>
      </c>
      <c r="B40" s="7"/>
      <c r="C40" s="18" t="s">
        <v>48</v>
      </c>
      <c r="D40" s="65">
        <f>BUG_FLSH!D40</f>
        <v>0</v>
      </c>
      <c r="E40" s="66">
        <f>BUG_FLSH!E40</f>
        <v>0</v>
      </c>
      <c r="F40" s="60">
        <f>BUG_GL!D40</f>
        <v>0</v>
      </c>
      <c r="G40" s="38">
        <f>BUG_GL!E40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7315444</v>
      </c>
      <c r="E43" s="39">
        <f t="shared" si="9"/>
        <v>18568485</v>
      </c>
      <c r="F43" s="61">
        <f t="shared" si="9"/>
        <v>7289426</v>
      </c>
      <c r="G43" s="39">
        <f t="shared" si="9"/>
        <v>18505200.699999999</v>
      </c>
      <c r="H43" s="61">
        <f t="shared" si="9"/>
        <v>-26018</v>
      </c>
      <c r="I43" s="39">
        <f t="shared" si="9"/>
        <v>-63284.300000000745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BUG_FLSH!D49</f>
        <v>0</v>
      </c>
      <c r="E49" s="66">
        <f>BUG_FLSH!E49</f>
        <v>0</v>
      </c>
      <c r="F49" s="60">
        <f>BUG_GL!D49</f>
        <v>54260</v>
      </c>
      <c r="G49" s="38">
        <f>BUG_GL!E49</f>
        <v>127836.44</v>
      </c>
      <c r="H49" s="60">
        <f>F49-D49</f>
        <v>54260</v>
      </c>
      <c r="I49" s="38">
        <f>G49-E49</f>
        <v>127836.44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BUG_FLSH!D51</f>
        <v>-641864</v>
      </c>
      <c r="E51" s="66">
        <f>BUG_FLSH!E51</f>
        <v>-1467209</v>
      </c>
      <c r="F51" s="60">
        <f>BUG_GL!D51</f>
        <v>-467440</v>
      </c>
      <c r="G51" s="38">
        <f>BUG_GL!E51</f>
        <v>-1306724</v>
      </c>
      <c r="H51" s="60">
        <f>F51-D51</f>
        <v>174424</v>
      </c>
      <c r="I51" s="38">
        <f>G51-E51</f>
        <v>160485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BUG_FLSH!D54</f>
        <v>0</v>
      </c>
      <c r="E54" s="66">
        <f>BUG_FLSH!E54</f>
        <v>-604318</v>
      </c>
      <c r="F54" s="60">
        <f>BUG_GL!D54</f>
        <v>-16056952</v>
      </c>
      <c r="G54" s="38">
        <f>BUG_GL!E54</f>
        <v>-659934</v>
      </c>
      <c r="H54" s="60">
        <f>F54-D54</f>
        <v>-16056952</v>
      </c>
      <c r="I54" s="38">
        <f>G54-E54</f>
        <v>-55616</v>
      </c>
    </row>
    <row r="55" spans="1:9" x14ac:dyDescent="0.2">
      <c r="A55" s="9">
        <v>25</v>
      </c>
      <c r="B55" s="7"/>
      <c r="C55" s="18" t="s">
        <v>58</v>
      </c>
      <c r="D55" s="65">
        <f>BUG_FLSH!D55</f>
        <v>0</v>
      </c>
      <c r="E55" s="66">
        <f>BUG_FLSH!E55</f>
        <v>-10559378</v>
      </c>
      <c r="F55" s="60">
        <f>BUG_GL!D55</f>
        <v>-1716128</v>
      </c>
      <c r="G55" s="38">
        <f>BUG_GL!E55</f>
        <v>-8386018</v>
      </c>
      <c r="H55" s="60">
        <f>F55-D55</f>
        <v>-1716128</v>
      </c>
      <c r="I55" s="38">
        <f>G55-E55</f>
        <v>2173360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-11163696</v>
      </c>
      <c r="F56" s="61">
        <f t="shared" si="10"/>
        <v>-17773080</v>
      </c>
      <c r="G56" s="39">
        <f t="shared" si="10"/>
        <v>-9045952</v>
      </c>
      <c r="H56" s="61">
        <f t="shared" si="10"/>
        <v>-17773080</v>
      </c>
      <c r="I56" s="39">
        <f t="shared" si="10"/>
        <v>2117744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-16</v>
      </c>
      <c r="H59" s="60">
        <f>F59-D59</f>
        <v>0</v>
      </c>
      <c r="I59" s="38">
        <f>G59-E59</f>
        <v>-16</v>
      </c>
    </row>
    <row r="60" spans="1:9" x14ac:dyDescent="0.2">
      <c r="A60" s="9">
        <v>27</v>
      </c>
      <c r="B60" s="11"/>
      <c r="C60" s="18" t="s">
        <v>62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-16</v>
      </c>
      <c r="H61" s="69">
        <f t="shared" si="11"/>
        <v>0</v>
      </c>
      <c r="I61" s="70">
        <f t="shared" si="11"/>
        <v>-16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BUG_FLSH!D70</f>
        <v>0</v>
      </c>
      <c r="E70" s="66">
        <f>BUG_FLSH!E70</f>
        <v>5981501.7333007976</v>
      </c>
      <c r="F70" s="60">
        <f>BUG_GL!D70</f>
        <v>0</v>
      </c>
      <c r="G70" s="38">
        <f>BUG_GL!E70</f>
        <v>5852332.7300000004</v>
      </c>
      <c r="H70" s="60">
        <f>F70-D70</f>
        <v>0</v>
      </c>
      <c r="I70" s="38">
        <f>G70-E70</f>
        <v>-129169.00330079719</v>
      </c>
    </row>
    <row r="71" spans="1:9" x14ac:dyDescent="0.2">
      <c r="A71" s="9">
        <v>31</v>
      </c>
      <c r="B71" s="3"/>
      <c r="C71" s="10" t="s">
        <v>70</v>
      </c>
      <c r="D71" s="65">
        <f>BUG_FLSH!D71</f>
        <v>0</v>
      </c>
      <c r="E71" s="66">
        <f>BUG_FLSH!E71</f>
        <v>-7899743</v>
      </c>
      <c r="F71" s="60">
        <f>BUG_GL!D71</f>
        <v>0</v>
      </c>
      <c r="G71" s="38">
        <f>BUG_GL!E71</f>
        <v>-7770576</v>
      </c>
      <c r="H71" s="60">
        <f>F71-D71</f>
        <v>0</v>
      </c>
      <c r="I71" s="38">
        <f>G71-E71</f>
        <v>129167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-1918241.2666992024</v>
      </c>
      <c r="F72" s="69">
        <f t="shared" si="13"/>
        <v>0</v>
      </c>
      <c r="G72" s="70">
        <f t="shared" si="13"/>
        <v>-1918243.2699999996</v>
      </c>
      <c r="H72" s="69">
        <f t="shared" si="13"/>
        <v>0</v>
      </c>
      <c r="I72" s="70">
        <f t="shared" si="13"/>
        <v>-2.0033007971942425</v>
      </c>
    </row>
    <row r="73" spans="1:9" x14ac:dyDescent="0.2">
      <c r="A73" s="9">
        <v>32</v>
      </c>
      <c r="B73" s="3"/>
      <c r="C73" s="10" t="s">
        <v>72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BUG_FLSH!D74</f>
        <v>0</v>
      </c>
      <c r="E74" s="66">
        <f>BUG_FLSH!E74</f>
        <v>2374526</v>
      </c>
      <c r="F74" s="60">
        <f>BUG_GL!D74</f>
        <v>0</v>
      </c>
      <c r="G74" s="38">
        <f>BUG_GL!E74</f>
        <v>2374528</v>
      </c>
      <c r="H74" s="60">
        <f t="shared" ref="H74:I79" si="14">F74-D74</f>
        <v>0</v>
      </c>
      <c r="I74" s="38">
        <f t="shared" si="14"/>
        <v>2</v>
      </c>
    </row>
    <row r="75" spans="1:9" x14ac:dyDescent="0.2">
      <c r="A75" s="9">
        <v>34</v>
      </c>
      <c r="B75" s="3"/>
      <c r="C75" s="10" t="s">
        <v>74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BUG_FLSH!D79</f>
        <v>0</v>
      </c>
      <c r="E79" s="66">
        <f>BUG_FLSH!E79</f>
        <v>10559378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-10559378</v>
      </c>
    </row>
    <row r="80" spans="1:9" x14ac:dyDescent="0.2">
      <c r="A80" s="9">
        <v>39</v>
      </c>
      <c r="B80" s="3"/>
      <c r="C80" s="10" t="s">
        <v>79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BUG_FLSH!D81</f>
        <v>0</v>
      </c>
      <c r="E81" s="66">
        <f>BUG_FLSH!E81</f>
        <v>0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149811.04130080529</v>
      </c>
      <c r="F82" s="111">
        <f>F16+F24+F29+F36+F43+F45+F47+F49</f>
        <v>0</v>
      </c>
      <c r="G82" s="112">
        <f>SUM(G72:G81)+G16+G24+G29+G36+G43+G45+G47+G49+G51+G56+G61+G66</f>
        <v>173276.87000000291</v>
      </c>
      <c r="H82" s="111">
        <f>H16+H24+H29+H36+H43+H45+H47+H49</f>
        <v>0</v>
      </c>
      <c r="I82" s="112">
        <f>SUM(I72:I81)+I16+I24+I29+I36+I43+I45+I47+I49+I51+I56+I61+I66</f>
        <v>23465.828699201811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AE637" activePane="bottomRight" state="frozen"/>
      <selection pane="topRight" activeCell="E1" sqref="E1"/>
      <selection pane="bottomLeft" activeCell="A4" sqref="A4"/>
      <selection pane="bottomRight" activeCell="AJ660" sqref="AJ660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3" customWidth="1"/>
    <col min="8" max="8" width="12.28515625" customWidth="1"/>
    <col min="9" max="9" width="11.7109375" style="123" customWidth="1"/>
    <col min="10" max="10" width="11.28515625" customWidth="1"/>
    <col min="11" max="11" width="10.28515625" customWidth="1"/>
    <col min="12" max="12" width="11.7109375" customWidth="1"/>
    <col min="13" max="13" width="13.140625" customWidth="1"/>
    <col min="14" max="14" width="12.42578125" customWidth="1"/>
    <col min="15" max="15" width="12.5703125" customWidth="1"/>
    <col min="16" max="16" width="12.28515625" customWidth="1"/>
    <col min="17" max="17" width="11.7109375" customWidth="1"/>
    <col min="23" max="23" width="10.85546875" customWidth="1"/>
  </cols>
  <sheetData>
    <row r="1" spans="1:118" ht="28.5" customHeight="1" x14ac:dyDescent="0.2">
      <c r="E1" s="210">
        <v>36281</v>
      </c>
      <c r="F1" s="210"/>
      <c r="G1" s="211">
        <f>+E1+31</f>
        <v>36312</v>
      </c>
      <c r="H1" s="211"/>
      <c r="I1" s="211">
        <f>+G1+30</f>
        <v>36342</v>
      </c>
      <c r="J1" s="211"/>
      <c r="K1" s="212">
        <f>+I1+31</f>
        <v>36373</v>
      </c>
      <c r="L1" s="212"/>
      <c r="M1" s="212">
        <f>+K1+31</f>
        <v>36404</v>
      </c>
      <c r="N1" s="212"/>
      <c r="O1" s="212">
        <f>+M1+30</f>
        <v>36434</v>
      </c>
      <c r="P1" s="212"/>
      <c r="Q1" s="212">
        <f>+O1+31</f>
        <v>36465</v>
      </c>
      <c r="R1" s="212"/>
      <c r="S1" s="212">
        <f>+Q1+31</f>
        <v>36496</v>
      </c>
      <c r="T1" s="212"/>
      <c r="U1" s="212">
        <f>+S1+31</f>
        <v>36527</v>
      </c>
      <c r="V1" s="212"/>
      <c r="W1" s="212">
        <f>+U1+31</f>
        <v>36558</v>
      </c>
      <c r="X1" s="212"/>
      <c r="Y1" s="212">
        <f>+W1+31</f>
        <v>36589</v>
      </c>
      <c r="Z1" s="212"/>
      <c r="AA1" s="212">
        <f>+Y1+31</f>
        <v>36620</v>
      </c>
      <c r="AB1" s="212"/>
      <c r="AC1" s="212">
        <f>+AA1+31</f>
        <v>36651</v>
      </c>
      <c r="AD1" s="212"/>
      <c r="AE1" s="212">
        <f>+AC1+31</f>
        <v>36682</v>
      </c>
      <c r="AF1" s="212"/>
      <c r="AG1" s="212"/>
      <c r="AH1" s="212"/>
    </row>
    <row r="2" spans="1:118" x14ac:dyDescent="0.2">
      <c r="A2" s="113" t="s">
        <v>116</v>
      </c>
      <c r="B2" s="113" t="s">
        <v>117</v>
      </c>
      <c r="C2" s="113" t="s">
        <v>118</v>
      </c>
      <c r="D2" s="113" t="s">
        <v>119</v>
      </c>
      <c r="E2" s="114" t="s">
        <v>120</v>
      </c>
      <c r="F2" s="114" t="s">
        <v>121</v>
      </c>
      <c r="G2" s="123" t="s">
        <v>122</v>
      </c>
    </row>
    <row r="3" spans="1:118" s="117" customFormat="1" x14ac:dyDescent="0.2">
      <c r="A3" s="115" t="s">
        <v>123</v>
      </c>
      <c r="B3" s="115" t="s">
        <v>117</v>
      </c>
      <c r="C3" s="115" t="s">
        <v>118</v>
      </c>
      <c r="D3" s="115" t="s">
        <v>119</v>
      </c>
      <c r="E3" s="116" t="s">
        <v>188</v>
      </c>
      <c r="F3" s="117" t="s">
        <v>189</v>
      </c>
      <c r="G3" s="168" t="s">
        <v>188</v>
      </c>
      <c r="H3" s="117" t="s">
        <v>189</v>
      </c>
      <c r="I3" s="168" t="s">
        <v>188</v>
      </c>
      <c r="J3" s="117" t="s">
        <v>189</v>
      </c>
      <c r="K3" s="116" t="s">
        <v>188</v>
      </c>
      <c r="L3" s="117" t="s">
        <v>189</v>
      </c>
      <c r="M3" s="116" t="s">
        <v>188</v>
      </c>
      <c r="N3" s="117" t="s">
        <v>189</v>
      </c>
      <c r="O3" s="116" t="s">
        <v>188</v>
      </c>
      <c r="P3" s="117" t="s">
        <v>189</v>
      </c>
      <c r="Q3" s="116" t="s">
        <v>188</v>
      </c>
      <c r="R3" s="117" t="s">
        <v>189</v>
      </c>
      <c r="S3" s="116" t="s">
        <v>188</v>
      </c>
      <c r="T3" s="117" t="s">
        <v>189</v>
      </c>
      <c r="U3" s="116" t="s">
        <v>188</v>
      </c>
      <c r="V3" s="117" t="s">
        <v>189</v>
      </c>
      <c r="W3" s="116" t="s">
        <v>188</v>
      </c>
      <c r="X3" s="117" t="s">
        <v>189</v>
      </c>
      <c r="Y3" s="116" t="s">
        <v>188</v>
      </c>
      <c r="Z3" s="117" t="s">
        <v>189</v>
      </c>
      <c r="AA3" s="116" t="s">
        <v>188</v>
      </c>
      <c r="AB3" s="117" t="s">
        <v>189</v>
      </c>
      <c r="AC3" s="116" t="s">
        <v>188</v>
      </c>
      <c r="AD3" s="117" t="s">
        <v>189</v>
      </c>
      <c r="AE3" s="116" t="s">
        <v>188</v>
      </c>
      <c r="AF3" s="117" t="s">
        <v>189</v>
      </c>
    </row>
    <row r="4" spans="1:118" x14ac:dyDescent="0.2">
      <c r="A4" s="118" t="s">
        <v>124</v>
      </c>
      <c r="B4" s="118" t="s">
        <v>125</v>
      </c>
      <c r="C4" s="119">
        <v>1</v>
      </c>
      <c r="D4" s="118" t="s">
        <v>27</v>
      </c>
      <c r="E4" s="120">
        <v>940970</v>
      </c>
      <c r="F4" s="120">
        <v>2386634.91</v>
      </c>
      <c r="G4" s="124">
        <v>112066</v>
      </c>
      <c r="H4" s="121">
        <v>-9751.75</v>
      </c>
      <c r="I4" s="124">
        <v>0</v>
      </c>
      <c r="J4" s="121">
        <v>0</v>
      </c>
      <c r="K4" s="121">
        <v>0</v>
      </c>
      <c r="L4" s="121">
        <v>0</v>
      </c>
      <c r="M4" s="121">
        <v>0</v>
      </c>
      <c r="N4" s="121">
        <v>0</v>
      </c>
      <c r="O4" s="121">
        <v>-103661</v>
      </c>
      <c r="P4" s="121">
        <v>-242048.44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>
        <v>0</v>
      </c>
      <c r="AF4" s="121">
        <v>0</v>
      </c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124</v>
      </c>
      <c r="B5" s="118" t="s">
        <v>125</v>
      </c>
      <c r="C5" s="119">
        <v>2</v>
      </c>
      <c r="D5" s="118" t="s">
        <v>28</v>
      </c>
      <c r="E5" s="120">
        <v>0</v>
      </c>
      <c r="F5" s="120">
        <v>0</v>
      </c>
      <c r="G5" s="124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>
        <v>0</v>
      </c>
      <c r="AB5" s="121">
        <v>0</v>
      </c>
      <c r="AC5" s="121">
        <v>0</v>
      </c>
      <c r="AD5" s="121">
        <v>0</v>
      </c>
      <c r="AE5" s="121">
        <v>0</v>
      </c>
      <c r="AF5" s="121">
        <v>0</v>
      </c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124</v>
      </c>
      <c r="B6" s="118" t="s">
        <v>125</v>
      </c>
      <c r="C6" s="119">
        <v>3</v>
      </c>
      <c r="D6" s="118" t="s">
        <v>29</v>
      </c>
      <c r="E6" s="120">
        <v>0</v>
      </c>
      <c r="F6" s="120">
        <v>0</v>
      </c>
      <c r="G6" s="124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>
        <v>0</v>
      </c>
      <c r="AB6" s="121">
        <v>0</v>
      </c>
      <c r="AC6" s="121">
        <v>0</v>
      </c>
      <c r="AD6" s="121">
        <v>0</v>
      </c>
      <c r="AE6" s="121">
        <v>0</v>
      </c>
      <c r="AF6" s="121">
        <v>0</v>
      </c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124</v>
      </c>
      <c r="B7" s="118" t="s">
        <v>125</v>
      </c>
      <c r="C7" s="119">
        <v>4</v>
      </c>
      <c r="D7" s="118" t="s">
        <v>30</v>
      </c>
      <c r="E7" s="120">
        <v>0</v>
      </c>
      <c r="F7" s="120">
        <v>0</v>
      </c>
      <c r="G7" s="124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>
        <v>0</v>
      </c>
      <c r="AF7" s="121">
        <v>0</v>
      </c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124</v>
      </c>
      <c r="B8" s="118" t="s">
        <v>125</v>
      </c>
      <c r="C8" s="119">
        <v>5</v>
      </c>
      <c r="D8" s="118" t="s">
        <v>126</v>
      </c>
      <c r="E8" s="120">
        <v>0</v>
      </c>
      <c r="F8" s="120">
        <v>0</v>
      </c>
      <c r="G8" s="124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>
        <v>0</v>
      </c>
      <c r="AF8" s="121">
        <v>0</v>
      </c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124</v>
      </c>
      <c r="B9" s="118" t="s">
        <v>125</v>
      </c>
      <c r="C9" s="119">
        <v>6</v>
      </c>
      <c r="D9" s="118" t="s">
        <v>27</v>
      </c>
      <c r="E9" s="120">
        <v>-958217</v>
      </c>
      <c r="F9" s="120">
        <v>-2150408.29</v>
      </c>
      <c r="G9" s="124">
        <v>-260446</v>
      </c>
      <c r="H9" s="121">
        <v>-594211.39</v>
      </c>
      <c r="I9" s="124">
        <v>-4887</v>
      </c>
      <c r="J9" s="121">
        <v>-7816.92</v>
      </c>
      <c r="K9" s="121">
        <v>-527</v>
      </c>
      <c r="L9" s="121">
        <v>-1052.68</v>
      </c>
      <c r="M9" s="121">
        <v>31</v>
      </c>
      <c r="N9" s="121">
        <v>61.92</v>
      </c>
      <c r="O9" s="121">
        <v>103661</v>
      </c>
      <c r="P9" s="121">
        <v>229090.87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>
        <v>0</v>
      </c>
      <c r="AB9" s="121">
        <v>0</v>
      </c>
      <c r="AC9" s="121">
        <v>0</v>
      </c>
      <c r="AD9" s="121">
        <v>0</v>
      </c>
      <c r="AE9" s="121">
        <v>0</v>
      </c>
      <c r="AF9" s="121">
        <v>0</v>
      </c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124</v>
      </c>
      <c r="B10" s="118" t="s">
        <v>125</v>
      </c>
      <c r="C10" s="119">
        <v>7</v>
      </c>
      <c r="D10" s="118" t="s">
        <v>28</v>
      </c>
      <c r="E10" s="122">
        <v>0</v>
      </c>
      <c r="F10" s="122">
        <v>0</v>
      </c>
      <c r="G10" s="124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>
        <v>0</v>
      </c>
      <c r="AF10" s="121">
        <v>0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124</v>
      </c>
      <c r="B11" s="118" t="s">
        <v>125</v>
      </c>
      <c r="C11" s="119">
        <v>8</v>
      </c>
      <c r="D11" s="118" t="s">
        <v>29</v>
      </c>
      <c r="E11" s="122">
        <v>0</v>
      </c>
      <c r="F11" s="122">
        <v>0</v>
      </c>
      <c r="G11" s="124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>
        <v>0</v>
      </c>
      <c r="AB11" s="121">
        <v>0</v>
      </c>
      <c r="AC11" s="121">
        <v>0</v>
      </c>
      <c r="AD11" s="121">
        <v>0</v>
      </c>
      <c r="AE11" s="121">
        <v>0</v>
      </c>
      <c r="AF11" s="121">
        <v>0</v>
      </c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124</v>
      </c>
      <c r="B12" s="118" t="s">
        <v>125</v>
      </c>
      <c r="C12" s="119">
        <v>9</v>
      </c>
      <c r="D12" s="118" t="s">
        <v>30</v>
      </c>
      <c r="E12" s="122">
        <v>0</v>
      </c>
      <c r="F12" s="122">
        <v>0</v>
      </c>
      <c r="G12" s="124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>
        <v>0</v>
      </c>
      <c r="AF12" s="121">
        <v>0</v>
      </c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124</v>
      </c>
      <c r="B13" s="118" t="s">
        <v>125</v>
      </c>
      <c r="C13" s="119">
        <v>10</v>
      </c>
      <c r="D13" s="118" t="s">
        <v>34</v>
      </c>
      <c r="E13" s="122">
        <v>0</v>
      </c>
      <c r="F13" s="122">
        <v>0</v>
      </c>
      <c r="G13" s="124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>
        <v>0</v>
      </c>
      <c r="AB13" s="121">
        <v>0</v>
      </c>
      <c r="AC13" s="121">
        <v>0</v>
      </c>
      <c r="AD13" s="121">
        <v>0</v>
      </c>
      <c r="AE13" s="121">
        <v>0</v>
      </c>
      <c r="AF13" s="121">
        <v>0</v>
      </c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124</v>
      </c>
      <c r="B14" s="118" t="s">
        <v>125</v>
      </c>
      <c r="C14" s="119">
        <v>11</v>
      </c>
      <c r="D14" s="118" t="s">
        <v>37</v>
      </c>
      <c r="E14" s="120">
        <v>24800</v>
      </c>
      <c r="F14" s="120">
        <v>58280</v>
      </c>
      <c r="G14" s="124">
        <v>149654</v>
      </c>
      <c r="H14" s="121">
        <v>354978.45439999999</v>
      </c>
      <c r="I14" s="124">
        <v>4887</v>
      </c>
      <c r="J14" s="121">
        <v>10862.8236</v>
      </c>
      <c r="K14" s="121">
        <v>527</v>
      </c>
      <c r="L14" s="121">
        <v>1171.4156</v>
      </c>
      <c r="M14" s="121">
        <v>-31</v>
      </c>
      <c r="N14" s="121">
        <v>-68.906800000000004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-1975.2986000000019</v>
      </c>
      <c r="AA14" s="121">
        <v>0</v>
      </c>
      <c r="AB14" s="121">
        <v>0</v>
      </c>
      <c r="AC14" s="121">
        <v>0</v>
      </c>
      <c r="AD14" s="121">
        <v>-26.183599999999956</v>
      </c>
      <c r="AE14" s="121">
        <v>0</v>
      </c>
      <c r="AF14" s="121">
        <v>0</v>
      </c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124</v>
      </c>
      <c r="B15" s="118" t="s">
        <v>125</v>
      </c>
      <c r="C15" s="119">
        <v>12</v>
      </c>
      <c r="D15" s="118" t="s">
        <v>38</v>
      </c>
      <c r="E15" s="120">
        <v>-7553</v>
      </c>
      <c r="F15" s="120">
        <v>-17179.82</v>
      </c>
      <c r="G15" s="124">
        <v>-1282</v>
      </c>
      <c r="H15" s="121">
        <v>-2887.5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>
        <v>0</v>
      </c>
      <c r="AB15" s="121">
        <v>0</v>
      </c>
      <c r="AC15" s="121">
        <v>0</v>
      </c>
      <c r="AD15" s="121">
        <v>0</v>
      </c>
      <c r="AE15" s="121">
        <v>0</v>
      </c>
      <c r="AF15" s="121">
        <v>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124</v>
      </c>
      <c r="B16" s="118" t="s">
        <v>125</v>
      </c>
      <c r="C16" s="119">
        <v>13</v>
      </c>
      <c r="D16" s="118" t="s">
        <v>41</v>
      </c>
      <c r="E16" s="120">
        <v>0</v>
      </c>
      <c r="F16" s="120">
        <v>0</v>
      </c>
      <c r="G16" s="124">
        <v>8</v>
      </c>
      <c r="H16" s="121">
        <v>18.3</v>
      </c>
      <c r="I16" s="124">
        <v>0</v>
      </c>
      <c r="J16" s="121">
        <v>-0.85599999999999998</v>
      </c>
      <c r="K16" s="121">
        <v>0</v>
      </c>
      <c r="L16" s="121">
        <v>0.55200000000000005</v>
      </c>
      <c r="M16" s="121">
        <v>0</v>
      </c>
      <c r="N16" s="121">
        <v>2.6960000000000002</v>
      </c>
      <c r="O16" s="121">
        <v>0</v>
      </c>
      <c r="P16" s="121">
        <v>2.2480000000000002</v>
      </c>
      <c r="Q16" s="121">
        <v>0</v>
      </c>
      <c r="R16" s="121">
        <v>-5.2880000000000003</v>
      </c>
      <c r="S16" s="121">
        <v>0</v>
      </c>
      <c r="T16" s="121">
        <v>0.64800000000000002</v>
      </c>
      <c r="U16" s="121">
        <v>0</v>
      </c>
      <c r="V16" s="121">
        <v>0</v>
      </c>
      <c r="W16" s="121">
        <v>0</v>
      </c>
      <c r="X16" s="121">
        <v>0</v>
      </c>
      <c r="Y16" s="121">
        <v>0</v>
      </c>
      <c r="Z16" s="121">
        <v>0</v>
      </c>
      <c r="AA16" s="121">
        <v>0</v>
      </c>
      <c r="AB16" s="121">
        <v>0</v>
      </c>
      <c r="AC16" s="121">
        <v>0</v>
      </c>
      <c r="AD16" s="121">
        <v>0</v>
      </c>
      <c r="AE16" s="121">
        <v>0</v>
      </c>
      <c r="AF16" s="121">
        <v>0</v>
      </c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124</v>
      </c>
      <c r="B17" s="118" t="s">
        <v>125</v>
      </c>
      <c r="C17" s="119">
        <v>14</v>
      </c>
      <c r="D17" s="118" t="s">
        <v>42</v>
      </c>
      <c r="E17" s="120">
        <v>0</v>
      </c>
      <c r="F17" s="120">
        <v>0</v>
      </c>
      <c r="G17" s="124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>
        <v>0</v>
      </c>
      <c r="AB17" s="121">
        <v>0</v>
      </c>
      <c r="AC17" s="121">
        <v>0</v>
      </c>
      <c r="AD17" s="121">
        <v>0</v>
      </c>
      <c r="AE17" s="121">
        <v>0</v>
      </c>
      <c r="AF17" s="121">
        <v>0</v>
      </c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124</v>
      </c>
      <c r="B18" s="118" t="s">
        <v>125</v>
      </c>
      <c r="C18" s="119">
        <v>15</v>
      </c>
      <c r="D18" s="118" t="s">
        <v>43</v>
      </c>
      <c r="E18" s="120">
        <v>0</v>
      </c>
      <c r="F18" s="120">
        <v>0</v>
      </c>
      <c r="G18" s="124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>
        <v>0</v>
      </c>
      <c r="AF18" s="121">
        <v>0</v>
      </c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124</v>
      </c>
      <c r="B19" s="118" t="s">
        <v>125</v>
      </c>
      <c r="C19" s="119">
        <v>16</v>
      </c>
      <c r="D19" s="118" t="s">
        <v>44</v>
      </c>
      <c r="E19" s="120">
        <v>0</v>
      </c>
      <c r="F19" s="120">
        <v>0</v>
      </c>
      <c r="G19" s="124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>
        <v>0</v>
      </c>
      <c r="AB19" s="121">
        <v>0</v>
      </c>
      <c r="AC19" s="121">
        <v>0</v>
      </c>
      <c r="AD19" s="121">
        <v>0</v>
      </c>
      <c r="AE19" s="121">
        <v>0</v>
      </c>
      <c r="AF19" s="121">
        <v>0</v>
      </c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124</v>
      </c>
      <c r="B20" s="118" t="s">
        <v>125</v>
      </c>
      <c r="C20" s="119">
        <v>17</v>
      </c>
      <c r="D20" s="118" t="s">
        <v>127</v>
      </c>
      <c r="E20" s="120">
        <v>0</v>
      </c>
      <c r="F20" s="120">
        <v>0</v>
      </c>
      <c r="G20" s="124">
        <v>0</v>
      </c>
      <c r="H20" s="121">
        <v>0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>
        <v>0</v>
      </c>
      <c r="AF20" s="121">
        <v>0</v>
      </c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124</v>
      </c>
      <c r="B21" s="118" t="s">
        <v>125</v>
      </c>
      <c r="C21" s="119">
        <v>18</v>
      </c>
      <c r="D21" s="118" t="s">
        <v>128</v>
      </c>
      <c r="E21" s="120">
        <v>0</v>
      </c>
      <c r="F21" s="120">
        <v>0</v>
      </c>
      <c r="G21" s="124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>
        <v>0</v>
      </c>
      <c r="AF21" s="121">
        <v>0</v>
      </c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124</v>
      </c>
      <c r="B22" s="118" t="s">
        <v>125</v>
      </c>
      <c r="C22" s="119">
        <v>19</v>
      </c>
      <c r="D22" s="118" t="s">
        <v>49</v>
      </c>
      <c r="E22" s="120">
        <v>0</v>
      </c>
      <c r="F22" s="120">
        <v>0</v>
      </c>
      <c r="G22" s="124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>
        <v>0</v>
      </c>
      <c r="AF22" s="121">
        <v>0</v>
      </c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124</v>
      </c>
      <c r="B23" s="118" t="s">
        <v>125</v>
      </c>
      <c r="C23" s="119">
        <v>20</v>
      </c>
      <c r="D23" s="118" t="s">
        <v>129</v>
      </c>
      <c r="E23" s="120">
        <v>0</v>
      </c>
      <c r="F23" s="120">
        <v>0</v>
      </c>
      <c r="G23" s="124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>
        <v>0</v>
      </c>
      <c r="AF23" s="121">
        <v>0</v>
      </c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124</v>
      </c>
      <c r="B24" s="118" t="s">
        <v>125</v>
      </c>
      <c r="C24" s="119">
        <v>21</v>
      </c>
      <c r="D24" s="118" t="s">
        <v>130</v>
      </c>
      <c r="E24" s="120">
        <v>0</v>
      </c>
      <c r="F24" s="120">
        <v>0</v>
      </c>
      <c r="G24" s="124">
        <v>0</v>
      </c>
      <c r="H24" s="121">
        <v>0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>
        <v>0</v>
      </c>
      <c r="AB24" s="121">
        <v>0</v>
      </c>
      <c r="AC24" s="121">
        <v>0</v>
      </c>
      <c r="AD24" s="121">
        <v>0</v>
      </c>
      <c r="AE24" s="121">
        <v>0</v>
      </c>
      <c r="AF24" s="121">
        <v>0</v>
      </c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124</v>
      </c>
      <c r="B25" s="118" t="s">
        <v>125</v>
      </c>
      <c r="C25" s="119">
        <v>22</v>
      </c>
      <c r="D25" s="118" t="s">
        <v>131</v>
      </c>
      <c r="E25" s="120">
        <v>0</v>
      </c>
      <c r="F25" s="120">
        <v>0</v>
      </c>
      <c r="G25" s="124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>
        <v>0</v>
      </c>
      <c r="AB25" s="121">
        <v>0</v>
      </c>
      <c r="AC25" s="121">
        <v>0</v>
      </c>
      <c r="AD25" s="121">
        <v>0</v>
      </c>
      <c r="AE25" s="121">
        <v>0</v>
      </c>
      <c r="AF25" s="121">
        <v>0</v>
      </c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124</v>
      </c>
      <c r="B26" s="118" t="s">
        <v>125</v>
      </c>
      <c r="C26" s="119">
        <v>23</v>
      </c>
      <c r="D26" s="118" t="s">
        <v>132</v>
      </c>
      <c r="E26" s="120">
        <v>0</v>
      </c>
      <c r="F26" s="120">
        <v>0</v>
      </c>
      <c r="G26" s="124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>
        <v>0</v>
      </c>
      <c r="AF26" s="121">
        <v>0</v>
      </c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124</v>
      </c>
      <c r="B27" s="118" t="s">
        <v>125</v>
      </c>
      <c r="C27" s="119">
        <v>24</v>
      </c>
      <c r="D27" s="118" t="s">
        <v>57</v>
      </c>
      <c r="E27" s="120">
        <v>0</v>
      </c>
      <c r="F27" s="120">
        <v>0</v>
      </c>
      <c r="G27" s="124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>
        <v>0</v>
      </c>
      <c r="AF27" s="121">
        <v>0</v>
      </c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124</v>
      </c>
      <c r="B28" s="118" t="s">
        <v>125</v>
      </c>
      <c r="C28" s="119">
        <v>25</v>
      </c>
      <c r="D28" s="118" t="s">
        <v>58</v>
      </c>
      <c r="E28" s="120">
        <v>0</v>
      </c>
      <c r="F28" s="120">
        <v>0</v>
      </c>
      <c r="G28" s="124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124</v>
      </c>
      <c r="B29" s="118" t="s">
        <v>125</v>
      </c>
      <c r="C29" s="119">
        <v>26</v>
      </c>
      <c r="D29" s="118" t="s">
        <v>133</v>
      </c>
      <c r="E29" s="120">
        <v>0</v>
      </c>
      <c r="F29" s="120">
        <v>0</v>
      </c>
      <c r="G29" s="124">
        <v>0</v>
      </c>
      <c r="H29" s="121">
        <v>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1">
        <v>0</v>
      </c>
      <c r="P29" s="121">
        <v>-4542.88</v>
      </c>
      <c r="Q29" s="121">
        <v>0</v>
      </c>
      <c r="R29" s="121">
        <v>0</v>
      </c>
      <c r="S29" s="121">
        <v>0</v>
      </c>
      <c r="T29" s="121">
        <v>0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>
        <v>0</v>
      </c>
      <c r="AF29" s="121">
        <v>0</v>
      </c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124</v>
      </c>
      <c r="B30" s="118" t="s">
        <v>125</v>
      </c>
      <c r="C30" s="119">
        <v>27</v>
      </c>
      <c r="D30" s="118" t="s">
        <v>134</v>
      </c>
      <c r="E30" s="120">
        <v>0</v>
      </c>
      <c r="F30" s="120">
        <v>0</v>
      </c>
      <c r="G30" s="124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>
        <v>0</v>
      </c>
      <c r="AF30" s="121">
        <v>0</v>
      </c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124</v>
      </c>
      <c r="B31" s="118" t="s">
        <v>125</v>
      </c>
      <c r="C31" s="119">
        <v>28</v>
      </c>
      <c r="D31" s="118" t="s">
        <v>135</v>
      </c>
      <c r="E31" s="120">
        <v>-668665</v>
      </c>
      <c r="F31" s="120">
        <v>-61137.38</v>
      </c>
      <c r="G31" s="124">
        <v>-181798</v>
      </c>
      <c r="H31" s="121">
        <v>-36250.82</v>
      </c>
      <c r="I31" s="124">
        <v>0</v>
      </c>
      <c r="J31" s="121">
        <v>-459.02</v>
      </c>
      <c r="K31" s="121">
        <v>-527</v>
      </c>
      <c r="L31" s="121">
        <v>-5.27</v>
      </c>
      <c r="M31" s="121">
        <v>527</v>
      </c>
      <c r="N31" s="121">
        <v>0.28999999999999998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0</v>
      </c>
      <c r="AB31" s="121">
        <v>0</v>
      </c>
      <c r="AC31" s="121">
        <v>0</v>
      </c>
      <c r="AD31" s="121">
        <v>0</v>
      </c>
      <c r="AE31" s="121">
        <v>0</v>
      </c>
      <c r="AF31" s="121">
        <v>0</v>
      </c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124</v>
      </c>
      <c r="B32" s="118" t="s">
        <v>125</v>
      </c>
      <c r="C32" s="119">
        <v>29</v>
      </c>
      <c r="D32" s="118" t="s">
        <v>136</v>
      </c>
      <c r="E32" s="120">
        <v>0</v>
      </c>
      <c r="F32" s="120">
        <v>0</v>
      </c>
      <c r="G32" s="124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>
        <v>0</v>
      </c>
      <c r="AF32" s="121">
        <v>0</v>
      </c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124</v>
      </c>
      <c r="B33" s="118" t="s">
        <v>125</v>
      </c>
      <c r="C33" s="119">
        <v>30</v>
      </c>
      <c r="D33" s="118" t="s">
        <v>137</v>
      </c>
      <c r="E33" s="120">
        <v>0</v>
      </c>
      <c r="F33" s="120">
        <v>0</v>
      </c>
      <c r="G33" s="124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>
        <v>0</v>
      </c>
      <c r="AF33" s="121">
        <v>0</v>
      </c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124</v>
      </c>
      <c r="B34" s="118" t="s">
        <v>125</v>
      </c>
      <c r="C34" s="119">
        <v>31</v>
      </c>
      <c r="D34" s="118" t="s">
        <v>138</v>
      </c>
      <c r="E34" s="120">
        <v>0</v>
      </c>
      <c r="F34" s="120">
        <v>0</v>
      </c>
      <c r="G34" s="124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>
        <v>0</v>
      </c>
      <c r="AF34" s="121">
        <v>0</v>
      </c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124</v>
      </c>
      <c r="B35" s="118" t="s">
        <v>125</v>
      </c>
      <c r="C35" s="119">
        <v>32</v>
      </c>
      <c r="D35" s="118" t="s">
        <v>72</v>
      </c>
      <c r="E35" s="120">
        <v>0</v>
      </c>
      <c r="F35" s="120">
        <v>0</v>
      </c>
      <c r="G35" s="124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>
        <v>0</v>
      </c>
      <c r="AF35" s="121">
        <v>0</v>
      </c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124</v>
      </c>
      <c r="B36" s="118" t="s">
        <v>125</v>
      </c>
      <c r="C36" s="119">
        <v>33</v>
      </c>
      <c r="D36" s="118" t="s">
        <v>73</v>
      </c>
      <c r="E36" s="120">
        <v>0</v>
      </c>
      <c r="F36" s="120">
        <v>0</v>
      </c>
      <c r="G36" s="124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>
        <v>0</v>
      </c>
      <c r="AF36" s="121">
        <v>0</v>
      </c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124</v>
      </c>
      <c r="B37" s="118" t="s">
        <v>125</v>
      </c>
      <c r="C37" s="119">
        <v>34</v>
      </c>
      <c r="D37" s="118" t="s">
        <v>74</v>
      </c>
      <c r="E37" s="120">
        <v>0</v>
      </c>
      <c r="F37" s="120">
        <v>0</v>
      </c>
      <c r="G37" s="124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>
        <v>0</v>
      </c>
      <c r="AF37" s="121">
        <v>0</v>
      </c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124</v>
      </c>
      <c r="B38" s="118" t="s">
        <v>125</v>
      </c>
      <c r="C38" s="119">
        <v>35</v>
      </c>
      <c r="D38" s="118" t="s">
        <v>75</v>
      </c>
      <c r="E38" s="120">
        <v>0</v>
      </c>
      <c r="F38" s="120">
        <v>0</v>
      </c>
      <c r="G38" s="124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>
        <v>0</v>
      </c>
      <c r="AF38" s="121">
        <v>0</v>
      </c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124</v>
      </c>
      <c r="B39" s="118" t="s">
        <v>125</v>
      </c>
      <c r="C39" s="119">
        <v>36</v>
      </c>
      <c r="D39" s="118" t="s">
        <v>76</v>
      </c>
      <c r="E39" s="120">
        <v>0</v>
      </c>
      <c r="F39" s="120">
        <v>0</v>
      </c>
      <c r="G39" s="124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>
        <v>0</v>
      </c>
      <c r="AF39" s="121">
        <v>0</v>
      </c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124</v>
      </c>
      <c r="B40" s="118" t="s">
        <v>125</v>
      </c>
      <c r="C40" s="119">
        <v>37</v>
      </c>
      <c r="D40" s="118" t="s">
        <v>77</v>
      </c>
      <c r="E40" s="120">
        <v>0</v>
      </c>
      <c r="F40" s="120">
        <v>0</v>
      </c>
      <c r="G40" s="124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>
        <v>0</v>
      </c>
      <c r="AB40" s="121">
        <v>0</v>
      </c>
      <c r="AC40" s="121">
        <v>0</v>
      </c>
      <c r="AD40" s="121">
        <v>0</v>
      </c>
      <c r="AE40" s="121">
        <v>0</v>
      </c>
      <c r="AF40" s="121">
        <v>0</v>
      </c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124</v>
      </c>
      <c r="B41" s="118" t="s">
        <v>125</v>
      </c>
      <c r="C41" s="119">
        <v>38</v>
      </c>
      <c r="D41" s="118" t="s">
        <v>78</v>
      </c>
      <c r="E41" s="120">
        <v>0</v>
      </c>
      <c r="F41" s="120">
        <v>0</v>
      </c>
      <c r="G41" s="124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>
        <v>0</v>
      </c>
      <c r="AB41" s="121">
        <v>0</v>
      </c>
      <c r="AC41" s="121">
        <v>0</v>
      </c>
      <c r="AD41" s="121">
        <v>0</v>
      </c>
      <c r="AE41" s="121">
        <v>0</v>
      </c>
      <c r="AF41" s="121">
        <v>0</v>
      </c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124</v>
      </c>
      <c r="B42" s="118" t="s">
        <v>125</v>
      </c>
      <c r="C42" s="119">
        <v>39</v>
      </c>
      <c r="D42" s="118" t="s">
        <v>79</v>
      </c>
      <c r="E42" s="120">
        <v>0</v>
      </c>
      <c r="F42" s="120">
        <v>0</v>
      </c>
      <c r="G42" s="124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>
        <v>0</v>
      </c>
      <c r="AB42" s="121">
        <v>0</v>
      </c>
      <c r="AC42" s="121">
        <v>0</v>
      </c>
      <c r="AD42" s="121">
        <v>0</v>
      </c>
      <c r="AE42" s="121">
        <v>0</v>
      </c>
      <c r="AF42" s="121">
        <v>0</v>
      </c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124</v>
      </c>
      <c r="B43" s="118" t="s">
        <v>125</v>
      </c>
      <c r="C43" s="119">
        <v>40</v>
      </c>
      <c r="D43" s="118" t="s">
        <v>80</v>
      </c>
      <c r="E43" s="120">
        <v>0</v>
      </c>
      <c r="F43" s="120">
        <v>0</v>
      </c>
      <c r="G43" s="124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>
        <v>0</v>
      </c>
      <c r="AF43" s="121">
        <v>0</v>
      </c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139</v>
      </c>
      <c r="B44" t="s">
        <v>140</v>
      </c>
      <c r="C44">
        <v>1</v>
      </c>
      <c r="D44" t="s">
        <v>27</v>
      </c>
      <c r="E44" s="14">
        <v>8530497</v>
      </c>
      <c r="F44" s="14">
        <v>20291918.389999997</v>
      </c>
      <c r="G44" s="124">
        <v>-98192</v>
      </c>
      <c r="H44" s="121">
        <v>-212815.14</v>
      </c>
      <c r="I44" s="124">
        <v>89333</v>
      </c>
      <c r="J44" s="121">
        <v>206332.13</v>
      </c>
      <c r="K44" s="121">
        <v>-297102</v>
      </c>
      <c r="L44" s="121">
        <v>-721957.86</v>
      </c>
      <c r="M44" s="121">
        <v>0</v>
      </c>
      <c r="N44" s="121">
        <v>0</v>
      </c>
      <c r="O44" s="121">
        <v>0</v>
      </c>
      <c r="P44" s="121">
        <v>1239.98</v>
      </c>
      <c r="Q44" s="121">
        <v>297102</v>
      </c>
      <c r="R44" s="121">
        <v>721957.86</v>
      </c>
      <c r="S44" s="121">
        <v>0</v>
      </c>
      <c r="T44" s="121">
        <v>-1492.4</v>
      </c>
      <c r="U44" s="121">
        <v>0</v>
      </c>
      <c r="V44" s="121">
        <v>0</v>
      </c>
      <c r="W44" s="121">
        <v>0</v>
      </c>
      <c r="X44" s="121">
        <v>0</v>
      </c>
      <c r="Y44" s="121">
        <v>19026</v>
      </c>
      <c r="Z44" s="121">
        <v>43759.8</v>
      </c>
      <c r="AA44" s="121">
        <v>0</v>
      </c>
      <c r="AB44" s="121">
        <v>0</v>
      </c>
      <c r="AC44" s="121">
        <v>0</v>
      </c>
      <c r="AD44" s="121">
        <v>0</v>
      </c>
      <c r="AE44" s="121">
        <v>0</v>
      </c>
      <c r="AF44" s="121">
        <v>0</v>
      </c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139</v>
      </c>
      <c r="B45" t="s">
        <v>140</v>
      </c>
      <c r="C45">
        <v>2</v>
      </c>
      <c r="D45" t="s">
        <v>28</v>
      </c>
      <c r="E45" s="14">
        <v>0</v>
      </c>
      <c r="F45" s="14">
        <v>0</v>
      </c>
      <c r="G45" s="124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>
        <v>0</v>
      </c>
      <c r="AB45" s="121">
        <v>0</v>
      </c>
      <c r="AC45" s="121">
        <v>0</v>
      </c>
      <c r="AD45" s="121">
        <v>0</v>
      </c>
      <c r="AE45" s="121">
        <v>0</v>
      </c>
      <c r="AF45" s="121">
        <v>0</v>
      </c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139</v>
      </c>
      <c r="B46" t="s">
        <v>140</v>
      </c>
      <c r="C46">
        <v>3</v>
      </c>
      <c r="D46" t="s">
        <v>29</v>
      </c>
      <c r="E46" s="14">
        <v>0</v>
      </c>
      <c r="F46" s="14">
        <v>0</v>
      </c>
      <c r="G46" s="124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>
        <v>0</v>
      </c>
      <c r="AF46" s="121">
        <v>0</v>
      </c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139</v>
      </c>
      <c r="B47" t="s">
        <v>140</v>
      </c>
      <c r="C47">
        <v>4</v>
      </c>
      <c r="D47" t="s">
        <v>30</v>
      </c>
      <c r="E47" s="14">
        <v>0</v>
      </c>
      <c r="F47" s="14">
        <v>0</v>
      </c>
      <c r="G47" s="124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>
        <v>0</v>
      </c>
      <c r="AB47" s="121">
        <v>0</v>
      </c>
      <c r="AC47" s="121">
        <v>0</v>
      </c>
      <c r="AD47" s="121">
        <v>0</v>
      </c>
      <c r="AE47" s="121">
        <v>0</v>
      </c>
      <c r="AF47" s="121">
        <v>0</v>
      </c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139</v>
      </c>
      <c r="B48" t="s">
        <v>140</v>
      </c>
      <c r="C48">
        <v>5</v>
      </c>
      <c r="D48" t="s">
        <v>126</v>
      </c>
      <c r="E48" s="14">
        <v>0</v>
      </c>
      <c r="F48" s="14">
        <v>0</v>
      </c>
      <c r="G48" s="124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>
        <v>0</v>
      </c>
      <c r="AF48" s="121">
        <v>0</v>
      </c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139</v>
      </c>
      <c r="B49" t="s">
        <v>140</v>
      </c>
      <c r="C49">
        <v>6</v>
      </c>
      <c r="D49" t="s">
        <v>27</v>
      </c>
      <c r="E49" s="14">
        <v>-583400</v>
      </c>
      <c r="F49" s="14">
        <v>-1342296.35</v>
      </c>
      <c r="G49" s="124">
        <v>-366802</v>
      </c>
      <c r="H49" s="121">
        <v>-864867.54</v>
      </c>
      <c r="I49" s="124">
        <v>-843</v>
      </c>
      <c r="J49" s="121">
        <v>-2075.4899999999998</v>
      </c>
      <c r="K49" s="121">
        <v>154</v>
      </c>
      <c r="L49" s="121">
        <v>354.2</v>
      </c>
      <c r="M49" s="121">
        <v>0</v>
      </c>
      <c r="N49" s="121">
        <v>390.18</v>
      </c>
      <c r="O49" s="121">
        <v>0</v>
      </c>
      <c r="P49" s="121">
        <v>0</v>
      </c>
      <c r="Q49" s="121">
        <v>0</v>
      </c>
      <c r="R49" s="121">
        <v>135.46</v>
      </c>
      <c r="S49" s="121">
        <v>0</v>
      </c>
      <c r="T49" s="121">
        <v>0</v>
      </c>
      <c r="U49" s="121">
        <v>0</v>
      </c>
      <c r="V49" s="121">
        <v>0</v>
      </c>
      <c r="W49" s="121">
        <v>2360</v>
      </c>
      <c r="X49" s="121">
        <v>5428</v>
      </c>
      <c r="Y49" s="121">
        <v>0</v>
      </c>
      <c r="Z49" s="121">
        <v>0</v>
      </c>
      <c r="AA49" s="121">
        <v>0</v>
      </c>
      <c r="AB49" s="121">
        <v>0</v>
      </c>
      <c r="AC49" s="121">
        <v>0</v>
      </c>
      <c r="AD49" s="121">
        <v>0</v>
      </c>
      <c r="AE49" s="121">
        <v>0</v>
      </c>
      <c r="AF49" s="121">
        <v>0</v>
      </c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139</v>
      </c>
      <c r="B50" t="s">
        <v>140</v>
      </c>
      <c r="C50">
        <v>7</v>
      </c>
      <c r="D50" t="s">
        <v>28</v>
      </c>
      <c r="E50" s="14">
        <v>0</v>
      </c>
      <c r="F50" s="14">
        <v>0</v>
      </c>
      <c r="G50" s="124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>
        <v>0</v>
      </c>
      <c r="AB50" s="121">
        <v>0</v>
      </c>
      <c r="AC50" s="121">
        <v>0</v>
      </c>
      <c r="AD50" s="121">
        <v>0</v>
      </c>
      <c r="AE50" s="121">
        <v>0</v>
      </c>
      <c r="AF50" s="121">
        <v>0</v>
      </c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139</v>
      </c>
      <c r="B51" t="s">
        <v>140</v>
      </c>
      <c r="C51">
        <v>8</v>
      </c>
      <c r="D51" t="s">
        <v>29</v>
      </c>
      <c r="E51" s="14">
        <v>0</v>
      </c>
      <c r="F51" s="14">
        <v>0</v>
      </c>
      <c r="G51" s="124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>
        <v>0</v>
      </c>
      <c r="AB51" s="121">
        <v>0</v>
      </c>
      <c r="AC51" s="121">
        <v>0</v>
      </c>
      <c r="AD51" s="121">
        <v>0</v>
      </c>
      <c r="AE51" s="121">
        <v>0</v>
      </c>
      <c r="AF51" s="121">
        <v>0</v>
      </c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139</v>
      </c>
      <c r="B52" t="s">
        <v>140</v>
      </c>
      <c r="C52">
        <v>9</v>
      </c>
      <c r="D52" t="s">
        <v>30</v>
      </c>
      <c r="E52" s="14">
        <v>0</v>
      </c>
      <c r="F52" s="14">
        <v>0</v>
      </c>
      <c r="G52" s="124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>
        <v>0</v>
      </c>
      <c r="AB52" s="121">
        <v>0</v>
      </c>
      <c r="AC52" s="121">
        <v>0</v>
      </c>
      <c r="AD52" s="121">
        <v>0</v>
      </c>
      <c r="AE52" s="121">
        <v>0</v>
      </c>
      <c r="AF52" s="121">
        <v>0</v>
      </c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139</v>
      </c>
      <c r="B53" t="s">
        <v>140</v>
      </c>
      <c r="C53">
        <v>10</v>
      </c>
      <c r="D53" t="s">
        <v>34</v>
      </c>
      <c r="E53" s="14">
        <v>0</v>
      </c>
      <c r="F53" s="14">
        <v>0</v>
      </c>
      <c r="G53" s="124">
        <v>29643</v>
      </c>
      <c r="H53" s="121">
        <v>66834.59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1">
        <v>0</v>
      </c>
      <c r="P53" s="121">
        <v>-26.07</v>
      </c>
      <c r="Q53" s="121">
        <v>0</v>
      </c>
      <c r="R53" s="121">
        <v>0</v>
      </c>
      <c r="S53" s="121">
        <v>0</v>
      </c>
      <c r="T53" s="121">
        <v>0</v>
      </c>
      <c r="U53" s="121">
        <v>0</v>
      </c>
      <c r="V53" s="121">
        <v>0</v>
      </c>
      <c r="W53" s="121">
        <v>0</v>
      </c>
      <c r="X53" s="121">
        <v>0</v>
      </c>
      <c r="Y53" s="121">
        <v>0</v>
      </c>
      <c r="Z53" s="121">
        <v>0</v>
      </c>
      <c r="AA53" s="121">
        <v>0</v>
      </c>
      <c r="AB53" s="121">
        <v>0</v>
      </c>
      <c r="AC53" s="121">
        <v>0</v>
      </c>
      <c r="AD53" s="121">
        <v>0</v>
      </c>
      <c r="AE53" s="121">
        <v>0</v>
      </c>
      <c r="AF53" s="121">
        <v>0</v>
      </c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139</v>
      </c>
      <c r="B54" t="s">
        <v>140</v>
      </c>
      <c r="C54">
        <v>11</v>
      </c>
      <c r="D54" t="s">
        <v>37</v>
      </c>
      <c r="E54" s="14">
        <v>3965525</v>
      </c>
      <c r="F54" s="14">
        <v>8749636.3499999996</v>
      </c>
      <c r="G54" s="124">
        <v>-193067</v>
      </c>
      <c r="H54" s="121">
        <v>-287216.62</v>
      </c>
      <c r="I54" s="124">
        <v>-38420</v>
      </c>
      <c r="J54" s="121">
        <v>-87060.74</v>
      </c>
      <c r="K54" s="121">
        <v>3120</v>
      </c>
      <c r="L54" s="121">
        <v>7152.3</v>
      </c>
      <c r="M54" s="121">
        <v>-286224</v>
      </c>
      <c r="N54" s="121">
        <v>-646938.46</v>
      </c>
      <c r="O54" s="121">
        <v>126026</v>
      </c>
      <c r="P54" s="121">
        <v>276607.63</v>
      </c>
      <c r="Q54" s="121">
        <v>-82237</v>
      </c>
      <c r="R54" s="121">
        <v>-140547.6</v>
      </c>
      <c r="S54" s="121">
        <v>-292269</v>
      </c>
      <c r="T54" s="121">
        <v>-662988.79</v>
      </c>
      <c r="U54" s="121">
        <v>0</v>
      </c>
      <c r="V54" s="121">
        <v>0</v>
      </c>
      <c r="W54" s="121">
        <v>0</v>
      </c>
      <c r="X54" s="121">
        <v>0.84</v>
      </c>
      <c r="Y54" s="121">
        <v>-3127</v>
      </c>
      <c r="Z54" s="121">
        <v>-7055.42</v>
      </c>
      <c r="AA54" s="121">
        <v>3127</v>
      </c>
      <c r="AB54" s="121">
        <v>7070.34</v>
      </c>
      <c r="AC54" s="121">
        <v>0</v>
      </c>
      <c r="AD54" s="121">
        <v>0</v>
      </c>
      <c r="AE54" s="121">
        <v>0</v>
      </c>
      <c r="AF54" s="121">
        <v>0</v>
      </c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139</v>
      </c>
      <c r="B55" t="s">
        <v>140</v>
      </c>
      <c r="C55">
        <v>12</v>
      </c>
      <c r="D55" t="s">
        <v>38</v>
      </c>
      <c r="E55" s="14">
        <v>-12122053</v>
      </c>
      <c r="F55" s="14">
        <v>-27208090.780000001</v>
      </c>
      <c r="G55" s="124">
        <v>232478</v>
      </c>
      <c r="H55" s="121">
        <v>428136</v>
      </c>
      <c r="I55" s="124">
        <v>3503</v>
      </c>
      <c r="J55" s="121">
        <v>66808.88</v>
      </c>
      <c r="K55" s="121">
        <v>1570</v>
      </c>
      <c r="L55" s="121">
        <v>3024.8</v>
      </c>
      <c r="M55" s="121">
        <v>343958</v>
      </c>
      <c r="N55" s="121">
        <v>770424.13</v>
      </c>
      <c r="O55" s="121">
        <v>-188450</v>
      </c>
      <c r="P55" s="121">
        <v>-471706.8</v>
      </c>
      <c r="Q55" s="121">
        <v>82301</v>
      </c>
      <c r="R55" s="121">
        <v>140685.32999999999</v>
      </c>
      <c r="S55" s="121">
        <v>292238</v>
      </c>
      <c r="T55" s="121">
        <v>662871.98</v>
      </c>
      <c r="U55" s="121">
        <v>0</v>
      </c>
      <c r="V55" s="121">
        <v>54.86</v>
      </c>
      <c r="W55" s="121">
        <v>0</v>
      </c>
      <c r="X55" s="121">
        <v>-0.84</v>
      </c>
      <c r="Y55" s="121">
        <v>-3127</v>
      </c>
      <c r="Z55" s="121">
        <v>-7133.23</v>
      </c>
      <c r="AA55" s="121">
        <v>0</v>
      </c>
      <c r="AB55" s="121">
        <v>0</v>
      </c>
      <c r="AC55" s="121">
        <v>0</v>
      </c>
      <c r="AD55" s="121">
        <v>0</v>
      </c>
      <c r="AE55" s="121">
        <v>0</v>
      </c>
      <c r="AF55" s="121">
        <v>0</v>
      </c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139</v>
      </c>
      <c r="B56" t="s">
        <v>140</v>
      </c>
      <c r="C56">
        <v>13</v>
      </c>
      <c r="D56" t="s">
        <v>41</v>
      </c>
      <c r="E56" s="14">
        <v>0</v>
      </c>
      <c r="F56" s="14">
        <v>0</v>
      </c>
      <c r="G56" s="124">
        <v>-25192</v>
      </c>
      <c r="H56" s="121">
        <v>-59327.16</v>
      </c>
      <c r="I56" s="124">
        <v>103000</v>
      </c>
      <c r="J56" s="121">
        <v>232761.19200000001</v>
      </c>
      <c r="K56" s="121">
        <v>0</v>
      </c>
      <c r="L56" s="121">
        <v>2801.0880000000002</v>
      </c>
      <c r="M56" s="121">
        <v>0</v>
      </c>
      <c r="N56" s="121">
        <v>27154.991999999998</v>
      </c>
      <c r="O56" s="121">
        <v>0</v>
      </c>
      <c r="P56" s="121">
        <v>22097.472000000002</v>
      </c>
      <c r="Q56" s="121">
        <v>-625</v>
      </c>
      <c r="R56" s="121">
        <v>-43721.618999999999</v>
      </c>
      <c r="S56" s="121">
        <v>676</v>
      </c>
      <c r="T56" s="121">
        <v>1591.98</v>
      </c>
      <c r="U56" s="121">
        <v>0</v>
      </c>
      <c r="V56" s="121">
        <v>0</v>
      </c>
      <c r="W56" s="121">
        <v>-55211</v>
      </c>
      <c r="X56" s="121">
        <v>-130021.905</v>
      </c>
      <c r="Y56" s="121">
        <v>74817</v>
      </c>
      <c r="Z56" s="121">
        <v>176194.035</v>
      </c>
      <c r="AA56" s="121">
        <v>0</v>
      </c>
      <c r="AB56" s="121">
        <v>0</v>
      </c>
      <c r="AC56" s="121">
        <v>0</v>
      </c>
      <c r="AD56" s="121">
        <v>0</v>
      </c>
      <c r="AE56" s="121">
        <v>0</v>
      </c>
      <c r="AF56" s="121">
        <v>0</v>
      </c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139</v>
      </c>
      <c r="B57" t="s">
        <v>140</v>
      </c>
      <c r="C57">
        <v>14</v>
      </c>
      <c r="D57" t="s">
        <v>42</v>
      </c>
      <c r="E57" s="14">
        <v>0</v>
      </c>
      <c r="F57" s="14">
        <v>0</v>
      </c>
      <c r="G57" s="124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>
        <v>0</v>
      </c>
      <c r="AF57" s="121">
        <v>0</v>
      </c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139</v>
      </c>
      <c r="B58" t="s">
        <v>140</v>
      </c>
      <c r="C58">
        <v>15</v>
      </c>
      <c r="D58" t="s">
        <v>43</v>
      </c>
      <c r="E58" s="14">
        <v>0</v>
      </c>
      <c r="F58" s="14">
        <v>0</v>
      </c>
      <c r="G58" s="124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>
        <v>0</v>
      </c>
      <c r="AB58" s="121">
        <v>0</v>
      </c>
      <c r="AC58" s="121">
        <v>0</v>
      </c>
      <c r="AD58" s="121">
        <v>0</v>
      </c>
      <c r="AE58" s="121">
        <v>0</v>
      </c>
      <c r="AF58" s="121">
        <v>0</v>
      </c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139</v>
      </c>
      <c r="B59" t="s">
        <v>140</v>
      </c>
      <c r="C59">
        <v>16</v>
      </c>
      <c r="D59" t="s">
        <v>44</v>
      </c>
      <c r="E59" s="14">
        <v>0</v>
      </c>
      <c r="F59" s="14">
        <v>0</v>
      </c>
      <c r="G59" s="124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>
        <v>0</v>
      </c>
      <c r="AB59" s="121">
        <v>0</v>
      </c>
      <c r="AC59" s="121">
        <v>0</v>
      </c>
      <c r="AD59" s="121">
        <v>0</v>
      </c>
      <c r="AE59" s="121">
        <v>0</v>
      </c>
      <c r="AF59" s="121">
        <v>0</v>
      </c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139</v>
      </c>
      <c r="B60" t="s">
        <v>140</v>
      </c>
      <c r="C60">
        <v>17</v>
      </c>
      <c r="D60" t="s">
        <v>127</v>
      </c>
      <c r="E60" s="14">
        <v>0</v>
      </c>
      <c r="F60" s="14">
        <v>0</v>
      </c>
      <c r="G60" s="124">
        <v>997496</v>
      </c>
      <c r="H60" s="121">
        <v>2344115.6</v>
      </c>
      <c r="I60" s="124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0</v>
      </c>
      <c r="Z60" s="121">
        <v>0</v>
      </c>
      <c r="AA60" s="121">
        <v>0</v>
      </c>
      <c r="AB60" s="121">
        <v>0</v>
      </c>
      <c r="AC60" s="121">
        <v>0</v>
      </c>
      <c r="AD60" s="121">
        <v>0</v>
      </c>
      <c r="AE60" s="121">
        <v>0</v>
      </c>
      <c r="AF60" s="121">
        <v>0</v>
      </c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139</v>
      </c>
      <c r="B61" t="s">
        <v>140</v>
      </c>
      <c r="C61">
        <v>18</v>
      </c>
      <c r="D61" t="s">
        <v>128</v>
      </c>
      <c r="E61" s="14">
        <v>0</v>
      </c>
      <c r="F61" s="14">
        <v>0</v>
      </c>
      <c r="G61" s="124">
        <v>-596031</v>
      </c>
      <c r="H61" s="121">
        <v>-1400672.85</v>
      </c>
      <c r="I61" s="124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1">
        <v>0</v>
      </c>
      <c r="P61" s="121">
        <v>0</v>
      </c>
      <c r="Q61" s="121">
        <v>-33</v>
      </c>
      <c r="R61" s="121">
        <v>-77.55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>
        <v>0</v>
      </c>
      <c r="AB61" s="121">
        <v>0</v>
      </c>
      <c r="AC61" s="121">
        <v>0</v>
      </c>
      <c r="AD61" s="121">
        <v>0</v>
      </c>
      <c r="AE61" s="121">
        <v>0</v>
      </c>
      <c r="AF61" s="121">
        <v>0</v>
      </c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139</v>
      </c>
      <c r="B62" t="s">
        <v>140</v>
      </c>
      <c r="C62">
        <v>19</v>
      </c>
      <c r="D62" t="s">
        <v>49</v>
      </c>
      <c r="E62" s="14">
        <v>0</v>
      </c>
      <c r="F62" s="14">
        <v>0</v>
      </c>
      <c r="G62" s="124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>
        <v>0</v>
      </c>
      <c r="AF62" s="121">
        <v>0</v>
      </c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139</v>
      </c>
      <c r="B63" t="s">
        <v>140</v>
      </c>
      <c r="C63">
        <v>20</v>
      </c>
      <c r="D63" t="s">
        <v>129</v>
      </c>
      <c r="E63" s="14">
        <v>0</v>
      </c>
      <c r="F63" s="14">
        <v>0</v>
      </c>
      <c r="G63" s="124">
        <v>20900</v>
      </c>
      <c r="H63" s="121">
        <v>40337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1">
        <v>82301</v>
      </c>
      <c r="P63" s="121">
        <v>136074.79</v>
      </c>
      <c r="Q63" s="121">
        <v>-82301</v>
      </c>
      <c r="R63" s="121">
        <v>-140685.32999999999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0.84</v>
      </c>
      <c r="Y63" s="121">
        <v>0</v>
      </c>
      <c r="Z63" s="121">
        <v>0.84</v>
      </c>
      <c r="AA63" s="121">
        <v>0</v>
      </c>
      <c r="AB63" s="121">
        <v>0</v>
      </c>
      <c r="AC63" s="121">
        <v>0</v>
      </c>
      <c r="AD63" s="121">
        <v>0</v>
      </c>
      <c r="AE63" s="121">
        <v>0</v>
      </c>
      <c r="AF63" s="121">
        <v>0</v>
      </c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139</v>
      </c>
      <c r="B64" t="s">
        <v>140</v>
      </c>
      <c r="C64">
        <v>21</v>
      </c>
      <c r="D64" t="s">
        <v>130</v>
      </c>
      <c r="E64" s="14">
        <v>0</v>
      </c>
      <c r="F64" s="14">
        <v>0</v>
      </c>
      <c r="G64" s="124">
        <v>89334</v>
      </c>
      <c r="H64" s="121">
        <v>209934.9</v>
      </c>
      <c r="I64" s="124">
        <v>-89334</v>
      </c>
      <c r="J64" s="121">
        <v>-209934.9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>
        <v>0</v>
      </c>
      <c r="AF64" s="121">
        <v>0</v>
      </c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139</v>
      </c>
      <c r="B65" t="s">
        <v>140</v>
      </c>
      <c r="C65">
        <v>22</v>
      </c>
      <c r="D65" t="s">
        <v>131</v>
      </c>
      <c r="E65" s="14">
        <v>209431</v>
      </c>
      <c r="F65" s="14">
        <v>493210.005</v>
      </c>
      <c r="G65" s="124">
        <v>-90567</v>
      </c>
      <c r="H65" s="121">
        <v>-213285.29</v>
      </c>
      <c r="I65" s="124">
        <v>-67239</v>
      </c>
      <c r="J65" s="121">
        <v>-158347.845</v>
      </c>
      <c r="K65" s="121">
        <v>292258</v>
      </c>
      <c r="L65" s="121">
        <v>688267.59</v>
      </c>
      <c r="M65" s="121">
        <v>-57734</v>
      </c>
      <c r="N65" s="121">
        <v>-135963.57</v>
      </c>
      <c r="O65" s="121">
        <v>-19877</v>
      </c>
      <c r="P65" s="121">
        <v>-46810.334999999999</v>
      </c>
      <c r="Q65" s="121">
        <v>-214207</v>
      </c>
      <c r="R65" s="121">
        <v>-504457.48499999999</v>
      </c>
      <c r="S65" s="121">
        <v>-645</v>
      </c>
      <c r="T65" s="121">
        <v>-1518.9749999999999</v>
      </c>
      <c r="U65" s="121">
        <v>0</v>
      </c>
      <c r="V65" s="121">
        <v>0</v>
      </c>
      <c r="W65" s="121">
        <v>52851</v>
      </c>
      <c r="X65" s="121">
        <v>124464.105</v>
      </c>
      <c r="Y65" s="121">
        <v>-87589</v>
      </c>
      <c r="Z65" s="121">
        <v>-206272.095</v>
      </c>
      <c r="AA65" s="121">
        <v>-3127</v>
      </c>
      <c r="AB65" s="121">
        <v>-7364.085</v>
      </c>
      <c r="AC65" s="121">
        <v>0</v>
      </c>
      <c r="AD65" s="121">
        <v>0</v>
      </c>
      <c r="AE65" s="121">
        <v>0</v>
      </c>
      <c r="AF65" s="121">
        <v>0</v>
      </c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139</v>
      </c>
      <c r="B66" t="s">
        <v>140</v>
      </c>
      <c r="C66">
        <v>23</v>
      </c>
      <c r="D66" t="s">
        <v>132</v>
      </c>
      <c r="E66" s="14">
        <v>0</v>
      </c>
      <c r="F66" s="14">
        <v>0</v>
      </c>
      <c r="G66" s="124">
        <v>-29643</v>
      </c>
      <c r="H66" s="121">
        <v>-66834.59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26.07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>
        <v>0</v>
      </c>
      <c r="AF66" s="121">
        <v>0</v>
      </c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139</v>
      </c>
      <c r="B67" t="s">
        <v>140</v>
      </c>
      <c r="C67">
        <v>24</v>
      </c>
      <c r="D67" t="s">
        <v>57</v>
      </c>
      <c r="E67" s="14">
        <v>0</v>
      </c>
      <c r="F67" s="14">
        <v>29925.17</v>
      </c>
      <c r="G67" s="124">
        <v>0</v>
      </c>
      <c r="H67" s="121">
        <v>-287.8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-11444</v>
      </c>
      <c r="AB67" s="121">
        <v>-343.32</v>
      </c>
      <c r="AC67" s="121">
        <v>0</v>
      </c>
      <c r="AD67" s="121">
        <v>0</v>
      </c>
      <c r="AE67" s="121">
        <v>0</v>
      </c>
      <c r="AF67" s="121">
        <v>0</v>
      </c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139</v>
      </c>
      <c r="B68" t="s">
        <v>140</v>
      </c>
      <c r="C68">
        <v>25</v>
      </c>
      <c r="D68" t="s">
        <v>58</v>
      </c>
      <c r="E68" s="14">
        <v>0</v>
      </c>
      <c r="F68" s="14">
        <v>0</v>
      </c>
      <c r="G68" s="124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139</v>
      </c>
      <c r="B69" t="s">
        <v>140</v>
      </c>
      <c r="C69">
        <v>26</v>
      </c>
      <c r="D69" t="s">
        <v>133</v>
      </c>
      <c r="E69" s="14">
        <v>3021382</v>
      </c>
      <c r="F69" s="14">
        <v>107024.23</v>
      </c>
      <c r="G69" s="124">
        <v>-57059</v>
      </c>
      <c r="H69" s="121">
        <v>-3531.04</v>
      </c>
      <c r="I69" s="124">
        <v>50296</v>
      </c>
      <c r="J69" s="121">
        <v>0</v>
      </c>
      <c r="K69" s="121">
        <v>3120</v>
      </c>
      <c r="L69" s="121">
        <v>0</v>
      </c>
      <c r="M69" s="121">
        <v>0</v>
      </c>
      <c r="N69" s="121">
        <v>-20065.349999999999</v>
      </c>
      <c r="O69" s="121">
        <v>0</v>
      </c>
      <c r="P69" s="121">
        <v>0</v>
      </c>
      <c r="Q69" s="121">
        <v>625</v>
      </c>
      <c r="R69" s="121">
        <v>-25060</v>
      </c>
      <c r="S69" s="121">
        <v>0</v>
      </c>
      <c r="T69" s="121">
        <v>0</v>
      </c>
      <c r="U69" s="121">
        <v>0</v>
      </c>
      <c r="V69" s="121">
        <v>0</v>
      </c>
      <c r="W69" s="121">
        <v>0</v>
      </c>
      <c r="X69" s="121">
        <v>0</v>
      </c>
      <c r="Y69" s="121">
        <v>16281</v>
      </c>
      <c r="Z69" s="121">
        <v>0</v>
      </c>
      <c r="AA69" s="121">
        <v>0</v>
      </c>
      <c r="AB69" s="121">
        <v>0</v>
      </c>
      <c r="AC69" s="121">
        <v>0</v>
      </c>
      <c r="AD69" s="121">
        <v>0</v>
      </c>
      <c r="AE69" s="121">
        <v>0</v>
      </c>
      <c r="AF69" s="121">
        <v>0</v>
      </c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139</v>
      </c>
      <c r="B70" t="s">
        <v>140</v>
      </c>
      <c r="C70">
        <v>27</v>
      </c>
      <c r="D70" t="s">
        <v>134</v>
      </c>
      <c r="E70" s="14">
        <v>0</v>
      </c>
      <c r="F70" s="14">
        <v>0</v>
      </c>
      <c r="G70" s="124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>
        <v>0</v>
      </c>
      <c r="AB70" s="121">
        <v>0</v>
      </c>
      <c r="AC70" s="121">
        <v>0</v>
      </c>
      <c r="AD70" s="121">
        <v>0</v>
      </c>
      <c r="AE70" s="121">
        <v>0</v>
      </c>
      <c r="AF70" s="121">
        <v>0</v>
      </c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139</v>
      </c>
      <c r="B71" t="s">
        <v>140</v>
      </c>
      <c r="C71">
        <v>28</v>
      </c>
      <c r="D71" t="s">
        <v>135</v>
      </c>
      <c r="E71" s="14">
        <v>-14155711</v>
      </c>
      <c r="F71" s="14">
        <v>-2252204.7000000002</v>
      </c>
      <c r="G71" s="124">
        <v>-8175472</v>
      </c>
      <c r="H71" s="121">
        <v>-234335.06</v>
      </c>
      <c r="I71" s="124">
        <v>0</v>
      </c>
      <c r="J71" s="121">
        <v>-0.01</v>
      </c>
      <c r="K71" s="121">
        <v>0</v>
      </c>
      <c r="L71" s="121">
        <v>0.01</v>
      </c>
      <c r="M71" s="121">
        <v>0</v>
      </c>
      <c r="N71" s="121">
        <v>0</v>
      </c>
      <c r="O71" s="121">
        <v>0</v>
      </c>
      <c r="P71" s="121">
        <v>969284.32</v>
      </c>
      <c r="Q71" s="121">
        <v>0</v>
      </c>
      <c r="R71" s="121">
        <v>-969284.32</v>
      </c>
      <c r="S71" s="121">
        <v>159664</v>
      </c>
      <c r="T71" s="121">
        <v>15966.39</v>
      </c>
      <c r="U71" s="121">
        <v>0</v>
      </c>
      <c r="V71" s="121">
        <v>0</v>
      </c>
      <c r="W71" s="121">
        <v>0</v>
      </c>
      <c r="X71" s="121">
        <v>0</v>
      </c>
      <c r="Y71" s="121">
        <v>0</v>
      </c>
      <c r="Z71" s="121">
        <v>0.01</v>
      </c>
      <c r="AA71" s="121">
        <v>0</v>
      </c>
      <c r="AB71" s="121">
        <v>0</v>
      </c>
      <c r="AC71" s="121">
        <v>0</v>
      </c>
      <c r="AD71" s="121">
        <v>0</v>
      </c>
      <c r="AE71" s="121">
        <v>0</v>
      </c>
      <c r="AF71" s="121">
        <v>0</v>
      </c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139</v>
      </c>
      <c r="B72" t="s">
        <v>140</v>
      </c>
      <c r="C72">
        <v>29</v>
      </c>
      <c r="D72" t="s">
        <v>136</v>
      </c>
      <c r="E72" s="14">
        <v>13117925</v>
      </c>
      <c r="F72" s="14">
        <v>1801533.01</v>
      </c>
      <c r="G72" s="124">
        <v>8215762</v>
      </c>
      <c r="H72" s="121">
        <v>235006.75</v>
      </c>
      <c r="I72" s="124">
        <v>0</v>
      </c>
      <c r="J72" s="121">
        <v>0</v>
      </c>
      <c r="K72" s="121">
        <v>0</v>
      </c>
      <c r="L72" s="121">
        <v>0</v>
      </c>
      <c r="M72" s="121">
        <v>0</v>
      </c>
      <c r="N72" s="121">
        <v>0</v>
      </c>
      <c r="O72" s="121">
        <v>0</v>
      </c>
      <c r="P72" s="121">
        <v>-969284.32</v>
      </c>
      <c r="Q72" s="121">
        <v>0</v>
      </c>
      <c r="R72" s="121">
        <v>969284.32</v>
      </c>
      <c r="S72" s="121">
        <v>-159664</v>
      </c>
      <c r="T72" s="121">
        <v>-15966.4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>
        <v>0</v>
      </c>
      <c r="AF72" s="121">
        <v>0</v>
      </c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139</v>
      </c>
      <c r="B73" t="s">
        <v>140</v>
      </c>
      <c r="C73">
        <v>30</v>
      </c>
      <c r="D73" t="s">
        <v>137</v>
      </c>
      <c r="E73" s="14">
        <v>0</v>
      </c>
      <c r="F73" s="14">
        <v>0</v>
      </c>
      <c r="G73" s="124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>
        <v>0</v>
      </c>
      <c r="AB73" s="121">
        <v>0</v>
      </c>
      <c r="AC73" s="121">
        <v>0</v>
      </c>
      <c r="AD73" s="121">
        <v>0</v>
      </c>
      <c r="AE73" s="121">
        <v>0</v>
      </c>
      <c r="AF73" s="121">
        <v>0</v>
      </c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139</v>
      </c>
      <c r="B74" t="s">
        <v>140</v>
      </c>
      <c r="C74">
        <v>31</v>
      </c>
      <c r="D74" t="s">
        <v>138</v>
      </c>
      <c r="E74" s="14">
        <v>0</v>
      </c>
      <c r="F74" s="14">
        <v>0</v>
      </c>
      <c r="G74" s="124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>
        <v>0</v>
      </c>
      <c r="AB74" s="121">
        <v>0</v>
      </c>
      <c r="AC74" s="121">
        <v>0</v>
      </c>
      <c r="AD74" s="121">
        <v>0</v>
      </c>
      <c r="AE74" s="121">
        <v>0</v>
      </c>
      <c r="AF74" s="121">
        <v>0</v>
      </c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139</v>
      </c>
      <c r="B75" t="s">
        <v>140</v>
      </c>
      <c r="C75">
        <v>32</v>
      </c>
      <c r="D75" t="s">
        <v>72</v>
      </c>
      <c r="E75" s="14">
        <v>0</v>
      </c>
      <c r="F75" s="14">
        <v>0</v>
      </c>
      <c r="G75" s="124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>
        <v>0</v>
      </c>
      <c r="AB75" s="121">
        <v>0</v>
      </c>
      <c r="AC75" s="121">
        <v>0</v>
      </c>
      <c r="AD75" s="121">
        <v>0</v>
      </c>
      <c r="AE75" s="121">
        <v>0</v>
      </c>
      <c r="AF75" s="121">
        <v>0</v>
      </c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139</v>
      </c>
      <c r="B76" t="s">
        <v>140</v>
      </c>
      <c r="C76">
        <v>33</v>
      </c>
      <c r="D76" t="s">
        <v>73</v>
      </c>
      <c r="E76" s="14">
        <v>0</v>
      </c>
      <c r="F76" s="14">
        <v>0</v>
      </c>
      <c r="G76" s="124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>
        <v>0</v>
      </c>
      <c r="AF76" s="121">
        <v>0</v>
      </c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139</v>
      </c>
      <c r="B77" t="s">
        <v>140</v>
      </c>
      <c r="C77">
        <v>34</v>
      </c>
      <c r="D77" t="s">
        <v>74</v>
      </c>
      <c r="E77" s="14">
        <v>0</v>
      </c>
      <c r="F77" s="14">
        <v>0</v>
      </c>
      <c r="G77" s="124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>
        <v>0</v>
      </c>
      <c r="AB77" s="121">
        <v>0</v>
      </c>
      <c r="AC77" s="121">
        <v>0</v>
      </c>
      <c r="AD77" s="121">
        <v>0</v>
      </c>
      <c r="AE77" s="121">
        <v>0</v>
      </c>
      <c r="AF77" s="121">
        <v>0</v>
      </c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139</v>
      </c>
      <c r="B78" t="s">
        <v>140</v>
      </c>
      <c r="C78">
        <v>35</v>
      </c>
      <c r="D78" t="s">
        <v>75</v>
      </c>
      <c r="E78" s="14">
        <v>0</v>
      </c>
      <c r="F78" s="14">
        <v>0</v>
      </c>
      <c r="G78" s="124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>
        <v>0</v>
      </c>
      <c r="AB78" s="121">
        <v>0</v>
      </c>
      <c r="AC78" s="121">
        <v>0</v>
      </c>
      <c r="AD78" s="121">
        <v>0</v>
      </c>
      <c r="AE78" s="121">
        <v>0</v>
      </c>
      <c r="AF78" s="121">
        <v>0</v>
      </c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139</v>
      </c>
      <c r="B79" t="s">
        <v>140</v>
      </c>
      <c r="C79">
        <v>36</v>
      </c>
      <c r="D79" t="s">
        <v>76</v>
      </c>
      <c r="E79" s="14">
        <v>0</v>
      </c>
      <c r="F79" s="14">
        <v>0</v>
      </c>
      <c r="G79" s="124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>
        <v>0</v>
      </c>
      <c r="AB79" s="121">
        <v>0</v>
      </c>
      <c r="AC79" s="121">
        <v>0</v>
      </c>
      <c r="AD79" s="121">
        <v>0</v>
      </c>
      <c r="AE79" s="121">
        <v>0</v>
      </c>
      <c r="AF79" s="121">
        <v>0</v>
      </c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139</v>
      </c>
      <c r="B80" t="s">
        <v>140</v>
      </c>
      <c r="C80">
        <v>37</v>
      </c>
      <c r="D80" t="s">
        <v>77</v>
      </c>
      <c r="E80" s="14">
        <v>0</v>
      </c>
      <c r="F80" s="14">
        <v>0</v>
      </c>
      <c r="G80" s="124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>
        <v>0</v>
      </c>
      <c r="AB80" s="121">
        <v>0</v>
      </c>
      <c r="AC80" s="121">
        <v>0</v>
      </c>
      <c r="AD80" s="121">
        <v>0</v>
      </c>
      <c r="AE80" s="121">
        <v>0</v>
      </c>
      <c r="AF80" s="121">
        <v>0</v>
      </c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139</v>
      </c>
      <c r="B81" t="s">
        <v>140</v>
      </c>
      <c r="C81">
        <v>38</v>
      </c>
      <c r="D81" t="s">
        <v>78</v>
      </c>
      <c r="E81" s="14">
        <v>0</v>
      </c>
      <c r="F81" s="14">
        <v>0</v>
      </c>
      <c r="G81" s="124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>
        <v>0</v>
      </c>
      <c r="AF81" s="121">
        <v>0</v>
      </c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139</v>
      </c>
      <c r="B82" t="s">
        <v>140</v>
      </c>
      <c r="C82">
        <v>39</v>
      </c>
      <c r="D82" t="s">
        <v>79</v>
      </c>
      <c r="E82" s="14">
        <v>0</v>
      </c>
      <c r="F82" s="14">
        <v>0</v>
      </c>
      <c r="G82" s="124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>
        <v>0</v>
      </c>
      <c r="AF82" s="121">
        <v>0</v>
      </c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139</v>
      </c>
      <c r="B83" t="s">
        <v>140</v>
      </c>
      <c r="C83">
        <v>40</v>
      </c>
      <c r="D83" t="s">
        <v>80</v>
      </c>
      <c r="E83" s="14">
        <v>0</v>
      </c>
      <c r="F83" s="14">
        <v>0</v>
      </c>
      <c r="G83" s="124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>
        <v>0</v>
      </c>
      <c r="AF83" s="121">
        <v>0</v>
      </c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141</v>
      </c>
      <c r="B84" t="s">
        <v>115</v>
      </c>
      <c r="C84">
        <v>1</v>
      </c>
      <c r="D84" t="s">
        <v>27</v>
      </c>
      <c r="E84" s="14">
        <v>0</v>
      </c>
      <c r="F84" s="14">
        <v>0</v>
      </c>
      <c r="G84" s="124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>
        <v>0</v>
      </c>
      <c r="AF84" s="121">
        <v>0</v>
      </c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141</v>
      </c>
      <c r="B85" t="s">
        <v>115</v>
      </c>
      <c r="C85">
        <v>2</v>
      </c>
      <c r="D85" t="s">
        <v>28</v>
      </c>
      <c r="E85" s="14">
        <v>0</v>
      </c>
      <c r="F85" s="14">
        <v>0</v>
      </c>
      <c r="G85" s="124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>
        <v>0</v>
      </c>
      <c r="AB85" s="121">
        <v>0</v>
      </c>
      <c r="AC85" s="121">
        <v>0</v>
      </c>
      <c r="AD85" s="121">
        <v>0</v>
      </c>
      <c r="AE85" s="121">
        <v>0</v>
      </c>
      <c r="AF85" s="121">
        <v>0</v>
      </c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141</v>
      </c>
      <c r="B86" t="s">
        <v>115</v>
      </c>
      <c r="C86">
        <v>3</v>
      </c>
      <c r="D86" t="s">
        <v>29</v>
      </c>
      <c r="E86" s="14">
        <v>0</v>
      </c>
      <c r="F86" s="14">
        <v>0</v>
      </c>
      <c r="G86" s="124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>
        <v>0</v>
      </c>
      <c r="AB86" s="121">
        <v>0</v>
      </c>
      <c r="AC86" s="121">
        <v>0</v>
      </c>
      <c r="AD86" s="121">
        <v>0</v>
      </c>
      <c r="AE86" s="121">
        <v>0</v>
      </c>
      <c r="AF86" s="121">
        <v>0</v>
      </c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141</v>
      </c>
      <c r="B87" t="s">
        <v>115</v>
      </c>
      <c r="C87">
        <v>4</v>
      </c>
      <c r="D87" t="s">
        <v>30</v>
      </c>
      <c r="E87" s="14">
        <v>0</v>
      </c>
      <c r="F87" s="14">
        <v>0</v>
      </c>
      <c r="G87" s="124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>
        <v>0</v>
      </c>
      <c r="AB87" s="121">
        <v>0</v>
      </c>
      <c r="AC87" s="121">
        <v>0</v>
      </c>
      <c r="AD87" s="121">
        <v>0</v>
      </c>
      <c r="AE87" s="121">
        <v>0</v>
      </c>
      <c r="AF87" s="121">
        <v>0</v>
      </c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141</v>
      </c>
      <c r="B88" t="s">
        <v>115</v>
      </c>
      <c r="C88">
        <v>5</v>
      </c>
      <c r="D88" t="s">
        <v>126</v>
      </c>
      <c r="E88" s="14">
        <v>0</v>
      </c>
      <c r="F88" s="14">
        <v>0</v>
      </c>
      <c r="G88" s="124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>
        <v>0</v>
      </c>
      <c r="AB88" s="121">
        <v>0</v>
      </c>
      <c r="AC88" s="121">
        <v>0</v>
      </c>
      <c r="AD88" s="121">
        <v>0</v>
      </c>
      <c r="AE88" s="121">
        <v>0</v>
      </c>
      <c r="AF88" s="121">
        <v>0</v>
      </c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141</v>
      </c>
      <c r="B89" t="s">
        <v>115</v>
      </c>
      <c r="C89">
        <v>6</v>
      </c>
      <c r="D89" t="s">
        <v>27</v>
      </c>
      <c r="E89" s="14">
        <v>0</v>
      </c>
      <c r="F89" s="14">
        <v>0</v>
      </c>
      <c r="G89" s="124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>
        <v>0</v>
      </c>
      <c r="AB89" s="121">
        <v>0</v>
      </c>
      <c r="AC89" s="121">
        <v>0</v>
      </c>
      <c r="AD89" s="121">
        <v>0</v>
      </c>
      <c r="AE89" s="121">
        <v>0</v>
      </c>
      <c r="AF89" s="121">
        <v>0</v>
      </c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141</v>
      </c>
      <c r="B90" t="s">
        <v>115</v>
      </c>
      <c r="C90">
        <v>7</v>
      </c>
      <c r="D90" t="s">
        <v>28</v>
      </c>
      <c r="E90" s="14">
        <v>0</v>
      </c>
      <c r="F90" s="14">
        <v>0</v>
      </c>
      <c r="G90" s="124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>
        <v>0</v>
      </c>
      <c r="AB90" s="121">
        <v>0</v>
      </c>
      <c r="AC90" s="121">
        <v>0</v>
      </c>
      <c r="AD90" s="121">
        <v>0</v>
      </c>
      <c r="AE90" s="121">
        <v>0</v>
      </c>
      <c r="AF90" s="121">
        <v>0</v>
      </c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141</v>
      </c>
      <c r="B91" t="s">
        <v>115</v>
      </c>
      <c r="C91">
        <v>8</v>
      </c>
      <c r="D91" t="s">
        <v>29</v>
      </c>
      <c r="E91" s="14">
        <v>0</v>
      </c>
      <c r="F91" s="14">
        <v>0</v>
      </c>
      <c r="G91" s="124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>
        <v>0</v>
      </c>
      <c r="AB91" s="121">
        <v>0</v>
      </c>
      <c r="AC91" s="121">
        <v>0</v>
      </c>
      <c r="AD91" s="121">
        <v>0</v>
      </c>
      <c r="AE91" s="121">
        <v>0</v>
      </c>
      <c r="AF91" s="121">
        <v>0</v>
      </c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141</v>
      </c>
      <c r="B92" t="s">
        <v>115</v>
      </c>
      <c r="C92">
        <v>9</v>
      </c>
      <c r="D92" t="s">
        <v>30</v>
      </c>
      <c r="E92" s="14">
        <v>0</v>
      </c>
      <c r="F92" s="14">
        <v>0</v>
      </c>
      <c r="G92" s="124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>
        <v>0</v>
      </c>
      <c r="AB92" s="121">
        <v>0</v>
      </c>
      <c r="AC92" s="121">
        <v>0</v>
      </c>
      <c r="AD92" s="121">
        <v>0</v>
      </c>
      <c r="AE92" s="121">
        <v>0</v>
      </c>
      <c r="AF92" s="121">
        <v>0</v>
      </c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141</v>
      </c>
      <c r="B93" t="s">
        <v>115</v>
      </c>
      <c r="C93">
        <v>10</v>
      </c>
      <c r="D93" t="s">
        <v>34</v>
      </c>
      <c r="E93" s="14">
        <v>0</v>
      </c>
      <c r="F93" s="14">
        <v>0</v>
      </c>
      <c r="G93" s="124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0</v>
      </c>
      <c r="N93" s="121">
        <v>0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>
        <v>0</v>
      </c>
      <c r="AB93" s="121">
        <v>0</v>
      </c>
      <c r="AC93" s="121">
        <v>0</v>
      </c>
      <c r="AD93" s="121">
        <v>0</v>
      </c>
      <c r="AE93" s="121">
        <v>0</v>
      </c>
      <c r="AF93" s="121">
        <v>0</v>
      </c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141</v>
      </c>
      <c r="B94" t="s">
        <v>115</v>
      </c>
      <c r="C94">
        <v>11</v>
      </c>
      <c r="D94" t="s">
        <v>37</v>
      </c>
      <c r="E94" s="14">
        <v>0</v>
      </c>
      <c r="F94" s="14">
        <v>0</v>
      </c>
      <c r="G94" s="124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>
        <v>0</v>
      </c>
      <c r="AB94" s="121">
        <v>0</v>
      </c>
      <c r="AC94" s="121">
        <v>0</v>
      </c>
      <c r="AD94" s="121">
        <v>0</v>
      </c>
      <c r="AE94" s="121">
        <v>0</v>
      </c>
      <c r="AF94" s="121">
        <v>0</v>
      </c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141</v>
      </c>
      <c r="B95" t="s">
        <v>115</v>
      </c>
      <c r="C95">
        <v>12</v>
      </c>
      <c r="D95" t="s">
        <v>38</v>
      </c>
      <c r="E95" s="14">
        <v>0</v>
      </c>
      <c r="F95" s="14">
        <v>0</v>
      </c>
      <c r="G95" s="124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>
        <v>0</v>
      </c>
      <c r="AB95" s="121">
        <v>0</v>
      </c>
      <c r="AC95" s="121">
        <v>0</v>
      </c>
      <c r="AD95" s="121">
        <v>0</v>
      </c>
      <c r="AE95" s="121">
        <v>0</v>
      </c>
      <c r="AF95" s="121">
        <v>0</v>
      </c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141</v>
      </c>
      <c r="B96" t="s">
        <v>115</v>
      </c>
      <c r="C96">
        <v>13</v>
      </c>
      <c r="D96" t="s">
        <v>41</v>
      </c>
      <c r="E96" s="14">
        <v>0</v>
      </c>
      <c r="F96" s="14">
        <v>0</v>
      </c>
      <c r="G96" s="124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>
        <v>0</v>
      </c>
      <c r="AB96" s="121">
        <v>0</v>
      </c>
      <c r="AC96" s="121">
        <v>0</v>
      </c>
      <c r="AD96" s="121">
        <v>0</v>
      </c>
      <c r="AE96" s="121">
        <v>0</v>
      </c>
      <c r="AF96" s="121">
        <v>0</v>
      </c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141</v>
      </c>
      <c r="B97" t="s">
        <v>115</v>
      </c>
      <c r="C97">
        <v>14</v>
      </c>
      <c r="D97" t="s">
        <v>42</v>
      </c>
      <c r="E97" s="14">
        <v>0</v>
      </c>
      <c r="F97" s="14">
        <v>0</v>
      </c>
      <c r="G97" s="124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>
        <v>0</v>
      </c>
      <c r="AB97" s="121">
        <v>0</v>
      </c>
      <c r="AC97" s="121">
        <v>0</v>
      </c>
      <c r="AD97" s="121">
        <v>0</v>
      </c>
      <c r="AE97" s="121">
        <v>0</v>
      </c>
      <c r="AF97" s="121">
        <v>0</v>
      </c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141</v>
      </c>
      <c r="B98" t="s">
        <v>115</v>
      </c>
      <c r="C98">
        <v>15</v>
      </c>
      <c r="D98" t="s">
        <v>43</v>
      </c>
      <c r="E98" s="14">
        <v>0</v>
      </c>
      <c r="F98" s="14">
        <v>0</v>
      </c>
      <c r="G98" s="124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>
        <v>0</v>
      </c>
      <c r="AB98" s="121">
        <v>0</v>
      </c>
      <c r="AC98" s="121">
        <v>0</v>
      </c>
      <c r="AD98" s="121">
        <v>0</v>
      </c>
      <c r="AE98" s="121">
        <v>0</v>
      </c>
      <c r="AF98" s="121">
        <v>0</v>
      </c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141</v>
      </c>
      <c r="B99" t="s">
        <v>115</v>
      </c>
      <c r="C99">
        <v>16</v>
      </c>
      <c r="D99" t="s">
        <v>44</v>
      </c>
      <c r="E99" s="14">
        <v>0</v>
      </c>
      <c r="F99" s="14">
        <v>0</v>
      </c>
      <c r="G99" s="124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>
        <v>0</v>
      </c>
      <c r="AB99" s="121">
        <v>0</v>
      </c>
      <c r="AC99" s="121">
        <v>0</v>
      </c>
      <c r="AD99" s="121">
        <v>0</v>
      </c>
      <c r="AE99" s="121">
        <v>0</v>
      </c>
      <c r="AF99" s="121">
        <v>0</v>
      </c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141</v>
      </c>
      <c r="B100" t="s">
        <v>115</v>
      </c>
      <c r="C100">
        <v>17</v>
      </c>
      <c r="D100" t="s">
        <v>127</v>
      </c>
      <c r="E100" s="14">
        <v>0</v>
      </c>
      <c r="F100" s="14">
        <v>0</v>
      </c>
      <c r="G100" s="124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>
        <v>0</v>
      </c>
      <c r="AB100" s="121">
        <v>0</v>
      </c>
      <c r="AC100" s="121">
        <v>0</v>
      </c>
      <c r="AD100" s="121">
        <v>0</v>
      </c>
      <c r="AE100" s="121">
        <v>0</v>
      </c>
      <c r="AF100" s="121">
        <v>0</v>
      </c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141</v>
      </c>
      <c r="B101" t="s">
        <v>115</v>
      </c>
      <c r="C101">
        <v>18</v>
      </c>
      <c r="D101" t="s">
        <v>128</v>
      </c>
      <c r="E101" s="14">
        <v>0</v>
      </c>
      <c r="F101" s="14">
        <v>0</v>
      </c>
      <c r="G101" s="124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>
        <v>0</v>
      </c>
      <c r="AB101" s="121">
        <v>0</v>
      </c>
      <c r="AC101" s="121">
        <v>0</v>
      </c>
      <c r="AD101" s="121">
        <v>0</v>
      </c>
      <c r="AE101" s="121">
        <v>0</v>
      </c>
      <c r="AF101" s="121">
        <v>0</v>
      </c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141</v>
      </c>
      <c r="B102" t="s">
        <v>115</v>
      </c>
      <c r="C102">
        <v>19</v>
      </c>
      <c r="D102" t="s">
        <v>49</v>
      </c>
      <c r="E102" s="14">
        <v>0</v>
      </c>
      <c r="F102" s="14">
        <v>0</v>
      </c>
      <c r="G102" s="124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>
        <v>0</v>
      </c>
      <c r="AB102" s="121">
        <v>0</v>
      </c>
      <c r="AC102" s="121">
        <v>0</v>
      </c>
      <c r="AD102" s="121">
        <v>0</v>
      </c>
      <c r="AE102" s="121">
        <v>0</v>
      </c>
      <c r="AF102" s="121">
        <v>0</v>
      </c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141</v>
      </c>
      <c r="B103" t="s">
        <v>115</v>
      </c>
      <c r="C103">
        <v>20</v>
      </c>
      <c r="D103" t="s">
        <v>129</v>
      </c>
      <c r="E103" s="14">
        <v>0</v>
      </c>
      <c r="F103" s="14">
        <v>0</v>
      </c>
      <c r="G103" s="124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>
        <v>0</v>
      </c>
      <c r="AB103" s="121">
        <v>0</v>
      </c>
      <c r="AC103" s="121">
        <v>0</v>
      </c>
      <c r="AD103" s="121">
        <v>0</v>
      </c>
      <c r="AE103" s="121">
        <v>0</v>
      </c>
      <c r="AF103" s="121">
        <v>0</v>
      </c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141</v>
      </c>
      <c r="B104" t="s">
        <v>115</v>
      </c>
      <c r="C104">
        <v>21</v>
      </c>
      <c r="D104" t="s">
        <v>130</v>
      </c>
      <c r="E104" s="14">
        <v>0</v>
      </c>
      <c r="F104" s="14">
        <v>0</v>
      </c>
      <c r="G104" s="124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>
        <v>0</v>
      </c>
      <c r="AB104" s="121">
        <v>0</v>
      </c>
      <c r="AC104" s="121">
        <v>0</v>
      </c>
      <c r="AD104" s="121">
        <v>0</v>
      </c>
      <c r="AE104" s="121">
        <v>0</v>
      </c>
      <c r="AF104" s="121">
        <v>0</v>
      </c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141</v>
      </c>
      <c r="B105" t="s">
        <v>115</v>
      </c>
      <c r="C105">
        <v>22</v>
      </c>
      <c r="D105" t="s">
        <v>131</v>
      </c>
      <c r="E105" s="14">
        <v>0</v>
      </c>
      <c r="F105" s="14">
        <v>0</v>
      </c>
      <c r="G105" s="124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0</v>
      </c>
      <c r="N105" s="121">
        <v>0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>
        <v>0</v>
      </c>
      <c r="AB105" s="121">
        <v>0</v>
      </c>
      <c r="AC105" s="121">
        <v>0</v>
      </c>
      <c r="AD105" s="121">
        <v>0</v>
      </c>
      <c r="AE105" s="121">
        <v>0</v>
      </c>
      <c r="AF105" s="121">
        <v>0</v>
      </c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141</v>
      </c>
      <c r="B106" t="s">
        <v>115</v>
      </c>
      <c r="C106">
        <v>23</v>
      </c>
      <c r="D106" t="s">
        <v>132</v>
      </c>
      <c r="E106" s="14">
        <v>0</v>
      </c>
      <c r="F106" s="14">
        <v>0</v>
      </c>
      <c r="G106" s="124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0</v>
      </c>
      <c r="N106" s="121">
        <v>0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>
        <v>0</v>
      </c>
      <c r="AB106" s="121">
        <v>0</v>
      </c>
      <c r="AC106" s="121">
        <v>0</v>
      </c>
      <c r="AD106" s="121">
        <v>0</v>
      </c>
      <c r="AE106" s="121">
        <v>0</v>
      </c>
      <c r="AF106" s="121">
        <v>0</v>
      </c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141</v>
      </c>
      <c r="B107" t="s">
        <v>115</v>
      </c>
      <c r="C107">
        <v>24</v>
      </c>
      <c r="D107" t="s">
        <v>57</v>
      </c>
      <c r="E107" s="14">
        <v>0</v>
      </c>
      <c r="F107" s="14">
        <v>0</v>
      </c>
      <c r="G107" s="124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>
        <v>0</v>
      </c>
      <c r="AB107" s="121">
        <v>0</v>
      </c>
      <c r="AC107" s="121">
        <v>0</v>
      </c>
      <c r="AD107" s="121">
        <v>0</v>
      </c>
      <c r="AE107" s="121">
        <v>0</v>
      </c>
      <c r="AF107" s="121">
        <v>0</v>
      </c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141</v>
      </c>
      <c r="B108" t="s">
        <v>115</v>
      </c>
      <c r="C108">
        <v>25</v>
      </c>
      <c r="D108" t="s">
        <v>58</v>
      </c>
      <c r="E108" s="14">
        <v>0</v>
      </c>
      <c r="F108" s="14">
        <v>0</v>
      </c>
      <c r="G108" s="124">
        <v>0</v>
      </c>
      <c r="H108" s="121">
        <v>0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>
        <v>0</v>
      </c>
      <c r="AF108" s="121">
        <v>0</v>
      </c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141</v>
      </c>
      <c r="B109" t="s">
        <v>115</v>
      </c>
      <c r="C109">
        <v>26</v>
      </c>
      <c r="D109" t="s">
        <v>133</v>
      </c>
      <c r="E109" s="14">
        <v>0</v>
      </c>
      <c r="F109" s="14">
        <v>0</v>
      </c>
      <c r="G109" s="124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>
        <v>0</v>
      </c>
      <c r="AB109" s="121">
        <v>0</v>
      </c>
      <c r="AC109" s="121">
        <v>0</v>
      </c>
      <c r="AD109" s="121">
        <v>0</v>
      </c>
      <c r="AE109" s="121">
        <v>0</v>
      </c>
      <c r="AF109" s="121">
        <v>0</v>
      </c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141</v>
      </c>
      <c r="B110" t="s">
        <v>115</v>
      </c>
      <c r="C110">
        <v>27</v>
      </c>
      <c r="D110" t="s">
        <v>134</v>
      </c>
      <c r="E110" s="14">
        <v>0</v>
      </c>
      <c r="F110" s="14">
        <v>0</v>
      </c>
      <c r="G110" s="124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>
        <v>0</v>
      </c>
      <c r="AB110" s="121">
        <v>0</v>
      </c>
      <c r="AC110" s="121">
        <v>0</v>
      </c>
      <c r="AD110" s="121">
        <v>0</v>
      </c>
      <c r="AE110" s="121">
        <v>0</v>
      </c>
      <c r="AF110" s="121">
        <v>0</v>
      </c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141</v>
      </c>
      <c r="B111" t="s">
        <v>115</v>
      </c>
      <c r="C111">
        <v>28</v>
      </c>
      <c r="D111" t="s">
        <v>135</v>
      </c>
      <c r="E111" s="14">
        <v>0</v>
      </c>
      <c r="F111" s="14">
        <v>0</v>
      </c>
      <c r="G111" s="124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>
        <v>0</v>
      </c>
      <c r="AB111" s="121">
        <v>0</v>
      </c>
      <c r="AC111" s="121">
        <v>0</v>
      </c>
      <c r="AD111" s="121">
        <v>0</v>
      </c>
      <c r="AE111" s="121">
        <v>0</v>
      </c>
      <c r="AF111" s="121">
        <v>0</v>
      </c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141</v>
      </c>
      <c r="B112" t="s">
        <v>115</v>
      </c>
      <c r="C112">
        <v>29</v>
      </c>
      <c r="D112" t="s">
        <v>136</v>
      </c>
      <c r="E112" s="14">
        <v>0</v>
      </c>
      <c r="F112" s="14">
        <v>0</v>
      </c>
      <c r="G112" s="124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>
        <v>0</v>
      </c>
      <c r="AB112" s="121">
        <v>0</v>
      </c>
      <c r="AC112" s="121">
        <v>0</v>
      </c>
      <c r="AD112" s="121">
        <v>0</v>
      </c>
      <c r="AE112" s="121">
        <v>0</v>
      </c>
      <c r="AF112" s="121">
        <v>0</v>
      </c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141</v>
      </c>
      <c r="B113" t="s">
        <v>115</v>
      </c>
      <c r="C113">
        <v>30</v>
      </c>
      <c r="D113" t="s">
        <v>137</v>
      </c>
      <c r="E113" s="14">
        <v>0</v>
      </c>
      <c r="F113" s="14">
        <v>0</v>
      </c>
      <c r="G113" s="124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>
        <v>0</v>
      </c>
      <c r="AB113" s="121">
        <v>0</v>
      </c>
      <c r="AC113" s="121">
        <v>0</v>
      </c>
      <c r="AD113" s="121">
        <v>0</v>
      </c>
      <c r="AE113" s="121">
        <v>0</v>
      </c>
      <c r="AF113" s="121">
        <v>0</v>
      </c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141</v>
      </c>
      <c r="B114" t="s">
        <v>115</v>
      </c>
      <c r="C114">
        <v>31</v>
      </c>
      <c r="D114" t="s">
        <v>138</v>
      </c>
      <c r="E114" s="14">
        <v>0</v>
      </c>
      <c r="F114" s="14">
        <v>0</v>
      </c>
      <c r="G114" s="124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>
        <v>0</v>
      </c>
      <c r="AB114" s="121">
        <v>0</v>
      </c>
      <c r="AC114" s="121">
        <v>0</v>
      </c>
      <c r="AD114" s="121">
        <v>0</v>
      </c>
      <c r="AE114" s="121">
        <v>0</v>
      </c>
      <c r="AF114" s="121">
        <v>0</v>
      </c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141</v>
      </c>
      <c r="B115" t="s">
        <v>115</v>
      </c>
      <c r="C115">
        <v>32</v>
      </c>
      <c r="D115" t="s">
        <v>72</v>
      </c>
      <c r="E115" s="14">
        <v>0</v>
      </c>
      <c r="F115" s="14">
        <v>0</v>
      </c>
      <c r="G115" s="124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>
        <v>0</v>
      </c>
      <c r="AB115" s="121">
        <v>0</v>
      </c>
      <c r="AC115" s="121">
        <v>0</v>
      </c>
      <c r="AD115" s="121">
        <v>0</v>
      </c>
      <c r="AE115" s="121">
        <v>0</v>
      </c>
      <c r="AF115" s="121">
        <v>0</v>
      </c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141</v>
      </c>
      <c r="B116" t="s">
        <v>115</v>
      </c>
      <c r="C116">
        <v>33</v>
      </c>
      <c r="D116" t="s">
        <v>73</v>
      </c>
      <c r="E116" s="14">
        <v>0</v>
      </c>
      <c r="F116" s="14">
        <v>0</v>
      </c>
      <c r="G116" s="124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>
        <v>0</v>
      </c>
      <c r="AB116" s="121">
        <v>0</v>
      </c>
      <c r="AC116" s="121">
        <v>0</v>
      </c>
      <c r="AD116" s="121">
        <v>0</v>
      </c>
      <c r="AE116" s="121">
        <v>0</v>
      </c>
      <c r="AF116" s="121">
        <v>0</v>
      </c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141</v>
      </c>
      <c r="B117" t="s">
        <v>115</v>
      </c>
      <c r="C117">
        <v>34</v>
      </c>
      <c r="D117" t="s">
        <v>74</v>
      </c>
      <c r="E117" s="14">
        <v>0</v>
      </c>
      <c r="F117" s="14">
        <v>0</v>
      </c>
      <c r="G117" s="124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>
        <v>0</v>
      </c>
      <c r="AB117" s="121">
        <v>0</v>
      </c>
      <c r="AC117" s="121">
        <v>0</v>
      </c>
      <c r="AD117" s="121">
        <v>0</v>
      </c>
      <c r="AE117" s="121">
        <v>0</v>
      </c>
      <c r="AF117" s="121">
        <v>0</v>
      </c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141</v>
      </c>
      <c r="B118" t="s">
        <v>115</v>
      </c>
      <c r="C118">
        <v>35</v>
      </c>
      <c r="D118" t="s">
        <v>75</v>
      </c>
      <c r="E118" s="14">
        <v>0</v>
      </c>
      <c r="F118" s="14">
        <v>0</v>
      </c>
      <c r="G118" s="124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>
        <v>0</v>
      </c>
      <c r="AB118" s="121">
        <v>0</v>
      </c>
      <c r="AC118" s="121">
        <v>0</v>
      </c>
      <c r="AD118" s="121">
        <v>0</v>
      </c>
      <c r="AE118" s="121">
        <v>0</v>
      </c>
      <c r="AF118" s="121">
        <v>0</v>
      </c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141</v>
      </c>
      <c r="B119" t="s">
        <v>115</v>
      </c>
      <c r="C119">
        <v>36</v>
      </c>
      <c r="D119" t="s">
        <v>76</v>
      </c>
      <c r="E119" s="14">
        <v>0</v>
      </c>
      <c r="F119" s="14">
        <v>0</v>
      </c>
      <c r="G119" s="124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>
        <v>0</v>
      </c>
      <c r="AB119" s="121">
        <v>0</v>
      </c>
      <c r="AC119" s="121">
        <v>0</v>
      </c>
      <c r="AD119" s="121">
        <v>0</v>
      </c>
      <c r="AE119" s="121">
        <v>0</v>
      </c>
      <c r="AF119" s="121">
        <v>0</v>
      </c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141</v>
      </c>
      <c r="B120" t="s">
        <v>115</v>
      </c>
      <c r="C120">
        <v>37</v>
      </c>
      <c r="D120" t="s">
        <v>77</v>
      </c>
      <c r="E120" s="14">
        <v>0</v>
      </c>
      <c r="F120" s="14">
        <v>0</v>
      </c>
      <c r="G120" s="124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>
        <v>0</v>
      </c>
      <c r="AB120" s="121">
        <v>0</v>
      </c>
      <c r="AC120" s="121">
        <v>0</v>
      </c>
      <c r="AD120" s="121">
        <v>0</v>
      </c>
      <c r="AE120" s="121">
        <v>0</v>
      </c>
      <c r="AF120" s="121">
        <v>0</v>
      </c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141</v>
      </c>
      <c r="B121" t="s">
        <v>115</v>
      </c>
      <c r="C121">
        <v>38</v>
      </c>
      <c r="D121" t="s">
        <v>78</v>
      </c>
      <c r="E121" s="14">
        <v>0</v>
      </c>
      <c r="F121" s="14">
        <v>0</v>
      </c>
      <c r="G121" s="124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>
        <v>0</v>
      </c>
      <c r="AB121" s="121">
        <v>0</v>
      </c>
      <c r="AC121" s="121">
        <v>0</v>
      </c>
      <c r="AD121" s="121">
        <v>0</v>
      </c>
      <c r="AE121" s="121">
        <v>0</v>
      </c>
      <c r="AF121" s="121">
        <v>0</v>
      </c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141</v>
      </c>
      <c r="B122" t="s">
        <v>115</v>
      </c>
      <c r="C122">
        <v>39</v>
      </c>
      <c r="D122" t="s">
        <v>79</v>
      </c>
      <c r="E122" s="14">
        <v>0</v>
      </c>
      <c r="F122" s="14">
        <v>0</v>
      </c>
      <c r="G122" s="124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>
        <v>0</v>
      </c>
      <c r="AB122" s="121">
        <v>0</v>
      </c>
      <c r="AC122" s="121">
        <v>0</v>
      </c>
      <c r="AD122" s="121">
        <v>0</v>
      </c>
      <c r="AE122" s="121">
        <v>0</v>
      </c>
      <c r="AF122" s="121">
        <v>0</v>
      </c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141</v>
      </c>
      <c r="B123" t="s">
        <v>115</v>
      </c>
      <c r="C123">
        <v>40</v>
      </c>
      <c r="D123" t="s">
        <v>80</v>
      </c>
      <c r="E123" s="14">
        <v>0</v>
      </c>
      <c r="F123" s="14">
        <v>0</v>
      </c>
      <c r="G123" s="124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>
        <v>0</v>
      </c>
      <c r="AB123" s="121">
        <v>0</v>
      </c>
      <c r="AC123" s="121">
        <v>0</v>
      </c>
      <c r="AD123" s="121">
        <v>0</v>
      </c>
      <c r="AE123" s="121">
        <v>0</v>
      </c>
      <c r="AF123" s="121">
        <v>0</v>
      </c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141</v>
      </c>
      <c r="B124" t="s">
        <v>142</v>
      </c>
      <c r="C124">
        <v>1</v>
      </c>
      <c r="D124" t="s">
        <v>27</v>
      </c>
      <c r="E124" s="14">
        <v>45022264</v>
      </c>
      <c r="F124" s="14">
        <v>109975690.22</v>
      </c>
      <c r="G124" s="124">
        <v>1176371</v>
      </c>
      <c r="H124" s="121">
        <v>1201576.99</v>
      </c>
      <c r="I124" s="124">
        <v>741104</v>
      </c>
      <c r="J124" s="121">
        <v>3180462</v>
      </c>
      <c r="K124" s="121">
        <v>20702</v>
      </c>
      <c r="L124" s="121">
        <v>1081756.51</v>
      </c>
      <c r="M124" s="121">
        <v>0</v>
      </c>
      <c r="N124" s="121">
        <v>0</v>
      </c>
      <c r="O124" s="121">
        <v>128</v>
      </c>
      <c r="P124" s="121">
        <v>290.43</v>
      </c>
      <c r="Q124" s="121">
        <v>2196</v>
      </c>
      <c r="R124" s="121">
        <v>5028.84</v>
      </c>
      <c r="S124" s="121">
        <v>1614</v>
      </c>
      <c r="T124" s="121">
        <v>3728.84</v>
      </c>
      <c r="U124" s="121">
        <v>0</v>
      </c>
      <c r="V124" s="121">
        <v>0</v>
      </c>
      <c r="W124" s="121">
        <v>0</v>
      </c>
      <c r="X124" s="121">
        <v>0</v>
      </c>
      <c r="Y124" s="121">
        <v>0</v>
      </c>
      <c r="Z124" s="121">
        <v>0</v>
      </c>
      <c r="AA124" s="121">
        <v>0</v>
      </c>
      <c r="AB124" s="121">
        <v>0</v>
      </c>
      <c r="AC124" s="121">
        <v>0</v>
      </c>
      <c r="AD124" s="121">
        <v>0</v>
      </c>
      <c r="AE124" s="121">
        <v>0</v>
      </c>
      <c r="AF124" s="121">
        <v>0</v>
      </c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141</v>
      </c>
      <c r="B125" t="s">
        <v>142</v>
      </c>
      <c r="C125">
        <v>2</v>
      </c>
      <c r="D125" t="s">
        <v>28</v>
      </c>
      <c r="E125" s="14">
        <v>0</v>
      </c>
      <c r="F125" s="14">
        <v>0</v>
      </c>
      <c r="G125" s="124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>
        <v>0</v>
      </c>
      <c r="AB125" s="121">
        <v>0</v>
      </c>
      <c r="AC125" s="121">
        <v>0</v>
      </c>
      <c r="AD125" s="121">
        <v>0</v>
      </c>
      <c r="AE125" s="121">
        <v>0</v>
      </c>
      <c r="AF125" s="121">
        <v>0</v>
      </c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141</v>
      </c>
      <c r="B126" t="s">
        <v>142</v>
      </c>
      <c r="C126">
        <v>3</v>
      </c>
      <c r="D126" t="s">
        <v>29</v>
      </c>
      <c r="E126" s="14">
        <v>19030434</v>
      </c>
      <c r="F126" s="14">
        <v>43171267</v>
      </c>
      <c r="G126" s="124">
        <v>-239056</v>
      </c>
      <c r="H126" s="121">
        <v>-520123</v>
      </c>
      <c r="I126" s="124">
        <v>0</v>
      </c>
      <c r="J126" s="121">
        <v>0</v>
      </c>
      <c r="K126" s="121">
        <v>32147</v>
      </c>
      <c r="L126" s="121">
        <v>68236</v>
      </c>
      <c r="M126" s="121">
        <v>0</v>
      </c>
      <c r="N126" s="121">
        <v>0</v>
      </c>
      <c r="O126" s="121">
        <v>1671369</v>
      </c>
      <c r="P126" s="121">
        <v>3786699</v>
      </c>
      <c r="Q126" s="121">
        <v>1671369</v>
      </c>
      <c r="R126" s="121">
        <v>3786699</v>
      </c>
      <c r="S126" s="121">
        <v>-3135829</v>
      </c>
      <c r="T126" s="121">
        <v>-7121511</v>
      </c>
      <c r="U126" s="121">
        <v>0</v>
      </c>
      <c r="V126" s="121">
        <v>0</v>
      </c>
      <c r="W126" s="121">
        <v>0</v>
      </c>
      <c r="X126" s="121">
        <v>0</v>
      </c>
      <c r="Y126" s="121">
        <v>0</v>
      </c>
      <c r="Z126" s="121">
        <v>0</v>
      </c>
      <c r="AA126" s="121">
        <v>0</v>
      </c>
      <c r="AB126" s="121">
        <v>0</v>
      </c>
      <c r="AC126" s="121">
        <v>0</v>
      </c>
      <c r="AD126" s="121">
        <v>0</v>
      </c>
      <c r="AE126" s="121">
        <v>0</v>
      </c>
      <c r="AF126" s="121">
        <v>0</v>
      </c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141</v>
      </c>
      <c r="B127" t="s">
        <v>142</v>
      </c>
      <c r="C127">
        <v>4</v>
      </c>
      <c r="D127" t="s">
        <v>30</v>
      </c>
      <c r="E127" s="14">
        <v>0</v>
      </c>
      <c r="F127" s="14">
        <v>0</v>
      </c>
      <c r="G127" s="124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>
        <v>0</v>
      </c>
      <c r="AB127" s="121">
        <v>0</v>
      </c>
      <c r="AC127" s="121">
        <v>0</v>
      </c>
      <c r="AD127" s="121">
        <v>0</v>
      </c>
      <c r="AE127" s="121">
        <v>0</v>
      </c>
      <c r="AF127" s="121">
        <v>0</v>
      </c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141</v>
      </c>
      <c r="B128" t="s">
        <v>142</v>
      </c>
      <c r="C128">
        <v>5</v>
      </c>
      <c r="D128" t="s">
        <v>126</v>
      </c>
      <c r="E128" s="14">
        <v>0</v>
      </c>
      <c r="F128" s="14">
        <v>0</v>
      </c>
      <c r="G128" s="124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209000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>
        <v>0</v>
      </c>
      <c r="AB128" s="121">
        <v>0</v>
      </c>
      <c r="AC128" s="121">
        <v>0</v>
      </c>
      <c r="AD128" s="121">
        <v>0</v>
      </c>
      <c r="AE128" s="121">
        <v>0</v>
      </c>
      <c r="AF128" s="121">
        <v>0</v>
      </c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141</v>
      </c>
      <c r="B129" t="s">
        <v>142</v>
      </c>
      <c r="C129">
        <v>6</v>
      </c>
      <c r="D129" t="s">
        <v>27</v>
      </c>
      <c r="E129" s="14">
        <v>-47340701</v>
      </c>
      <c r="F129" s="14">
        <v>-104702378.75999999</v>
      </c>
      <c r="G129" s="124">
        <v>524002</v>
      </c>
      <c r="H129" s="121">
        <v>986906.3</v>
      </c>
      <c r="I129" s="124">
        <v>-373578</v>
      </c>
      <c r="J129" s="121">
        <v>-471056.82</v>
      </c>
      <c r="K129" s="121">
        <v>13233</v>
      </c>
      <c r="L129" s="121">
        <v>17164</v>
      </c>
      <c r="M129" s="121">
        <v>-894</v>
      </c>
      <c r="N129" s="121">
        <v>457324.54</v>
      </c>
      <c r="O129" s="121">
        <v>-20265</v>
      </c>
      <c r="P129" s="121">
        <v>-43791.16</v>
      </c>
      <c r="Q129" s="121">
        <v>0</v>
      </c>
      <c r="R129" s="121">
        <v>1300.429999999993</v>
      </c>
      <c r="S129" s="121">
        <v>-15000</v>
      </c>
      <c r="T129" s="121">
        <v>-19842.88</v>
      </c>
      <c r="U129" s="121">
        <v>0</v>
      </c>
      <c r="V129" s="121">
        <v>0</v>
      </c>
      <c r="W129" s="121">
        <v>0</v>
      </c>
      <c r="X129" s="121">
        <v>0</v>
      </c>
      <c r="Y129" s="121">
        <v>0</v>
      </c>
      <c r="Z129" s="121">
        <v>0</v>
      </c>
      <c r="AA129" s="121">
        <v>0</v>
      </c>
      <c r="AB129" s="121">
        <v>0</v>
      </c>
      <c r="AC129" s="121">
        <v>0</v>
      </c>
      <c r="AD129" s="121">
        <v>0</v>
      </c>
      <c r="AE129" s="121">
        <v>0</v>
      </c>
      <c r="AF129" s="121">
        <v>0</v>
      </c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141</v>
      </c>
      <c r="B130" t="s">
        <v>142</v>
      </c>
      <c r="C130">
        <v>7</v>
      </c>
      <c r="D130" t="s">
        <v>28</v>
      </c>
      <c r="E130" s="14">
        <v>0</v>
      </c>
      <c r="F130" s="14">
        <v>0</v>
      </c>
      <c r="G130" s="124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>
        <v>0</v>
      </c>
      <c r="AB130" s="121">
        <v>0</v>
      </c>
      <c r="AC130" s="121">
        <v>0</v>
      </c>
      <c r="AD130" s="121">
        <v>0</v>
      </c>
      <c r="AE130" s="121">
        <v>0</v>
      </c>
      <c r="AF130" s="121">
        <v>0</v>
      </c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141</v>
      </c>
      <c r="B131" t="s">
        <v>142</v>
      </c>
      <c r="C131">
        <v>8</v>
      </c>
      <c r="D131" t="s">
        <v>29</v>
      </c>
      <c r="E131" s="14">
        <v>-18815314</v>
      </c>
      <c r="F131" s="14">
        <v>-42663071</v>
      </c>
      <c r="G131" s="124">
        <v>489499</v>
      </c>
      <c r="H131" s="121">
        <v>1090332</v>
      </c>
      <c r="I131" s="124">
        <v>0</v>
      </c>
      <c r="J131" s="121">
        <v>0</v>
      </c>
      <c r="K131" s="121">
        <v>-46369</v>
      </c>
      <c r="L131" s="121">
        <v>-107582</v>
      </c>
      <c r="M131" s="121">
        <v>0</v>
      </c>
      <c r="N131" s="121">
        <v>0</v>
      </c>
      <c r="O131" s="121">
        <v>-1671369</v>
      </c>
      <c r="P131" s="121">
        <v>-3786699</v>
      </c>
      <c r="Q131" s="121">
        <v>-1671369</v>
      </c>
      <c r="R131" s="121">
        <v>-3786699</v>
      </c>
      <c r="S131" s="121">
        <v>2899608</v>
      </c>
      <c r="T131" s="121">
        <v>6590648</v>
      </c>
      <c r="U131" s="121">
        <v>0</v>
      </c>
      <c r="V131" s="121">
        <v>0</v>
      </c>
      <c r="W131" s="121">
        <v>0</v>
      </c>
      <c r="X131" s="121">
        <v>0</v>
      </c>
      <c r="Y131" s="121">
        <v>0</v>
      </c>
      <c r="Z131" s="121">
        <v>0</v>
      </c>
      <c r="AA131" s="121">
        <v>0</v>
      </c>
      <c r="AB131" s="121">
        <v>0</v>
      </c>
      <c r="AC131" s="121">
        <v>0</v>
      </c>
      <c r="AD131" s="121">
        <v>0</v>
      </c>
      <c r="AE131" s="121">
        <v>0</v>
      </c>
      <c r="AF131" s="121">
        <v>0</v>
      </c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141</v>
      </c>
      <c r="B132" t="s">
        <v>142</v>
      </c>
      <c r="C132">
        <v>9</v>
      </c>
      <c r="D132" t="s">
        <v>30</v>
      </c>
      <c r="E132" s="14">
        <v>0</v>
      </c>
      <c r="F132" s="14">
        <v>0</v>
      </c>
      <c r="G132" s="124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>
        <v>0</v>
      </c>
      <c r="AB132" s="121">
        <v>0</v>
      </c>
      <c r="AC132" s="121">
        <v>0</v>
      </c>
      <c r="AD132" s="121">
        <v>0</v>
      </c>
      <c r="AE132" s="121">
        <v>0</v>
      </c>
      <c r="AF132" s="121">
        <v>0</v>
      </c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141</v>
      </c>
      <c r="B133" t="s">
        <v>142</v>
      </c>
      <c r="C133">
        <v>10</v>
      </c>
      <c r="D133" t="s">
        <v>34</v>
      </c>
      <c r="E133" s="14">
        <v>540180</v>
      </c>
      <c r="F133" s="14">
        <v>1224047.8799999999</v>
      </c>
      <c r="G133" s="124">
        <v>18158</v>
      </c>
      <c r="H133" s="121">
        <v>41146.03</v>
      </c>
      <c r="I133" s="124">
        <v>-5231</v>
      </c>
      <c r="J133" s="121">
        <v>-11853.45</v>
      </c>
      <c r="K133" s="121">
        <v>-258</v>
      </c>
      <c r="L133" s="121">
        <v>-584.62800000000004</v>
      </c>
      <c r="M133" s="121">
        <v>0</v>
      </c>
      <c r="N133" s="121">
        <v>0</v>
      </c>
      <c r="O133" s="121">
        <v>229</v>
      </c>
      <c r="P133" s="121">
        <v>518.91399999999999</v>
      </c>
      <c r="Q133" s="121">
        <v>17</v>
      </c>
      <c r="R133" s="121">
        <v>38.521999999999998</v>
      </c>
      <c r="S133" s="121">
        <v>-552</v>
      </c>
      <c r="T133" s="121">
        <v>-1250.8320000000001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>
        <v>0</v>
      </c>
      <c r="AB133" s="121">
        <v>0</v>
      </c>
      <c r="AC133" s="121">
        <v>0</v>
      </c>
      <c r="AD133" s="121">
        <v>0</v>
      </c>
      <c r="AE133" s="121">
        <v>0</v>
      </c>
      <c r="AF133" s="121">
        <v>0</v>
      </c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141</v>
      </c>
      <c r="B134" t="s">
        <v>142</v>
      </c>
      <c r="C134">
        <v>11</v>
      </c>
      <c r="D134" t="s">
        <v>37</v>
      </c>
      <c r="E134" s="14">
        <v>8901</v>
      </c>
      <c r="F134" s="14">
        <v>19849.23</v>
      </c>
      <c r="G134" s="124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>
        <v>0</v>
      </c>
      <c r="AB134" s="121">
        <v>0</v>
      </c>
      <c r="AC134" s="121">
        <v>0</v>
      </c>
      <c r="AD134" s="121">
        <v>0</v>
      </c>
      <c r="AE134" s="121">
        <v>0</v>
      </c>
      <c r="AF134" s="121">
        <v>0</v>
      </c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141</v>
      </c>
      <c r="B135" t="s">
        <v>142</v>
      </c>
      <c r="C135">
        <v>12</v>
      </c>
      <c r="D135" t="s">
        <v>38</v>
      </c>
      <c r="E135" s="14">
        <v>-18600</v>
      </c>
      <c r="F135" s="14">
        <v>-42180.15</v>
      </c>
      <c r="G135" s="124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>
        <v>0</v>
      </c>
      <c r="AB135" s="121">
        <v>0</v>
      </c>
      <c r="AC135" s="121">
        <v>0</v>
      </c>
      <c r="AD135" s="121">
        <v>0</v>
      </c>
      <c r="AE135" s="121">
        <v>0</v>
      </c>
      <c r="AF135" s="121">
        <v>0</v>
      </c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141</v>
      </c>
      <c r="B136" t="s">
        <v>142</v>
      </c>
      <c r="C136">
        <v>13</v>
      </c>
      <c r="D136" t="s">
        <v>41</v>
      </c>
      <c r="E136" s="14">
        <v>105792</v>
      </c>
      <c r="F136" s="14">
        <v>239724.67</v>
      </c>
      <c r="G136" s="124">
        <v>-138715</v>
      </c>
      <c r="H136" s="121">
        <v>-310897.61</v>
      </c>
      <c r="I136" s="124">
        <v>21442</v>
      </c>
      <c r="J136" s="121">
        <v>47729.89</v>
      </c>
      <c r="K136" s="121">
        <v>-41689</v>
      </c>
      <c r="L136" s="121">
        <v>-62514.272000000004</v>
      </c>
      <c r="M136" s="121">
        <v>-20905</v>
      </c>
      <c r="N136" s="121">
        <v>-90770.559999999998</v>
      </c>
      <c r="O136" s="121">
        <v>29777</v>
      </c>
      <c r="P136" s="121">
        <v>79779.13</v>
      </c>
      <c r="Q136" s="121">
        <v>-213605</v>
      </c>
      <c r="R136" s="121">
        <v>-484548.54</v>
      </c>
      <c r="S136" s="121">
        <v>-2018</v>
      </c>
      <c r="T136" s="121">
        <v>-4572.7879999999996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>
        <v>0</v>
      </c>
      <c r="AB136" s="121">
        <v>0</v>
      </c>
      <c r="AC136" s="121">
        <v>0</v>
      </c>
      <c r="AD136" s="121">
        <v>0</v>
      </c>
      <c r="AE136" s="121">
        <v>0</v>
      </c>
      <c r="AF136" s="121">
        <v>0</v>
      </c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141</v>
      </c>
      <c r="B137" t="s">
        <v>142</v>
      </c>
      <c r="C137">
        <v>14</v>
      </c>
      <c r="D137" t="s">
        <v>42</v>
      </c>
      <c r="E137" s="14">
        <v>0</v>
      </c>
      <c r="F137" s="14">
        <v>0</v>
      </c>
      <c r="G137" s="124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-1908</v>
      </c>
      <c r="P137" s="121">
        <v>-5784.87</v>
      </c>
      <c r="Q137" s="121">
        <v>0</v>
      </c>
      <c r="R137" s="121">
        <v>0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>
        <v>0</v>
      </c>
      <c r="AB137" s="121">
        <v>0</v>
      </c>
      <c r="AC137" s="121">
        <v>0</v>
      </c>
      <c r="AD137" s="121">
        <v>0</v>
      </c>
      <c r="AE137" s="121">
        <v>0</v>
      </c>
      <c r="AF137" s="121">
        <v>0</v>
      </c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141</v>
      </c>
      <c r="B138" t="s">
        <v>142</v>
      </c>
      <c r="C138">
        <v>15</v>
      </c>
      <c r="D138" t="s">
        <v>43</v>
      </c>
      <c r="E138" s="14">
        <v>0</v>
      </c>
      <c r="F138" s="14">
        <v>0</v>
      </c>
      <c r="G138" s="124">
        <v>0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0</v>
      </c>
      <c r="R138" s="121">
        <v>0</v>
      </c>
      <c r="S138" s="121">
        <v>1041</v>
      </c>
      <c r="T138" s="121">
        <v>2311.85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>
        <v>0</v>
      </c>
      <c r="AB138" s="121">
        <v>0</v>
      </c>
      <c r="AC138" s="121">
        <v>0</v>
      </c>
      <c r="AD138" s="121">
        <v>0</v>
      </c>
      <c r="AE138" s="121">
        <v>0</v>
      </c>
      <c r="AF138" s="121">
        <v>0</v>
      </c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141</v>
      </c>
      <c r="B139" t="s">
        <v>142</v>
      </c>
      <c r="C139">
        <v>16</v>
      </c>
      <c r="D139" t="s">
        <v>44</v>
      </c>
      <c r="E139" s="14">
        <v>0</v>
      </c>
      <c r="F139" s="14">
        <v>-0.01</v>
      </c>
      <c r="G139" s="124">
        <v>0</v>
      </c>
      <c r="H139" s="121">
        <v>0</v>
      </c>
      <c r="I139" s="124">
        <v>218793</v>
      </c>
      <c r="J139" s="121">
        <v>0</v>
      </c>
      <c r="K139" s="121">
        <v>-218793</v>
      </c>
      <c r="L139" s="121">
        <v>-0.01</v>
      </c>
      <c r="M139" s="121">
        <v>0</v>
      </c>
      <c r="N139" s="121">
        <v>0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>
        <v>0</v>
      </c>
      <c r="AB139" s="121">
        <v>0</v>
      </c>
      <c r="AC139" s="121">
        <v>0</v>
      </c>
      <c r="AD139" s="121">
        <v>0</v>
      </c>
      <c r="AE139" s="121">
        <v>0</v>
      </c>
      <c r="AF139" s="121">
        <v>0</v>
      </c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141</v>
      </c>
      <c r="B140" t="s">
        <v>142</v>
      </c>
      <c r="C140">
        <v>17</v>
      </c>
      <c r="D140" t="s">
        <v>127</v>
      </c>
      <c r="E140" s="14">
        <v>13907</v>
      </c>
      <c r="F140" s="14">
        <v>31513.26</v>
      </c>
      <c r="G140" s="124">
        <v>12233</v>
      </c>
      <c r="H140" s="121">
        <v>27719.98</v>
      </c>
      <c r="I140" s="124">
        <v>64882</v>
      </c>
      <c r="J140" s="121">
        <v>147022.60999999999</v>
      </c>
      <c r="K140" s="121">
        <v>4474</v>
      </c>
      <c r="L140" s="121">
        <v>10138.08</v>
      </c>
      <c r="M140" s="121">
        <v>-8948</v>
      </c>
      <c r="N140" s="121">
        <v>-20276.16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>
        <v>0</v>
      </c>
      <c r="AB140" s="121">
        <v>0</v>
      </c>
      <c r="AC140" s="121">
        <v>2260</v>
      </c>
      <c r="AD140" s="121">
        <v>17157.7</v>
      </c>
      <c r="AE140" s="121">
        <v>0</v>
      </c>
      <c r="AF140" s="121">
        <v>0</v>
      </c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141</v>
      </c>
      <c r="B141" t="s">
        <v>142</v>
      </c>
      <c r="C141">
        <v>18</v>
      </c>
      <c r="D141" t="s">
        <v>128</v>
      </c>
      <c r="E141" s="14">
        <v>-871</v>
      </c>
      <c r="F141" s="14">
        <v>-1973.69</v>
      </c>
      <c r="G141" s="124">
        <v>882</v>
      </c>
      <c r="H141" s="121">
        <v>1998.62</v>
      </c>
      <c r="I141" s="124">
        <v>0</v>
      </c>
      <c r="J141" s="121">
        <v>0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>
        <v>0</v>
      </c>
      <c r="AB141" s="121">
        <v>0</v>
      </c>
      <c r="AC141" s="121">
        <v>0</v>
      </c>
      <c r="AD141" s="121">
        <v>0</v>
      </c>
      <c r="AE141" s="121">
        <v>0</v>
      </c>
      <c r="AF141" s="121">
        <v>0</v>
      </c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141</v>
      </c>
      <c r="B142" t="s">
        <v>142</v>
      </c>
      <c r="C142">
        <v>19</v>
      </c>
      <c r="D142" t="s">
        <v>49</v>
      </c>
      <c r="E142" s="14">
        <v>0</v>
      </c>
      <c r="F142" s="14">
        <v>0</v>
      </c>
      <c r="G142" s="124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>
        <v>0</v>
      </c>
      <c r="AB142" s="121">
        <v>0</v>
      </c>
      <c r="AC142" s="121">
        <v>0</v>
      </c>
      <c r="AD142" s="121">
        <v>0</v>
      </c>
      <c r="AE142" s="121">
        <v>0</v>
      </c>
      <c r="AF142" s="121">
        <v>0</v>
      </c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141</v>
      </c>
      <c r="B143" t="s">
        <v>142</v>
      </c>
      <c r="C143">
        <v>20</v>
      </c>
      <c r="D143" t="s">
        <v>129</v>
      </c>
      <c r="E143" s="14">
        <v>0</v>
      </c>
      <c r="F143" s="14">
        <v>0</v>
      </c>
      <c r="G143" s="124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>
        <v>0</v>
      </c>
      <c r="AB143" s="121">
        <v>0</v>
      </c>
      <c r="AC143" s="121">
        <v>0</v>
      </c>
      <c r="AD143" s="121">
        <v>0</v>
      </c>
      <c r="AE143" s="121">
        <v>0</v>
      </c>
      <c r="AF143" s="121">
        <v>0</v>
      </c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141</v>
      </c>
      <c r="B144" t="s">
        <v>142</v>
      </c>
      <c r="C144">
        <v>21</v>
      </c>
      <c r="D144" t="s">
        <v>130</v>
      </c>
      <c r="E144" s="14">
        <v>0</v>
      </c>
      <c r="F144" s="14">
        <v>0</v>
      </c>
      <c r="G144" s="124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>
        <v>0</v>
      </c>
      <c r="AB144" s="121">
        <v>0</v>
      </c>
      <c r="AC144" s="121">
        <v>0</v>
      </c>
      <c r="AD144" s="121">
        <v>0</v>
      </c>
      <c r="AE144" s="121">
        <v>0</v>
      </c>
      <c r="AF144" s="121">
        <v>0</v>
      </c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141</v>
      </c>
      <c r="B145" t="s">
        <v>142</v>
      </c>
      <c r="C145">
        <v>22</v>
      </c>
      <c r="D145" t="s">
        <v>131</v>
      </c>
      <c r="E145" s="14">
        <v>1454008</v>
      </c>
      <c r="F145" s="14">
        <v>3294782.128</v>
      </c>
      <c r="G145" s="124">
        <v>-1843374</v>
      </c>
      <c r="H145" s="121">
        <v>-4177085.4840000002</v>
      </c>
      <c r="I145" s="124">
        <v>-667412</v>
      </c>
      <c r="J145" s="121">
        <v>-1512355.5919999999</v>
      </c>
      <c r="K145" s="121">
        <v>236553</v>
      </c>
      <c r="L145" s="121">
        <v>536029.098</v>
      </c>
      <c r="M145" s="121">
        <v>30747</v>
      </c>
      <c r="N145" s="121">
        <v>69672.702000000005</v>
      </c>
      <c r="O145" s="121">
        <v>-7961</v>
      </c>
      <c r="P145" s="121">
        <v>-18039.626</v>
      </c>
      <c r="Q145" s="121">
        <v>211392</v>
      </c>
      <c r="R145" s="121">
        <v>479014.272</v>
      </c>
      <c r="S145" s="121">
        <v>251136</v>
      </c>
      <c r="T145" s="121">
        <v>569074.17599999998</v>
      </c>
      <c r="U145" s="121">
        <v>0</v>
      </c>
      <c r="V145" s="121">
        <v>0</v>
      </c>
      <c r="W145" s="121">
        <v>0</v>
      </c>
      <c r="X145" s="121">
        <v>0</v>
      </c>
      <c r="Y145" s="121">
        <v>0</v>
      </c>
      <c r="Z145" s="121">
        <v>0</v>
      </c>
      <c r="AA145" s="121">
        <v>0</v>
      </c>
      <c r="AB145" s="121">
        <v>0</v>
      </c>
      <c r="AC145" s="121">
        <v>-2260</v>
      </c>
      <c r="AD145" s="121">
        <v>-5324.56</v>
      </c>
      <c r="AE145" s="121">
        <v>0</v>
      </c>
      <c r="AF145" s="121">
        <v>0</v>
      </c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141</v>
      </c>
      <c r="B146" t="s">
        <v>142</v>
      </c>
      <c r="C146">
        <v>23</v>
      </c>
      <c r="D146" t="s">
        <v>132</v>
      </c>
      <c r="E146" s="14">
        <v>-540180</v>
      </c>
      <c r="F146" s="14">
        <v>-1224047.8799999999</v>
      </c>
      <c r="G146" s="124">
        <v>-18158</v>
      </c>
      <c r="H146" s="121">
        <v>-41146.03</v>
      </c>
      <c r="I146" s="124">
        <v>5231</v>
      </c>
      <c r="J146" s="121">
        <v>11853.45</v>
      </c>
      <c r="K146" s="121">
        <v>258</v>
      </c>
      <c r="L146" s="121">
        <v>584.62800000000004</v>
      </c>
      <c r="M146" s="121">
        <v>0</v>
      </c>
      <c r="N146" s="121">
        <v>0</v>
      </c>
      <c r="O146" s="121">
        <v>-229</v>
      </c>
      <c r="P146" s="121">
        <v>-518.91399999999999</v>
      </c>
      <c r="Q146" s="121">
        <v>-17</v>
      </c>
      <c r="R146" s="121">
        <v>-38.521999999999998</v>
      </c>
      <c r="S146" s="121">
        <v>552</v>
      </c>
      <c r="T146" s="121">
        <v>1250.8320000000001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>
        <v>0</v>
      </c>
      <c r="AB146" s="121">
        <v>0</v>
      </c>
      <c r="AC146" s="121">
        <v>0</v>
      </c>
      <c r="AD146" s="121">
        <v>0</v>
      </c>
      <c r="AE146" s="121">
        <v>0</v>
      </c>
      <c r="AF146" s="121">
        <v>0</v>
      </c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141</v>
      </c>
      <c r="B147" t="s">
        <v>142</v>
      </c>
      <c r="C147">
        <v>24</v>
      </c>
      <c r="D147" t="s">
        <v>57</v>
      </c>
      <c r="E147" s="14">
        <v>-21698185</v>
      </c>
      <c r="F147" s="14">
        <v>-1999784.65</v>
      </c>
      <c r="G147" s="124">
        <v>-5384737</v>
      </c>
      <c r="H147" s="121">
        <v>-1533870.19</v>
      </c>
      <c r="I147" s="124">
        <v>2613979</v>
      </c>
      <c r="J147" s="121">
        <v>415553.88</v>
      </c>
      <c r="K147" s="121">
        <v>-5294976</v>
      </c>
      <c r="L147" s="121">
        <v>-85062.23</v>
      </c>
      <c r="M147" s="121">
        <v>2195988</v>
      </c>
      <c r="N147" s="121">
        <v>68495.09</v>
      </c>
      <c r="O147" s="121">
        <v>102814</v>
      </c>
      <c r="P147" s="121">
        <v>19027.04</v>
      </c>
      <c r="Q147" s="121">
        <v>1569</v>
      </c>
      <c r="R147" s="121">
        <v>-5115.9399999999996</v>
      </c>
      <c r="S147" s="121">
        <v>20206</v>
      </c>
      <c r="T147" s="121">
        <v>1772.43</v>
      </c>
      <c r="U147" s="121">
        <v>0</v>
      </c>
      <c r="V147" s="121">
        <v>0</v>
      </c>
      <c r="W147" s="121">
        <v>0</v>
      </c>
      <c r="X147" s="121">
        <v>0</v>
      </c>
      <c r="Y147" s="121">
        <v>0</v>
      </c>
      <c r="Z147" s="121">
        <v>0</v>
      </c>
      <c r="AA147" s="121">
        <v>0</v>
      </c>
      <c r="AB147" s="121">
        <v>0</v>
      </c>
      <c r="AC147" s="121">
        <v>0</v>
      </c>
      <c r="AD147" s="121">
        <v>0</v>
      </c>
      <c r="AE147" s="121">
        <v>0</v>
      </c>
      <c r="AF147" s="121">
        <v>0</v>
      </c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141</v>
      </c>
      <c r="B148" t="s">
        <v>142</v>
      </c>
      <c r="C148">
        <v>25</v>
      </c>
      <c r="D148" t="s">
        <v>58</v>
      </c>
      <c r="E148" s="14">
        <v>0</v>
      </c>
      <c r="F148" s="14">
        <v>-11085.06</v>
      </c>
      <c r="G148" s="124">
        <v>0</v>
      </c>
      <c r="H148" s="121">
        <v>-1111557.54</v>
      </c>
      <c r="I148" s="124">
        <v>0</v>
      </c>
      <c r="J148" s="121">
        <v>0</v>
      </c>
      <c r="K148" s="121">
        <v>0</v>
      </c>
      <c r="L148" s="121">
        <v>0</v>
      </c>
      <c r="M148" s="121">
        <v>0</v>
      </c>
      <c r="N148" s="121">
        <v>17475</v>
      </c>
      <c r="O148" s="121">
        <v>0</v>
      </c>
      <c r="P148" s="121">
        <v>-45725</v>
      </c>
      <c r="Q148" s="121">
        <v>0</v>
      </c>
      <c r="R148" s="121">
        <v>45973.98</v>
      </c>
      <c r="S148" s="121">
        <v>0</v>
      </c>
      <c r="T148" s="121">
        <v>-3298.37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>
        <v>0</v>
      </c>
      <c r="AB148" s="121">
        <v>0</v>
      </c>
      <c r="AC148" s="121">
        <v>0</v>
      </c>
      <c r="AD148" s="121">
        <v>0</v>
      </c>
      <c r="AE148" s="121">
        <v>0</v>
      </c>
      <c r="AF148" s="121">
        <v>0</v>
      </c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141</v>
      </c>
      <c r="B149" t="s">
        <v>142</v>
      </c>
      <c r="C149">
        <v>26</v>
      </c>
      <c r="D149" t="s">
        <v>133</v>
      </c>
      <c r="E149" s="14">
        <v>0</v>
      </c>
      <c r="F149" s="14">
        <v>0</v>
      </c>
      <c r="G149" s="124">
        <v>0</v>
      </c>
      <c r="H149" s="121">
        <v>-8137.5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>
        <v>0</v>
      </c>
      <c r="AB149" s="121">
        <v>0</v>
      </c>
      <c r="AC149" s="121">
        <v>0</v>
      </c>
      <c r="AD149" s="121">
        <v>0</v>
      </c>
      <c r="AE149" s="121">
        <v>0</v>
      </c>
      <c r="AF149" s="121">
        <v>0</v>
      </c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141</v>
      </c>
      <c r="B150" t="s">
        <v>142</v>
      </c>
      <c r="C150">
        <v>27</v>
      </c>
      <c r="D150" t="s">
        <v>134</v>
      </c>
      <c r="E150" s="14">
        <v>0</v>
      </c>
      <c r="F150" s="14">
        <v>0</v>
      </c>
      <c r="G150" s="124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>
        <v>0</v>
      </c>
      <c r="AB150" s="121">
        <v>0</v>
      </c>
      <c r="AC150" s="121">
        <v>0</v>
      </c>
      <c r="AD150" s="121">
        <v>0</v>
      </c>
      <c r="AE150" s="121">
        <v>0</v>
      </c>
      <c r="AF150" s="121">
        <v>0</v>
      </c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141</v>
      </c>
      <c r="B151" t="s">
        <v>142</v>
      </c>
      <c r="C151">
        <v>28</v>
      </c>
      <c r="D151" t="s">
        <v>135</v>
      </c>
      <c r="E151" s="14">
        <v>0</v>
      </c>
      <c r="F151" s="14">
        <v>0</v>
      </c>
      <c r="G151" s="124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>
        <v>0</v>
      </c>
      <c r="AB151" s="121">
        <v>0</v>
      </c>
      <c r="AC151" s="121">
        <v>0</v>
      </c>
      <c r="AD151" s="121">
        <v>0</v>
      </c>
      <c r="AE151" s="121">
        <v>0</v>
      </c>
      <c r="AF151" s="121">
        <v>0</v>
      </c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141</v>
      </c>
      <c r="B152" t="s">
        <v>142</v>
      </c>
      <c r="C152">
        <v>29</v>
      </c>
      <c r="D152" t="s">
        <v>136</v>
      </c>
      <c r="E152" s="14">
        <v>0</v>
      </c>
      <c r="F152" s="14">
        <v>0</v>
      </c>
      <c r="G152" s="124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>
        <v>0</v>
      </c>
      <c r="AB152" s="121">
        <v>0</v>
      </c>
      <c r="AC152" s="121">
        <v>0</v>
      </c>
      <c r="AD152" s="121">
        <v>0</v>
      </c>
      <c r="AE152" s="121">
        <v>0</v>
      </c>
      <c r="AF152" s="121">
        <v>0</v>
      </c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141</v>
      </c>
      <c r="B153" t="s">
        <v>142</v>
      </c>
      <c r="C153">
        <v>30</v>
      </c>
      <c r="D153" t="s">
        <v>137</v>
      </c>
      <c r="E153" s="14">
        <v>0</v>
      </c>
      <c r="F153" s="14">
        <v>0</v>
      </c>
      <c r="G153" s="124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>
        <v>0</v>
      </c>
      <c r="AB153" s="121">
        <v>0</v>
      </c>
      <c r="AC153" s="121">
        <v>0</v>
      </c>
      <c r="AD153" s="121">
        <v>0</v>
      </c>
      <c r="AE153" s="121">
        <v>0</v>
      </c>
      <c r="AF153" s="121">
        <v>0</v>
      </c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141</v>
      </c>
      <c r="B154" t="s">
        <v>142</v>
      </c>
      <c r="C154">
        <v>31</v>
      </c>
      <c r="D154" t="s">
        <v>138</v>
      </c>
      <c r="E154" s="14">
        <v>0</v>
      </c>
      <c r="F154" s="14">
        <v>0</v>
      </c>
      <c r="G154" s="124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>
        <v>0</v>
      </c>
      <c r="AB154" s="121">
        <v>0</v>
      </c>
      <c r="AC154" s="121">
        <v>0</v>
      </c>
      <c r="AD154" s="121">
        <v>0</v>
      </c>
      <c r="AE154" s="121">
        <v>0</v>
      </c>
      <c r="AF154" s="121">
        <v>0</v>
      </c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141</v>
      </c>
      <c r="B155" t="s">
        <v>142</v>
      </c>
      <c r="C155">
        <v>32</v>
      </c>
      <c r="D155" t="s">
        <v>72</v>
      </c>
      <c r="E155" s="14">
        <v>0</v>
      </c>
      <c r="F155" s="14">
        <v>0</v>
      </c>
      <c r="G155" s="124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>
        <v>0</v>
      </c>
      <c r="AB155" s="121">
        <v>0</v>
      </c>
      <c r="AC155" s="121">
        <v>0</v>
      </c>
      <c r="AD155" s="121">
        <v>0</v>
      </c>
      <c r="AE155" s="121">
        <v>0</v>
      </c>
      <c r="AF155" s="121">
        <v>0</v>
      </c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141</v>
      </c>
      <c r="B156" t="s">
        <v>142</v>
      </c>
      <c r="C156">
        <v>33</v>
      </c>
      <c r="D156" t="s">
        <v>73</v>
      </c>
      <c r="E156" s="14">
        <v>0</v>
      </c>
      <c r="F156" s="14">
        <v>0</v>
      </c>
      <c r="G156" s="124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>
        <v>0</v>
      </c>
      <c r="AB156" s="121">
        <v>0</v>
      </c>
      <c r="AC156" s="121">
        <v>0</v>
      </c>
      <c r="AD156" s="121">
        <v>0</v>
      </c>
      <c r="AE156" s="121">
        <v>0</v>
      </c>
      <c r="AF156" s="121">
        <v>0</v>
      </c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141</v>
      </c>
      <c r="B157" t="s">
        <v>142</v>
      </c>
      <c r="C157">
        <v>34</v>
      </c>
      <c r="D157" t="s">
        <v>74</v>
      </c>
      <c r="E157" s="14">
        <v>0</v>
      </c>
      <c r="F157" s="14">
        <v>0</v>
      </c>
      <c r="G157" s="124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>
        <v>0</v>
      </c>
      <c r="AB157" s="121">
        <v>0</v>
      </c>
      <c r="AC157" s="121">
        <v>0</v>
      </c>
      <c r="AD157" s="121">
        <v>0</v>
      </c>
      <c r="AE157" s="121">
        <v>0</v>
      </c>
      <c r="AF157" s="121">
        <v>0</v>
      </c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141</v>
      </c>
      <c r="B158" t="s">
        <v>142</v>
      </c>
      <c r="C158">
        <v>35</v>
      </c>
      <c r="D158" t="s">
        <v>75</v>
      </c>
      <c r="E158" s="14">
        <v>0</v>
      </c>
      <c r="F158" s="14">
        <v>-10536.98</v>
      </c>
      <c r="G158" s="124">
        <v>0</v>
      </c>
      <c r="H158" s="121">
        <v>-18241.62</v>
      </c>
      <c r="I158" s="124">
        <v>0</v>
      </c>
      <c r="J158" s="121">
        <v>184.5</v>
      </c>
      <c r="K158" s="121">
        <v>0</v>
      </c>
      <c r="L158" s="121">
        <v>0</v>
      </c>
      <c r="M158" s="121">
        <v>0</v>
      </c>
      <c r="N158" s="121">
        <v>18393.62</v>
      </c>
      <c r="O158" s="121">
        <v>0</v>
      </c>
      <c r="P158" s="121">
        <v>0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>
        <v>0</v>
      </c>
      <c r="AB158" s="121">
        <v>0</v>
      </c>
      <c r="AC158" s="121">
        <v>0</v>
      </c>
      <c r="AD158" s="121">
        <v>0</v>
      </c>
      <c r="AE158" s="121">
        <v>0</v>
      </c>
      <c r="AF158" s="121">
        <v>0</v>
      </c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141</v>
      </c>
      <c r="B159" t="s">
        <v>142</v>
      </c>
      <c r="C159">
        <v>36</v>
      </c>
      <c r="D159" t="s">
        <v>76</v>
      </c>
      <c r="E159" s="14">
        <v>0</v>
      </c>
      <c r="F159" s="14">
        <v>0</v>
      </c>
      <c r="G159" s="124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>
        <v>0</v>
      </c>
      <c r="AB159" s="121">
        <v>0</v>
      </c>
      <c r="AC159" s="121">
        <v>0</v>
      </c>
      <c r="AD159" s="121">
        <v>0</v>
      </c>
      <c r="AE159" s="121">
        <v>0</v>
      </c>
      <c r="AF159" s="121">
        <v>0</v>
      </c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141</v>
      </c>
      <c r="B160" t="s">
        <v>142</v>
      </c>
      <c r="C160">
        <v>37</v>
      </c>
      <c r="D160" t="s">
        <v>77</v>
      </c>
      <c r="E160" s="14">
        <v>0</v>
      </c>
      <c r="F160" s="14">
        <v>0</v>
      </c>
      <c r="G160" s="124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>
        <v>0</v>
      </c>
      <c r="AB160" s="121">
        <v>0</v>
      </c>
      <c r="AC160" s="121">
        <v>0</v>
      </c>
      <c r="AD160" s="121">
        <v>0</v>
      </c>
      <c r="AE160" s="121">
        <v>0</v>
      </c>
      <c r="AF160" s="121">
        <v>0</v>
      </c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141</v>
      </c>
      <c r="B161" t="s">
        <v>142</v>
      </c>
      <c r="C161">
        <v>38</v>
      </c>
      <c r="D161" t="s">
        <v>78</v>
      </c>
      <c r="E161" s="14">
        <v>0</v>
      </c>
      <c r="F161" s="14">
        <v>0</v>
      </c>
      <c r="G161" s="124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>
        <v>0</v>
      </c>
      <c r="AB161" s="121">
        <v>0</v>
      </c>
      <c r="AC161" s="121">
        <v>0</v>
      </c>
      <c r="AD161" s="121">
        <v>0</v>
      </c>
      <c r="AE161" s="121">
        <v>0</v>
      </c>
      <c r="AF161" s="121">
        <v>0</v>
      </c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141</v>
      </c>
      <c r="B162" t="s">
        <v>142</v>
      </c>
      <c r="C162">
        <v>39</v>
      </c>
      <c r="D162" t="s">
        <v>79</v>
      </c>
      <c r="E162" s="14">
        <v>0</v>
      </c>
      <c r="F162" s="14">
        <v>0</v>
      </c>
      <c r="G162" s="124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>
        <v>0</v>
      </c>
      <c r="AB162" s="121">
        <v>0</v>
      </c>
      <c r="AC162" s="121">
        <v>0</v>
      </c>
      <c r="AD162" s="121">
        <v>0</v>
      </c>
      <c r="AE162" s="121">
        <v>0</v>
      </c>
      <c r="AF162" s="121">
        <v>0</v>
      </c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141</v>
      </c>
      <c r="B163" t="s">
        <v>142</v>
      </c>
      <c r="C163">
        <v>40</v>
      </c>
      <c r="D163" t="s">
        <v>80</v>
      </c>
      <c r="E163" s="14">
        <v>0</v>
      </c>
      <c r="F163" s="14">
        <v>0</v>
      </c>
      <c r="G163" s="124">
        <v>0</v>
      </c>
      <c r="H163" s="121">
        <v>0</v>
      </c>
      <c r="I163" s="124">
        <v>0</v>
      </c>
      <c r="J163" s="121">
        <v>0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>
        <v>0</v>
      </c>
      <c r="AB163" s="121">
        <v>0</v>
      </c>
      <c r="AC163" s="121">
        <v>0</v>
      </c>
      <c r="AD163" s="121">
        <v>0</v>
      </c>
      <c r="AE163" s="121">
        <v>0</v>
      </c>
      <c r="AF163" s="121">
        <v>0</v>
      </c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141</v>
      </c>
      <c r="B164" t="s">
        <v>143</v>
      </c>
      <c r="C164">
        <v>1</v>
      </c>
      <c r="D164" t="s">
        <v>27</v>
      </c>
      <c r="E164" s="14">
        <v>85051560</v>
      </c>
      <c r="F164" s="14">
        <v>201168861.69999999</v>
      </c>
      <c r="G164" s="124">
        <v>-279996</v>
      </c>
      <c r="H164" s="121">
        <v>19125174.07</v>
      </c>
      <c r="I164" s="124">
        <v>-3918</v>
      </c>
      <c r="J164" s="121">
        <v>627343.05000000005</v>
      </c>
      <c r="K164" s="121">
        <v>0</v>
      </c>
      <c r="L164" s="121">
        <v>276260.31</v>
      </c>
      <c r="M164" s="121">
        <v>0</v>
      </c>
      <c r="N164" s="121">
        <v>-74</v>
      </c>
      <c r="O164" s="121">
        <v>445466</v>
      </c>
      <c r="P164" s="121">
        <v>-13611673.25</v>
      </c>
      <c r="Q164" s="121">
        <v>0</v>
      </c>
      <c r="R164" s="121">
        <v>0</v>
      </c>
      <c r="S164" s="121">
        <v>0</v>
      </c>
      <c r="T164" s="121">
        <v>0</v>
      </c>
      <c r="U164" s="121">
        <v>-2</v>
      </c>
      <c r="V164" s="121">
        <v>15325.1</v>
      </c>
      <c r="W164" s="121">
        <v>25035</v>
      </c>
      <c r="X164" s="121">
        <v>58936.75</v>
      </c>
      <c r="Y164" s="121">
        <v>0</v>
      </c>
      <c r="Z164" s="121">
        <v>0</v>
      </c>
      <c r="AA164" s="121">
        <v>-454</v>
      </c>
      <c r="AB164" s="121">
        <v>-869.44</v>
      </c>
      <c r="AC164" s="121">
        <v>0</v>
      </c>
      <c r="AD164" s="121">
        <v>0</v>
      </c>
      <c r="AE164" s="121">
        <v>0</v>
      </c>
      <c r="AF164" s="121">
        <v>0</v>
      </c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141</v>
      </c>
      <c r="B165" t="s">
        <v>143</v>
      </c>
      <c r="C165">
        <v>2</v>
      </c>
      <c r="D165" t="s">
        <v>28</v>
      </c>
      <c r="E165" s="14">
        <v>0</v>
      </c>
      <c r="F165" s="14">
        <v>0</v>
      </c>
      <c r="G165" s="124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>
        <v>0</v>
      </c>
      <c r="AB165" s="121">
        <v>0</v>
      </c>
      <c r="AC165" s="121">
        <v>0</v>
      </c>
      <c r="AD165" s="121">
        <v>0</v>
      </c>
      <c r="AE165" s="121">
        <v>0</v>
      </c>
      <c r="AF165" s="121">
        <v>0</v>
      </c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141</v>
      </c>
      <c r="B166" t="s">
        <v>143</v>
      </c>
      <c r="C166">
        <v>3</v>
      </c>
      <c r="D166" t="s">
        <v>29</v>
      </c>
      <c r="E166" s="14">
        <v>48098747</v>
      </c>
      <c r="F166" s="14">
        <v>110384760</v>
      </c>
      <c r="G166" s="124">
        <v>-77304</v>
      </c>
      <c r="H166" s="121">
        <v>-170702</v>
      </c>
      <c r="I166" s="124">
        <v>0</v>
      </c>
      <c r="J166" s="121">
        <v>0</v>
      </c>
      <c r="K166" s="121">
        <v>0</v>
      </c>
      <c r="L166" s="121">
        <v>0</v>
      </c>
      <c r="M166" s="121">
        <v>0</v>
      </c>
      <c r="N166" s="121">
        <v>0</v>
      </c>
      <c r="O166" s="121">
        <v>384967</v>
      </c>
      <c r="P166" s="121">
        <v>843693</v>
      </c>
      <c r="Q166" s="121">
        <v>545699</v>
      </c>
      <c r="R166" s="121">
        <v>1199034</v>
      </c>
      <c r="S166" s="121">
        <v>-853362</v>
      </c>
      <c r="T166" s="121">
        <v>-1872025</v>
      </c>
      <c r="U166" s="121">
        <v>3135829</v>
      </c>
      <c r="V166" s="121">
        <v>7121511</v>
      </c>
      <c r="W166" s="121">
        <v>0</v>
      </c>
      <c r="X166" s="121">
        <v>0</v>
      </c>
      <c r="Y166" s="121">
        <v>-3135829</v>
      </c>
      <c r="Z166" s="121">
        <v>-7121511</v>
      </c>
      <c r="AA166" s="121">
        <v>0</v>
      </c>
      <c r="AB166" s="121">
        <v>0</v>
      </c>
      <c r="AC166" s="121">
        <v>0</v>
      </c>
      <c r="AD166" s="121">
        <v>0</v>
      </c>
      <c r="AE166" s="121">
        <v>0</v>
      </c>
      <c r="AF166" s="121">
        <v>0</v>
      </c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141</v>
      </c>
      <c r="B167" t="s">
        <v>143</v>
      </c>
      <c r="C167">
        <v>4</v>
      </c>
      <c r="D167" t="s">
        <v>30</v>
      </c>
      <c r="E167" s="14">
        <v>0</v>
      </c>
      <c r="F167" s="14">
        <v>0</v>
      </c>
      <c r="G167" s="124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>
        <v>0</v>
      </c>
      <c r="AB167" s="121">
        <v>0</v>
      </c>
      <c r="AC167" s="121">
        <v>0</v>
      </c>
      <c r="AD167" s="121">
        <v>0</v>
      </c>
      <c r="AE167" s="121">
        <v>0</v>
      </c>
      <c r="AF167" s="121">
        <v>0</v>
      </c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141</v>
      </c>
      <c r="B168" t="s">
        <v>143</v>
      </c>
      <c r="C168">
        <v>5</v>
      </c>
      <c r="D168" t="s">
        <v>126</v>
      </c>
      <c r="E168" s="14">
        <v>0</v>
      </c>
      <c r="F168" s="14">
        <v>0</v>
      </c>
      <c r="G168" s="124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0</v>
      </c>
      <c r="W168" s="121">
        <v>0</v>
      </c>
      <c r="X168" s="121">
        <v>3</v>
      </c>
      <c r="Y168" s="121">
        <v>0</v>
      </c>
      <c r="Z168" s="121">
        <v>0</v>
      </c>
      <c r="AA168" s="121">
        <v>0</v>
      </c>
      <c r="AB168" s="121">
        <v>0</v>
      </c>
      <c r="AC168" s="121">
        <v>0</v>
      </c>
      <c r="AD168" s="121">
        <v>0</v>
      </c>
      <c r="AE168" s="121">
        <v>0</v>
      </c>
      <c r="AF168" s="121">
        <v>0</v>
      </c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141</v>
      </c>
      <c r="B169" t="s">
        <v>143</v>
      </c>
      <c r="C169">
        <v>6</v>
      </c>
      <c r="D169" t="s">
        <v>27</v>
      </c>
      <c r="E169" s="14">
        <v>-97232704</v>
      </c>
      <c r="F169" s="14">
        <v>-223386900.94</v>
      </c>
      <c r="G169" s="124">
        <v>-702262</v>
      </c>
      <c r="H169" s="121">
        <v>-4216276.3600000003</v>
      </c>
      <c r="I169" s="124">
        <v>-141326</v>
      </c>
      <c r="J169" s="121">
        <v>-283178.55</v>
      </c>
      <c r="K169" s="121">
        <v>543109</v>
      </c>
      <c r="L169" s="121">
        <v>1303481.8600000001</v>
      </c>
      <c r="M169" s="121">
        <v>-1127</v>
      </c>
      <c r="N169" s="121">
        <v>-2813.43</v>
      </c>
      <c r="O169" s="121">
        <v>5858506</v>
      </c>
      <c r="P169" s="121">
        <v>11859393.890000001</v>
      </c>
      <c r="Q169" s="121">
        <v>0</v>
      </c>
      <c r="R169" s="121">
        <v>0</v>
      </c>
      <c r="S169" s="121">
        <v>0</v>
      </c>
      <c r="T169" s="121">
        <v>0</v>
      </c>
      <c r="U169" s="121">
        <v>2203</v>
      </c>
      <c r="V169" s="121">
        <v>1729.33</v>
      </c>
      <c r="W169" s="121">
        <v>0</v>
      </c>
      <c r="X169" s="121">
        <v>0.28999999999999998</v>
      </c>
      <c r="Y169" s="121">
        <v>-140</v>
      </c>
      <c r="Z169" s="121">
        <v>-1588.04</v>
      </c>
      <c r="AA169" s="121">
        <v>484</v>
      </c>
      <c r="AB169" s="121">
        <v>892.73</v>
      </c>
      <c r="AC169" s="121">
        <v>0</v>
      </c>
      <c r="AD169" s="121">
        <v>0</v>
      </c>
      <c r="AE169" s="121">
        <v>0</v>
      </c>
      <c r="AF169" s="121">
        <v>0</v>
      </c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141</v>
      </c>
      <c r="B170" t="s">
        <v>143</v>
      </c>
      <c r="C170">
        <v>7</v>
      </c>
      <c r="D170" t="s">
        <v>28</v>
      </c>
      <c r="E170" s="14">
        <v>0</v>
      </c>
      <c r="F170" s="14">
        <v>0</v>
      </c>
      <c r="G170" s="124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>
        <v>0</v>
      </c>
      <c r="AB170" s="121">
        <v>0</v>
      </c>
      <c r="AC170" s="121">
        <v>0</v>
      </c>
      <c r="AD170" s="121">
        <v>0</v>
      </c>
      <c r="AE170" s="121">
        <v>0</v>
      </c>
      <c r="AF170" s="121">
        <v>0</v>
      </c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141</v>
      </c>
      <c r="B171" t="s">
        <v>143</v>
      </c>
      <c r="C171">
        <v>8</v>
      </c>
      <c r="D171" t="s">
        <v>29</v>
      </c>
      <c r="E171" s="14">
        <v>-40530677</v>
      </c>
      <c r="F171" s="14">
        <v>-92564051</v>
      </c>
      <c r="G171" s="124">
        <v>0</v>
      </c>
      <c r="H171" s="121">
        <v>0</v>
      </c>
      <c r="I171" s="124">
        <v>0</v>
      </c>
      <c r="J171" s="121">
        <v>0</v>
      </c>
      <c r="K171" s="121">
        <v>0</v>
      </c>
      <c r="L171" s="121">
        <v>0</v>
      </c>
      <c r="M171" s="121">
        <v>0</v>
      </c>
      <c r="N171" s="121">
        <v>0</v>
      </c>
      <c r="O171" s="121">
        <v>-384967</v>
      </c>
      <c r="P171" s="121">
        <v>-843693</v>
      </c>
      <c r="Q171" s="121">
        <v>-545699</v>
      </c>
      <c r="R171" s="121">
        <v>-1199034</v>
      </c>
      <c r="S171" s="121">
        <v>930666</v>
      </c>
      <c r="T171" s="121">
        <v>2042727</v>
      </c>
      <c r="U171" s="121">
        <v>-2899608</v>
      </c>
      <c r="V171" s="121">
        <v>-6590648</v>
      </c>
      <c r="W171" s="121">
        <v>0</v>
      </c>
      <c r="X171" s="121">
        <v>0</v>
      </c>
      <c r="Y171" s="121">
        <v>2899608</v>
      </c>
      <c r="Z171" s="121">
        <v>6590648</v>
      </c>
      <c r="AA171" s="121">
        <v>0</v>
      </c>
      <c r="AB171" s="121">
        <v>0</v>
      </c>
      <c r="AC171" s="121">
        <v>0</v>
      </c>
      <c r="AD171" s="121">
        <v>0</v>
      </c>
      <c r="AE171" s="121">
        <v>0</v>
      </c>
      <c r="AF171" s="121">
        <v>0</v>
      </c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141</v>
      </c>
      <c r="B172" t="s">
        <v>143</v>
      </c>
      <c r="C172">
        <v>9</v>
      </c>
      <c r="D172" t="s">
        <v>30</v>
      </c>
      <c r="E172" s="14">
        <v>0</v>
      </c>
      <c r="F172" s="14">
        <v>0</v>
      </c>
      <c r="G172" s="124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>
        <v>0</v>
      </c>
      <c r="AB172" s="121">
        <v>0</v>
      </c>
      <c r="AC172" s="121">
        <v>0</v>
      </c>
      <c r="AD172" s="121">
        <v>0</v>
      </c>
      <c r="AE172" s="121">
        <v>0</v>
      </c>
      <c r="AF172" s="121">
        <v>0</v>
      </c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141</v>
      </c>
      <c r="B173" t="s">
        <v>143</v>
      </c>
      <c r="C173">
        <v>10</v>
      </c>
      <c r="D173" t="s">
        <v>34</v>
      </c>
      <c r="E173" s="14">
        <v>303533</v>
      </c>
      <c r="F173" s="14">
        <v>714820.22</v>
      </c>
      <c r="G173" s="124">
        <v>-2495</v>
      </c>
      <c r="H173" s="121">
        <v>-5875.7250000000004</v>
      </c>
      <c r="I173" s="124">
        <v>8769</v>
      </c>
      <c r="J173" s="121">
        <v>20650.965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0</v>
      </c>
      <c r="T173" s="121">
        <v>0</v>
      </c>
      <c r="U173" s="121">
        <v>230</v>
      </c>
      <c r="V173" s="121">
        <v>521.17999999999995</v>
      </c>
      <c r="W173" s="121">
        <v>0</v>
      </c>
      <c r="X173" s="121">
        <v>0</v>
      </c>
      <c r="Y173" s="121">
        <v>25</v>
      </c>
      <c r="Z173" s="121">
        <v>56.65</v>
      </c>
      <c r="AA173" s="121">
        <v>0</v>
      </c>
      <c r="AB173" s="121">
        <v>0</v>
      </c>
      <c r="AC173" s="121">
        <v>0</v>
      </c>
      <c r="AD173" s="121">
        <v>0</v>
      </c>
      <c r="AE173" s="121">
        <v>601</v>
      </c>
      <c r="AF173" s="121">
        <v>1361.866</v>
      </c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141</v>
      </c>
      <c r="B174" t="s">
        <v>143</v>
      </c>
      <c r="C174">
        <v>11</v>
      </c>
      <c r="D174" t="s">
        <v>37</v>
      </c>
      <c r="E174" s="14">
        <v>0</v>
      </c>
      <c r="F174" s="14">
        <v>0</v>
      </c>
      <c r="G174" s="124">
        <v>0</v>
      </c>
      <c r="H174" s="121">
        <v>0</v>
      </c>
      <c r="I174" s="124">
        <v>-27001</v>
      </c>
      <c r="J174" s="121">
        <v>-62507.23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>
        <v>0</v>
      </c>
      <c r="AB174" s="121">
        <v>0</v>
      </c>
      <c r="AC174" s="121">
        <v>0</v>
      </c>
      <c r="AD174" s="121">
        <v>0</v>
      </c>
      <c r="AE174" s="121">
        <v>0</v>
      </c>
      <c r="AF174" s="121">
        <v>0</v>
      </c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141</v>
      </c>
      <c r="B175" t="s">
        <v>143</v>
      </c>
      <c r="C175">
        <v>12</v>
      </c>
      <c r="D175" t="s">
        <v>38</v>
      </c>
      <c r="E175" s="14">
        <v>-3090333</v>
      </c>
      <c r="F175" s="14">
        <v>-6966533.8799999999</v>
      </c>
      <c r="G175" s="124">
        <v>13991</v>
      </c>
      <c r="H175" s="121">
        <v>31499.57</v>
      </c>
      <c r="I175" s="124">
        <v>0</v>
      </c>
      <c r="J175" s="121">
        <v>0</v>
      </c>
      <c r="K175" s="121">
        <v>0</v>
      </c>
      <c r="L175" s="121">
        <v>0</v>
      </c>
      <c r="M175" s="121">
        <v>0</v>
      </c>
      <c r="N175" s="121">
        <v>0</v>
      </c>
      <c r="O175" s="121">
        <v>0</v>
      </c>
      <c r="P175" s="121">
        <v>0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>
        <v>0</v>
      </c>
      <c r="AB175" s="121">
        <v>0</v>
      </c>
      <c r="AC175" s="121">
        <v>0</v>
      </c>
      <c r="AD175" s="121">
        <v>0</v>
      </c>
      <c r="AE175" s="121">
        <v>0</v>
      </c>
      <c r="AF175" s="121">
        <v>0</v>
      </c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141</v>
      </c>
      <c r="B176" t="s">
        <v>143</v>
      </c>
      <c r="C176">
        <v>13</v>
      </c>
      <c r="D176" t="s">
        <v>41</v>
      </c>
      <c r="E176" s="14">
        <v>214361</v>
      </c>
      <c r="F176" s="14">
        <v>504820.15</v>
      </c>
      <c r="G176" s="124">
        <v>-240869</v>
      </c>
      <c r="H176" s="121">
        <v>-563906.49199999997</v>
      </c>
      <c r="I176" s="124">
        <v>246722</v>
      </c>
      <c r="J176" s="121">
        <v>557871.04200000002</v>
      </c>
      <c r="K176" s="121">
        <v>142143</v>
      </c>
      <c r="L176" s="121">
        <v>542266.951</v>
      </c>
      <c r="M176" s="121">
        <v>1127</v>
      </c>
      <c r="N176" s="121">
        <v>1189825.4339999999</v>
      </c>
      <c r="O176" s="121">
        <v>26958</v>
      </c>
      <c r="P176" s="121">
        <v>-1311385.51</v>
      </c>
      <c r="Q176" s="121">
        <v>0</v>
      </c>
      <c r="R176" s="121">
        <v>0</v>
      </c>
      <c r="S176" s="121">
        <v>0</v>
      </c>
      <c r="T176" s="121">
        <v>0</v>
      </c>
      <c r="U176" s="121">
        <v>-10992</v>
      </c>
      <c r="V176" s="121">
        <v>-24907.871999999999</v>
      </c>
      <c r="W176" s="121">
        <v>31538</v>
      </c>
      <c r="X176" s="121">
        <v>68034.53</v>
      </c>
      <c r="Y176" s="121">
        <v>4714</v>
      </c>
      <c r="Z176" s="121">
        <v>10681.924000000001</v>
      </c>
      <c r="AA176" s="121">
        <v>-30</v>
      </c>
      <c r="AB176" s="121">
        <v>-67.98</v>
      </c>
      <c r="AC176" s="121">
        <v>0</v>
      </c>
      <c r="AD176" s="121">
        <v>0</v>
      </c>
      <c r="AE176" s="121">
        <v>-632</v>
      </c>
      <c r="AF176" s="121">
        <v>-1432.1120000000001</v>
      </c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141</v>
      </c>
      <c r="B177" t="s">
        <v>143</v>
      </c>
      <c r="C177">
        <v>14</v>
      </c>
      <c r="D177" t="s">
        <v>42</v>
      </c>
      <c r="E177" s="14">
        <v>0</v>
      </c>
      <c r="F177" s="14">
        <v>0</v>
      </c>
      <c r="G177" s="124">
        <v>-54530</v>
      </c>
      <c r="H177" s="121">
        <v>-121627.77</v>
      </c>
      <c r="I177" s="124">
        <v>-65324</v>
      </c>
      <c r="J177" s="121">
        <v>-148053.85999999999</v>
      </c>
      <c r="K177" s="121">
        <v>-81351</v>
      </c>
      <c r="L177" s="121">
        <v>-200258.79</v>
      </c>
      <c r="M177" s="121">
        <v>0</v>
      </c>
      <c r="N177" s="121">
        <v>0</v>
      </c>
      <c r="O177" s="121">
        <v>-2</v>
      </c>
      <c r="P177" s="121">
        <v>-4.4400000000000004</v>
      </c>
      <c r="Q177" s="121">
        <v>0</v>
      </c>
      <c r="R177" s="121">
        <v>0</v>
      </c>
      <c r="S177" s="121">
        <v>0</v>
      </c>
      <c r="T177" s="121">
        <v>0</v>
      </c>
      <c r="U177" s="121">
        <v>-15040</v>
      </c>
      <c r="V177" s="121">
        <v>-33403.839999999997</v>
      </c>
      <c r="W177" s="121">
        <v>0</v>
      </c>
      <c r="X177" s="121">
        <v>0</v>
      </c>
      <c r="Y177" s="121">
        <v>-2283</v>
      </c>
      <c r="Z177" s="121">
        <v>-5006.62</v>
      </c>
      <c r="AA177" s="121">
        <v>0</v>
      </c>
      <c r="AB177" s="121">
        <v>0</v>
      </c>
      <c r="AC177" s="121">
        <v>-6</v>
      </c>
      <c r="AD177" s="121">
        <v>0</v>
      </c>
      <c r="AE177" s="121">
        <v>0</v>
      </c>
      <c r="AF177" s="121">
        <v>0</v>
      </c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141</v>
      </c>
      <c r="B178" t="s">
        <v>143</v>
      </c>
      <c r="C178">
        <v>15</v>
      </c>
      <c r="D178" t="s">
        <v>43</v>
      </c>
      <c r="E178" s="14">
        <v>0</v>
      </c>
      <c r="F178" s="14">
        <v>0</v>
      </c>
      <c r="G178" s="124">
        <v>117646</v>
      </c>
      <c r="H178" s="121">
        <v>256659.93</v>
      </c>
      <c r="I178" s="124">
        <v>6264</v>
      </c>
      <c r="J178" s="121">
        <v>14006.31</v>
      </c>
      <c r="K178" s="121">
        <v>5556</v>
      </c>
      <c r="L178" s="121">
        <v>12435.55</v>
      </c>
      <c r="M178" s="121">
        <v>0</v>
      </c>
      <c r="N178" s="121">
        <v>0</v>
      </c>
      <c r="O178" s="121">
        <v>5329</v>
      </c>
      <c r="P178" s="121">
        <v>11324.66</v>
      </c>
      <c r="Q178" s="121">
        <v>0</v>
      </c>
      <c r="R178" s="121">
        <v>0</v>
      </c>
      <c r="S178" s="121">
        <v>0</v>
      </c>
      <c r="T178" s="121">
        <v>0</v>
      </c>
      <c r="U178" s="121">
        <v>5</v>
      </c>
      <c r="V178" s="121">
        <v>11.1</v>
      </c>
      <c r="W178" s="121">
        <v>0</v>
      </c>
      <c r="X178" s="121">
        <v>0</v>
      </c>
      <c r="Y178" s="121">
        <v>0</v>
      </c>
      <c r="Z178" s="121">
        <v>0</v>
      </c>
      <c r="AA178" s="121">
        <v>0</v>
      </c>
      <c r="AB178" s="121">
        <v>0</v>
      </c>
      <c r="AC178" s="121">
        <v>6</v>
      </c>
      <c r="AD178" s="121">
        <v>0</v>
      </c>
      <c r="AE178" s="121">
        <v>31</v>
      </c>
      <c r="AF178" s="121">
        <v>0</v>
      </c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141</v>
      </c>
      <c r="B179" t="s">
        <v>143</v>
      </c>
      <c r="C179">
        <v>16</v>
      </c>
      <c r="D179" t="s">
        <v>44</v>
      </c>
      <c r="E179" s="14">
        <v>-499999</v>
      </c>
      <c r="F179" s="14">
        <v>-0.01</v>
      </c>
      <c r="G179" s="124">
        <v>1</v>
      </c>
      <c r="H179" s="121">
        <v>0</v>
      </c>
      <c r="I179" s="124">
        <v>999998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1">
        <v>0</v>
      </c>
      <c r="P179" s="121">
        <v>1177500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>
        <v>0</v>
      </c>
      <c r="AB179" s="121">
        <v>0</v>
      </c>
      <c r="AC179" s="121">
        <v>0</v>
      </c>
      <c r="AD179" s="121">
        <v>0</v>
      </c>
      <c r="AE179" s="121">
        <v>0</v>
      </c>
      <c r="AF179" s="121">
        <v>0</v>
      </c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141</v>
      </c>
      <c r="B180" t="s">
        <v>143</v>
      </c>
      <c r="C180">
        <v>17</v>
      </c>
      <c r="D180" t="s">
        <v>127</v>
      </c>
      <c r="E180" s="14">
        <v>499972</v>
      </c>
      <c r="F180" s="14">
        <v>1299894.75</v>
      </c>
      <c r="G180" s="124">
        <v>0</v>
      </c>
      <c r="H180" s="121">
        <v>0</v>
      </c>
      <c r="I180" s="124">
        <v>-499972</v>
      </c>
      <c r="J180" s="121">
        <v>-1299894.75</v>
      </c>
      <c r="K180" s="121">
        <v>0</v>
      </c>
      <c r="L180" s="121">
        <v>0</v>
      </c>
      <c r="M180" s="121">
        <v>0</v>
      </c>
      <c r="N180" s="121">
        <v>0</v>
      </c>
      <c r="O180" s="121">
        <v>0</v>
      </c>
      <c r="P180" s="121">
        <v>0</v>
      </c>
      <c r="Q180" s="121">
        <v>0</v>
      </c>
      <c r="R180" s="121">
        <v>0</v>
      </c>
      <c r="S180" s="121">
        <v>0</v>
      </c>
      <c r="T180" s="121">
        <v>0</v>
      </c>
      <c r="U180" s="121">
        <v>-15000</v>
      </c>
      <c r="V180" s="121">
        <v>-33990</v>
      </c>
      <c r="W180" s="121">
        <v>15000</v>
      </c>
      <c r="X180" s="121">
        <v>33405.03</v>
      </c>
      <c r="Y180" s="121">
        <v>0</v>
      </c>
      <c r="Z180" s="121">
        <v>0</v>
      </c>
      <c r="AA180" s="121">
        <v>0</v>
      </c>
      <c r="AB180" s="121">
        <v>0</v>
      </c>
      <c r="AC180" s="121">
        <v>0</v>
      </c>
      <c r="AD180" s="121">
        <v>0</v>
      </c>
      <c r="AE180" s="121">
        <v>0</v>
      </c>
      <c r="AF180" s="121">
        <v>0</v>
      </c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141</v>
      </c>
      <c r="B181" t="s">
        <v>143</v>
      </c>
      <c r="C181">
        <v>18</v>
      </c>
      <c r="D181" t="s">
        <v>128</v>
      </c>
      <c r="E181" s="14">
        <v>0</v>
      </c>
      <c r="F181" s="14">
        <v>0</v>
      </c>
      <c r="G181" s="124">
        <v>0</v>
      </c>
      <c r="H181" s="121">
        <v>0</v>
      </c>
      <c r="I181" s="124">
        <v>0</v>
      </c>
      <c r="J181" s="121">
        <v>0</v>
      </c>
      <c r="K181" s="121">
        <v>0</v>
      </c>
      <c r="L181" s="121">
        <v>0</v>
      </c>
      <c r="M181" s="121">
        <v>0</v>
      </c>
      <c r="N181" s="121">
        <v>0</v>
      </c>
      <c r="O181" s="121">
        <v>0</v>
      </c>
      <c r="P181" s="121">
        <v>0</v>
      </c>
      <c r="Q181" s="121">
        <v>0</v>
      </c>
      <c r="R181" s="121">
        <v>0</v>
      </c>
      <c r="S181" s="121">
        <v>0</v>
      </c>
      <c r="T181" s="121">
        <v>0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>
        <v>0</v>
      </c>
      <c r="AB181" s="121">
        <v>0</v>
      </c>
      <c r="AC181" s="121">
        <v>0</v>
      </c>
      <c r="AD181" s="121">
        <v>0</v>
      </c>
      <c r="AE181" s="121">
        <v>0</v>
      </c>
      <c r="AF181" s="121">
        <v>0</v>
      </c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141</v>
      </c>
      <c r="B182" t="s">
        <v>143</v>
      </c>
      <c r="C182">
        <v>19</v>
      </c>
      <c r="D182" t="s">
        <v>49</v>
      </c>
      <c r="E182" s="14">
        <v>0</v>
      </c>
      <c r="F182" s="14">
        <v>0</v>
      </c>
      <c r="G182" s="124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>
        <v>0</v>
      </c>
      <c r="AB182" s="121">
        <v>0</v>
      </c>
      <c r="AC182" s="121">
        <v>0</v>
      </c>
      <c r="AD182" s="121">
        <v>0</v>
      </c>
      <c r="AE182" s="121">
        <v>0</v>
      </c>
      <c r="AF182" s="121">
        <v>0</v>
      </c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141</v>
      </c>
      <c r="B183" t="s">
        <v>143</v>
      </c>
      <c r="C183">
        <v>20</v>
      </c>
      <c r="D183" t="s">
        <v>129</v>
      </c>
      <c r="E183" s="14">
        <v>0</v>
      </c>
      <c r="F183" s="14">
        <v>0</v>
      </c>
      <c r="G183" s="124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>
        <v>0</v>
      </c>
      <c r="AB183" s="121">
        <v>0</v>
      </c>
      <c r="AC183" s="121">
        <v>0</v>
      </c>
      <c r="AD183" s="121">
        <v>0</v>
      </c>
      <c r="AE183" s="121">
        <v>0</v>
      </c>
      <c r="AF183" s="121">
        <v>0</v>
      </c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141</v>
      </c>
      <c r="B184" t="s">
        <v>143</v>
      </c>
      <c r="C184">
        <v>21</v>
      </c>
      <c r="D184" t="s">
        <v>130</v>
      </c>
      <c r="E184" s="14">
        <v>0</v>
      </c>
      <c r="F184" s="14">
        <v>0</v>
      </c>
      <c r="G184" s="124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>
        <v>0</v>
      </c>
      <c r="AB184" s="121">
        <v>0</v>
      </c>
      <c r="AC184" s="121">
        <v>0</v>
      </c>
      <c r="AD184" s="121">
        <v>0</v>
      </c>
      <c r="AE184" s="121">
        <v>0</v>
      </c>
      <c r="AF184" s="121">
        <v>0</v>
      </c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141</v>
      </c>
      <c r="B185" t="s">
        <v>143</v>
      </c>
      <c r="C185">
        <v>22</v>
      </c>
      <c r="D185" t="s">
        <v>131</v>
      </c>
      <c r="E185" s="14">
        <v>7185540</v>
      </c>
      <c r="F185" s="14">
        <v>16921946.699999999</v>
      </c>
      <c r="G185" s="124">
        <v>1225818</v>
      </c>
      <c r="H185" s="121">
        <v>2886801.39</v>
      </c>
      <c r="I185" s="124">
        <v>-524212</v>
      </c>
      <c r="J185" s="121">
        <v>-1234519.26</v>
      </c>
      <c r="K185" s="121">
        <v>-609457</v>
      </c>
      <c r="L185" s="121">
        <v>-1435271.2350000001</v>
      </c>
      <c r="M185" s="121">
        <v>0</v>
      </c>
      <c r="N185" s="121">
        <v>0</v>
      </c>
      <c r="O185" s="121">
        <v>-6336257</v>
      </c>
      <c r="P185" s="121">
        <v>-14921885.234999999</v>
      </c>
      <c r="Q185" s="121">
        <v>0</v>
      </c>
      <c r="R185" s="121">
        <v>0</v>
      </c>
      <c r="S185" s="121">
        <v>-77304</v>
      </c>
      <c r="T185" s="121">
        <v>-182050.92</v>
      </c>
      <c r="U185" s="121">
        <v>-197625</v>
      </c>
      <c r="V185" s="121">
        <v>-447818.25</v>
      </c>
      <c r="W185" s="121">
        <v>-71573</v>
      </c>
      <c r="X185" s="121">
        <v>-162184.41800000001</v>
      </c>
      <c r="Y185" s="121">
        <v>233905</v>
      </c>
      <c r="Z185" s="121">
        <v>530028.73</v>
      </c>
      <c r="AA185" s="121">
        <v>0</v>
      </c>
      <c r="AB185" s="121">
        <v>0</v>
      </c>
      <c r="AC185" s="121">
        <v>0</v>
      </c>
      <c r="AD185" s="121">
        <v>0</v>
      </c>
      <c r="AE185" s="121">
        <v>0</v>
      </c>
      <c r="AF185" s="121">
        <v>0</v>
      </c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141</v>
      </c>
      <c r="B186" t="s">
        <v>143</v>
      </c>
      <c r="C186">
        <v>23</v>
      </c>
      <c r="D186" t="s">
        <v>132</v>
      </c>
      <c r="E186" s="14">
        <v>-303533</v>
      </c>
      <c r="F186" s="14">
        <v>-714820.22</v>
      </c>
      <c r="G186" s="124">
        <v>2495</v>
      </c>
      <c r="H186" s="121">
        <v>5875.7250000000004</v>
      </c>
      <c r="I186" s="124">
        <v>-8799</v>
      </c>
      <c r="J186" s="121">
        <v>-20721.645</v>
      </c>
      <c r="K186" s="121">
        <v>0</v>
      </c>
      <c r="L186" s="121">
        <v>0</v>
      </c>
      <c r="M186" s="121">
        <v>0</v>
      </c>
      <c r="N186" s="121">
        <v>0</v>
      </c>
      <c r="O186" s="121">
        <v>-87197</v>
      </c>
      <c r="P186" s="121">
        <v>0</v>
      </c>
      <c r="Q186" s="121">
        <v>0</v>
      </c>
      <c r="R186" s="121">
        <v>0</v>
      </c>
      <c r="S186" s="121">
        <v>0</v>
      </c>
      <c r="T186" s="121">
        <v>0</v>
      </c>
      <c r="U186" s="121">
        <v>-230</v>
      </c>
      <c r="V186" s="121">
        <v>-521.17999999999995</v>
      </c>
      <c r="W186" s="121">
        <v>0</v>
      </c>
      <c r="X186" s="121">
        <v>0</v>
      </c>
      <c r="Y186" s="121">
        <v>-25</v>
      </c>
      <c r="Z186" s="121">
        <v>-56.65</v>
      </c>
      <c r="AA186" s="121">
        <v>0</v>
      </c>
      <c r="AB186" s="121">
        <v>0</v>
      </c>
      <c r="AC186" s="121">
        <v>0</v>
      </c>
      <c r="AD186" s="121">
        <v>0</v>
      </c>
      <c r="AE186" s="121">
        <v>-601</v>
      </c>
      <c r="AF186" s="121">
        <v>-1361.866</v>
      </c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141</v>
      </c>
      <c r="B187" t="s">
        <v>143</v>
      </c>
      <c r="C187">
        <v>24</v>
      </c>
      <c r="D187" t="s">
        <v>57</v>
      </c>
      <c r="E187" s="14">
        <v>-26801603</v>
      </c>
      <c r="F187" s="14">
        <v>-623460.05000000005</v>
      </c>
      <c r="G187" s="124">
        <v>-2259004</v>
      </c>
      <c r="H187" s="121">
        <v>-126882.25</v>
      </c>
      <c r="I187" s="124">
        <v>1518915</v>
      </c>
      <c r="J187" s="121">
        <v>15225.4</v>
      </c>
      <c r="K187" s="121">
        <v>-37788</v>
      </c>
      <c r="L187" s="121">
        <v>-462.36</v>
      </c>
      <c r="M187" s="121">
        <v>-99</v>
      </c>
      <c r="N187" s="121">
        <v>-2.15</v>
      </c>
      <c r="O187" s="121">
        <v>0</v>
      </c>
      <c r="P187" s="121">
        <v>0</v>
      </c>
      <c r="Q187" s="121">
        <v>0</v>
      </c>
      <c r="R187" s="121">
        <v>0</v>
      </c>
      <c r="S187" s="121">
        <v>0</v>
      </c>
      <c r="T187" s="121">
        <v>0</v>
      </c>
      <c r="U187" s="121">
        <v>-33316</v>
      </c>
      <c r="V187" s="121">
        <v>7317.97</v>
      </c>
      <c r="W187" s="121">
        <v>0</v>
      </c>
      <c r="X187" s="121">
        <v>-825.41</v>
      </c>
      <c r="Y187" s="121">
        <v>-2431</v>
      </c>
      <c r="Z187" s="121">
        <v>825.41</v>
      </c>
      <c r="AA187" s="121">
        <v>-579370</v>
      </c>
      <c r="AB187" s="121">
        <v>10232.14</v>
      </c>
      <c r="AC187" s="121">
        <v>-787087</v>
      </c>
      <c r="AD187" s="121">
        <v>-10232.14</v>
      </c>
      <c r="AE187" s="121">
        <v>0</v>
      </c>
      <c r="AF187" s="121">
        <v>0</v>
      </c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141</v>
      </c>
      <c r="B188" t="s">
        <v>143</v>
      </c>
      <c r="C188">
        <v>25</v>
      </c>
      <c r="D188" t="s">
        <v>58</v>
      </c>
      <c r="E188" s="14">
        <v>0</v>
      </c>
      <c r="F188" s="14">
        <v>-3499026.12</v>
      </c>
      <c r="G188" s="124">
        <v>0</v>
      </c>
      <c r="H188" s="121">
        <v>208173.31</v>
      </c>
      <c r="I188" s="124">
        <v>0</v>
      </c>
      <c r="J188" s="121">
        <v>-4606.45</v>
      </c>
      <c r="K188" s="121">
        <v>0</v>
      </c>
      <c r="L188" s="121">
        <v>0</v>
      </c>
      <c r="M188" s="121">
        <v>0</v>
      </c>
      <c r="N188" s="121">
        <v>11411.4</v>
      </c>
      <c r="O188" s="121">
        <v>0</v>
      </c>
      <c r="P188" s="121">
        <v>0</v>
      </c>
      <c r="Q188" s="121">
        <v>0</v>
      </c>
      <c r="R188" s="121">
        <v>0</v>
      </c>
      <c r="S188" s="121">
        <v>0</v>
      </c>
      <c r="T188" s="121">
        <v>0</v>
      </c>
      <c r="U188" s="121">
        <v>0</v>
      </c>
      <c r="V188" s="121">
        <v>686</v>
      </c>
      <c r="W188" s="121">
        <v>0</v>
      </c>
      <c r="X188" s="121">
        <v>-10000</v>
      </c>
      <c r="Y188" s="121">
        <v>0</v>
      </c>
      <c r="Z188" s="121">
        <v>0</v>
      </c>
      <c r="AA188" s="121">
        <v>0</v>
      </c>
      <c r="AB188" s="121">
        <v>0</v>
      </c>
      <c r="AC188" s="121">
        <v>0</v>
      </c>
      <c r="AD188" s="121">
        <v>0</v>
      </c>
      <c r="AE188" s="121">
        <v>0</v>
      </c>
      <c r="AF188" s="121">
        <v>0</v>
      </c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141</v>
      </c>
      <c r="B189" t="s">
        <v>143</v>
      </c>
      <c r="C189">
        <v>26</v>
      </c>
      <c r="D189" t="s">
        <v>133</v>
      </c>
      <c r="E189" s="14">
        <v>0</v>
      </c>
      <c r="F189" s="14">
        <v>0</v>
      </c>
      <c r="G189" s="124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>
        <v>0</v>
      </c>
      <c r="AB189" s="121">
        <v>0</v>
      </c>
      <c r="AC189" s="121">
        <v>0</v>
      </c>
      <c r="AD189" s="121">
        <v>0</v>
      </c>
      <c r="AE189" s="121">
        <v>0</v>
      </c>
      <c r="AF189" s="121">
        <v>0</v>
      </c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141</v>
      </c>
      <c r="B190" t="s">
        <v>143</v>
      </c>
      <c r="C190">
        <v>27</v>
      </c>
      <c r="D190" t="s">
        <v>134</v>
      </c>
      <c r="E190" s="14">
        <v>0</v>
      </c>
      <c r="F190" s="14">
        <v>0</v>
      </c>
      <c r="G190" s="124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>
        <v>0</v>
      </c>
      <c r="AB190" s="121">
        <v>0</v>
      </c>
      <c r="AC190" s="121">
        <v>0</v>
      </c>
      <c r="AD190" s="121">
        <v>0</v>
      </c>
      <c r="AE190" s="121">
        <v>0</v>
      </c>
      <c r="AF190" s="121">
        <v>0</v>
      </c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141</v>
      </c>
      <c r="B191" t="s">
        <v>143</v>
      </c>
      <c r="C191">
        <v>28</v>
      </c>
      <c r="D191" t="s">
        <v>135</v>
      </c>
      <c r="E191" s="14">
        <v>0</v>
      </c>
      <c r="F191" s="14">
        <v>0</v>
      </c>
      <c r="G191" s="124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>
        <v>0</v>
      </c>
      <c r="AB191" s="121">
        <v>0</v>
      </c>
      <c r="AC191" s="121">
        <v>0</v>
      </c>
      <c r="AD191" s="121">
        <v>0</v>
      </c>
      <c r="AE191" s="121">
        <v>0</v>
      </c>
      <c r="AF191" s="121">
        <v>0</v>
      </c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141</v>
      </c>
      <c r="B192" t="s">
        <v>143</v>
      </c>
      <c r="C192">
        <v>29</v>
      </c>
      <c r="D192" t="s">
        <v>136</v>
      </c>
      <c r="E192" s="14">
        <v>0</v>
      </c>
      <c r="F192" s="14">
        <v>0</v>
      </c>
      <c r="G192" s="124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>
        <v>0</v>
      </c>
      <c r="AB192" s="121">
        <v>0</v>
      </c>
      <c r="AC192" s="121">
        <v>0</v>
      </c>
      <c r="AD192" s="121">
        <v>0</v>
      </c>
      <c r="AE192" s="121">
        <v>0</v>
      </c>
      <c r="AF192" s="121">
        <v>0</v>
      </c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141</v>
      </c>
      <c r="B193" t="s">
        <v>143</v>
      </c>
      <c r="C193">
        <v>30</v>
      </c>
      <c r="D193" t="s">
        <v>137</v>
      </c>
      <c r="E193" s="14">
        <v>0</v>
      </c>
      <c r="F193" s="14">
        <v>0</v>
      </c>
      <c r="G193" s="124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>
        <v>0</v>
      </c>
      <c r="AB193" s="121">
        <v>0</v>
      </c>
      <c r="AC193" s="121">
        <v>0</v>
      </c>
      <c r="AD193" s="121">
        <v>0</v>
      </c>
      <c r="AE193" s="121">
        <v>0</v>
      </c>
      <c r="AF193" s="121">
        <v>0</v>
      </c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141</v>
      </c>
      <c r="B194" t="s">
        <v>143</v>
      </c>
      <c r="C194">
        <v>31</v>
      </c>
      <c r="D194" t="s">
        <v>138</v>
      </c>
      <c r="E194" s="14">
        <v>0</v>
      </c>
      <c r="F194" s="14">
        <v>0</v>
      </c>
      <c r="G194" s="124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>
        <v>0</v>
      </c>
      <c r="AB194" s="121">
        <v>0</v>
      </c>
      <c r="AC194" s="121">
        <v>0</v>
      </c>
      <c r="AD194" s="121">
        <v>0</v>
      </c>
      <c r="AE194" s="121">
        <v>0</v>
      </c>
      <c r="AF194" s="121">
        <v>0</v>
      </c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141</v>
      </c>
      <c r="B195" t="s">
        <v>143</v>
      </c>
      <c r="C195">
        <v>32</v>
      </c>
      <c r="D195" t="s">
        <v>72</v>
      </c>
      <c r="E195" s="14">
        <v>0</v>
      </c>
      <c r="F195" s="14">
        <v>0</v>
      </c>
      <c r="G195" s="124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>
        <v>0</v>
      </c>
      <c r="AB195" s="121">
        <v>0</v>
      </c>
      <c r="AC195" s="121">
        <v>0</v>
      </c>
      <c r="AD195" s="121">
        <v>0</v>
      </c>
      <c r="AE195" s="121">
        <v>0</v>
      </c>
      <c r="AF195" s="121">
        <v>0</v>
      </c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141</v>
      </c>
      <c r="B196" t="s">
        <v>143</v>
      </c>
      <c r="C196">
        <v>33</v>
      </c>
      <c r="D196" t="s">
        <v>73</v>
      </c>
      <c r="E196" s="14">
        <v>0</v>
      </c>
      <c r="F196" s="14">
        <v>0</v>
      </c>
      <c r="G196" s="124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>
        <v>0</v>
      </c>
      <c r="AB196" s="121">
        <v>0</v>
      </c>
      <c r="AC196" s="121">
        <v>0</v>
      </c>
      <c r="AD196" s="121">
        <v>0</v>
      </c>
      <c r="AE196" s="121">
        <v>0</v>
      </c>
      <c r="AF196" s="121">
        <v>0</v>
      </c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141</v>
      </c>
      <c r="B197" t="s">
        <v>143</v>
      </c>
      <c r="C197">
        <v>34</v>
      </c>
      <c r="D197" t="s">
        <v>74</v>
      </c>
      <c r="E197" s="14">
        <v>0</v>
      </c>
      <c r="F197" s="14">
        <v>0</v>
      </c>
      <c r="G197" s="124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>
        <v>0</v>
      </c>
      <c r="AB197" s="121">
        <v>0</v>
      </c>
      <c r="AC197" s="121">
        <v>0</v>
      </c>
      <c r="AD197" s="121">
        <v>0</v>
      </c>
      <c r="AE197" s="121">
        <v>0</v>
      </c>
      <c r="AF197" s="121">
        <v>0</v>
      </c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141</v>
      </c>
      <c r="B198" t="s">
        <v>143</v>
      </c>
      <c r="C198">
        <v>35</v>
      </c>
      <c r="D198" t="s">
        <v>75</v>
      </c>
      <c r="E198" s="14">
        <v>0</v>
      </c>
      <c r="F198" s="14">
        <v>-7453.19</v>
      </c>
      <c r="G198" s="124">
        <v>0</v>
      </c>
      <c r="H198" s="121">
        <v>-276384.33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>
        <v>0</v>
      </c>
      <c r="AB198" s="121">
        <v>0</v>
      </c>
      <c r="AC198" s="121">
        <v>0</v>
      </c>
      <c r="AD198" s="121">
        <v>0</v>
      </c>
      <c r="AE198" s="121">
        <v>0</v>
      </c>
      <c r="AF198" s="121">
        <v>0</v>
      </c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141</v>
      </c>
      <c r="B199" t="s">
        <v>143</v>
      </c>
      <c r="C199">
        <v>36</v>
      </c>
      <c r="D199" t="s">
        <v>76</v>
      </c>
      <c r="E199" s="14">
        <v>0</v>
      </c>
      <c r="F199" s="14">
        <v>0</v>
      </c>
      <c r="G199" s="124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>
        <v>0</v>
      </c>
      <c r="AB199" s="121">
        <v>0</v>
      </c>
      <c r="AC199" s="121">
        <v>0</v>
      </c>
      <c r="AD199" s="121">
        <v>0</v>
      </c>
      <c r="AE199" s="121">
        <v>0</v>
      </c>
      <c r="AF199" s="121">
        <v>0</v>
      </c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141</v>
      </c>
      <c r="B200" t="s">
        <v>143</v>
      </c>
      <c r="C200">
        <v>37</v>
      </c>
      <c r="D200" t="s">
        <v>77</v>
      </c>
      <c r="E200" s="14">
        <v>0</v>
      </c>
      <c r="F200" s="14">
        <v>0</v>
      </c>
      <c r="G200" s="124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>
        <v>0</v>
      </c>
      <c r="AB200" s="121">
        <v>0</v>
      </c>
      <c r="AC200" s="121">
        <v>0</v>
      </c>
      <c r="AD200" s="121">
        <v>0</v>
      </c>
      <c r="AE200" s="121">
        <v>0</v>
      </c>
      <c r="AF200" s="121">
        <v>0</v>
      </c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141</v>
      </c>
      <c r="B201" t="s">
        <v>143</v>
      </c>
      <c r="C201">
        <v>38</v>
      </c>
      <c r="D201" t="s">
        <v>78</v>
      </c>
      <c r="E201" s="14">
        <v>0</v>
      </c>
      <c r="F201" s="14">
        <v>0</v>
      </c>
      <c r="G201" s="124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>
        <v>0</v>
      </c>
      <c r="AB201" s="121">
        <v>0</v>
      </c>
      <c r="AC201" s="121">
        <v>0</v>
      </c>
      <c r="AD201" s="121">
        <v>0</v>
      </c>
      <c r="AE201" s="121">
        <v>0</v>
      </c>
      <c r="AF201" s="121">
        <v>0</v>
      </c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141</v>
      </c>
      <c r="B202" t="s">
        <v>143</v>
      </c>
      <c r="C202">
        <v>39</v>
      </c>
      <c r="D202" t="s">
        <v>79</v>
      </c>
      <c r="E202" s="14">
        <v>0</v>
      </c>
      <c r="F202" s="14">
        <v>0</v>
      </c>
      <c r="G202" s="124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>
        <v>0</v>
      </c>
      <c r="AB202" s="121">
        <v>0</v>
      </c>
      <c r="AC202" s="121">
        <v>0</v>
      </c>
      <c r="AD202" s="121">
        <v>0</v>
      </c>
      <c r="AE202" s="121">
        <v>0</v>
      </c>
      <c r="AF202" s="121">
        <v>0</v>
      </c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141</v>
      </c>
      <c r="B203" t="s">
        <v>143</v>
      </c>
      <c r="C203">
        <v>40</v>
      </c>
      <c r="D203" t="s">
        <v>80</v>
      </c>
      <c r="E203" s="14">
        <v>0</v>
      </c>
      <c r="F203" s="14">
        <v>787515.44</v>
      </c>
      <c r="G203" s="124">
        <v>0</v>
      </c>
      <c r="H203" s="121">
        <v>62140.43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>
        <v>0</v>
      </c>
      <c r="AB203" s="121">
        <v>0</v>
      </c>
      <c r="AC203" s="121">
        <v>0</v>
      </c>
      <c r="AD203" s="121">
        <v>0</v>
      </c>
      <c r="AE203" s="121">
        <v>0</v>
      </c>
      <c r="AF203" s="121">
        <v>0</v>
      </c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141</v>
      </c>
      <c r="B204" t="s">
        <v>140</v>
      </c>
      <c r="C204">
        <v>1</v>
      </c>
      <c r="D204" t="s">
        <v>27</v>
      </c>
      <c r="E204" s="14">
        <v>0</v>
      </c>
      <c r="F204" s="14">
        <v>0</v>
      </c>
      <c r="G204" s="124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>
        <v>0</v>
      </c>
      <c r="AB204" s="121">
        <v>0</v>
      </c>
      <c r="AC204" s="121">
        <v>0</v>
      </c>
      <c r="AD204" s="121">
        <v>0</v>
      </c>
      <c r="AE204" s="121">
        <v>0</v>
      </c>
      <c r="AF204" s="121">
        <v>0</v>
      </c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141</v>
      </c>
      <c r="B205" t="s">
        <v>140</v>
      </c>
      <c r="C205">
        <v>2</v>
      </c>
      <c r="D205" t="s">
        <v>28</v>
      </c>
      <c r="E205" s="14">
        <v>0</v>
      </c>
      <c r="F205" s="14">
        <v>0</v>
      </c>
      <c r="G205" s="124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>
        <v>0</v>
      </c>
      <c r="AB205" s="121">
        <v>0</v>
      </c>
      <c r="AC205" s="121">
        <v>0</v>
      </c>
      <c r="AD205" s="121">
        <v>0</v>
      </c>
      <c r="AE205" s="121">
        <v>0</v>
      </c>
      <c r="AF205" s="121">
        <v>0</v>
      </c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141</v>
      </c>
      <c r="B206" t="s">
        <v>140</v>
      </c>
      <c r="C206">
        <v>3</v>
      </c>
      <c r="D206" t="s">
        <v>29</v>
      </c>
      <c r="E206" s="14">
        <v>0</v>
      </c>
      <c r="F206" s="14">
        <v>0</v>
      </c>
      <c r="G206" s="124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>
        <v>0</v>
      </c>
      <c r="AB206" s="121">
        <v>0</v>
      </c>
      <c r="AC206" s="121">
        <v>0</v>
      </c>
      <c r="AD206" s="121">
        <v>0</v>
      </c>
      <c r="AE206" s="121">
        <v>0</v>
      </c>
      <c r="AF206" s="121">
        <v>0</v>
      </c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141</v>
      </c>
      <c r="B207" t="s">
        <v>140</v>
      </c>
      <c r="C207">
        <v>4</v>
      </c>
      <c r="D207" t="s">
        <v>30</v>
      </c>
      <c r="E207" s="14">
        <v>0</v>
      </c>
      <c r="F207" s="14">
        <v>0</v>
      </c>
      <c r="G207" s="124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>
        <v>0</v>
      </c>
      <c r="AB207" s="121">
        <v>0</v>
      </c>
      <c r="AC207" s="121">
        <v>0</v>
      </c>
      <c r="AD207" s="121">
        <v>0</v>
      </c>
      <c r="AE207" s="121">
        <v>0</v>
      </c>
      <c r="AF207" s="121">
        <v>0</v>
      </c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141</v>
      </c>
      <c r="B208" t="s">
        <v>140</v>
      </c>
      <c r="C208">
        <v>5</v>
      </c>
      <c r="D208" t="s">
        <v>126</v>
      </c>
      <c r="E208" s="14">
        <v>0</v>
      </c>
      <c r="F208" s="14">
        <v>0</v>
      </c>
      <c r="G208" s="124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>
        <v>0</v>
      </c>
      <c r="AB208" s="121">
        <v>0</v>
      </c>
      <c r="AC208" s="121">
        <v>0</v>
      </c>
      <c r="AD208" s="121">
        <v>0</v>
      </c>
      <c r="AE208" s="121">
        <v>0</v>
      </c>
      <c r="AF208" s="121">
        <v>0</v>
      </c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141</v>
      </c>
      <c r="B209" t="s">
        <v>140</v>
      </c>
      <c r="C209">
        <v>6</v>
      </c>
      <c r="D209" t="s">
        <v>27</v>
      </c>
      <c r="E209" s="14">
        <v>0</v>
      </c>
      <c r="F209" s="14">
        <v>0</v>
      </c>
      <c r="G209" s="124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>
        <v>0</v>
      </c>
      <c r="AB209" s="121">
        <v>0</v>
      </c>
      <c r="AC209" s="121">
        <v>0</v>
      </c>
      <c r="AD209" s="121">
        <v>0</v>
      </c>
      <c r="AE209" s="121">
        <v>0</v>
      </c>
      <c r="AF209" s="121">
        <v>0</v>
      </c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141</v>
      </c>
      <c r="B210" t="s">
        <v>140</v>
      </c>
      <c r="C210">
        <v>7</v>
      </c>
      <c r="D210" t="s">
        <v>28</v>
      </c>
      <c r="E210" s="14">
        <v>0</v>
      </c>
      <c r="F210" s="14">
        <v>0</v>
      </c>
      <c r="G210" s="124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>
        <v>0</v>
      </c>
      <c r="AB210" s="121">
        <v>0</v>
      </c>
      <c r="AC210" s="121">
        <v>0</v>
      </c>
      <c r="AD210" s="121">
        <v>0</v>
      </c>
      <c r="AE210" s="121">
        <v>0</v>
      </c>
      <c r="AF210" s="121">
        <v>0</v>
      </c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141</v>
      </c>
      <c r="B211" t="s">
        <v>140</v>
      </c>
      <c r="C211">
        <v>8</v>
      </c>
      <c r="D211" t="s">
        <v>29</v>
      </c>
      <c r="E211" s="14">
        <v>0</v>
      </c>
      <c r="F211" s="14">
        <v>0</v>
      </c>
      <c r="G211" s="124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>
        <v>0</v>
      </c>
      <c r="AB211" s="121">
        <v>0</v>
      </c>
      <c r="AC211" s="121">
        <v>0</v>
      </c>
      <c r="AD211" s="121">
        <v>0</v>
      </c>
      <c r="AE211" s="121">
        <v>0</v>
      </c>
      <c r="AF211" s="121">
        <v>0</v>
      </c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141</v>
      </c>
      <c r="B212" t="s">
        <v>140</v>
      </c>
      <c r="C212">
        <v>9</v>
      </c>
      <c r="D212" t="s">
        <v>30</v>
      </c>
      <c r="E212" s="14">
        <v>0</v>
      </c>
      <c r="F212" s="14">
        <v>0</v>
      </c>
      <c r="G212" s="124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>
        <v>0</v>
      </c>
      <c r="AB212" s="121">
        <v>0</v>
      </c>
      <c r="AC212" s="121">
        <v>0</v>
      </c>
      <c r="AD212" s="121">
        <v>0</v>
      </c>
      <c r="AE212" s="121">
        <v>0</v>
      </c>
      <c r="AF212" s="121">
        <v>0</v>
      </c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141</v>
      </c>
      <c r="B213" t="s">
        <v>140</v>
      </c>
      <c r="C213">
        <v>10</v>
      </c>
      <c r="D213" t="s">
        <v>34</v>
      </c>
      <c r="E213" s="14">
        <v>0</v>
      </c>
      <c r="F213" s="14">
        <v>0</v>
      </c>
      <c r="G213" s="124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>
        <v>0</v>
      </c>
      <c r="AB213" s="121">
        <v>0</v>
      </c>
      <c r="AC213" s="121">
        <v>0</v>
      </c>
      <c r="AD213" s="121">
        <v>0</v>
      </c>
      <c r="AE213" s="121">
        <v>0</v>
      </c>
      <c r="AF213" s="121">
        <v>0</v>
      </c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141</v>
      </c>
      <c r="B214" t="s">
        <v>140</v>
      </c>
      <c r="C214">
        <v>11</v>
      </c>
      <c r="D214" t="s">
        <v>37</v>
      </c>
      <c r="E214" s="14">
        <v>0</v>
      </c>
      <c r="F214" s="14">
        <v>0</v>
      </c>
      <c r="G214" s="124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>
        <v>0</v>
      </c>
      <c r="AB214" s="121">
        <v>0</v>
      </c>
      <c r="AC214" s="121">
        <v>0</v>
      </c>
      <c r="AD214" s="121">
        <v>0</v>
      </c>
      <c r="AE214" s="121">
        <v>0</v>
      </c>
      <c r="AF214" s="121">
        <v>0</v>
      </c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141</v>
      </c>
      <c r="B215" t="s">
        <v>140</v>
      </c>
      <c r="C215">
        <v>12</v>
      </c>
      <c r="D215" t="s">
        <v>38</v>
      </c>
      <c r="E215" s="14">
        <v>0</v>
      </c>
      <c r="F215" s="14">
        <v>0</v>
      </c>
      <c r="G215" s="124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>
        <v>0</v>
      </c>
      <c r="AB215" s="121">
        <v>0</v>
      </c>
      <c r="AC215" s="121">
        <v>0</v>
      </c>
      <c r="AD215" s="121">
        <v>0</v>
      </c>
      <c r="AE215" s="121">
        <v>0</v>
      </c>
      <c r="AF215" s="121">
        <v>0</v>
      </c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141</v>
      </c>
      <c r="B216" t="s">
        <v>140</v>
      </c>
      <c r="C216">
        <v>13</v>
      </c>
      <c r="D216" t="s">
        <v>41</v>
      </c>
      <c r="E216" s="14">
        <v>0</v>
      </c>
      <c r="F216" s="14">
        <v>0</v>
      </c>
      <c r="G216" s="124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>
        <v>0</v>
      </c>
      <c r="AB216" s="121">
        <v>0</v>
      </c>
      <c r="AC216" s="121">
        <v>0</v>
      </c>
      <c r="AD216" s="121">
        <v>0</v>
      </c>
      <c r="AE216" s="121">
        <v>0</v>
      </c>
      <c r="AF216" s="121">
        <v>0</v>
      </c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141</v>
      </c>
      <c r="B217" t="s">
        <v>140</v>
      </c>
      <c r="C217">
        <v>14</v>
      </c>
      <c r="D217" t="s">
        <v>42</v>
      </c>
      <c r="E217" s="14">
        <v>0</v>
      </c>
      <c r="F217" s="14">
        <v>0</v>
      </c>
      <c r="G217" s="124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>
        <v>0</v>
      </c>
      <c r="AB217" s="121">
        <v>0</v>
      </c>
      <c r="AC217" s="121">
        <v>0</v>
      </c>
      <c r="AD217" s="121">
        <v>0</v>
      </c>
      <c r="AE217" s="121">
        <v>0</v>
      </c>
      <c r="AF217" s="121">
        <v>0</v>
      </c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141</v>
      </c>
      <c r="B218" t="s">
        <v>140</v>
      </c>
      <c r="C218">
        <v>15</v>
      </c>
      <c r="D218" t="s">
        <v>43</v>
      </c>
      <c r="E218" s="14">
        <v>0</v>
      </c>
      <c r="F218" s="14">
        <v>0</v>
      </c>
      <c r="G218" s="124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>
        <v>0</v>
      </c>
      <c r="AB218" s="121">
        <v>0</v>
      </c>
      <c r="AC218" s="121">
        <v>0</v>
      </c>
      <c r="AD218" s="121">
        <v>0</v>
      </c>
      <c r="AE218" s="121">
        <v>0</v>
      </c>
      <c r="AF218" s="121">
        <v>0</v>
      </c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141</v>
      </c>
      <c r="B219" t="s">
        <v>140</v>
      </c>
      <c r="C219">
        <v>16</v>
      </c>
      <c r="D219" t="s">
        <v>44</v>
      </c>
      <c r="E219" s="14">
        <v>0</v>
      </c>
      <c r="F219" s="14">
        <v>0</v>
      </c>
      <c r="G219" s="124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>
        <v>0</v>
      </c>
      <c r="AB219" s="121">
        <v>0</v>
      </c>
      <c r="AC219" s="121">
        <v>0</v>
      </c>
      <c r="AD219" s="121">
        <v>0</v>
      </c>
      <c r="AE219" s="121">
        <v>0</v>
      </c>
      <c r="AF219" s="121">
        <v>0</v>
      </c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141</v>
      </c>
      <c r="B220" t="s">
        <v>140</v>
      </c>
      <c r="C220">
        <v>17</v>
      </c>
      <c r="D220" t="s">
        <v>127</v>
      </c>
      <c r="E220" s="14">
        <v>0</v>
      </c>
      <c r="F220" s="14">
        <v>0</v>
      </c>
      <c r="G220" s="124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>
        <v>0</v>
      </c>
      <c r="AB220" s="121">
        <v>0</v>
      </c>
      <c r="AC220" s="121">
        <v>0</v>
      </c>
      <c r="AD220" s="121">
        <v>0</v>
      </c>
      <c r="AE220" s="121">
        <v>0</v>
      </c>
      <c r="AF220" s="121">
        <v>0</v>
      </c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141</v>
      </c>
      <c r="B221" t="s">
        <v>140</v>
      </c>
      <c r="C221">
        <v>18</v>
      </c>
      <c r="D221" t="s">
        <v>128</v>
      </c>
      <c r="E221" s="14">
        <v>0</v>
      </c>
      <c r="F221" s="14">
        <v>0</v>
      </c>
      <c r="G221" s="124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>
        <v>0</v>
      </c>
      <c r="AB221" s="121">
        <v>0</v>
      </c>
      <c r="AC221" s="121">
        <v>0</v>
      </c>
      <c r="AD221" s="121">
        <v>0</v>
      </c>
      <c r="AE221" s="121">
        <v>0</v>
      </c>
      <c r="AF221" s="121">
        <v>0</v>
      </c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141</v>
      </c>
      <c r="B222" t="s">
        <v>140</v>
      </c>
      <c r="C222">
        <v>19</v>
      </c>
      <c r="D222" t="s">
        <v>49</v>
      </c>
      <c r="E222" s="14">
        <v>0</v>
      </c>
      <c r="F222" s="14">
        <v>0</v>
      </c>
      <c r="G222" s="124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>
        <v>0</v>
      </c>
      <c r="AB222" s="121">
        <v>0</v>
      </c>
      <c r="AC222" s="121">
        <v>0</v>
      </c>
      <c r="AD222" s="121">
        <v>0</v>
      </c>
      <c r="AE222" s="121">
        <v>0</v>
      </c>
      <c r="AF222" s="121">
        <v>0</v>
      </c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141</v>
      </c>
      <c r="B223" t="s">
        <v>140</v>
      </c>
      <c r="C223">
        <v>20</v>
      </c>
      <c r="D223" t="s">
        <v>129</v>
      </c>
      <c r="E223" s="14">
        <v>0</v>
      </c>
      <c r="F223" s="14">
        <v>0</v>
      </c>
      <c r="G223" s="124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>
        <v>0</v>
      </c>
      <c r="AB223" s="121">
        <v>0</v>
      </c>
      <c r="AC223" s="121">
        <v>0</v>
      </c>
      <c r="AD223" s="121">
        <v>0</v>
      </c>
      <c r="AE223" s="121">
        <v>0</v>
      </c>
      <c r="AF223" s="121">
        <v>0</v>
      </c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141</v>
      </c>
      <c r="B224" t="s">
        <v>140</v>
      </c>
      <c r="C224">
        <v>21</v>
      </c>
      <c r="D224" t="s">
        <v>130</v>
      </c>
      <c r="E224" s="14">
        <v>0</v>
      </c>
      <c r="F224" s="14">
        <v>0</v>
      </c>
      <c r="G224" s="124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>
        <v>0</v>
      </c>
      <c r="AB224" s="121">
        <v>0</v>
      </c>
      <c r="AC224" s="121">
        <v>0</v>
      </c>
      <c r="AD224" s="121">
        <v>0</v>
      </c>
      <c r="AE224" s="121">
        <v>0</v>
      </c>
      <c r="AF224" s="121">
        <v>0</v>
      </c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141</v>
      </c>
      <c r="B225" t="s">
        <v>140</v>
      </c>
      <c r="C225">
        <v>22</v>
      </c>
      <c r="D225" t="s">
        <v>131</v>
      </c>
      <c r="E225" s="14">
        <v>0</v>
      </c>
      <c r="F225" s="14">
        <v>0</v>
      </c>
      <c r="G225" s="124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>
        <v>0</v>
      </c>
      <c r="AB225" s="121">
        <v>0</v>
      </c>
      <c r="AC225" s="121">
        <v>0</v>
      </c>
      <c r="AD225" s="121">
        <v>0</v>
      </c>
      <c r="AE225" s="121">
        <v>0</v>
      </c>
      <c r="AF225" s="121">
        <v>0</v>
      </c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141</v>
      </c>
      <c r="B226" t="s">
        <v>140</v>
      </c>
      <c r="C226">
        <v>23</v>
      </c>
      <c r="D226" t="s">
        <v>132</v>
      </c>
      <c r="E226" s="14">
        <v>0</v>
      </c>
      <c r="F226" s="14">
        <v>0</v>
      </c>
      <c r="G226" s="124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>
        <v>0</v>
      </c>
      <c r="AB226" s="121">
        <v>0</v>
      </c>
      <c r="AC226" s="121">
        <v>0</v>
      </c>
      <c r="AD226" s="121">
        <v>0</v>
      </c>
      <c r="AE226" s="121">
        <v>0</v>
      </c>
      <c r="AF226" s="121">
        <v>0</v>
      </c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141</v>
      </c>
      <c r="B227" t="s">
        <v>140</v>
      </c>
      <c r="C227">
        <v>24</v>
      </c>
      <c r="D227" t="s">
        <v>57</v>
      </c>
      <c r="E227" s="14">
        <v>0</v>
      </c>
      <c r="F227" s="14">
        <v>0</v>
      </c>
      <c r="G227" s="124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>
        <v>0</v>
      </c>
      <c r="AB227" s="121">
        <v>0</v>
      </c>
      <c r="AC227" s="121">
        <v>0</v>
      </c>
      <c r="AD227" s="121">
        <v>0</v>
      </c>
      <c r="AE227" s="121">
        <v>0</v>
      </c>
      <c r="AF227" s="121">
        <v>0</v>
      </c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141</v>
      </c>
      <c r="B228" t="s">
        <v>140</v>
      </c>
      <c r="C228">
        <v>25</v>
      </c>
      <c r="D228" t="s">
        <v>58</v>
      </c>
      <c r="E228" s="14">
        <v>0</v>
      </c>
      <c r="F228" s="14">
        <v>0</v>
      </c>
      <c r="G228" s="124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>
        <v>0</v>
      </c>
      <c r="AB228" s="121">
        <v>0</v>
      </c>
      <c r="AC228" s="121">
        <v>0</v>
      </c>
      <c r="AD228" s="121">
        <v>0</v>
      </c>
      <c r="AE228" s="121">
        <v>0</v>
      </c>
      <c r="AF228" s="121">
        <v>0</v>
      </c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141</v>
      </c>
      <c r="B229" t="s">
        <v>140</v>
      </c>
      <c r="C229">
        <v>26</v>
      </c>
      <c r="D229" t="s">
        <v>133</v>
      </c>
      <c r="E229" s="14">
        <v>0</v>
      </c>
      <c r="F229" s="14">
        <v>0</v>
      </c>
      <c r="G229" s="124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>
        <v>0</v>
      </c>
      <c r="AB229" s="121">
        <v>0</v>
      </c>
      <c r="AC229" s="121">
        <v>0</v>
      </c>
      <c r="AD229" s="121">
        <v>0</v>
      </c>
      <c r="AE229" s="121">
        <v>0</v>
      </c>
      <c r="AF229" s="121">
        <v>0</v>
      </c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141</v>
      </c>
      <c r="B230" t="s">
        <v>140</v>
      </c>
      <c r="C230">
        <v>27</v>
      </c>
      <c r="D230" t="s">
        <v>134</v>
      </c>
      <c r="E230" s="14">
        <v>0</v>
      </c>
      <c r="F230" s="14">
        <v>0</v>
      </c>
      <c r="G230" s="124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>
        <v>0</v>
      </c>
      <c r="AB230" s="121">
        <v>0</v>
      </c>
      <c r="AC230" s="121">
        <v>0</v>
      </c>
      <c r="AD230" s="121">
        <v>0</v>
      </c>
      <c r="AE230" s="121">
        <v>0</v>
      </c>
      <c r="AF230" s="121">
        <v>0</v>
      </c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141</v>
      </c>
      <c r="B231" t="s">
        <v>140</v>
      </c>
      <c r="C231">
        <v>28</v>
      </c>
      <c r="D231" t="s">
        <v>135</v>
      </c>
      <c r="E231" s="14">
        <v>0</v>
      </c>
      <c r="F231" s="14">
        <v>0</v>
      </c>
      <c r="G231" s="124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>
        <v>0</v>
      </c>
      <c r="AB231" s="121">
        <v>0</v>
      </c>
      <c r="AC231" s="121">
        <v>0</v>
      </c>
      <c r="AD231" s="121">
        <v>0</v>
      </c>
      <c r="AE231" s="121">
        <v>0</v>
      </c>
      <c r="AF231" s="121">
        <v>0</v>
      </c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141</v>
      </c>
      <c r="B232" t="s">
        <v>140</v>
      </c>
      <c r="C232">
        <v>29</v>
      </c>
      <c r="D232" t="s">
        <v>136</v>
      </c>
      <c r="E232" s="14">
        <v>0</v>
      </c>
      <c r="F232" s="14">
        <v>0</v>
      </c>
      <c r="G232" s="124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>
        <v>0</v>
      </c>
      <c r="AB232" s="121">
        <v>0</v>
      </c>
      <c r="AC232" s="121">
        <v>0</v>
      </c>
      <c r="AD232" s="121">
        <v>0</v>
      </c>
      <c r="AE232" s="121">
        <v>0</v>
      </c>
      <c r="AF232" s="121">
        <v>0</v>
      </c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141</v>
      </c>
      <c r="B233" t="s">
        <v>140</v>
      </c>
      <c r="C233">
        <v>30</v>
      </c>
      <c r="D233" t="s">
        <v>137</v>
      </c>
      <c r="E233" s="14">
        <v>0</v>
      </c>
      <c r="F233" s="14">
        <v>0</v>
      </c>
      <c r="G233" s="124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>
        <v>0</v>
      </c>
      <c r="AB233" s="121">
        <v>0</v>
      </c>
      <c r="AC233" s="121">
        <v>0</v>
      </c>
      <c r="AD233" s="121">
        <v>0</v>
      </c>
      <c r="AE233" s="121">
        <v>0</v>
      </c>
      <c r="AF233" s="121">
        <v>0</v>
      </c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141</v>
      </c>
      <c r="B234" t="s">
        <v>140</v>
      </c>
      <c r="C234">
        <v>31</v>
      </c>
      <c r="D234" t="s">
        <v>138</v>
      </c>
      <c r="E234" s="14">
        <v>0</v>
      </c>
      <c r="F234" s="14">
        <v>0</v>
      </c>
      <c r="G234" s="124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>
        <v>0</v>
      </c>
      <c r="AB234" s="121">
        <v>0</v>
      </c>
      <c r="AC234" s="121">
        <v>0</v>
      </c>
      <c r="AD234" s="121">
        <v>0</v>
      </c>
      <c r="AE234" s="121">
        <v>0</v>
      </c>
      <c r="AF234" s="121">
        <v>0</v>
      </c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141</v>
      </c>
      <c r="B235" t="s">
        <v>140</v>
      </c>
      <c r="C235">
        <v>32</v>
      </c>
      <c r="D235" t="s">
        <v>72</v>
      </c>
      <c r="E235" s="14">
        <v>0</v>
      </c>
      <c r="F235" s="14">
        <v>0</v>
      </c>
      <c r="G235" s="124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>
        <v>0</v>
      </c>
      <c r="AB235" s="121">
        <v>0</v>
      </c>
      <c r="AC235" s="121">
        <v>0</v>
      </c>
      <c r="AD235" s="121">
        <v>0</v>
      </c>
      <c r="AE235" s="121">
        <v>0</v>
      </c>
      <c r="AF235" s="121">
        <v>0</v>
      </c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141</v>
      </c>
      <c r="B236" t="s">
        <v>140</v>
      </c>
      <c r="C236">
        <v>33</v>
      </c>
      <c r="D236" t="s">
        <v>73</v>
      </c>
      <c r="E236" s="14">
        <v>0</v>
      </c>
      <c r="F236" s="14">
        <v>0</v>
      </c>
      <c r="G236" s="124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>
        <v>0</v>
      </c>
      <c r="AB236" s="121">
        <v>0</v>
      </c>
      <c r="AC236" s="121">
        <v>0</v>
      </c>
      <c r="AD236" s="121">
        <v>0</v>
      </c>
      <c r="AE236" s="121">
        <v>0</v>
      </c>
      <c r="AF236" s="121">
        <v>0</v>
      </c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141</v>
      </c>
      <c r="B237" t="s">
        <v>140</v>
      </c>
      <c r="C237">
        <v>34</v>
      </c>
      <c r="D237" t="s">
        <v>74</v>
      </c>
      <c r="E237" s="14">
        <v>0</v>
      </c>
      <c r="F237" s="14">
        <v>0</v>
      </c>
      <c r="G237" s="124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>
        <v>0</v>
      </c>
      <c r="AB237" s="121">
        <v>0</v>
      </c>
      <c r="AC237" s="121">
        <v>0</v>
      </c>
      <c r="AD237" s="121">
        <v>0</v>
      </c>
      <c r="AE237" s="121">
        <v>0</v>
      </c>
      <c r="AF237" s="121">
        <v>0</v>
      </c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141</v>
      </c>
      <c r="B238" t="s">
        <v>140</v>
      </c>
      <c r="C238">
        <v>35</v>
      </c>
      <c r="D238" t="s">
        <v>75</v>
      </c>
      <c r="E238" s="14">
        <v>0</v>
      </c>
      <c r="F238" s="14">
        <v>0</v>
      </c>
      <c r="G238" s="124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>
        <v>0</v>
      </c>
      <c r="AB238" s="121">
        <v>0</v>
      </c>
      <c r="AC238" s="121">
        <v>0</v>
      </c>
      <c r="AD238" s="121">
        <v>0</v>
      </c>
      <c r="AE238" s="121">
        <v>0</v>
      </c>
      <c r="AF238" s="121">
        <v>0</v>
      </c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141</v>
      </c>
      <c r="B239" t="s">
        <v>140</v>
      </c>
      <c r="C239">
        <v>36</v>
      </c>
      <c r="D239" t="s">
        <v>76</v>
      </c>
      <c r="E239" s="14">
        <v>0</v>
      </c>
      <c r="F239" s="14">
        <v>0</v>
      </c>
      <c r="G239" s="124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>
        <v>0</v>
      </c>
      <c r="AB239" s="121">
        <v>0</v>
      </c>
      <c r="AC239" s="121">
        <v>0</v>
      </c>
      <c r="AD239" s="121">
        <v>0</v>
      </c>
      <c r="AE239" s="121">
        <v>0</v>
      </c>
      <c r="AF239" s="121">
        <v>0</v>
      </c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141</v>
      </c>
      <c r="B240" t="s">
        <v>140</v>
      </c>
      <c r="C240">
        <v>37</v>
      </c>
      <c r="D240" t="s">
        <v>77</v>
      </c>
      <c r="E240" s="14">
        <v>0</v>
      </c>
      <c r="F240" s="14">
        <v>0</v>
      </c>
      <c r="G240" s="124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>
        <v>0</v>
      </c>
      <c r="AB240" s="121">
        <v>0</v>
      </c>
      <c r="AC240" s="121">
        <v>0</v>
      </c>
      <c r="AD240" s="121">
        <v>0</v>
      </c>
      <c r="AE240" s="121">
        <v>0</v>
      </c>
      <c r="AF240" s="121">
        <v>0</v>
      </c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141</v>
      </c>
      <c r="B241" t="s">
        <v>140</v>
      </c>
      <c r="C241">
        <v>38</v>
      </c>
      <c r="D241" t="s">
        <v>78</v>
      </c>
      <c r="E241" s="14">
        <v>0</v>
      </c>
      <c r="F241" s="14">
        <v>0</v>
      </c>
      <c r="G241" s="124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>
        <v>0</v>
      </c>
      <c r="AB241" s="121">
        <v>0</v>
      </c>
      <c r="AC241" s="121">
        <v>0</v>
      </c>
      <c r="AD241" s="121">
        <v>0</v>
      </c>
      <c r="AE241" s="121">
        <v>0</v>
      </c>
      <c r="AF241" s="121">
        <v>0</v>
      </c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141</v>
      </c>
      <c r="B242" t="s">
        <v>140</v>
      </c>
      <c r="C242">
        <v>39</v>
      </c>
      <c r="D242" t="s">
        <v>79</v>
      </c>
      <c r="E242" s="14">
        <v>0</v>
      </c>
      <c r="F242" s="14">
        <v>0</v>
      </c>
      <c r="G242" s="124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>
        <v>0</v>
      </c>
      <c r="AB242" s="121">
        <v>0</v>
      </c>
      <c r="AC242" s="121">
        <v>0</v>
      </c>
      <c r="AD242" s="121">
        <v>0</v>
      </c>
      <c r="AE242" s="121">
        <v>0</v>
      </c>
      <c r="AF242" s="121">
        <v>0</v>
      </c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141</v>
      </c>
      <c r="B243" t="s">
        <v>140</v>
      </c>
      <c r="C243">
        <v>40</v>
      </c>
      <c r="D243" t="s">
        <v>80</v>
      </c>
      <c r="E243" s="14">
        <v>0</v>
      </c>
      <c r="F243" s="14">
        <v>0</v>
      </c>
      <c r="G243" s="124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>
        <v>0</v>
      </c>
      <c r="AB243" s="121">
        <v>0</v>
      </c>
      <c r="AC243" s="121">
        <v>0</v>
      </c>
      <c r="AD243" s="121">
        <v>0</v>
      </c>
      <c r="AE243" s="121">
        <v>0</v>
      </c>
      <c r="AF243" s="121">
        <v>0</v>
      </c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141</v>
      </c>
      <c r="B244" t="s">
        <v>144</v>
      </c>
      <c r="C244">
        <v>1</v>
      </c>
      <c r="D244" t="s">
        <v>27</v>
      </c>
      <c r="E244" s="14">
        <v>46588416</v>
      </c>
      <c r="F244" s="14">
        <v>109823077.37999998</v>
      </c>
      <c r="G244" s="124">
        <v>2971319</v>
      </c>
      <c r="H244" s="121">
        <v>6885811.54</v>
      </c>
      <c r="I244" s="124">
        <v>1903709</v>
      </c>
      <c r="J244" s="121">
        <v>4017634.18</v>
      </c>
      <c r="K244" s="121">
        <v>-1923683</v>
      </c>
      <c r="L244" s="121">
        <v>-4443613.5199999996</v>
      </c>
      <c r="M244" s="121">
        <v>342523</v>
      </c>
      <c r="N244" s="121">
        <v>801864.62</v>
      </c>
      <c r="O244" s="121">
        <v>-55430</v>
      </c>
      <c r="P244" s="121">
        <v>20310.98</v>
      </c>
      <c r="Q244" s="121">
        <v>70695</v>
      </c>
      <c r="R244" s="121">
        <v>174192.61</v>
      </c>
      <c r="S244" s="121">
        <v>5491</v>
      </c>
      <c r="T244" s="121">
        <v>11557.05</v>
      </c>
      <c r="U244" s="121">
        <v>0</v>
      </c>
      <c r="V244" s="121">
        <v>-37521.300000000003</v>
      </c>
      <c r="W244" s="121">
        <v>0</v>
      </c>
      <c r="X244" s="121">
        <v>0</v>
      </c>
      <c r="Y244" s="121">
        <v>0</v>
      </c>
      <c r="Z244" s="121">
        <v>0</v>
      </c>
      <c r="AA244" s="121">
        <v>0</v>
      </c>
      <c r="AB244" s="121">
        <v>0</v>
      </c>
      <c r="AC244" s="121">
        <v>6081</v>
      </c>
      <c r="AD244" s="121">
        <v>24059.99</v>
      </c>
      <c r="AE244" s="121">
        <v>0</v>
      </c>
      <c r="AF244" s="121">
        <v>-5227.8999999999996</v>
      </c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141</v>
      </c>
      <c r="B245" t="s">
        <v>144</v>
      </c>
      <c r="C245">
        <v>2</v>
      </c>
      <c r="D245" t="s">
        <v>28</v>
      </c>
      <c r="E245" s="14">
        <v>0</v>
      </c>
      <c r="F245" s="14">
        <v>0</v>
      </c>
      <c r="G245" s="124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>
        <v>0</v>
      </c>
      <c r="AB245" s="121">
        <v>0</v>
      </c>
      <c r="AC245" s="121">
        <v>0</v>
      </c>
      <c r="AD245" s="121">
        <v>0</v>
      </c>
      <c r="AE245" s="121">
        <v>0</v>
      </c>
      <c r="AF245" s="121">
        <v>0</v>
      </c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141</v>
      </c>
      <c r="B246" t="s">
        <v>144</v>
      </c>
      <c r="C246">
        <v>3</v>
      </c>
      <c r="D246" t="s">
        <v>29</v>
      </c>
      <c r="E246" s="14">
        <v>33068401</v>
      </c>
      <c r="F246" s="14">
        <v>74404619</v>
      </c>
      <c r="G246" s="124">
        <v>-2000</v>
      </c>
      <c r="H246" s="121">
        <v>-4399</v>
      </c>
      <c r="I246" s="124">
        <v>0</v>
      </c>
      <c r="J246" s="121">
        <v>0</v>
      </c>
      <c r="K246" s="121">
        <v>0</v>
      </c>
      <c r="L246" s="121">
        <v>0</v>
      </c>
      <c r="M246" s="121">
        <v>0</v>
      </c>
      <c r="N246" s="121">
        <v>0</v>
      </c>
      <c r="O246" s="121">
        <v>71127</v>
      </c>
      <c r="P246" s="121">
        <v>159945</v>
      </c>
      <c r="Q246" s="121">
        <v>71127</v>
      </c>
      <c r="R246" s="121">
        <v>159945</v>
      </c>
      <c r="S246" s="121">
        <v>-140254</v>
      </c>
      <c r="T246" s="121">
        <v>-315491</v>
      </c>
      <c r="U246" s="121">
        <v>853362</v>
      </c>
      <c r="V246" s="121">
        <v>1872025</v>
      </c>
      <c r="W246" s="121">
        <v>0</v>
      </c>
      <c r="X246" s="121">
        <v>0</v>
      </c>
      <c r="Y246" s="121">
        <v>-853362</v>
      </c>
      <c r="Z246" s="121">
        <v>-1872025</v>
      </c>
      <c r="AA246" s="121">
        <v>0</v>
      </c>
      <c r="AB246" s="121">
        <v>0</v>
      </c>
      <c r="AC246" s="121">
        <v>0</v>
      </c>
      <c r="AD246" s="121">
        <v>0</v>
      </c>
      <c r="AE246" s="121">
        <v>0</v>
      </c>
      <c r="AF246" s="121">
        <v>0</v>
      </c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141</v>
      </c>
      <c r="B247" t="s">
        <v>144</v>
      </c>
      <c r="C247">
        <v>4</v>
      </c>
      <c r="D247" t="s">
        <v>30</v>
      </c>
      <c r="E247" s="14">
        <v>0</v>
      </c>
      <c r="F247" s="14">
        <v>0</v>
      </c>
      <c r="G247" s="124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>
        <v>0</v>
      </c>
      <c r="AB247" s="121">
        <v>0</v>
      </c>
      <c r="AC247" s="121">
        <v>0</v>
      </c>
      <c r="AD247" s="121">
        <v>0</v>
      </c>
      <c r="AE247" s="121">
        <v>0</v>
      </c>
      <c r="AF247" s="121">
        <v>0</v>
      </c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141</v>
      </c>
      <c r="B248" t="s">
        <v>144</v>
      </c>
      <c r="C248">
        <v>5</v>
      </c>
      <c r="D248" t="s">
        <v>126</v>
      </c>
      <c r="E248" s="14">
        <v>0</v>
      </c>
      <c r="F248" s="14">
        <v>0</v>
      </c>
      <c r="G248" s="124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>
        <v>0</v>
      </c>
      <c r="AB248" s="121">
        <v>0</v>
      </c>
      <c r="AC248" s="121">
        <v>0</v>
      </c>
      <c r="AD248" s="121">
        <v>0</v>
      </c>
      <c r="AE248" s="121">
        <v>0</v>
      </c>
      <c r="AF248" s="121">
        <v>0</v>
      </c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141</v>
      </c>
      <c r="B249" t="s">
        <v>144</v>
      </c>
      <c r="C249">
        <v>6</v>
      </c>
      <c r="D249" t="s">
        <v>27</v>
      </c>
      <c r="E249" s="14">
        <v>-36261005</v>
      </c>
      <c r="F249" s="14">
        <v>-80884334.840000004</v>
      </c>
      <c r="G249" s="124">
        <v>-4470090</v>
      </c>
      <c r="H249" s="121">
        <v>-10823648.4</v>
      </c>
      <c r="I249" s="124">
        <v>-101385</v>
      </c>
      <c r="J249" s="121">
        <v>-218786.66</v>
      </c>
      <c r="K249" s="121">
        <v>181570</v>
      </c>
      <c r="L249" s="121">
        <v>422303.8</v>
      </c>
      <c r="M249" s="121">
        <v>-56000</v>
      </c>
      <c r="N249" s="121">
        <v>-122080</v>
      </c>
      <c r="O249" s="121">
        <v>-7417</v>
      </c>
      <c r="P249" s="121">
        <v>-20420.96</v>
      </c>
      <c r="Q249" s="121">
        <v>-81250</v>
      </c>
      <c r="R249" s="121">
        <v>-179348.03</v>
      </c>
      <c r="S249" s="121">
        <v>-5491</v>
      </c>
      <c r="T249" s="121">
        <v>-11833.1</v>
      </c>
      <c r="U249" s="121">
        <v>17306</v>
      </c>
      <c r="V249" s="121">
        <v>38211.65</v>
      </c>
      <c r="W249" s="121">
        <v>0</v>
      </c>
      <c r="X249" s="121">
        <v>0</v>
      </c>
      <c r="Y249" s="121">
        <v>0</v>
      </c>
      <c r="Z249" s="121">
        <v>0</v>
      </c>
      <c r="AA249" s="121">
        <v>0</v>
      </c>
      <c r="AB249" s="121">
        <v>0</v>
      </c>
      <c r="AC249" s="121">
        <v>-98</v>
      </c>
      <c r="AD249" s="121">
        <v>-331.35</v>
      </c>
      <c r="AE249" s="121">
        <v>0</v>
      </c>
      <c r="AF249" s="121">
        <v>0</v>
      </c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141</v>
      </c>
      <c r="B250" t="s">
        <v>144</v>
      </c>
      <c r="C250">
        <v>7</v>
      </c>
      <c r="D250" t="s">
        <v>28</v>
      </c>
      <c r="E250" s="14">
        <v>0</v>
      </c>
      <c r="F250" s="14">
        <v>0</v>
      </c>
      <c r="G250" s="124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>
        <v>0</v>
      </c>
      <c r="AB250" s="121">
        <v>0</v>
      </c>
      <c r="AC250" s="121">
        <v>0</v>
      </c>
      <c r="AD250" s="121">
        <v>0</v>
      </c>
      <c r="AE250" s="121">
        <v>0</v>
      </c>
      <c r="AF250" s="121">
        <v>0</v>
      </c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141</v>
      </c>
      <c r="B251" t="s">
        <v>144</v>
      </c>
      <c r="C251">
        <v>8</v>
      </c>
      <c r="D251" t="s">
        <v>29</v>
      </c>
      <c r="E251" s="14">
        <v>-35034400</v>
      </c>
      <c r="F251" s="14">
        <v>-78683911</v>
      </c>
      <c r="G251" s="124">
        <v>395139</v>
      </c>
      <c r="H251" s="121">
        <v>865067</v>
      </c>
      <c r="I251" s="124">
        <v>0</v>
      </c>
      <c r="J251" s="121">
        <v>0</v>
      </c>
      <c r="K251" s="121">
        <v>-20682</v>
      </c>
      <c r="L251" s="121">
        <v>-43946</v>
      </c>
      <c r="M251" s="121">
        <v>0</v>
      </c>
      <c r="N251" s="121">
        <v>0</v>
      </c>
      <c r="O251" s="121">
        <v>-71127</v>
      </c>
      <c r="P251" s="121">
        <v>-159945</v>
      </c>
      <c r="Q251" s="121">
        <v>-71127</v>
      </c>
      <c r="R251" s="121">
        <v>-159945</v>
      </c>
      <c r="S251" s="121">
        <v>-232203</v>
      </c>
      <c r="T251" s="121">
        <v>-501231</v>
      </c>
      <c r="U251" s="121">
        <v>-930666</v>
      </c>
      <c r="V251" s="121">
        <v>-2042727</v>
      </c>
      <c r="W251" s="121">
        <v>0</v>
      </c>
      <c r="X251" s="121">
        <v>0</v>
      </c>
      <c r="Y251" s="121">
        <v>930666</v>
      </c>
      <c r="Z251" s="121">
        <v>2042727</v>
      </c>
      <c r="AA251" s="121">
        <v>0</v>
      </c>
      <c r="AB251" s="121">
        <v>0</v>
      </c>
      <c r="AC251" s="121">
        <v>0</v>
      </c>
      <c r="AD251" s="121">
        <v>0</v>
      </c>
      <c r="AE251" s="121">
        <v>0</v>
      </c>
      <c r="AF251" s="121">
        <v>0</v>
      </c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141</v>
      </c>
      <c r="B252" t="s">
        <v>144</v>
      </c>
      <c r="C252">
        <v>9</v>
      </c>
      <c r="D252" t="s">
        <v>30</v>
      </c>
      <c r="E252" s="14">
        <v>0</v>
      </c>
      <c r="F252" s="14">
        <v>0</v>
      </c>
      <c r="G252" s="124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>
        <v>0</v>
      </c>
      <c r="AB252" s="121">
        <v>0</v>
      </c>
      <c r="AC252" s="121">
        <v>0</v>
      </c>
      <c r="AD252" s="121">
        <v>0</v>
      </c>
      <c r="AE252" s="121">
        <v>0</v>
      </c>
      <c r="AF252" s="121">
        <v>0</v>
      </c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141</v>
      </c>
      <c r="B253" t="s">
        <v>144</v>
      </c>
      <c r="C253">
        <v>10</v>
      </c>
      <c r="D253" t="s">
        <v>34</v>
      </c>
      <c r="E253" s="14">
        <v>3105</v>
      </c>
      <c r="F253" s="14">
        <v>7104.24</v>
      </c>
      <c r="G253" s="124">
        <v>8735</v>
      </c>
      <c r="H253" s="121">
        <v>19985.68</v>
      </c>
      <c r="I253" s="124">
        <v>1</v>
      </c>
      <c r="J253" s="121">
        <v>2.29</v>
      </c>
      <c r="K253" s="121">
        <v>0</v>
      </c>
      <c r="L253" s="121">
        <v>0</v>
      </c>
      <c r="M253" s="121">
        <v>0</v>
      </c>
      <c r="N253" s="121">
        <v>0</v>
      </c>
      <c r="O253" s="121">
        <v>0</v>
      </c>
      <c r="P253" s="121">
        <v>0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>
        <v>0</v>
      </c>
      <c r="AB253" s="121">
        <v>0</v>
      </c>
      <c r="AC253" s="121">
        <v>0</v>
      </c>
      <c r="AD253" s="121">
        <v>0</v>
      </c>
      <c r="AE253" s="121">
        <v>0</v>
      </c>
      <c r="AF253" s="121">
        <v>0</v>
      </c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141</v>
      </c>
      <c r="B254" t="s">
        <v>144</v>
      </c>
      <c r="C254">
        <v>11</v>
      </c>
      <c r="D254" t="s">
        <v>37</v>
      </c>
      <c r="E254" s="14">
        <v>206328</v>
      </c>
      <c r="F254" s="14">
        <v>484870.78</v>
      </c>
      <c r="G254" s="124">
        <v>12</v>
      </c>
      <c r="H254" s="121">
        <v>28.22</v>
      </c>
      <c r="I254" s="124">
        <v>10233</v>
      </c>
      <c r="J254" s="121">
        <v>24048</v>
      </c>
      <c r="K254" s="121">
        <v>0</v>
      </c>
      <c r="L254" s="121">
        <v>0</v>
      </c>
      <c r="M254" s="121">
        <v>0</v>
      </c>
      <c r="N254" s="121">
        <v>0</v>
      </c>
      <c r="O254" s="121">
        <v>0</v>
      </c>
      <c r="P254" s="121">
        <v>0</v>
      </c>
      <c r="Q254" s="121">
        <v>-384</v>
      </c>
      <c r="R254" s="121">
        <v>-902.4</v>
      </c>
      <c r="S254" s="121">
        <v>0</v>
      </c>
      <c r="T254" s="121">
        <v>0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>
        <v>0</v>
      </c>
      <c r="AB254" s="121">
        <v>0</v>
      </c>
      <c r="AC254" s="121">
        <v>0</v>
      </c>
      <c r="AD254" s="121">
        <v>0</v>
      </c>
      <c r="AE254" s="121">
        <v>0</v>
      </c>
      <c r="AF254" s="121">
        <v>0</v>
      </c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141</v>
      </c>
      <c r="B255" t="s">
        <v>144</v>
      </c>
      <c r="C255">
        <v>12</v>
      </c>
      <c r="D255" t="s">
        <v>38</v>
      </c>
      <c r="E255" s="14">
        <v>-15270698</v>
      </c>
      <c r="F255" s="14">
        <v>-35719954.380000003</v>
      </c>
      <c r="G255" s="124">
        <v>-140268</v>
      </c>
      <c r="H255" s="121">
        <v>-330990.06</v>
      </c>
      <c r="I255" s="124">
        <v>-694255</v>
      </c>
      <c r="J255" s="121">
        <v>-716.57</v>
      </c>
      <c r="K255" s="121">
        <v>690698</v>
      </c>
      <c r="L255" s="121">
        <v>-7760.43</v>
      </c>
      <c r="M255" s="121">
        <v>0</v>
      </c>
      <c r="N255" s="121">
        <v>0</v>
      </c>
      <c r="O255" s="121">
        <v>138080</v>
      </c>
      <c r="P255" s="121">
        <v>291468</v>
      </c>
      <c r="Q255" s="121">
        <v>10233</v>
      </c>
      <c r="R255" s="121">
        <v>24047.55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>
        <v>0</v>
      </c>
      <c r="AB255" s="121">
        <v>0</v>
      </c>
      <c r="AC255" s="121">
        <v>0</v>
      </c>
      <c r="AD255" s="121">
        <v>0</v>
      </c>
      <c r="AE255" s="121">
        <v>0</v>
      </c>
      <c r="AF255" s="121">
        <v>0</v>
      </c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141</v>
      </c>
      <c r="B256" t="s">
        <v>144</v>
      </c>
      <c r="C256">
        <v>13</v>
      </c>
      <c r="D256" t="s">
        <v>41</v>
      </c>
      <c r="E256" s="14">
        <v>-10813</v>
      </c>
      <c r="F256" s="14">
        <v>-24740.14</v>
      </c>
      <c r="G256" s="124">
        <v>-157218</v>
      </c>
      <c r="H256" s="121">
        <v>-341735.47</v>
      </c>
      <c r="I256" s="124">
        <v>6106</v>
      </c>
      <c r="J256" s="121">
        <v>13738.5</v>
      </c>
      <c r="K256" s="121">
        <v>-443388</v>
      </c>
      <c r="L256" s="121">
        <v>-1275734.348</v>
      </c>
      <c r="M256" s="121">
        <v>108550</v>
      </c>
      <c r="N256" s="121">
        <v>319192.15000000002</v>
      </c>
      <c r="O256" s="121">
        <v>196616</v>
      </c>
      <c r="P256" s="121">
        <v>640521.76</v>
      </c>
      <c r="Q256" s="121">
        <v>-180053</v>
      </c>
      <c r="R256" s="121">
        <v>-411961.26400000002</v>
      </c>
      <c r="S256" s="121">
        <v>0</v>
      </c>
      <c r="T256" s="121">
        <v>0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>
        <v>0</v>
      </c>
      <c r="AB256" s="121">
        <v>0</v>
      </c>
      <c r="AC256" s="121">
        <v>0</v>
      </c>
      <c r="AD256" s="121">
        <v>0</v>
      </c>
      <c r="AE256" s="121">
        <v>0</v>
      </c>
      <c r="AF256" s="121">
        <v>0</v>
      </c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141</v>
      </c>
      <c r="B257" t="s">
        <v>144</v>
      </c>
      <c r="C257">
        <v>14</v>
      </c>
      <c r="D257" t="s">
        <v>42</v>
      </c>
      <c r="E257" s="14">
        <v>0</v>
      </c>
      <c r="F257" s="14">
        <v>0</v>
      </c>
      <c r="G257" s="124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>
        <v>0</v>
      </c>
      <c r="AB257" s="121">
        <v>0</v>
      </c>
      <c r="AC257" s="121">
        <v>0</v>
      </c>
      <c r="AD257" s="121">
        <v>0</v>
      </c>
      <c r="AE257" s="121">
        <v>0</v>
      </c>
      <c r="AF257" s="121">
        <v>0</v>
      </c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141</v>
      </c>
      <c r="B258" t="s">
        <v>144</v>
      </c>
      <c r="C258">
        <v>15</v>
      </c>
      <c r="D258" t="s">
        <v>43</v>
      </c>
      <c r="E258" s="14">
        <v>0</v>
      </c>
      <c r="F258" s="14">
        <v>0</v>
      </c>
      <c r="G258" s="124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>
        <v>0</v>
      </c>
      <c r="AB258" s="121">
        <v>0</v>
      </c>
      <c r="AC258" s="121">
        <v>0</v>
      </c>
      <c r="AD258" s="121">
        <v>0</v>
      </c>
      <c r="AE258" s="121">
        <v>0</v>
      </c>
      <c r="AF258" s="121">
        <v>0</v>
      </c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141</v>
      </c>
      <c r="B259" t="s">
        <v>144</v>
      </c>
      <c r="C259">
        <v>16</v>
      </c>
      <c r="D259" t="s">
        <v>44</v>
      </c>
      <c r="E259" s="14">
        <v>0</v>
      </c>
      <c r="F259" s="14">
        <v>0.01</v>
      </c>
      <c r="G259" s="124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>
        <v>0</v>
      </c>
      <c r="AB259" s="121">
        <v>0</v>
      </c>
      <c r="AC259" s="121">
        <v>0</v>
      </c>
      <c r="AD259" s="121">
        <v>0</v>
      </c>
      <c r="AE259" s="121">
        <v>0</v>
      </c>
      <c r="AF259" s="121">
        <v>0</v>
      </c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141</v>
      </c>
      <c r="B260" t="s">
        <v>144</v>
      </c>
      <c r="C260">
        <v>17</v>
      </c>
      <c r="D260" t="s">
        <v>127</v>
      </c>
      <c r="E260" s="14">
        <v>8140904</v>
      </c>
      <c r="F260" s="14">
        <v>19569417.440000001</v>
      </c>
      <c r="G260" s="124">
        <v>44324</v>
      </c>
      <c r="H260" s="121">
        <v>66613.11</v>
      </c>
      <c r="I260" s="124">
        <v>44787</v>
      </c>
      <c r="J260" s="121">
        <v>67791.56</v>
      </c>
      <c r="K260" s="121">
        <v>45916</v>
      </c>
      <c r="L260" s="121">
        <v>148453.54999999999</v>
      </c>
      <c r="M260" s="121">
        <v>8286</v>
      </c>
      <c r="N260" s="121">
        <v>19703.099999999999</v>
      </c>
      <c r="O260" s="121">
        <v>-84483</v>
      </c>
      <c r="P260" s="121">
        <v>-202735.91</v>
      </c>
      <c r="Q260" s="121">
        <v>1759</v>
      </c>
      <c r="R260" s="121">
        <v>4024.59</v>
      </c>
      <c r="S260" s="121">
        <v>0</v>
      </c>
      <c r="T260" s="121">
        <v>22343.32</v>
      </c>
      <c r="U260" s="121">
        <v>0</v>
      </c>
      <c r="V260" s="121">
        <v>0</v>
      </c>
      <c r="W260" s="121">
        <v>0</v>
      </c>
      <c r="X260" s="121">
        <v>0</v>
      </c>
      <c r="Y260" s="121">
        <v>0</v>
      </c>
      <c r="Z260" s="121">
        <v>0</v>
      </c>
      <c r="AA260" s="121">
        <v>0</v>
      </c>
      <c r="AB260" s="121">
        <v>0</v>
      </c>
      <c r="AC260" s="121">
        <v>0</v>
      </c>
      <c r="AD260" s="121">
        <v>0</v>
      </c>
      <c r="AE260" s="121">
        <v>0</v>
      </c>
      <c r="AF260" s="121">
        <v>0</v>
      </c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141</v>
      </c>
      <c r="B261" t="s">
        <v>144</v>
      </c>
      <c r="C261">
        <v>18</v>
      </c>
      <c r="D261" t="s">
        <v>128</v>
      </c>
      <c r="E261" s="14">
        <v>0</v>
      </c>
      <c r="F261" s="14">
        <v>0</v>
      </c>
      <c r="G261" s="124">
        <v>0</v>
      </c>
      <c r="H261" s="121">
        <v>0</v>
      </c>
      <c r="I261" s="124">
        <v>0</v>
      </c>
      <c r="J261" s="121">
        <v>0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>
        <v>0</v>
      </c>
      <c r="AB261" s="121">
        <v>0</v>
      </c>
      <c r="AC261" s="121">
        <v>0</v>
      </c>
      <c r="AD261" s="121">
        <v>0</v>
      </c>
      <c r="AE261" s="121">
        <v>0</v>
      </c>
      <c r="AF261" s="121">
        <v>0</v>
      </c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141</v>
      </c>
      <c r="B262" t="s">
        <v>144</v>
      </c>
      <c r="C262">
        <v>19</v>
      </c>
      <c r="D262" t="s">
        <v>49</v>
      </c>
      <c r="E262" s="14">
        <v>0</v>
      </c>
      <c r="F262" s="14">
        <v>0</v>
      </c>
      <c r="G262" s="124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>
        <v>0</v>
      </c>
      <c r="AB262" s="121">
        <v>0</v>
      </c>
      <c r="AC262" s="121">
        <v>0</v>
      </c>
      <c r="AD262" s="121">
        <v>0</v>
      </c>
      <c r="AE262" s="121">
        <v>0</v>
      </c>
      <c r="AF262" s="121">
        <v>0</v>
      </c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141</v>
      </c>
      <c r="B263" t="s">
        <v>144</v>
      </c>
      <c r="C263">
        <v>20</v>
      </c>
      <c r="D263" t="s">
        <v>129</v>
      </c>
      <c r="E263" s="14">
        <v>0</v>
      </c>
      <c r="F263" s="14">
        <v>0</v>
      </c>
      <c r="G263" s="124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>
        <v>0</v>
      </c>
      <c r="AB263" s="121">
        <v>0</v>
      </c>
      <c r="AC263" s="121">
        <v>0</v>
      </c>
      <c r="AD263" s="121">
        <v>0</v>
      </c>
      <c r="AE263" s="121">
        <v>0</v>
      </c>
      <c r="AF263" s="121">
        <v>0</v>
      </c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141</v>
      </c>
      <c r="B264" t="s">
        <v>144</v>
      </c>
      <c r="C264">
        <v>21</v>
      </c>
      <c r="D264" t="s">
        <v>130</v>
      </c>
      <c r="E264" s="14">
        <v>0</v>
      </c>
      <c r="F264" s="14">
        <v>0</v>
      </c>
      <c r="G264" s="124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>
        <v>0</v>
      </c>
      <c r="AB264" s="121">
        <v>0</v>
      </c>
      <c r="AC264" s="121">
        <v>0</v>
      </c>
      <c r="AD264" s="121">
        <v>0</v>
      </c>
      <c r="AE264" s="121">
        <v>0</v>
      </c>
      <c r="AF264" s="121">
        <v>0</v>
      </c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141</v>
      </c>
      <c r="B265" t="s">
        <v>144</v>
      </c>
      <c r="C265">
        <v>22</v>
      </c>
      <c r="D265" t="s">
        <v>131</v>
      </c>
      <c r="E265" s="14">
        <v>-1430238</v>
      </c>
      <c r="F265" s="14">
        <v>-3272384.5440000002</v>
      </c>
      <c r="G265" s="124">
        <v>1350047</v>
      </c>
      <c r="H265" s="121">
        <v>3088907.5360000003</v>
      </c>
      <c r="I265" s="124">
        <v>-1169196</v>
      </c>
      <c r="J265" s="121">
        <v>-2675120.4479999999</v>
      </c>
      <c r="K265" s="121">
        <v>1469569</v>
      </c>
      <c r="L265" s="121">
        <v>3362373.872</v>
      </c>
      <c r="M265" s="121">
        <v>-403359</v>
      </c>
      <c r="N265" s="121">
        <v>-922885.39199999999</v>
      </c>
      <c r="O265" s="121">
        <v>-187366</v>
      </c>
      <c r="P265" s="121">
        <v>-428693.408</v>
      </c>
      <c r="Q265" s="121">
        <v>179000</v>
      </c>
      <c r="R265" s="121">
        <v>409552</v>
      </c>
      <c r="S265" s="121">
        <v>372457</v>
      </c>
      <c r="T265" s="121">
        <v>852181.61600000004</v>
      </c>
      <c r="U265" s="121">
        <v>59998</v>
      </c>
      <c r="V265" s="121">
        <v>141295.29</v>
      </c>
      <c r="W265" s="121">
        <v>0</v>
      </c>
      <c r="X265" s="121">
        <v>0</v>
      </c>
      <c r="Y265" s="121">
        <v>-77304</v>
      </c>
      <c r="Z265" s="121">
        <v>-182050.92</v>
      </c>
      <c r="AA265" s="121">
        <v>0</v>
      </c>
      <c r="AB265" s="121">
        <v>0</v>
      </c>
      <c r="AC265" s="121">
        <v>-5983</v>
      </c>
      <c r="AD265" s="121">
        <v>-14089.965</v>
      </c>
      <c r="AE265" s="121">
        <v>0</v>
      </c>
      <c r="AF265" s="121">
        <v>0</v>
      </c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141</v>
      </c>
      <c r="B266" t="s">
        <v>144</v>
      </c>
      <c r="C266">
        <v>23</v>
      </c>
      <c r="D266" t="s">
        <v>132</v>
      </c>
      <c r="E266" s="14">
        <v>-3105</v>
      </c>
      <c r="F266" s="14">
        <v>-7104.24</v>
      </c>
      <c r="G266" s="124">
        <v>-8735</v>
      </c>
      <c r="H266" s="121">
        <v>-19985.68</v>
      </c>
      <c r="I266" s="124">
        <v>-1</v>
      </c>
      <c r="J266" s="121">
        <v>-2.29</v>
      </c>
      <c r="K266" s="121">
        <v>0</v>
      </c>
      <c r="L266" s="121">
        <v>0</v>
      </c>
      <c r="M266" s="121">
        <v>0</v>
      </c>
      <c r="N266" s="121">
        <v>0</v>
      </c>
      <c r="O266" s="121">
        <v>0</v>
      </c>
      <c r="P266" s="121">
        <v>0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>
        <v>0</v>
      </c>
      <c r="AB266" s="121">
        <v>0</v>
      </c>
      <c r="AC266" s="121">
        <v>0</v>
      </c>
      <c r="AD266" s="121">
        <v>0</v>
      </c>
      <c r="AE266" s="121">
        <v>0</v>
      </c>
      <c r="AF266" s="121">
        <v>0</v>
      </c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141</v>
      </c>
      <c r="B267" t="s">
        <v>144</v>
      </c>
      <c r="C267">
        <v>24</v>
      </c>
      <c r="D267" t="s">
        <v>57</v>
      </c>
      <c r="E267" s="14">
        <v>-5201676</v>
      </c>
      <c r="F267" s="14">
        <v>-435950.66</v>
      </c>
      <c r="G267" s="124">
        <v>-1788865</v>
      </c>
      <c r="H267" s="121">
        <v>39324.92</v>
      </c>
      <c r="I267" s="124">
        <v>-326742</v>
      </c>
      <c r="J267" s="121">
        <v>-6180</v>
      </c>
      <c r="K267" s="121">
        <v>140</v>
      </c>
      <c r="L267" s="121">
        <v>11</v>
      </c>
      <c r="M267" s="121">
        <v>129677</v>
      </c>
      <c r="N267" s="121">
        <v>1149.75</v>
      </c>
      <c r="O267" s="121">
        <v>-295557</v>
      </c>
      <c r="P267" s="121">
        <v>51333.279999999999</v>
      </c>
      <c r="Q267" s="121">
        <v>3066</v>
      </c>
      <c r="R267" s="121">
        <v>-49904.7</v>
      </c>
      <c r="S267" s="121">
        <v>4723</v>
      </c>
      <c r="T267" s="121">
        <v>944.59</v>
      </c>
      <c r="U267" s="121">
        <v>0</v>
      </c>
      <c r="V267" s="121">
        <v>0</v>
      </c>
      <c r="W267" s="121">
        <v>0</v>
      </c>
      <c r="X267" s="121">
        <v>0</v>
      </c>
      <c r="Y267" s="121">
        <v>0</v>
      </c>
      <c r="Z267" s="121">
        <v>0</v>
      </c>
      <c r="AA267" s="121">
        <v>0</v>
      </c>
      <c r="AB267" s="121">
        <v>0</v>
      </c>
      <c r="AC267" s="121">
        <v>0</v>
      </c>
      <c r="AD267" s="121">
        <v>-66792.259999999995</v>
      </c>
      <c r="AE267" s="121">
        <v>0</v>
      </c>
      <c r="AF267" s="121">
        <v>0</v>
      </c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141</v>
      </c>
      <c r="B268" t="s">
        <v>144</v>
      </c>
      <c r="C268">
        <v>25</v>
      </c>
      <c r="D268" t="s">
        <v>58</v>
      </c>
      <c r="E268" s="14">
        <v>0</v>
      </c>
      <c r="F268" s="14">
        <v>0</v>
      </c>
      <c r="G268" s="124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0</v>
      </c>
      <c r="S268" s="121">
        <v>0</v>
      </c>
      <c r="T268" s="121">
        <v>-93300</v>
      </c>
      <c r="U268" s="121">
        <v>0</v>
      </c>
      <c r="V268" s="121">
        <v>0</v>
      </c>
      <c r="W268" s="121">
        <v>0</v>
      </c>
      <c r="X268" s="121">
        <v>0</v>
      </c>
      <c r="Y268" s="121">
        <v>0</v>
      </c>
      <c r="Z268" s="121">
        <v>0</v>
      </c>
      <c r="AA268" s="121">
        <v>0</v>
      </c>
      <c r="AB268" s="121">
        <v>0</v>
      </c>
      <c r="AC268" s="121">
        <v>0</v>
      </c>
      <c r="AD268" s="121">
        <v>0</v>
      </c>
      <c r="AE268" s="121">
        <v>0</v>
      </c>
      <c r="AF268" s="121">
        <v>0</v>
      </c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141</v>
      </c>
      <c r="B269" t="s">
        <v>144</v>
      </c>
      <c r="C269">
        <v>26</v>
      </c>
      <c r="D269" t="s">
        <v>133</v>
      </c>
      <c r="E269" s="14">
        <v>0</v>
      </c>
      <c r="F269" s="14">
        <v>350</v>
      </c>
      <c r="G269" s="124">
        <v>0</v>
      </c>
      <c r="H269" s="121">
        <v>312.5</v>
      </c>
      <c r="I269" s="124">
        <v>0</v>
      </c>
      <c r="J269" s="121">
        <v>0</v>
      </c>
      <c r="K269" s="121">
        <v>0</v>
      </c>
      <c r="L269" s="121">
        <v>200</v>
      </c>
      <c r="M269" s="121">
        <v>0</v>
      </c>
      <c r="N269" s="121">
        <v>-200</v>
      </c>
      <c r="O269" s="121">
        <v>0</v>
      </c>
      <c r="P269" s="121">
        <v>0</v>
      </c>
      <c r="Q269" s="121">
        <v>0</v>
      </c>
      <c r="R269" s="121">
        <v>1357.25</v>
      </c>
      <c r="S269" s="121">
        <v>0</v>
      </c>
      <c r="T269" s="121">
        <v>6184.99</v>
      </c>
      <c r="U269" s="121">
        <v>0</v>
      </c>
      <c r="V269" s="121">
        <v>0</v>
      </c>
      <c r="W269" s="121">
        <v>0</v>
      </c>
      <c r="X269" s="121">
        <v>0</v>
      </c>
      <c r="Y269" s="121">
        <v>0</v>
      </c>
      <c r="Z269" s="121">
        <v>0</v>
      </c>
      <c r="AA269" s="121">
        <v>0</v>
      </c>
      <c r="AB269" s="121">
        <v>0</v>
      </c>
      <c r="AC269" s="121">
        <v>0</v>
      </c>
      <c r="AD269" s="121">
        <v>0</v>
      </c>
      <c r="AE269" s="121">
        <v>0</v>
      </c>
      <c r="AF269" s="121">
        <v>0</v>
      </c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141</v>
      </c>
      <c r="B270" t="s">
        <v>144</v>
      </c>
      <c r="C270">
        <v>27</v>
      </c>
      <c r="D270" t="s">
        <v>134</v>
      </c>
      <c r="E270" s="14">
        <v>0</v>
      </c>
      <c r="F270" s="14">
        <v>0</v>
      </c>
      <c r="G270" s="124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>
        <v>0</v>
      </c>
      <c r="AB270" s="121">
        <v>0</v>
      </c>
      <c r="AC270" s="121">
        <v>0</v>
      </c>
      <c r="AD270" s="121">
        <v>0</v>
      </c>
      <c r="AE270" s="121">
        <v>0</v>
      </c>
      <c r="AF270" s="121">
        <v>0</v>
      </c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141</v>
      </c>
      <c r="B271" t="s">
        <v>144</v>
      </c>
      <c r="C271">
        <v>28</v>
      </c>
      <c r="D271" t="s">
        <v>135</v>
      </c>
      <c r="E271" s="14">
        <v>-35795721</v>
      </c>
      <c r="F271" s="14">
        <v>-659715.27</v>
      </c>
      <c r="G271" s="124">
        <v>-22286898</v>
      </c>
      <c r="H271" s="121">
        <v>-183788.36</v>
      </c>
      <c r="I271" s="124">
        <v>29333</v>
      </c>
      <c r="J271" s="121">
        <v>-6976</v>
      </c>
      <c r="K271" s="121">
        <v>65137</v>
      </c>
      <c r="L271" s="121">
        <v>-260636</v>
      </c>
      <c r="M271" s="121">
        <v>-6527</v>
      </c>
      <c r="N271" s="121">
        <v>0</v>
      </c>
      <c r="O271" s="121">
        <v>82724</v>
      </c>
      <c r="P271" s="121">
        <v>0</v>
      </c>
      <c r="Q271" s="121">
        <v>0</v>
      </c>
      <c r="R271" s="121">
        <v>0.01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>
        <v>0</v>
      </c>
      <c r="AB271" s="121">
        <v>0</v>
      </c>
      <c r="AC271" s="121">
        <v>0</v>
      </c>
      <c r="AD271" s="121">
        <v>0</v>
      </c>
      <c r="AE271" s="121">
        <v>0</v>
      </c>
      <c r="AF271" s="121">
        <v>0</v>
      </c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141</v>
      </c>
      <c r="B272" t="s">
        <v>144</v>
      </c>
      <c r="C272">
        <v>29</v>
      </c>
      <c r="D272" t="s">
        <v>136</v>
      </c>
      <c r="E272" s="14">
        <v>0</v>
      </c>
      <c r="F272" s="14">
        <v>0</v>
      </c>
      <c r="G272" s="124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>
        <v>0</v>
      </c>
      <c r="AB272" s="121">
        <v>0</v>
      </c>
      <c r="AC272" s="121">
        <v>0</v>
      </c>
      <c r="AD272" s="121">
        <v>0</v>
      </c>
      <c r="AE272" s="121">
        <v>0</v>
      </c>
      <c r="AF272" s="121">
        <v>0</v>
      </c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141</v>
      </c>
      <c r="B273" t="s">
        <v>144</v>
      </c>
      <c r="C273">
        <v>30</v>
      </c>
      <c r="D273" t="s">
        <v>137</v>
      </c>
      <c r="E273" s="14">
        <v>0</v>
      </c>
      <c r="F273" s="14">
        <v>0</v>
      </c>
      <c r="G273" s="124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>
        <v>0</v>
      </c>
      <c r="AB273" s="121">
        <v>0</v>
      </c>
      <c r="AC273" s="121">
        <v>0</v>
      </c>
      <c r="AD273" s="121">
        <v>0</v>
      </c>
      <c r="AE273" s="121">
        <v>0</v>
      </c>
      <c r="AF273" s="121">
        <v>0</v>
      </c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141</v>
      </c>
      <c r="B274" t="s">
        <v>144</v>
      </c>
      <c r="C274">
        <v>31</v>
      </c>
      <c r="D274" t="s">
        <v>138</v>
      </c>
      <c r="E274" s="14">
        <v>0</v>
      </c>
      <c r="F274" s="14">
        <v>0</v>
      </c>
      <c r="G274" s="124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>
        <v>0</v>
      </c>
      <c r="AB274" s="121">
        <v>0</v>
      </c>
      <c r="AC274" s="121">
        <v>0</v>
      </c>
      <c r="AD274" s="121">
        <v>0</v>
      </c>
      <c r="AE274" s="121">
        <v>0</v>
      </c>
      <c r="AF274" s="121">
        <v>0</v>
      </c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141</v>
      </c>
      <c r="B275" t="s">
        <v>144</v>
      </c>
      <c r="C275">
        <v>32</v>
      </c>
      <c r="D275" t="s">
        <v>72</v>
      </c>
      <c r="E275" s="14">
        <v>0</v>
      </c>
      <c r="F275" s="14">
        <v>0</v>
      </c>
      <c r="G275" s="124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>
        <v>0</v>
      </c>
      <c r="AB275" s="121">
        <v>0</v>
      </c>
      <c r="AC275" s="121">
        <v>0</v>
      </c>
      <c r="AD275" s="121">
        <v>0</v>
      </c>
      <c r="AE275" s="121">
        <v>0</v>
      </c>
      <c r="AF275" s="121">
        <v>0</v>
      </c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141</v>
      </c>
      <c r="B276" t="s">
        <v>144</v>
      </c>
      <c r="C276">
        <v>33</v>
      </c>
      <c r="D276" t="s">
        <v>73</v>
      </c>
      <c r="E276" s="14">
        <v>0</v>
      </c>
      <c r="F276" s="14">
        <v>0</v>
      </c>
      <c r="G276" s="124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>
        <v>0</v>
      </c>
      <c r="AB276" s="121">
        <v>0</v>
      </c>
      <c r="AC276" s="121">
        <v>0</v>
      </c>
      <c r="AD276" s="121">
        <v>0</v>
      </c>
      <c r="AE276" s="121">
        <v>0</v>
      </c>
      <c r="AF276" s="121">
        <v>0</v>
      </c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141</v>
      </c>
      <c r="B277" t="s">
        <v>144</v>
      </c>
      <c r="C277">
        <v>34</v>
      </c>
      <c r="D277" t="s">
        <v>74</v>
      </c>
      <c r="E277" s="14">
        <v>0</v>
      </c>
      <c r="F277" s="14">
        <v>0</v>
      </c>
      <c r="G277" s="124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>
        <v>0</v>
      </c>
      <c r="AB277" s="121">
        <v>0</v>
      </c>
      <c r="AC277" s="121">
        <v>0</v>
      </c>
      <c r="AD277" s="121">
        <v>0</v>
      </c>
      <c r="AE277" s="121">
        <v>0</v>
      </c>
      <c r="AF277" s="121">
        <v>0</v>
      </c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141</v>
      </c>
      <c r="B278" t="s">
        <v>144</v>
      </c>
      <c r="C278">
        <v>35</v>
      </c>
      <c r="D278" t="s">
        <v>75</v>
      </c>
      <c r="E278" s="14">
        <v>0</v>
      </c>
      <c r="F278" s="14">
        <v>-3750</v>
      </c>
      <c r="G278" s="124">
        <v>0</v>
      </c>
      <c r="H278" s="121">
        <v>-6309.73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>
        <v>0</v>
      </c>
      <c r="AB278" s="121">
        <v>0</v>
      </c>
      <c r="AC278" s="121">
        <v>0</v>
      </c>
      <c r="AD278" s="121">
        <v>0</v>
      </c>
      <c r="AE278" s="121">
        <v>0</v>
      </c>
      <c r="AF278" s="121">
        <v>0</v>
      </c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141</v>
      </c>
      <c r="B279" t="s">
        <v>144</v>
      </c>
      <c r="C279">
        <v>36</v>
      </c>
      <c r="D279" t="s">
        <v>76</v>
      </c>
      <c r="E279" s="14">
        <v>0</v>
      </c>
      <c r="F279" s="14">
        <v>0</v>
      </c>
      <c r="G279" s="124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>
        <v>0</v>
      </c>
      <c r="AB279" s="121">
        <v>0</v>
      </c>
      <c r="AC279" s="121">
        <v>0</v>
      </c>
      <c r="AD279" s="121">
        <v>0</v>
      </c>
      <c r="AE279" s="121">
        <v>0</v>
      </c>
      <c r="AF279" s="121">
        <v>0</v>
      </c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141</v>
      </c>
      <c r="B280" t="s">
        <v>144</v>
      </c>
      <c r="C280">
        <v>37</v>
      </c>
      <c r="D280" t="s">
        <v>77</v>
      </c>
      <c r="E280" s="14">
        <v>0</v>
      </c>
      <c r="F280" s="14">
        <v>0</v>
      </c>
      <c r="G280" s="124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>
        <v>0</v>
      </c>
      <c r="AB280" s="121">
        <v>0</v>
      </c>
      <c r="AC280" s="121">
        <v>0</v>
      </c>
      <c r="AD280" s="121">
        <v>0</v>
      </c>
      <c r="AE280" s="121">
        <v>0</v>
      </c>
      <c r="AF280" s="121">
        <v>0</v>
      </c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141</v>
      </c>
      <c r="B281" t="s">
        <v>144</v>
      </c>
      <c r="C281">
        <v>38</v>
      </c>
      <c r="D281" t="s">
        <v>78</v>
      </c>
      <c r="E281" s="14">
        <v>0</v>
      </c>
      <c r="F281" s="14">
        <v>0</v>
      </c>
      <c r="G281" s="124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>
        <v>0</v>
      </c>
      <c r="AB281" s="121">
        <v>0</v>
      </c>
      <c r="AC281" s="121">
        <v>0</v>
      </c>
      <c r="AD281" s="121">
        <v>0</v>
      </c>
      <c r="AE281" s="121">
        <v>0</v>
      </c>
      <c r="AF281" s="121">
        <v>0</v>
      </c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141</v>
      </c>
      <c r="B282" t="s">
        <v>144</v>
      </c>
      <c r="C282">
        <v>39</v>
      </c>
      <c r="D282" t="s">
        <v>79</v>
      </c>
      <c r="E282" s="14">
        <v>0</v>
      </c>
      <c r="F282" s="14">
        <v>0</v>
      </c>
      <c r="G282" s="124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>
        <v>0</v>
      </c>
      <c r="AB282" s="121">
        <v>0</v>
      </c>
      <c r="AC282" s="121">
        <v>0</v>
      </c>
      <c r="AD282" s="121">
        <v>0</v>
      </c>
      <c r="AE282" s="121">
        <v>0</v>
      </c>
      <c r="AF282" s="121">
        <v>0</v>
      </c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141</v>
      </c>
      <c r="B283" t="s">
        <v>144</v>
      </c>
      <c r="C283">
        <v>40</v>
      </c>
      <c r="D283" t="s">
        <v>80</v>
      </c>
      <c r="E283" s="14">
        <v>0</v>
      </c>
      <c r="F283" s="14">
        <v>0</v>
      </c>
      <c r="G283" s="124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>
        <v>0</v>
      </c>
      <c r="AB283" s="121">
        <v>0</v>
      </c>
      <c r="AC283" s="121">
        <v>0</v>
      </c>
      <c r="AD283" s="121">
        <v>0</v>
      </c>
      <c r="AE283" s="121">
        <v>0</v>
      </c>
      <c r="AF283" s="121">
        <v>0</v>
      </c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141</v>
      </c>
      <c r="B284" t="s">
        <v>145</v>
      </c>
      <c r="C284">
        <v>1</v>
      </c>
      <c r="D284" t="s">
        <v>27</v>
      </c>
      <c r="E284" s="14">
        <v>32514422</v>
      </c>
      <c r="F284" s="14">
        <v>68594901.099999994</v>
      </c>
      <c r="G284" s="124">
        <v>-15328</v>
      </c>
      <c r="H284" s="121">
        <v>-50455.83</v>
      </c>
      <c r="I284" s="124">
        <v>40636</v>
      </c>
      <c r="J284" s="121">
        <v>144310.38</v>
      </c>
      <c r="K284" s="121">
        <v>576</v>
      </c>
      <c r="L284" s="121">
        <v>3035.5</v>
      </c>
      <c r="M284" s="121">
        <v>12913</v>
      </c>
      <c r="N284" s="121">
        <v>25144.19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>
        <v>0</v>
      </c>
      <c r="AB284" s="121">
        <v>0</v>
      </c>
      <c r="AC284" s="121">
        <v>0</v>
      </c>
      <c r="AD284" s="121">
        <v>0</v>
      </c>
      <c r="AE284" s="121">
        <v>0</v>
      </c>
      <c r="AF284" s="121">
        <v>0</v>
      </c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141</v>
      </c>
      <c r="B285" t="s">
        <v>145</v>
      </c>
      <c r="C285">
        <v>2</v>
      </c>
      <c r="D285" t="s">
        <v>28</v>
      </c>
      <c r="E285" s="14">
        <v>0</v>
      </c>
      <c r="F285" s="14">
        <v>0</v>
      </c>
      <c r="G285" s="124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>
        <v>0</v>
      </c>
      <c r="AB285" s="121">
        <v>0</v>
      </c>
      <c r="AC285" s="121">
        <v>0</v>
      </c>
      <c r="AD285" s="121">
        <v>0</v>
      </c>
      <c r="AE285" s="121">
        <v>0</v>
      </c>
      <c r="AF285" s="121">
        <v>0</v>
      </c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141</v>
      </c>
      <c r="B286" t="s">
        <v>145</v>
      </c>
      <c r="C286">
        <v>3</v>
      </c>
      <c r="D286" t="s">
        <v>29</v>
      </c>
      <c r="E286" s="14">
        <v>22897735</v>
      </c>
      <c r="F286" s="14">
        <v>48355097</v>
      </c>
      <c r="G286" s="124">
        <v>-433945</v>
      </c>
      <c r="H286" s="121">
        <v>-964232</v>
      </c>
      <c r="I286" s="124">
        <v>0</v>
      </c>
      <c r="J286" s="121">
        <v>0</v>
      </c>
      <c r="K286" s="121">
        <v>-11465</v>
      </c>
      <c r="L286" s="121">
        <v>-24290</v>
      </c>
      <c r="M286" s="121">
        <v>0</v>
      </c>
      <c r="N286" s="121">
        <v>0</v>
      </c>
      <c r="O286" s="121">
        <v>1671113</v>
      </c>
      <c r="P286" s="121">
        <v>3648501</v>
      </c>
      <c r="Q286" s="121">
        <v>2022546</v>
      </c>
      <c r="R286" s="121">
        <v>4430233</v>
      </c>
      <c r="S286" s="121">
        <v>-3248249</v>
      </c>
      <c r="T286" s="121">
        <v>-7090212</v>
      </c>
      <c r="U286" s="121">
        <v>802696</v>
      </c>
      <c r="V286" s="121">
        <v>1878927</v>
      </c>
      <c r="W286" s="121">
        <v>0</v>
      </c>
      <c r="X286" s="121">
        <v>0</v>
      </c>
      <c r="Y286" s="121">
        <v>-275884</v>
      </c>
      <c r="Z286" s="121">
        <v>-658986</v>
      </c>
      <c r="AA286" s="121">
        <v>0</v>
      </c>
      <c r="AB286" s="121">
        <v>0</v>
      </c>
      <c r="AC286" s="121">
        <v>0</v>
      </c>
      <c r="AD286" s="121">
        <v>0</v>
      </c>
      <c r="AE286" s="121">
        <v>0</v>
      </c>
      <c r="AF286" s="121">
        <v>0</v>
      </c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141</v>
      </c>
      <c r="B287" t="s">
        <v>145</v>
      </c>
      <c r="C287">
        <v>4</v>
      </c>
      <c r="D287" t="s">
        <v>30</v>
      </c>
      <c r="E287" s="14">
        <v>0</v>
      </c>
      <c r="F287" s="14">
        <v>0</v>
      </c>
      <c r="G287" s="124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>
        <v>0</v>
      </c>
      <c r="AB287" s="121">
        <v>0</v>
      </c>
      <c r="AC287" s="121">
        <v>0</v>
      </c>
      <c r="AD287" s="121">
        <v>0</v>
      </c>
      <c r="AE287" s="121">
        <v>0</v>
      </c>
      <c r="AF287" s="121">
        <v>0</v>
      </c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141</v>
      </c>
      <c r="B288" t="s">
        <v>145</v>
      </c>
      <c r="C288">
        <v>5</v>
      </c>
      <c r="D288" t="s">
        <v>126</v>
      </c>
      <c r="E288" s="14">
        <v>0</v>
      </c>
      <c r="F288" s="14">
        <v>0</v>
      </c>
      <c r="G288" s="124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>
        <v>0</v>
      </c>
      <c r="AB288" s="121">
        <v>0</v>
      </c>
      <c r="AC288" s="121">
        <v>0</v>
      </c>
      <c r="AD288" s="121">
        <v>0</v>
      </c>
      <c r="AE288" s="121">
        <v>0</v>
      </c>
      <c r="AF288" s="121">
        <v>0</v>
      </c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141</v>
      </c>
      <c r="B289" t="s">
        <v>145</v>
      </c>
      <c r="C289">
        <v>6</v>
      </c>
      <c r="D289" t="s">
        <v>27</v>
      </c>
      <c r="E289" s="14">
        <v>-35982628</v>
      </c>
      <c r="F289" s="14">
        <v>-73391551.450000003</v>
      </c>
      <c r="G289" s="124">
        <v>-1838</v>
      </c>
      <c r="H289" s="121">
        <v>341199.59</v>
      </c>
      <c r="I289" s="124">
        <v>-7576</v>
      </c>
      <c r="J289" s="121">
        <v>-15066.74</v>
      </c>
      <c r="K289" s="121">
        <v>0</v>
      </c>
      <c r="L289" s="121">
        <v>0</v>
      </c>
      <c r="M289" s="121">
        <v>0</v>
      </c>
      <c r="N289" s="121">
        <v>223386</v>
      </c>
      <c r="O289" s="121">
        <v>0</v>
      </c>
      <c r="P289" s="121">
        <v>0</v>
      </c>
      <c r="Q289" s="121">
        <v>0</v>
      </c>
      <c r="R289" s="121">
        <v>0</v>
      </c>
      <c r="S289" s="121">
        <v>0</v>
      </c>
      <c r="T289" s="121">
        <v>46881.22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>
        <v>0</v>
      </c>
      <c r="AB289" s="121">
        <v>0</v>
      </c>
      <c r="AC289" s="121">
        <v>0</v>
      </c>
      <c r="AD289" s="121">
        <v>0</v>
      </c>
      <c r="AE289" s="121">
        <v>0</v>
      </c>
      <c r="AF289" s="121">
        <v>0</v>
      </c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141</v>
      </c>
      <c r="B290" t="s">
        <v>145</v>
      </c>
      <c r="C290">
        <v>7</v>
      </c>
      <c r="D290" t="s">
        <v>28</v>
      </c>
      <c r="E290" s="14">
        <v>0</v>
      </c>
      <c r="F290" s="14">
        <v>0</v>
      </c>
      <c r="G290" s="124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>
        <v>0</v>
      </c>
      <c r="AB290" s="121">
        <v>0</v>
      </c>
      <c r="AC290" s="121">
        <v>0</v>
      </c>
      <c r="AD290" s="121">
        <v>0</v>
      </c>
      <c r="AE290" s="121">
        <v>0</v>
      </c>
      <c r="AF290" s="121">
        <v>0</v>
      </c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141</v>
      </c>
      <c r="B291" t="s">
        <v>145</v>
      </c>
      <c r="C291">
        <v>8</v>
      </c>
      <c r="D291" t="s">
        <v>29</v>
      </c>
      <c r="E291" s="14">
        <v>-20800712</v>
      </c>
      <c r="F291" s="14">
        <v>-43759144</v>
      </c>
      <c r="G291" s="124">
        <v>0</v>
      </c>
      <c r="H291" s="121">
        <v>0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0</v>
      </c>
      <c r="O291" s="121">
        <v>-1671113</v>
      </c>
      <c r="P291" s="121">
        <v>-3648501</v>
      </c>
      <c r="Q291" s="121">
        <v>-2022546</v>
      </c>
      <c r="R291" s="121">
        <v>-4430233</v>
      </c>
      <c r="S291" s="121">
        <v>3693659</v>
      </c>
      <c r="T291" s="121">
        <v>8078734</v>
      </c>
      <c r="U291" s="121">
        <v>-888660</v>
      </c>
      <c r="V291" s="121">
        <v>-2067288</v>
      </c>
      <c r="W291" s="121">
        <v>0</v>
      </c>
      <c r="X291" s="121">
        <v>0</v>
      </c>
      <c r="Y291" s="121">
        <v>361848</v>
      </c>
      <c r="Z291" s="121">
        <v>847347</v>
      </c>
      <c r="AA291" s="121">
        <v>0</v>
      </c>
      <c r="AB291" s="121">
        <v>0</v>
      </c>
      <c r="AC291" s="121">
        <v>0</v>
      </c>
      <c r="AD291" s="121">
        <v>0</v>
      </c>
      <c r="AE291" s="121">
        <v>0</v>
      </c>
      <c r="AF291" s="121">
        <v>0</v>
      </c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141</v>
      </c>
      <c r="B292" t="s">
        <v>145</v>
      </c>
      <c r="C292">
        <v>9</v>
      </c>
      <c r="D292" t="s">
        <v>30</v>
      </c>
      <c r="E292" s="14">
        <v>0</v>
      </c>
      <c r="F292" s="14">
        <v>0</v>
      </c>
      <c r="G292" s="124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>
        <v>0</v>
      </c>
      <c r="AB292" s="121">
        <v>0</v>
      </c>
      <c r="AC292" s="121">
        <v>0</v>
      </c>
      <c r="AD292" s="121">
        <v>0</v>
      </c>
      <c r="AE292" s="121">
        <v>0</v>
      </c>
      <c r="AF292" s="121">
        <v>0</v>
      </c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141</v>
      </c>
      <c r="B293" t="s">
        <v>145</v>
      </c>
      <c r="C293">
        <v>10</v>
      </c>
      <c r="D293" t="s">
        <v>34</v>
      </c>
      <c r="E293" s="14">
        <v>277879</v>
      </c>
      <c r="F293" s="14">
        <v>577988.31999999995</v>
      </c>
      <c r="G293" s="124">
        <v>7155</v>
      </c>
      <c r="H293" s="121">
        <v>14882.4</v>
      </c>
      <c r="I293" s="124">
        <v>-2</v>
      </c>
      <c r="J293" s="121">
        <v>-4.16</v>
      </c>
      <c r="K293" s="121">
        <v>0</v>
      </c>
      <c r="L293" s="121">
        <v>0</v>
      </c>
      <c r="M293" s="121">
        <v>1</v>
      </c>
      <c r="N293" s="121">
        <v>2.08</v>
      </c>
      <c r="O293" s="121">
        <v>0</v>
      </c>
      <c r="P293" s="121">
        <v>0</v>
      </c>
      <c r="Q293" s="121">
        <v>0</v>
      </c>
      <c r="R293" s="121">
        <v>0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>
        <v>0</v>
      </c>
      <c r="AB293" s="121">
        <v>0</v>
      </c>
      <c r="AC293" s="121">
        <v>0</v>
      </c>
      <c r="AD293" s="121">
        <v>0</v>
      </c>
      <c r="AE293" s="121">
        <v>0</v>
      </c>
      <c r="AF293" s="121">
        <v>0</v>
      </c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141</v>
      </c>
      <c r="B294" t="s">
        <v>145</v>
      </c>
      <c r="C294">
        <v>11</v>
      </c>
      <c r="D294" t="s">
        <v>37</v>
      </c>
      <c r="E294" s="14">
        <v>0</v>
      </c>
      <c r="F294" s="14">
        <v>0</v>
      </c>
      <c r="G294" s="124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>
        <v>0</v>
      </c>
      <c r="AB294" s="121">
        <v>0</v>
      </c>
      <c r="AC294" s="121">
        <v>0</v>
      </c>
      <c r="AD294" s="121">
        <v>0</v>
      </c>
      <c r="AE294" s="121">
        <v>0</v>
      </c>
      <c r="AF294" s="121">
        <v>0</v>
      </c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141</v>
      </c>
      <c r="B295" t="s">
        <v>145</v>
      </c>
      <c r="C295">
        <v>12</v>
      </c>
      <c r="D295" t="s">
        <v>38</v>
      </c>
      <c r="E295" s="14">
        <v>0</v>
      </c>
      <c r="F295" s="14">
        <v>0</v>
      </c>
      <c r="G295" s="124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>
        <v>0</v>
      </c>
      <c r="AB295" s="121">
        <v>0</v>
      </c>
      <c r="AC295" s="121">
        <v>0</v>
      </c>
      <c r="AD295" s="121">
        <v>0</v>
      </c>
      <c r="AE295" s="121">
        <v>0</v>
      </c>
      <c r="AF295" s="121">
        <v>0</v>
      </c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141</v>
      </c>
      <c r="B296" t="s">
        <v>145</v>
      </c>
      <c r="C296">
        <v>13</v>
      </c>
      <c r="D296" t="s">
        <v>41</v>
      </c>
      <c r="E296" s="14">
        <v>18263</v>
      </c>
      <c r="F296" s="14">
        <v>37987.040000000001</v>
      </c>
      <c r="G296" s="124">
        <v>35358</v>
      </c>
      <c r="H296" s="121">
        <v>73544.639999999999</v>
      </c>
      <c r="I296" s="124">
        <v>-77346</v>
      </c>
      <c r="J296" s="121">
        <v>-161045.755</v>
      </c>
      <c r="K296" s="121">
        <v>0</v>
      </c>
      <c r="L296" s="121">
        <v>-10889.775</v>
      </c>
      <c r="M296" s="121">
        <v>-12909</v>
      </c>
      <c r="N296" s="121">
        <v>-36163.298999999999</v>
      </c>
      <c r="O296" s="121">
        <v>-1</v>
      </c>
      <c r="P296" s="121">
        <v>-524382.42599999998</v>
      </c>
      <c r="Q296" s="121">
        <v>0</v>
      </c>
      <c r="R296" s="121">
        <v>0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>
        <v>0</v>
      </c>
      <c r="AB296" s="121">
        <v>0</v>
      </c>
      <c r="AC296" s="121">
        <v>0</v>
      </c>
      <c r="AD296" s="121">
        <v>0</v>
      </c>
      <c r="AE296" s="121">
        <v>0</v>
      </c>
      <c r="AF296" s="121">
        <v>0</v>
      </c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141</v>
      </c>
      <c r="B297" t="s">
        <v>145</v>
      </c>
      <c r="C297">
        <v>14</v>
      </c>
      <c r="D297" t="s">
        <v>42</v>
      </c>
      <c r="E297" s="14">
        <v>0</v>
      </c>
      <c r="F297" s="14">
        <v>0</v>
      </c>
      <c r="G297" s="124">
        <v>0</v>
      </c>
      <c r="H297" s="121">
        <v>0</v>
      </c>
      <c r="I297" s="124">
        <v>-5786</v>
      </c>
      <c r="J297" s="121">
        <v>-11908.38</v>
      </c>
      <c r="K297" s="121">
        <v>0</v>
      </c>
      <c r="L297" s="121">
        <v>0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>
        <v>0</v>
      </c>
      <c r="AB297" s="121">
        <v>0</v>
      </c>
      <c r="AC297" s="121">
        <v>0</v>
      </c>
      <c r="AD297" s="121">
        <v>0</v>
      </c>
      <c r="AE297" s="121">
        <v>0</v>
      </c>
      <c r="AF297" s="121">
        <v>0</v>
      </c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141</v>
      </c>
      <c r="B298" t="s">
        <v>145</v>
      </c>
      <c r="C298">
        <v>15</v>
      </c>
      <c r="D298" t="s">
        <v>43</v>
      </c>
      <c r="E298" s="14">
        <v>0</v>
      </c>
      <c r="F298" s="14">
        <v>0</v>
      </c>
      <c r="G298" s="124">
        <v>1</v>
      </c>
      <c r="H298" s="121">
        <v>1.85</v>
      </c>
      <c r="I298" s="124">
        <v>23163</v>
      </c>
      <c r="J298" s="121">
        <v>47473.24</v>
      </c>
      <c r="K298" s="121">
        <v>0</v>
      </c>
      <c r="L298" s="121">
        <v>0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>
        <v>0</v>
      </c>
      <c r="AB298" s="121">
        <v>0</v>
      </c>
      <c r="AC298" s="121">
        <v>0</v>
      </c>
      <c r="AD298" s="121">
        <v>0</v>
      </c>
      <c r="AE298" s="121">
        <v>0</v>
      </c>
      <c r="AF298" s="121">
        <v>0</v>
      </c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141</v>
      </c>
      <c r="B299" t="s">
        <v>145</v>
      </c>
      <c r="C299">
        <v>16</v>
      </c>
      <c r="D299" t="s">
        <v>44</v>
      </c>
      <c r="E299" s="14">
        <v>-602585</v>
      </c>
      <c r="F299" s="14">
        <v>0.01</v>
      </c>
      <c r="G299" s="124">
        <v>-2568</v>
      </c>
      <c r="H299" s="121">
        <v>0</v>
      </c>
      <c r="I299" s="124">
        <v>1205170</v>
      </c>
      <c r="J299" s="121">
        <v>0</v>
      </c>
      <c r="K299" s="121">
        <v>0</v>
      </c>
      <c r="L299" s="121">
        <v>1248035</v>
      </c>
      <c r="M299" s="121">
        <v>0</v>
      </c>
      <c r="N299" s="121">
        <v>0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>
        <v>0</v>
      </c>
      <c r="AB299" s="121">
        <v>0</v>
      </c>
      <c r="AC299" s="121">
        <v>0</v>
      </c>
      <c r="AD299" s="121">
        <v>0</v>
      </c>
      <c r="AE299" s="121">
        <v>0</v>
      </c>
      <c r="AF299" s="121">
        <v>0</v>
      </c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141</v>
      </c>
      <c r="B300" t="s">
        <v>145</v>
      </c>
      <c r="C300">
        <v>17</v>
      </c>
      <c r="D300" t="s">
        <v>127</v>
      </c>
      <c r="E300" s="14">
        <v>0</v>
      </c>
      <c r="F300" s="14">
        <v>0</v>
      </c>
      <c r="G300" s="124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>
        <v>0</v>
      </c>
      <c r="AB300" s="121">
        <v>0</v>
      </c>
      <c r="AC300" s="121">
        <v>0</v>
      </c>
      <c r="AD300" s="121">
        <v>0</v>
      </c>
      <c r="AE300" s="121">
        <v>0</v>
      </c>
      <c r="AF300" s="121">
        <v>0</v>
      </c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141</v>
      </c>
      <c r="B301" t="s">
        <v>145</v>
      </c>
      <c r="C301">
        <v>18</v>
      </c>
      <c r="D301" t="s">
        <v>128</v>
      </c>
      <c r="E301" s="14">
        <v>0</v>
      </c>
      <c r="F301" s="14">
        <v>0</v>
      </c>
      <c r="G301" s="124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>
        <v>0</v>
      </c>
      <c r="AB301" s="121">
        <v>0</v>
      </c>
      <c r="AC301" s="121">
        <v>0</v>
      </c>
      <c r="AD301" s="121">
        <v>0</v>
      </c>
      <c r="AE301" s="121">
        <v>0</v>
      </c>
      <c r="AF301" s="121">
        <v>0</v>
      </c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141</v>
      </c>
      <c r="B302" t="s">
        <v>145</v>
      </c>
      <c r="C302">
        <v>19</v>
      </c>
      <c r="D302" t="s">
        <v>49</v>
      </c>
      <c r="E302" s="14">
        <v>0</v>
      </c>
      <c r="F302" s="14">
        <v>0</v>
      </c>
      <c r="G302" s="124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>
        <v>0</v>
      </c>
      <c r="AB302" s="121">
        <v>0</v>
      </c>
      <c r="AC302" s="121">
        <v>0</v>
      </c>
      <c r="AD302" s="121">
        <v>0</v>
      </c>
      <c r="AE302" s="121">
        <v>0</v>
      </c>
      <c r="AF302" s="121">
        <v>0</v>
      </c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141</v>
      </c>
      <c r="B303" t="s">
        <v>145</v>
      </c>
      <c r="C303">
        <v>20</v>
      </c>
      <c r="D303" t="s">
        <v>129</v>
      </c>
      <c r="E303" s="14">
        <v>0</v>
      </c>
      <c r="F303" s="14">
        <v>0</v>
      </c>
      <c r="G303" s="124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>
        <v>0</v>
      </c>
      <c r="AB303" s="121">
        <v>0</v>
      </c>
      <c r="AC303" s="121">
        <v>0</v>
      </c>
      <c r="AD303" s="121">
        <v>0</v>
      </c>
      <c r="AE303" s="121">
        <v>0</v>
      </c>
      <c r="AF303" s="121">
        <v>0</v>
      </c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141</v>
      </c>
      <c r="B304" t="s">
        <v>145</v>
      </c>
      <c r="C304">
        <v>21</v>
      </c>
      <c r="D304" t="s">
        <v>130</v>
      </c>
      <c r="E304" s="14">
        <v>0</v>
      </c>
      <c r="F304" s="14">
        <v>0</v>
      </c>
      <c r="G304" s="124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>
        <v>0</v>
      </c>
      <c r="AB304" s="121">
        <v>0</v>
      </c>
      <c r="AC304" s="121">
        <v>0</v>
      </c>
      <c r="AD304" s="121">
        <v>0</v>
      </c>
      <c r="AE304" s="121">
        <v>0</v>
      </c>
      <c r="AF304" s="121">
        <v>0</v>
      </c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141</v>
      </c>
      <c r="B305" t="s">
        <v>145</v>
      </c>
      <c r="C305">
        <v>22</v>
      </c>
      <c r="D305" t="s">
        <v>131</v>
      </c>
      <c r="E305" s="14">
        <v>1677626</v>
      </c>
      <c r="F305" s="14">
        <v>3489462.08</v>
      </c>
      <c r="G305" s="124">
        <v>411165</v>
      </c>
      <c r="H305" s="121">
        <v>855223.2</v>
      </c>
      <c r="I305" s="124">
        <v>-1178259</v>
      </c>
      <c r="J305" s="121">
        <v>-2450778.7200000002</v>
      </c>
      <c r="K305" s="121">
        <v>10889</v>
      </c>
      <c r="L305" s="121">
        <v>22649.119999999999</v>
      </c>
      <c r="M305" s="121">
        <v>-5</v>
      </c>
      <c r="N305" s="121">
        <v>-10.4</v>
      </c>
      <c r="O305" s="121">
        <v>1</v>
      </c>
      <c r="P305" s="121">
        <v>2.08</v>
      </c>
      <c r="Q305" s="121">
        <v>0</v>
      </c>
      <c r="R305" s="121">
        <v>0</v>
      </c>
      <c r="S305" s="121">
        <v>-445410</v>
      </c>
      <c r="T305" s="121">
        <v>-926452.8</v>
      </c>
      <c r="U305" s="121">
        <v>85964</v>
      </c>
      <c r="V305" s="121">
        <v>201155.76</v>
      </c>
      <c r="W305" s="121">
        <v>0</v>
      </c>
      <c r="X305" s="121">
        <v>0</v>
      </c>
      <c r="Y305" s="121">
        <v>-85964</v>
      </c>
      <c r="Z305" s="121">
        <v>-201155.76</v>
      </c>
      <c r="AA305" s="121">
        <v>0</v>
      </c>
      <c r="AB305" s="121">
        <v>0</v>
      </c>
      <c r="AC305" s="121">
        <v>0</v>
      </c>
      <c r="AD305" s="121">
        <v>0</v>
      </c>
      <c r="AE305" s="121">
        <v>0</v>
      </c>
      <c r="AF305" s="121">
        <v>0</v>
      </c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141</v>
      </c>
      <c r="B306" t="s">
        <v>145</v>
      </c>
      <c r="C306">
        <v>23</v>
      </c>
      <c r="D306" t="s">
        <v>132</v>
      </c>
      <c r="E306" s="14">
        <v>-277879</v>
      </c>
      <c r="F306" s="14">
        <v>-577988.31999999995</v>
      </c>
      <c r="G306" s="124">
        <v>-7155</v>
      </c>
      <c r="H306" s="121">
        <v>-14882.4</v>
      </c>
      <c r="I306" s="124">
        <v>2</v>
      </c>
      <c r="J306" s="121">
        <v>4.16</v>
      </c>
      <c r="K306" s="121">
        <v>0</v>
      </c>
      <c r="L306" s="121">
        <v>0</v>
      </c>
      <c r="M306" s="121">
        <v>-1</v>
      </c>
      <c r="N306" s="121">
        <v>-2.08</v>
      </c>
      <c r="O306" s="121">
        <v>0</v>
      </c>
      <c r="P306" s="121">
        <v>0</v>
      </c>
      <c r="Q306" s="121">
        <v>0</v>
      </c>
      <c r="R306" s="121">
        <v>0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>
        <v>0</v>
      </c>
      <c r="AB306" s="121">
        <v>0</v>
      </c>
      <c r="AC306" s="121">
        <v>0</v>
      </c>
      <c r="AD306" s="121">
        <v>0</v>
      </c>
      <c r="AE306" s="121">
        <v>0</v>
      </c>
      <c r="AF306" s="121">
        <v>0</v>
      </c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141</v>
      </c>
      <c r="B307" t="s">
        <v>145</v>
      </c>
      <c r="C307">
        <v>24</v>
      </c>
      <c r="D307" t="s">
        <v>57</v>
      </c>
      <c r="E307" s="14">
        <v>-11559079</v>
      </c>
      <c r="F307" s="14">
        <v>-318911.11</v>
      </c>
      <c r="G307" s="124">
        <v>-140298</v>
      </c>
      <c r="H307" s="121">
        <v>169068.64</v>
      </c>
      <c r="I307" s="124">
        <v>0</v>
      </c>
      <c r="J307" s="121">
        <v>0</v>
      </c>
      <c r="K307" s="121">
        <v>0</v>
      </c>
      <c r="L307" s="121">
        <v>10629.75</v>
      </c>
      <c r="M307" s="121">
        <v>0</v>
      </c>
      <c r="N307" s="121">
        <v>-8.57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>
        <v>0</v>
      </c>
      <c r="AB307" s="121">
        <v>0</v>
      </c>
      <c r="AC307" s="121">
        <v>0</v>
      </c>
      <c r="AD307" s="121">
        <v>0</v>
      </c>
      <c r="AE307" s="121">
        <v>0</v>
      </c>
      <c r="AF307" s="121">
        <v>0</v>
      </c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141</v>
      </c>
      <c r="B308" t="s">
        <v>145</v>
      </c>
      <c r="C308">
        <v>25</v>
      </c>
      <c r="D308" t="s">
        <v>58</v>
      </c>
      <c r="E308" s="14">
        <v>0</v>
      </c>
      <c r="F308" s="14">
        <v>-2653958.9500000002</v>
      </c>
      <c r="G308" s="124">
        <v>0</v>
      </c>
      <c r="H308" s="121">
        <v>216841.69</v>
      </c>
      <c r="I308" s="124">
        <v>0</v>
      </c>
      <c r="J308" s="121">
        <v>0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>
        <v>0</v>
      </c>
      <c r="AB308" s="121">
        <v>0</v>
      </c>
      <c r="AC308" s="121">
        <v>0</v>
      </c>
      <c r="AD308" s="121">
        <v>0</v>
      </c>
      <c r="AE308" s="121">
        <v>0</v>
      </c>
      <c r="AF308" s="121">
        <v>0</v>
      </c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141</v>
      </c>
      <c r="B309" t="s">
        <v>145</v>
      </c>
      <c r="C309">
        <v>26</v>
      </c>
      <c r="D309" t="s">
        <v>133</v>
      </c>
      <c r="E309" s="14">
        <v>0</v>
      </c>
      <c r="F309" s="14">
        <v>0</v>
      </c>
      <c r="G309" s="124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>
        <v>0</v>
      </c>
      <c r="AB309" s="121">
        <v>0</v>
      </c>
      <c r="AC309" s="121">
        <v>0</v>
      </c>
      <c r="AD309" s="121">
        <v>0</v>
      </c>
      <c r="AE309" s="121">
        <v>0</v>
      </c>
      <c r="AF309" s="121">
        <v>0</v>
      </c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141</v>
      </c>
      <c r="B310" t="s">
        <v>145</v>
      </c>
      <c r="C310">
        <v>27</v>
      </c>
      <c r="D310" t="s">
        <v>134</v>
      </c>
      <c r="E310" s="14">
        <v>0</v>
      </c>
      <c r="F310" s="14">
        <v>0</v>
      </c>
      <c r="G310" s="124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>
        <v>0</v>
      </c>
      <c r="AB310" s="121">
        <v>0</v>
      </c>
      <c r="AC310" s="121">
        <v>0</v>
      </c>
      <c r="AD310" s="121">
        <v>0</v>
      </c>
      <c r="AE310" s="121">
        <v>0</v>
      </c>
      <c r="AF310" s="121">
        <v>0</v>
      </c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141</v>
      </c>
      <c r="B311" t="s">
        <v>145</v>
      </c>
      <c r="C311">
        <v>28</v>
      </c>
      <c r="D311" t="s">
        <v>135</v>
      </c>
      <c r="E311" s="14">
        <v>0</v>
      </c>
      <c r="F311" s="14">
        <v>0</v>
      </c>
      <c r="G311" s="124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>
        <v>0</v>
      </c>
      <c r="AB311" s="121">
        <v>0</v>
      </c>
      <c r="AC311" s="121">
        <v>0</v>
      </c>
      <c r="AD311" s="121">
        <v>0</v>
      </c>
      <c r="AE311" s="121">
        <v>0</v>
      </c>
      <c r="AF311" s="121">
        <v>0</v>
      </c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141</v>
      </c>
      <c r="B312" t="s">
        <v>145</v>
      </c>
      <c r="C312">
        <v>29</v>
      </c>
      <c r="D312" t="s">
        <v>136</v>
      </c>
      <c r="E312" s="14">
        <v>0</v>
      </c>
      <c r="F312" s="14">
        <v>0</v>
      </c>
      <c r="G312" s="124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>
        <v>0</v>
      </c>
      <c r="AB312" s="121">
        <v>0</v>
      </c>
      <c r="AC312" s="121">
        <v>0</v>
      </c>
      <c r="AD312" s="121">
        <v>0</v>
      </c>
      <c r="AE312" s="121">
        <v>0</v>
      </c>
      <c r="AF312" s="121">
        <v>0</v>
      </c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141</v>
      </c>
      <c r="B313" t="s">
        <v>145</v>
      </c>
      <c r="C313">
        <v>30</v>
      </c>
      <c r="D313" t="s">
        <v>137</v>
      </c>
      <c r="E313" s="14">
        <v>0</v>
      </c>
      <c r="F313" s="14">
        <v>0</v>
      </c>
      <c r="G313" s="124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>
        <v>0</v>
      </c>
      <c r="AB313" s="121">
        <v>0</v>
      </c>
      <c r="AC313" s="121">
        <v>0</v>
      </c>
      <c r="AD313" s="121">
        <v>0</v>
      </c>
      <c r="AE313" s="121">
        <v>0</v>
      </c>
      <c r="AF313" s="121">
        <v>0</v>
      </c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141</v>
      </c>
      <c r="B314" t="s">
        <v>145</v>
      </c>
      <c r="C314">
        <v>31</v>
      </c>
      <c r="D314" t="s">
        <v>138</v>
      </c>
      <c r="E314" s="14">
        <v>0</v>
      </c>
      <c r="F314" s="14">
        <v>0</v>
      </c>
      <c r="G314" s="124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>
        <v>0</v>
      </c>
      <c r="AB314" s="121">
        <v>0</v>
      </c>
      <c r="AC314" s="121">
        <v>0</v>
      </c>
      <c r="AD314" s="121">
        <v>0</v>
      </c>
      <c r="AE314" s="121">
        <v>0</v>
      </c>
      <c r="AF314" s="121">
        <v>0</v>
      </c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141</v>
      </c>
      <c r="B315" t="s">
        <v>145</v>
      </c>
      <c r="C315">
        <v>32</v>
      </c>
      <c r="D315" t="s">
        <v>72</v>
      </c>
      <c r="E315" s="14">
        <v>0</v>
      </c>
      <c r="F315" s="14">
        <v>0</v>
      </c>
      <c r="G315" s="124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>
        <v>0</v>
      </c>
      <c r="AB315" s="121">
        <v>0</v>
      </c>
      <c r="AC315" s="121">
        <v>0</v>
      </c>
      <c r="AD315" s="121">
        <v>0</v>
      </c>
      <c r="AE315" s="121">
        <v>0</v>
      </c>
      <c r="AF315" s="121">
        <v>0</v>
      </c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141</v>
      </c>
      <c r="B316" t="s">
        <v>145</v>
      </c>
      <c r="C316">
        <v>33</v>
      </c>
      <c r="D316" t="s">
        <v>73</v>
      </c>
      <c r="E316" s="14">
        <v>0</v>
      </c>
      <c r="F316" s="14">
        <v>0</v>
      </c>
      <c r="G316" s="124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>
        <v>0</v>
      </c>
      <c r="AB316" s="121">
        <v>0</v>
      </c>
      <c r="AC316" s="121">
        <v>0</v>
      </c>
      <c r="AD316" s="121">
        <v>0</v>
      </c>
      <c r="AE316" s="121">
        <v>0</v>
      </c>
      <c r="AF316" s="121">
        <v>0</v>
      </c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141</v>
      </c>
      <c r="B317" t="s">
        <v>145</v>
      </c>
      <c r="C317">
        <v>34</v>
      </c>
      <c r="D317" t="s">
        <v>74</v>
      </c>
      <c r="E317" s="14">
        <v>0</v>
      </c>
      <c r="F317" s="14">
        <v>0</v>
      </c>
      <c r="G317" s="124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>
        <v>0</v>
      </c>
      <c r="AB317" s="121">
        <v>0</v>
      </c>
      <c r="AC317" s="121">
        <v>0</v>
      </c>
      <c r="AD317" s="121">
        <v>0</v>
      </c>
      <c r="AE317" s="121">
        <v>0</v>
      </c>
      <c r="AF317" s="121">
        <v>0</v>
      </c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141</v>
      </c>
      <c r="B318" t="s">
        <v>145</v>
      </c>
      <c r="C318">
        <v>35</v>
      </c>
      <c r="D318" t="s">
        <v>75</v>
      </c>
      <c r="E318" s="14">
        <v>0</v>
      </c>
      <c r="F318" s="14">
        <v>-9282.51</v>
      </c>
      <c r="G318" s="124">
        <v>0</v>
      </c>
      <c r="H318" s="121">
        <v>-23049.919999999998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>
        <v>0</v>
      </c>
      <c r="AB318" s="121">
        <v>0</v>
      </c>
      <c r="AC318" s="121">
        <v>0</v>
      </c>
      <c r="AD318" s="121">
        <v>0</v>
      </c>
      <c r="AE318" s="121">
        <v>0</v>
      </c>
      <c r="AF318" s="121">
        <v>0</v>
      </c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141</v>
      </c>
      <c r="B319" t="s">
        <v>145</v>
      </c>
      <c r="C319">
        <v>36</v>
      </c>
      <c r="D319" t="s">
        <v>76</v>
      </c>
      <c r="E319" s="14">
        <v>0</v>
      </c>
      <c r="F319" s="14">
        <v>0</v>
      </c>
      <c r="G319" s="124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>
        <v>0</v>
      </c>
      <c r="AB319" s="121">
        <v>0</v>
      </c>
      <c r="AC319" s="121">
        <v>0</v>
      </c>
      <c r="AD319" s="121">
        <v>0</v>
      </c>
      <c r="AE319" s="121">
        <v>0</v>
      </c>
      <c r="AF319" s="121">
        <v>0</v>
      </c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141</v>
      </c>
      <c r="B320" t="s">
        <v>145</v>
      </c>
      <c r="C320">
        <v>37</v>
      </c>
      <c r="D320" t="s">
        <v>77</v>
      </c>
      <c r="E320" s="14">
        <v>0</v>
      </c>
      <c r="F320" s="14">
        <v>0</v>
      </c>
      <c r="G320" s="124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>
        <v>0</v>
      </c>
      <c r="AB320" s="121">
        <v>0</v>
      </c>
      <c r="AC320" s="121">
        <v>0</v>
      </c>
      <c r="AD320" s="121">
        <v>0</v>
      </c>
      <c r="AE320" s="121">
        <v>0</v>
      </c>
      <c r="AF320" s="121">
        <v>0</v>
      </c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141</v>
      </c>
      <c r="B321" t="s">
        <v>145</v>
      </c>
      <c r="C321">
        <v>38</v>
      </c>
      <c r="D321" t="s">
        <v>78</v>
      </c>
      <c r="E321" s="14">
        <v>0</v>
      </c>
      <c r="F321" s="14">
        <v>0</v>
      </c>
      <c r="G321" s="124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>
        <v>0</v>
      </c>
      <c r="AB321" s="121">
        <v>0</v>
      </c>
      <c r="AC321" s="121">
        <v>0</v>
      </c>
      <c r="AD321" s="121">
        <v>0</v>
      </c>
      <c r="AE321" s="121">
        <v>0</v>
      </c>
      <c r="AF321" s="121">
        <v>0</v>
      </c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141</v>
      </c>
      <c r="B322" t="s">
        <v>145</v>
      </c>
      <c r="C322">
        <v>39</v>
      </c>
      <c r="D322" t="s">
        <v>79</v>
      </c>
      <c r="E322" s="14">
        <v>0</v>
      </c>
      <c r="F322" s="14">
        <v>0</v>
      </c>
      <c r="G322" s="124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>
        <v>0</v>
      </c>
      <c r="AB322" s="121">
        <v>0</v>
      </c>
      <c r="AC322" s="121">
        <v>0</v>
      </c>
      <c r="AD322" s="121">
        <v>0</v>
      </c>
      <c r="AE322" s="121">
        <v>0</v>
      </c>
      <c r="AF322" s="121">
        <v>0</v>
      </c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141</v>
      </c>
      <c r="B323" t="s">
        <v>145</v>
      </c>
      <c r="C323">
        <v>40</v>
      </c>
      <c r="D323" t="s">
        <v>80</v>
      </c>
      <c r="E323" s="14">
        <v>0</v>
      </c>
      <c r="F323" s="14">
        <v>61413.86</v>
      </c>
      <c r="G323" s="124">
        <v>0</v>
      </c>
      <c r="H323" s="121">
        <v>-3602</v>
      </c>
      <c r="I323" s="124">
        <v>0</v>
      </c>
      <c r="J323" s="121">
        <v>0</v>
      </c>
      <c r="K323" s="121">
        <v>0</v>
      </c>
      <c r="L323" s="121">
        <v>0</v>
      </c>
      <c r="M323" s="121">
        <v>0</v>
      </c>
      <c r="N323" s="121">
        <v>10852.69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>
        <v>0</v>
      </c>
      <c r="AB323" s="121">
        <v>0</v>
      </c>
      <c r="AC323" s="121">
        <v>0</v>
      </c>
      <c r="AD323" s="121">
        <v>0</v>
      </c>
      <c r="AE323" s="121">
        <v>0</v>
      </c>
      <c r="AF323" s="121">
        <v>0</v>
      </c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146</v>
      </c>
      <c r="B324" t="s">
        <v>147</v>
      </c>
      <c r="C324">
        <v>1</v>
      </c>
      <c r="D324" t="s">
        <v>27</v>
      </c>
      <c r="E324" s="14">
        <v>0</v>
      </c>
      <c r="F324" s="14">
        <v>0</v>
      </c>
      <c r="G324" s="124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>
        <v>0</v>
      </c>
      <c r="AB324" s="121">
        <v>0</v>
      </c>
      <c r="AC324" s="121">
        <v>0</v>
      </c>
      <c r="AD324" s="121">
        <v>0</v>
      </c>
      <c r="AE324" s="121">
        <v>0</v>
      </c>
      <c r="AF324" s="121">
        <v>0</v>
      </c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146</v>
      </c>
      <c r="B325" t="s">
        <v>147</v>
      </c>
      <c r="C325">
        <v>2</v>
      </c>
      <c r="D325" t="s">
        <v>28</v>
      </c>
      <c r="E325" s="14">
        <v>0</v>
      </c>
      <c r="F325" s="14">
        <v>0</v>
      </c>
      <c r="G325" s="124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>
        <v>0</v>
      </c>
      <c r="AB325" s="121">
        <v>0</v>
      </c>
      <c r="AC325" s="121">
        <v>0</v>
      </c>
      <c r="AD325" s="121">
        <v>0</v>
      </c>
      <c r="AE325" s="121">
        <v>0</v>
      </c>
      <c r="AF325" s="121">
        <v>0</v>
      </c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146</v>
      </c>
      <c r="B326" t="s">
        <v>147</v>
      </c>
      <c r="C326">
        <v>3</v>
      </c>
      <c r="D326" t="s">
        <v>29</v>
      </c>
      <c r="E326" s="14">
        <v>0</v>
      </c>
      <c r="F326" s="14">
        <v>0</v>
      </c>
      <c r="G326" s="124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>
        <v>0</v>
      </c>
      <c r="AB326" s="121">
        <v>0</v>
      </c>
      <c r="AC326" s="121">
        <v>0</v>
      </c>
      <c r="AD326" s="121">
        <v>0</v>
      </c>
      <c r="AE326" s="121">
        <v>0</v>
      </c>
      <c r="AF326" s="121">
        <v>0</v>
      </c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146</v>
      </c>
      <c r="B327" t="s">
        <v>147</v>
      </c>
      <c r="C327">
        <v>4</v>
      </c>
      <c r="D327" t="s">
        <v>30</v>
      </c>
      <c r="E327" s="14">
        <v>0</v>
      </c>
      <c r="F327" s="14">
        <v>0</v>
      </c>
      <c r="G327" s="124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>
        <v>0</v>
      </c>
      <c r="AB327" s="121">
        <v>0</v>
      </c>
      <c r="AC327" s="121">
        <v>0</v>
      </c>
      <c r="AD327" s="121">
        <v>0</v>
      </c>
      <c r="AE327" s="121">
        <v>0</v>
      </c>
      <c r="AF327" s="121">
        <v>0</v>
      </c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146</v>
      </c>
      <c r="B328" t="s">
        <v>147</v>
      </c>
      <c r="C328">
        <v>5</v>
      </c>
      <c r="D328" t="s">
        <v>126</v>
      </c>
      <c r="E328" s="14">
        <v>0</v>
      </c>
      <c r="F328" s="14">
        <v>0</v>
      </c>
      <c r="G328" s="124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>
        <v>0</v>
      </c>
      <c r="AB328" s="121">
        <v>0</v>
      </c>
      <c r="AC328" s="121">
        <v>0</v>
      </c>
      <c r="AD328" s="121">
        <v>0</v>
      </c>
      <c r="AE328" s="121">
        <v>0</v>
      </c>
      <c r="AF328" s="121">
        <v>0</v>
      </c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146</v>
      </c>
      <c r="B329" t="s">
        <v>147</v>
      </c>
      <c r="C329">
        <v>6</v>
      </c>
      <c r="D329" t="s">
        <v>27</v>
      </c>
      <c r="E329" s="14">
        <v>0</v>
      </c>
      <c r="F329" s="14">
        <v>0</v>
      </c>
      <c r="G329" s="124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>
        <v>0</v>
      </c>
      <c r="AB329" s="121">
        <v>0</v>
      </c>
      <c r="AC329" s="121">
        <v>0</v>
      </c>
      <c r="AD329" s="121">
        <v>0</v>
      </c>
      <c r="AE329" s="121">
        <v>0</v>
      </c>
      <c r="AF329" s="121">
        <v>0</v>
      </c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146</v>
      </c>
      <c r="B330" t="s">
        <v>147</v>
      </c>
      <c r="C330">
        <v>7</v>
      </c>
      <c r="D330" t="s">
        <v>28</v>
      </c>
      <c r="E330" s="14">
        <v>0</v>
      </c>
      <c r="F330" s="14">
        <v>0</v>
      </c>
      <c r="G330" s="124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>
        <v>0</v>
      </c>
      <c r="AB330" s="121">
        <v>0</v>
      </c>
      <c r="AC330" s="121">
        <v>0</v>
      </c>
      <c r="AD330" s="121">
        <v>0</v>
      </c>
      <c r="AE330" s="121">
        <v>0</v>
      </c>
      <c r="AF330" s="121">
        <v>0</v>
      </c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146</v>
      </c>
      <c r="B331" t="s">
        <v>147</v>
      </c>
      <c r="C331">
        <v>8</v>
      </c>
      <c r="D331" t="s">
        <v>29</v>
      </c>
      <c r="E331" s="14">
        <v>0</v>
      </c>
      <c r="F331" s="14">
        <v>0</v>
      </c>
      <c r="G331" s="124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>
        <v>0</v>
      </c>
      <c r="AB331" s="121">
        <v>0</v>
      </c>
      <c r="AC331" s="121">
        <v>0</v>
      </c>
      <c r="AD331" s="121">
        <v>0</v>
      </c>
      <c r="AE331" s="121">
        <v>0</v>
      </c>
      <c r="AF331" s="121">
        <v>0</v>
      </c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146</v>
      </c>
      <c r="B332" t="s">
        <v>147</v>
      </c>
      <c r="C332">
        <v>9</v>
      </c>
      <c r="D332" t="s">
        <v>30</v>
      </c>
      <c r="E332" s="14">
        <v>0</v>
      </c>
      <c r="F332" s="14">
        <v>0</v>
      </c>
      <c r="G332" s="124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>
        <v>0</v>
      </c>
      <c r="AB332" s="121">
        <v>0</v>
      </c>
      <c r="AC332" s="121">
        <v>0</v>
      </c>
      <c r="AD332" s="121">
        <v>0</v>
      </c>
      <c r="AE332" s="121">
        <v>0</v>
      </c>
      <c r="AF332" s="121">
        <v>0</v>
      </c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146</v>
      </c>
      <c r="B333" t="s">
        <v>147</v>
      </c>
      <c r="C333">
        <v>10</v>
      </c>
      <c r="D333" t="s">
        <v>34</v>
      </c>
      <c r="E333" s="14">
        <v>0</v>
      </c>
      <c r="F333" s="14">
        <v>0</v>
      </c>
      <c r="G333" s="124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>
        <v>0</v>
      </c>
      <c r="AB333" s="121">
        <v>0</v>
      </c>
      <c r="AC333" s="121">
        <v>0</v>
      </c>
      <c r="AD333" s="121">
        <v>0</v>
      </c>
      <c r="AE333" s="121">
        <v>0</v>
      </c>
      <c r="AF333" s="121">
        <v>0</v>
      </c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146</v>
      </c>
      <c r="B334" t="s">
        <v>147</v>
      </c>
      <c r="C334">
        <v>11</v>
      </c>
      <c r="D334" t="s">
        <v>37</v>
      </c>
      <c r="E334" s="14">
        <v>0</v>
      </c>
      <c r="F334" s="14">
        <v>0</v>
      </c>
      <c r="G334" s="124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>
        <v>0</v>
      </c>
      <c r="AB334" s="121">
        <v>0</v>
      </c>
      <c r="AC334" s="121">
        <v>0</v>
      </c>
      <c r="AD334" s="121">
        <v>0</v>
      </c>
      <c r="AE334" s="121">
        <v>0</v>
      </c>
      <c r="AF334" s="121">
        <v>0</v>
      </c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146</v>
      </c>
      <c r="B335" t="s">
        <v>147</v>
      </c>
      <c r="C335">
        <v>12</v>
      </c>
      <c r="D335" t="s">
        <v>38</v>
      </c>
      <c r="E335" s="14">
        <v>0</v>
      </c>
      <c r="F335" s="14">
        <v>0</v>
      </c>
      <c r="G335" s="124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>
        <v>0</v>
      </c>
      <c r="AB335" s="121">
        <v>0</v>
      </c>
      <c r="AC335" s="121">
        <v>0</v>
      </c>
      <c r="AD335" s="121">
        <v>0</v>
      </c>
      <c r="AE335" s="121">
        <v>0</v>
      </c>
      <c r="AF335" s="121">
        <v>0</v>
      </c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146</v>
      </c>
      <c r="B336" t="s">
        <v>147</v>
      </c>
      <c r="C336">
        <v>13</v>
      </c>
      <c r="D336" t="s">
        <v>41</v>
      </c>
      <c r="E336" s="14">
        <v>0</v>
      </c>
      <c r="F336" s="14">
        <v>0</v>
      </c>
      <c r="G336" s="124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>
        <v>0</v>
      </c>
      <c r="AB336" s="121">
        <v>0</v>
      </c>
      <c r="AC336" s="121">
        <v>0</v>
      </c>
      <c r="AD336" s="121">
        <v>0</v>
      </c>
      <c r="AE336" s="121">
        <v>0</v>
      </c>
      <c r="AF336" s="121">
        <v>0</v>
      </c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146</v>
      </c>
      <c r="B337" t="s">
        <v>147</v>
      </c>
      <c r="C337">
        <v>14</v>
      </c>
      <c r="D337" t="s">
        <v>42</v>
      </c>
      <c r="E337" s="14">
        <v>0</v>
      </c>
      <c r="F337" s="14">
        <v>0</v>
      </c>
      <c r="G337" s="124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>
        <v>0</v>
      </c>
      <c r="AB337" s="121">
        <v>0</v>
      </c>
      <c r="AC337" s="121">
        <v>0</v>
      </c>
      <c r="AD337" s="121">
        <v>0</v>
      </c>
      <c r="AE337" s="121">
        <v>0</v>
      </c>
      <c r="AF337" s="121">
        <v>0</v>
      </c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146</v>
      </c>
      <c r="B338" t="s">
        <v>147</v>
      </c>
      <c r="C338">
        <v>15</v>
      </c>
      <c r="D338" t="s">
        <v>43</v>
      </c>
      <c r="E338" s="14">
        <v>0</v>
      </c>
      <c r="F338" s="14">
        <v>0</v>
      </c>
      <c r="G338" s="124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>
        <v>0</v>
      </c>
      <c r="AB338" s="121">
        <v>0</v>
      </c>
      <c r="AC338" s="121">
        <v>0</v>
      </c>
      <c r="AD338" s="121">
        <v>0</v>
      </c>
      <c r="AE338" s="121">
        <v>0</v>
      </c>
      <c r="AF338" s="121">
        <v>0</v>
      </c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146</v>
      </c>
      <c r="B339" t="s">
        <v>147</v>
      </c>
      <c r="C339">
        <v>16</v>
      </c>
      <c r="D339" t="s">
        <v>44</v>
      </c>
      <c r="E339" s="14">
        <v>0</v>
      </c>
      <c r="F339" s="14">
        <v>0</v>
      </c>
      <c r="G339" s="124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>
        <v>0</v>
      </c>
      <c r="AB339" s="121">
        <v>0</v>
      </c>
      <c r="AC339" s="121">
        <v>0</v>
      </c>
      <c r="AD339" s="121">
        <v>0</v>
      </c>
      <c r="AE339" s="121">
        <v>0</v>
      </c>
      <c r="AF339" s="121">
        <v>0</v>
      </c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146</v>
      </c>
      <c r="B340" t="s">
        <v>147</v>
      </c>
      <c r="C340">
        <v>17</v>
      </c>
      <c r="D340" t="s">
        <v>127</v>
      </c>
      <c r="E340" s="14">
        <v>0</v>
      </c>
      <c r="F340" s="14">
        <v>0</v>
      </c>
      <c r="G340" s="124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>
        <v>0</v>
      </c>
      <c r="AB340" s="121">
        <v>0</v>
      </c>
      <c r="AC340" s="121">
        <v>0</v>
      </c>
      <c r="AD340" s="121">
        <v>0</v>
      </c>
      <c r="AE340" s="121">
        <v>0</v>
      </c>
      <c r="AF340" s="121">
        <v>0</v>
      </c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146</v>
      </c>
      <c r="B341" s="123" t="s">
        <v>147</v>
      </c>
      <c r="C341" s="123">
        <v>18</v>
      </c>
      <c r="D341" s="123" t="s">
        <v>128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>
        <v>0</v>
      </c>
      <c r="AB341" s="124">
        <v>0</v>
      </c>
      <c r="AC341" s="124">
        <v>0</v>
      </c>
      <c r="AD341" s="124">
        <v>0</v>
      </c>
      <c r="AE341" s="124">
        <v>0</v>
      </c>
      <c r="AF341" s="124">
        <v>0</v>
      </c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146</v>
      </c>
      <c r="B342" t="s">
        <v>147</v>
      </c>
      <c r="C342">
        <v>19</v>
      </c>
      <c r="D342" t="s">
        <v>49</v>
      </c>
      <c r="E342" s="14">
        <v>0</v>
      </c>
      <c r="F342" s="14">
        <v>0</v>
      </c>
      <c r="G342" s="124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>
        <v>0</v>
      </c>
      <c r="AB342" s="121">
        <v>0</v>
      </c>
      <c r="AC342" s="121">
        <v>0</v>
      </c>
      <c r="AD342" s="121">
        <v>0</v>
      </c>
      <c r="AE342" s="121">
        <v>0</v>
      </c>
      <c r="AF342" s="121">
        <v>0</v>
      </c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146</v>
      </c>
      <c r="B343" t="s">
        <v>147</v>
      </c>
      <c r="C343">
        <v>20</v>
      </c>
      <c r="D343" t="s">
        <v>129</v>
      </c>
      <c r="E343" s="14">
        <v>0</v>
      </c>
      <c r="F343" s="14">
        <v>0</v>
      </c>
      <c r="G343" s="124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>
        <v>0</v>
      </c>
      <c r="AB343" s="121">
        <v>0</v>
      </c>
      <c r="AC343" s="121">
        <v>0</v>
      </c>
      <c r="AD343" s="121">
        <v>0</v>
      </c>
      <c r="AE343" s="121">
        <v>0</v>
      </c>
      <c r="AF343" s="121">
        <v>0</v>
      </c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146</v>
      </c>
      <c r="B344" t="s">
        <v>147</v>
      </c>
      <c r="C344">
        <v>21</v>
      </c>
      <c r="D344" t="s">
        <v>130</v>
      </c>
      <c r="E344" s="14">
        <v>0</v>
      </c>
      <c r="F344" s="14">
        <v>0</v>
      </c>
      <c r="G344" s="124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>
        <v>0</v>
      </c>
      <c r="AB344" s="121">
        <v>0</v>
      </c>
      <c r="AC344" s="121">
        <v>0</v>
      </c>
      <c r="AD344" s="121">
        <v>0</v>
      </c>
      <c r="AE344" s="121">
        <v>0</v>
      </c>
      <c r="AF344" s="121">
        <v>0</v>
      </c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146</v>
      </c>
      <c r="B345" t="s">
        <v>147</v>
      </c>
      <c r="C345">
        <v>22</v>
      </c>
      <c r="D345" t="s">
        <v>131</v>
      </c>
      <c r="E345" s="14">
        <v>0</v>
      </c>
      <c r="F345" s="14">
        <v>0</v>
      </c>
      <c r="G345" s="124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>
        <v>0</v>
      </c>
      <c r="AB345" s="121">
        <v>0</v>
      </c>
      <c r="AC345" s="121">
        <v>0</v>
      </c>
      <c r="AD345" s="121">
        <v>0</v>
      </c>
      <c r="AE345" s="121">
        <v>0</v>
      </c>
      <c r="AF345" s="121">
        <v>0</v>
      </c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146</v>
      </c>
      <c r="B346" t="s">
        <v>147</v>
      </c>
      <c r="C346">
        <v>23</v>
      </c>
      <c r="D346" t="s">
        <v>132</v>
      </c>
      <c r="E346" s="14">
        <v>0</v>
      </c>
      <c r="F346" s="14">
        <v>0</v>
      </c>
      <c r="G346" s="124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>
        <v>0</v>
      </c>
      <c r="AB346" s="121">
        <v>0</v>
      </c>
      <c r="AC346" s="121">
        <v>0</v>
      </c>
      <c r="AD346" s="121">
        <v>0</v>
      </c>
      <c r="AE346" s="121">
        <v>0</v>
      </c>
      <c r="AF346" s="121">
        <v>0</v>
      </c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146</v>
      </c>
      <c r="B347" t="s">
        <v>147</v>
      </c>
      <c r="C347">
        <v>24</v>
      </c>
      <c r="D347" t="s">
        <v>57</v>
      </c>
      <c r="E347" s="14">
        <v>0</v>
      </c>
      <c r="F347" s="14">
        <v>0</v>
      </c>
      <c r="G347" s="124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>
        <v>0</v>
      </c>
      <c r="AB347" s="121">
        <v>0</v>
      </c>
      <c r="AC347" s="121">
        <v>0</v>
      </c>
      <c r="AD347" s="121">
        <v>0</v>
      </c>
      <c r="AE347" s="121">
        <v>0</v>
      </c>
      <c r="AF347" s="121">
        <v>0</v>
      </c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146</v>
      </c>
      <c r="B348" t="s">
        <v>147</v>
      </c>
      <c r="C348">
        <v>25</v>
      </c>
      <c r="D348" t="s">
        <v>58</v>
      </c>
      <c r="E348" s="14">
        <v>0</v>
      </c>
      <c r="F348" s="14">
        <v>0</v>
      </c>
      <c r="G348" s="124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>
        <v>0</v>
      </c>
      <c r="AB348" s="121">
        <v>0</v>
      </c>
      <c r="AC348" s="121">
        <v>0</v>
      </c>
      <c r="AD348" s="121">
        <v>0</v>
      </c>
      <c r="AE348" s="121">
        <v>0</v>
      </c>
      <c r="AF348" s="121">
        <v>0</v>
      </c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146</v>
      </c>
      <c r="B349" t="s">
        <v>147</v>
      </c>
      <c r="C349">
        <v>26</v>
      </c>
      <c r="D349" t="s">
        <v>133</v>
      </c>
      <c r="E349" s="14">
        <v>0</v>
      </c>
      <c r="F349" s="14">
        <v>0</v>
      </c>
      <c r="G349" s="124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>
        <v>0</v>
      </c>
      <c r="AB349" s="121">
        <v>0</v>
      </c>
      <c r="AC349" s="121">
        <v>0</v>
      </c>
      <c r="AD349" s="121">
        <v>0</v>
      </c>
      <c r="AE349" s="121">
        <v>0</v>
      </c>
      <c r="AF349" s="121">
        <v>0</v>
      </c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146</v>
      </c>
      <c r="B350" t="s">
        <v>147</v>
      </c>
      <c r="C350">
        <v>27</v>
      </c>
      <c r="D350" t="s">
        <v>134</v>
      </c>
      <c r="E350" s="14">
        <v>0</v>
      </c>
      <c r="F350" s="14">
        <v>0</v>
      </c>
      <c r="G350" s="124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>
        <v>0</v>
      </c>
      <c r="AB350" s="121">
        <v>0</v>
      </c>
      <c r="AC350" s="121">
        <v>0</v>
      </c>
      <c r="AD350" s="121">
        <v>0</v>
      </c>
      <c r="AE350" s="121">
        <v>0</v>
      </c>
      <c r="AF350" s="121">
        <v>0</v>
      </c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146</v>
      </c>
      <c r="B351" t="s">
        <v>147</v>
      </c>
      <c r="C351">
        <v>28</v>
      </c>
      <c r="D351" t="s">
        <v>135</v>
      </c>
      <c r="E351" s="125">
        <v>0</v>
      </c>
      <c r="F351" s="125">
        <v>0</v>
      </c>
      <c r="G351" s="169">
        <v>0</v>
      </c>
      <c r="H351" s="126">
        <v>0</v>
      </c>
      <c r="I351" s="169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>
        <v>0</v>
      </c>
      <c r="AB351" s="121">
        <v>0</v>
      </c>
      <c r="AC351" s="121">
        <v>0</v>
      </c>
      <c r="AD351" s="121">
        <v>0</v>
      </c>
      <c r="AE351" s="121">
        <v>0</v>
      </c>
      <c r="AF351" s="121">
        <v>0</v>
      </c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146</v>
      </c>
      <c r="B352" t="s">
        <v>147</v>
      </c>
      <c r="C352">
        <v>29</v>
      </c>
      <c r="D352" t="s">
        <v>136</v>
      </c>
      <c r="E352" s="14">
        <v>0</v>
      </c>
      <c r="F352" s="14">
        <v>0</v>
      </c>
      <c r="G352" s="124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>
        <v>0</v>
      </c>
      <c r="AB352" s="121">
        <v>0</v>
      </c>
      <c r="AC352" s="121">
        <v>0</v>
      </c>
      <c r="AD352" s="121">
        <v>0</v>
      </c>
      <c r="AE352" s="121">
        <v>0</v>
      </c>
      <c r="AF352" s="121">
        <v>0</v>
      </c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146</v>
      </c>
      <c r="B353" t="s">
        <v>147</v>
      </c>
      <c r="C353">
        <v>30</v>
      </c>
      <c r="D353" t="s">
        <v>137</v>
      </c>
      <c r="E353" s="14">
        <v>0</v>
      </c>
      <c r="F353" s="14">
        <v>0</v>
      </c>
      <c r="G353" s="124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>
        <v>0</v>
      </c>
      <c r="AB353" s="121">
        <v>0</v>
      </c>
      <c r="AC353" s="121">
        <v>0</v>
      </c>
      <c r="AD353" s="121">
        <v>0</v>
      </c>
      <c r="AE353" s="121">
        <v>0</v>
      </c>
      <c r="AF353" s="121">
        <v>0</v>
      </c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146</v>
      </c>
      <c r="B354" t="s">
        <v>147</v>
      </c>
      <c r="C354">
        <v>31</v>
      </c>
      <c r="D354" t="s">
        <v>138</v>
      </c>
      <c r="E354" s="14">
        <v>0</v>
      </c>
      <c r="F354" s="14">
        <v>0</v>
      </c>
      <c r="G354" s="124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>
        <v>0</v>
      </c>
      <c r="AB354" s="121">
        <v>0</v>
      </c>
      <c r="AC354" s="121">
        <v>0</v>
      </c>
      <c r="AD354" s="121">
        <v>0</v>
      </c>
      <c r="AE354" s="121">
        <v>0</v>
      </c>
      <c r="AF354" s="121">
        <v>0</v>
      </c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146</v>
      </c>
      <c r="B355" t="s">
        <v>147</v>
      </c>
      <c r="C355">
        <v>32</v>
      </c>
      <c r="D355" t="s">
        <v>72</v>
      </c>
      <c r="E355" s="14">
        <v>0</v>
      </c>
      <c r="F355" s="14">
        <v>0</v>
      </c>
      <c r="G355" s="124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>
        <v>0</v>
      </c>
      <c r="AB355" s="121">
        <v>0</v>
      </c>
      <c r="AC355" s="121">
        <v>0</v>
      </c>
      <c r="AD355" s="121">
        <v>0</v>
      </c>
      <c r="AE355" s="121">
        <v>0</v>
      </c>
      <c r="AF355" s="121">
        <v>0</v>
      </c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146</v>
      </c>
      <c r="B356" t="s">
        <v>147</v>
      </c>
      <c r="C356">
        <v>33</v>
      </c>
      <c r="D356" t="s">
        <v>73</v>
      </c>
      <c r="E356" s="14">
        <v>0</v>
      </c>
      <c r="F356" s="14">
        <v>0</v>
      </c>
      <c r="G356" s="124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>
        <v>0</v>
      </c>
      <c r="AB356" s="121">
        <v>0</v>
      </c>
      <c r="AC356" s="121">
        <v>0</v>
      </c>
      <c r="AD356" s="121">
        <v>0</v>
      </c>
      <c r="AE356" s="121">
        <v>0</v>
      </c>
      <c r="AF356" s="121">
        <v>0</v>
      </c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146</v>
      </c>
      <c r="B357" t="s">
        <v>147</v>
      </c>
      <c r="C357">
        <v>34</v>
      </c>
      <c r="D357" t="s">
        <v>74</v>
      </c>
      <c r="E357" s="14">
        <v>0</v>
      </c>
      <c r="F357" s="14">
        <v>0</v>
      </c>
      <c r="G357" s="124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>
        <v>0</v>
      </c>
      <c r="AB357" s="121">
        <v>0</v>
      </c>
      <c r="AC357" s="121">
        <v>0</v>
      </c>
      <c r="AD357" s="121">
        <v>0</v>
      </c>
      <c r="AE357" s="121">
        <v>0</v>
      </c>
      <c r="AF357" s="121">
        <v>0</v>
      </c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146</v>
      </c>
      <c r="B358" t="s">
        <v>147</v>
      </c>
      <c r="C358">
        <v>35</v>
      </c>
      <c r="D358" t="s">
        <v>75</v>
      </c>
      <c r="E358" s="14">
        <v>0</v>
      </c>
      <c r="F358" s="14">
        <v>0</v>
      </c>
      <c r="G358" s="124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>
        <v>0</v>
      </c>
      <c r="AB358" s="121">
        <v>0</v>
      </c>
      <c r="AC358" s="121">
        <v>0</v>
      </c>
      <c r="AD358" s="121">
        <v>0</v>
      </c>
      <c r="AE358" s="121">
        <v>0</v>
      </c>
      <c r="AF358" s="121">
        <v>0</v>
      </c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146</v>
      </c>
      <c r="B359" t="s">
        <v>147</v>
      </c>
      <c r="C359">
        <v>36</v>
      </c>
      <c r="D359" t="s">
        <v>76</v>
      </c>
      <c r="E359" s="14">
        <v>0</v>
      </c>
      <c r="F359" s="14">
        <v>0</v>
      </c>
      <c r="G359" s="124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>
        <v>0</v>
      </c>
      <c r="AB359" s="121">
        <v>0</v>
      </c>
      <c r="AC359" s="121">
        <v>0</v>
      </c>
      <c r="AD359" s="121">
        <v>0</v>
      </c>
      <c r="AE359" s="121">
        <v>0</v>
      </c>
      <c r="AF359" s="121">
        <v>0</v>
      </c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146</v>
      </c>
      <c r="B360" t="s">
        <v>147</v>
      </c>
      <c r="C360">
        <v>37</v>
      </c>
      <c r="D360" t="s">
        <v>77</v>
      </c>
      <c r="E360" s="14">
        <v>0</v>
      </c>
      <c r="F360" s="14">
        <v>0</v>
      </c>
      <c r="G360" s="124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>
        <v>0</v>
      </c>
      <c r="AB360" s="121">
        <v>0</v>
      </c>
      <c r="AC360" s="121">
        <v>0</v>
      </c>
      <c r="AD360" s="121">
        <v>0</v>
      </c>
      <c r="AE360" s="121">
        <v>0</v>
      </c>
      <c r="AF360" s="121">
        <v>0</v>
      </c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146</v>
      </c>
      <c r="B361" t="s">
        <v>147</v>
      </c>
      <c r="C361">
        <v>38</v>
      </c>
      <c r="D361" t="s">
        <v>78</v>
      </c>
      <c r="E361" s="14">
        <v>0</v>
      </c>
      <c r="F361" s="14">
        <v>0</v>
      </c>
      <c r="G361" s="124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>
        <v>0</v>
      </c>
      <c r="AB361" s="121">
        <v>0</v>
      </c>
      <c r="AC361" s="121">
        <v>0</v>
      </c>
      <c r="AD361" s="121">
        <v>0</v>
      </c>
      <c r="AE361" s="121">
        <v>0</v>
      </c>
      <c r="AF361" s="121">
        <v>0</v>
      </c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146</v>
      </c>
      <c r="B362" t="s">
        <v>147</v>
      </c>
      <c r="C362">
        <v>39</v>
      </c>
      <c r="D362" t="s">
        <v>79</v>
      </c>
      <c r="E362" s="14">
        <v>0</v>
      </c>
      <c r="F362" s="14">
        <v>0</v>
      </c>
      <c r="G362" s="124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>
        <v>0</v>
      </c>
      <c r="AB362" s="121">
        <v>0</v>
      </c>
      <c r="AC362" s="121">
        <v>0</v>
      </c>
      <c r="AD362" s="121">
        <v>0</v>
      </c>
      <c r="AE362" s="121">
        <v>0</v>
      </c>
      <c r="AF362" s="121">
        <v>0</v>
      </c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146</v>
      </c>
      <c r="B363" t="s">
        <v>147</v>
      </c>
      <c r="C363">
        <v>40</v>
      </c>
      <c r="D363" t="s">
        <v>80</v>
      </c>
      <c r="E363" s="14">
        <v>0</v>
      </c>
      <c r="F363" s="14">
        <v>0</v>
      </c>
      <c r="G363" s="124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>
        <v>0</v>
      </c>
      <c r="AB363" s="121">
        <v>0</v>
      </c>
      <c r="AC363" s="121">
        <v>0</v>
      </c>
      <c r="AD363" s="121">
        <v>0</v>
      </c>
      <c r="AE363" s="121">
        <v>0</v>
      </c>
      <c r="AF363" s="121">
        <v>0</v>
      </c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148</v>
      </c>
      <c r="B364" t="s">
        <v>149</v>
      </c>
      <c r="C364">
        <v>1</v>
      </c>
      <c r="D364" t="s">
        <v>27</v>
      </c>
      <c r="E364" s="14">
        <v>0</v>
      </c>
      <c r="F364" s="14">
        <v>0</v>
      </c>
      <c r="G364" s="124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>
        <v>0</v>
      </c>
      <c r="AB364" s="121">
        <v>0</v>
      </c>
      <c r="AC364" s="121">
        <v>0</v>
      </c>
      <c r="AD364" s="121">
        <v>0</v>
      </c>
      <c r="AE364" s="121">
        <v>0</v>
      </c>
      <c r="AF364" s="121">
        <v>0</v>
      </c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148</v>
      </c>
      <c r="B365" t="s">
        <v>149</v>
      </c>
      <c r="C365">
        <v>2</v>
      </c>
      <c r="D365" t="s">
        <v>28</v>
      </c>
      <c r="E365" s="14">
        <v>0</v>
      </c>
      <c r="F365" s="14">
        <v>0</v>
      </c>
      <c r="G365" s="124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>
        <v>0</v>
      </c>
      <c r="AB365" s="121">
        <v>0</v>
      </c>
      <c r="AC365" s="121">
        <v>0</v>
      </c>
      <c r="AD365" s="121">
        <v>0</v>
      </c>
      <c r="AE365" s="121">
        <v>0</v>
      </c>
      <c r="AF365" s="121">
        <v>0</v>
      </c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148</v>
      </c>
      <c r="B366" t="s">
        <v>149</v>
      </c>
      <c r="C366">
        <v>3</v>
      </c>
      <c r="D366" t="s">
        <v>29</v>
      </c>
      <c r="E366" s="14">
        <v>0</v>
      </c>
      <c r="F366" s="14">
        <v>0</v>
      </c>
      <c r="G366" s="124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>
        <v>0</v>
      </c>
      <c r="AB366" s="121">
        <v>0</v>
      </c>
      <c r="AC366" s="121">
        <v>0</v>
      </c>
      <c r="AD366" s="121">
        <v>0</v>
      </c>
      <c r="AE366" s="121">
        <v>0</v>
      </c>
      <c r="AF366" s="121">
        <v>0</v>
      </c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148</v>
      </c>
      <c r="B367" t="s">
        <v>149</v>
      </c>
      <c r="C367">
        <v>4</v>
      </c>
      <c r="D367" t="s">
        <v>30</v>
      </c>
      <c r="E367" s="14">
        <v>0</v>
      </c>
      <c r="F367" s="14">
        <v>0</v>
      </c>
      <c r="G367" s="124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>
        <v>0</v>
      </c>
      <c r="AB367" s="121">
        <v>0</v>
      </c>
      <c r="AC367" s="121">
        <v>0</v>
      </c>
      <c r="AD367" s="121">
        <v>0</v>
      </c>
      <c r="AE367" s="121">
        <v>0</v>
      </c>
      <c r="AF367" s="121">
        <v>0</v>
      </c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148</v>
      </c>
      <c r="B368" t="s">
        <v>149</v>
      </c>
      <c r="C368">
        <v>5</v>
      </c>
      <c r="D368" t="s">
        <v>126</v>
      </c>
      <c r="E368" s="14">
        <v>0</v>
      </c>
      <c r="F368" s="14">
        <v>0</v>
      </c>
      <c r="G368" s="124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>
        <v>0</v>
      </c>
      <c r="AB368" s="121">
        <v>0</v>
      </c>
      <c r="AC368" s="121">
        <v>0</v>
      </c>
      <c r="AD368" s="121">
        <v>0</v>
      </c>
      <c r="AE368" s="121">
        <v>0</v>
      </c>
      <c r="AF368" s="121">
        <v>0</v>
      </c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148</v>
      </c>
      <c r="B369" t="s">
        <v>149</v>
      </c>
      <c r="C369">
        <v>6</v>
      </c>
      <c r="D369" t="s">
        <v>27</v>
      </c>
      <c r="E369" s="14">
        <v>0</v>
      </c>
      <c r="F369" s="14">
        <v>0</v>
      </c>
      <c r="G369" s="124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>
        <v>0</v>
      </c>
      <c r="AB369" s="121">
        <v>0</v>
      </c>
      <c r="AC369" s="121">
        <v>0</v>
      </c>
      <c r="AD369" s="121">
        <v>0</v>
      </c>
      <c r="AE369" s="121">
        <v>0</v>
      </c>
      <c r="AF369" s="121">
        <v>0</v>
      </c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148</v>
      </c>
      <c r="B370" t="s">
        <v>149</v>
      </c>
      <c r="C370">
        <v>7</v>
      </c>
      <c r="D370" t="s">
        <v>28</v>
      </c>
      <c r="E370" s="14">
        <v>0</v>
      </c>
      <c r="F370" s="14">
        <v>0</v>
      </c>
      <c r="G370" s="124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>
        <v>0</v>
      </c>
      <c r="AB370" s="121">
        <v>0</v>
      </c>
      <c r="AC370" s="121">
        <v>0</v>
      </c>
      <c r="AD370" s="121">
        <v>0</v>
      </c>
      <c r="AE370" s="121">
        <v>0</v>
      </c>
      <c r="AF370" s="121">
        <v>0</v>
      </c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148</v>
      </c>
      <c r="B371" t="s">
        <v>149</v>
      </c>
      <c r="C371">
        <v>8</v>
      </c>
      <c r="D371" t="s">
        <v>29</v>
      </c>
      <c r="E371" s="14">
        <v>0</v>
      </c>
      <c r="F371" s="14">
        <v>0</v>
      </c>
      <c r="G371" s="124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>
        <v>0</v>
      </c>
      <c r="AB371" s="121">
        <v>0</v>
      </c>
      <c r="AC371" s="121">
        <v>0</v>
      </c>
      <c r="AD371" s="121">
        <v>0</v>
      </c>
      <c r="AE371" s="121">
        <v>0</v>
      </c>
      <c r="AF371" s="121">
        <v>0</v>
      </c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148</v>
      </c>
      <c r="B372" t="s">
        <v>149</v>
      </c>
      <c r="C372">
        <v>9</v>
      </c>
      <c r="D372" t="s">
        <v>30</v>
      </c>
      <c r="E372" s="14">
        <v>0</v>
      </c>
      <c r="F372" s="14">
        <v>0</v>
      </c>
      <c r="G372" s="124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>
        <v>0</v>
      </c>
      <c r="AB372" s="121">
        <v>0</v>
      </c>
      <c r="AC372" s="121">
        <v>0</v>
      </c>
      <c r="AD372" s="121">
        <v>0</v>
      </c>
      <c r="AE372" s="121">
        <v>0</v>
      </c>
      <c r="AF372" s="121">
        <v>0</v>
      </c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148</v>
      </c>
      <c r="B373" t="s">
        <v>149</v>
      </c>
      <c r="C373">
        <v>10</v>
      </c>
      <c r="D373" t="s">
        <v>34</v>
      </c>
      <c r="E373" s="14">
        <v>0</v>
      </c>
      <c r="F373" s="14">
        <v>0</v>
      </c>
      <c r="G373" s="124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>
        <v>0</v>
      </c>
      <c r="AB373" s="121">
        <v>0</v>
      </c>
      <c r="AC373" s="121">
        <v>0</v>
      </c>
      <c r="AD373" s="121">
        <v>0</v>
      </c>
      <c r="AE373" s="121">
        <v>0</v>
      </c>
      <c r="AF373" s="121">
        <v>0</v>
      </c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148</v>
      </c>
      <c r="B374" t="s">
        <v>149</v>
      </c>
      <c r="C374">
        <v>11</v>
      </c>
      <c r="D374" t="s">
        <v>37</v>
      </c>
      <c r="E374" s="14">
        <v>0</v>
      </c>
      <c r="F374" s="14">
        <v>0</v>
      </c>
      <c r="G374" s="124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>
        <v>0</v>
      </c>
      <c r="AB374" s="121">
        <v>0</v>
      </c>
      <c r="AC374" s="121">
        <v>0</v>
      </c>
      <c r="AD374" s="121">
        <v>0</v>
      </c>
      <c r="AE374" s="121">
        <v>0</v>
      </c>
      <c r="AF374" s="121">
        <v>0</v>
      </c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148</v>
      </c>
      <c r="B375" t="s">
        <v>149</v>
      </c>
      <c r="C375">
        <v>12</v>
      </c>
      <c r="D375" t="s">
        <v>38</v>
      </c>
      <c r="E375" s="14">
        <v>0</v>
      </c>
      <c r="F375" s="14">
        <v>0</v>
      </c>
      <c r="G375" s="124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>
        <v>0</v>
      </c>
      <c r="AB375" s="121">
        <v>0</v>
      </c>
      <c r="AC375" s="121">
        <v>0</v>
      </c>
      <c r="AD375" s="121">
        <v>0</v>
      </c>
      <c r="AE375" s="121">
        <v>0</v>
      </c>
      <c r="AF375" s="121">
        <v>0</v>
      </c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148</v>
      </c>
      <c r="B376" t="s">
        <v>149</v>
      </c>
      <c r="C376">
        <v>13</v>
      </c>
      <c r="D376" t="s">
        <v>41</v>
      </c>
      <c r="E376" s="14">
        <v>0</v>
      </c>
      <c r="F376" s="14">
        <v>0</v>
      </c>
      <c r="G376" s="124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>
        <v>0</v>
      </c>
      <c r="AB376" s="121">
        <v>0</v>
      </c>
      <c r="AC376" s="121">
        <v>0</v>
      </c>
      <c r="AD376" s="121">
        <v>0</v>
      </c>
      <c r="AE376" s="121">
        <v>0</v>
      </c>
      <c r="AF376" s="121">
        <v>0</v>
      </c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148</v>
      </c>
      <c r="B377" t="s">
        <v>149</v>
      </c>
      <c r="C377">
        <v>14</v>
      </c>
      <c r="D377" t="s">
        <v>42</v>
      </c>
      <c r="E377" s="14">
        <v>0</v>
      </c>
      <c r="F377" s="14">
        <v>0</v>
      </c>
      <c r="G377" s="124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>
        <v>0</v>
      </c>
      <c r="AB377" s="121">
        <v>0</v>
      </c>
      <c r="AC377" s="121">
        <v>0</v>
      </c>
      <c r="AD377" s="121">
        <v>0</v>
      </c>
      <c r="AE377" s="121">
        <v>0</v>
      </c>
      <c r="AF377" s="121">
        <v>0</v>
      </c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148</v>
      </c>
      <c r="B378" t="s">
        <v>149</v>
      </c>
      <c r="C378">
        <v>15</v>
      </c>
      <c r="D378" t="s">
        <v>43</v>
      </c>
      <c r="E378" s="14">
        <v>0</v>
      </c>
      <c r="F378" s="14">
        <v>0</v>
      </c>
      <c r="G378" s="124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>
        <v>0</v>
      </c>
      <c r="AB378" s="121">
        <v>0</v>
      </c>
      <c r="AC378" s="121">
        <v>0</v>
      </c>
      <c r="AD378" s="121">
        <v>0</v>
      </c>
      <c r="AE378" s="121">
        <v>0</v>
      </c>
      <c r="AF378" s="121">
        <v>0</v>
      </c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148</v>
      </c>
      <c r="B379" t="s">
        <v>149</v>
      </c>
      <c r="C379">
        <v>16</v>
      </c>
      <c r="D379" t="s">
        <v>44</v>
      </c>
      <c r="E379" s="14">
        <v>0</v>
      </c>
      <c r="F379" s="14">
        <v>0</v>
      </c>
      <c r="G379" s="124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>
        <v>0</v>
      </c>
      <c r="AB379" s="121">
        <v>0</v>
      </c>
      <c r="AC379" s="121">
        <v>0</v>
      </c>
      <c r="AD379" s="121">
        <v>0</v>
      </c>
      <c r="AE379" s="121">
        <v>0</v>
      </c>
      <c r="AF379" s="121">
        <v>0</v>
      </c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148</v>
      </c>
      <c r="B380" t="s">
        <v>149</v>
      </c>
      <c r="C380">
        <v>17</v>
      </c>
      <c r="D380" t="s">
        <v>127</v>
      </c>
      <c r="E380" s="14">
        <v>0</v>
      </c>
      <c r="F380" s="14">
        <v>0</v>
      </c>
      <c r="G380" s="124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>
        <v>0</v>
      </c>
      <c r="AB380" s="121">
        <v>0</v>
      </c>
      <c r="AC380" s="121">
        <v>0</v>
      </c>
      <c r="AD380" s="121">
        <v>0</v>
      </c>
      <c r="AE380" s="121">
        <v>0</v>
      </c>
      <c r="AF380" s="121">
        <v>0</v>
      </c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148</v>
      </c>
      <c r="B381" t="s">
        <v>149</v>
      </c>
      <c r="C381">
        <v>18</v>
      </c>
      <c r="D381" t="s">
        <v>128</v>
      </c>
      <c r="E381" s="14">
        <v>0</v>
      </c>
      <c r="F381" s="14">
        <v>0</v>
      </c>
      <c r="G381" s="124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>
        <v>0</v>
      </c>
      <c r="AB381" s="121">
        <v>0</v>
      </c>
      <c r="AC381" s="121">
        <v>0</v>
      </c>
      <c r="AD381" s="121">
        <v>0</v>
      </c>
      <c r="AE381" s="121">
        <v>0</v>
      </c>
      <c r="AF381" s="121">
        <v>0</v>
      </c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148</v>
      </c>
      <c r="B382" t="s">
        <v>149</v>
      </c>
      <c r="C382">
        <v>19</v>
      </c>
      <c r="D382" t="s">
        <v>49</v>
      </c>
      <c r="E382" s="14">
        <v>0</v>
      </c>
      <c r="F382" s="14">
        <v>0</v>
      </c>
      <c r="G382" s="124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>
        <v>0</v>
      </c>
      <c r="AB382" s="121">
        <v>0</v>
      </c>
      <c r="AC382" s="121">
        <v>0</v>
      </c>
      <c r="AD382" s="121">
        <v>0</v>
      </c>
      <c r="AE382" s="121">
        <v>0</v>
      </c>
      <c r="AF382" s="121">
        <v>0</v>
      </c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148</v>
      </c>
      <c r="B383" t="s">
        <v>149</v>
      </c>
      <c r="C383">
        <v>20</v>
      </c>
      <c r="D383" t="s">
        <v>129</v>
      </c>
      <c r="E383" s="14">
        <v>0</v>
      </c>
      <c r="F383" s="14">
        <v>0</v>
      </c>
      <c r="G383" s="124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>
        <v>0</v>
      </c>
      <c r="AB383" s="121">
        <v>0</v>
      </c>
      <c r="AC383" s="121">
        <v>0</v>
      </c>
      <c r="AD383" s="121">
        <v>0</v>
      </c>
      <c r="AE383" s="121">
        <v>0</v>
      </c>
      <c r="AF383" s="121">
        <v>0</v>
      </c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148</v>
      </c>
      <c r="B384" t="s">
        <v>149</v>
      </c>
      <c r="C384">
        <v>21</v>
      </c>
      <c r="D384" t="s">
        <v>130</v>
      </c>
      <c r="E384" s="14">
        <v>0</v>
      </c>
      <c r="F384" s="14">
        <v>0</v>
      </c>
      <c r="G384" s="124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>
        <v>0</v>
      </c>
      <c r="AB384" s="121">
        <v>0</v>
      </c>
      <c r="AC384" s="121">
        <v>0</v>
      </c>
      <c r="AD384" s="121">
        <v>0</v>
      </c>
      <c r="AE384" s="121">
        <v>0</v>
      </c>
      <c r="AF384" s="121">
        <v>0</v>
      </c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148</v>
      </c>
      <c r="B385" t="s">
        <v>149</v>
      </c>
      <c r="C385">
        <v>22</v>
      </c>
      <c r="D385" t="s">
        <v>131</v>
      </c>
      <c r="E385" s="14">
        <v>0</v>
      </c>
      <c r="F385" s="14">
        <v>0</v>
      </c>
      <c r="G385" s="124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>
        <v>0</v>
      </c>
      <c r="AB385" s="121">
        <v>0</v>
      </c>
      <c r="AC385" s="121">
        <v>0</v>
      </c>
      <c r="AD385" s="121">
        <v>0</v>
      </c>
      <c r="AE385" s="121">
        <v>0</v>
      </c>
      <c r="AF385" s="121">
        <v>0</v>
      </c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148</v>
      </c>
      <c r="B386" t="s">
        <v>149</v>
      </c>
      <c r="C386">
        <v>23</v>
      </c>
      <c r="D386" t="s">
        <v>132</v>
      </c>
      <c r="E386" s="14">
        <v>0</v>
      </c>
      <c r="F386" s="14">
        <v>0</v>
      </c>
      <c r="G386" s="124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>
        <v>0</v>
      </c>
      <c r="AB386" s="121">
        <v>0</v>
      </c>
      <c r="AC386" s="121">
        <v>0</v>
      </c>
      <c r="AD386" s="121">
        <v>0</v>
      </c>
      <c r="AE386" s="121">
        <v>0</v>
      </c>
      <c r="AF386" s="121">
        <v>0</v>
      </c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148</v>
      </c>
      <c r="B387" t="s">
        <v>149</v>
      </c>
      <c r="C387">
        <v>24</v>
      </c>
      <c r="D387" t="s">
        <v>57</v>
      </c>
      <c r="E387" s="14">
        <v>0</v>
      </c>
      <c r="F387" s="14">
        <v>0</v>
      </c>
      <c r="G387" s="124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>
        <v>0</v>
      </c>
      <c r="AB387" s="121">
        <v>0</v>
      </c>
      <c r="AC387" s="121">
        <v>0</v>
      </c>
      <c r="AD387" s="121">
        <v>0</v>
      </c>
      <c r="AE387" s="121">
        <v>0</v>
      </c>
      <c r="AF387" s="121">
        <v>0</v>
      </c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148</v>
      </c>
      <c r="B388" t="s">
        <v>149</v>
      </c>
      <c r="C388">
        <v>25</v>
      </c>
      <c r="D388" t="s">
        <v>58</v>
      </c>
      <c r="E388" s="14">
        <v>0</v>
      </c>
      <c r="F388" s="14">
        <v>0</v>
      </c>
      <c r="G388" s="124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>
        <v>0</v>
      </c>
      <c r="AB388" s="121">
        <v>0</v>
      </c>
      <c r="AC388" s="121">
        <v>0</v>
      </c>
      <c r="AD388" s="121">
        <v>0</v>
      </c>
      <c r="AE388" s="121">
        <v>0</v>
      </c>
      <c r="AF388" s="121">
        <v>0</v>
      </c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148</v>
      </c>
      <c r="B389" t="s">
        <v>149</v>
      </c>
      <c r="C389">
        <v>26</v>
      </c>
      <c r="D389" t="s">
        <v>133</v>
      </c>
      <c r="E389" s="14">
        <v>0</v>
      </c>
      <c r="F389" s="14">
        <v>0</v>
      </c>
      <c r="G389" s="124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>
        <v>0</v>
      </c>
      <c r="AB389" s="121">
        <v>0</v>
      </c>
      <c r="AC389" s="121">
        <v>0</v>
      </c>
      <c r="AD389" s="121">
        <v>0</v>
      </c>
      <c r="AE389" s="121">
        <v>0</v>
      </c>
      <c r="AF389" s="121">
        <v>0</v>
      </c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148</v>
      </c>
      <c r="B390" t="s">
        <v>149</v>
      </c>
      <c r="C390">
        <v>27</v>
      </c>
      <c r="D390" t="s">
        <v>134</v>
      </c>
      <c r="E390" s="14">
        <v>0</v>
      </c>
      <c r="F390" s="14">
        <v>0</v>
      </c>
      <c r="G390" s="124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>
        <v>0</v>
      </c>
      <c r="AB390" s="121">
        <v>0</v>
      </c>
      <c r="AC390" s="121">
        <v>0</v>
      </c>
      <c r="AD390" s="121">
        <v>0</v>
      </c>
      <c r="AE390" s="121">
        <v>0</v>
      </c>
      <c r="AF390" s="121">
        <v>0</v>
      </c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148</v>
      </c>
      <c r="B391" t="s">
        <v>149</v>
      </c>
      <c r="C391">
        <v>28</v>
      </c>
      <c r="D391" t="s">
        <v>135</v>
      </c>
      <c r="E391" s="14">
        <v>0</v>
      </c>
      <c r="F391" s="14">
        <v>0</v>
      </c>
      <c r="G391" s="124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>
        <v>0</v>
      </c>
      <c r="AB391" s="121">
        <v>0</v>
      </c>
      <c r="AC391" s="121">
        <v>0</v>
      </c>
      <c r="AD391" s="121">
        <v>0</v>
      </c>
      <c r="AE391" s="121">
        <v>0</v>
      </c>
      <c r="AF391" s="121">
        <v>0</v>
      </c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148</v>
      </c>
      <c r="B392" t="s">
        <v>149</v>
      </c>
      <c r="C392">
        <v>29</v>
      </c>
      <c r="D392" t="s">
        <v>136</v>
      </c>
      <c r="E392" s="14">
        <v>0</v>
      </c>
      <c r="F392" s="14">
        <v>0</v>
      </c>
      <c r="G392" s="124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>
        <v>0</v>
      </c>
      <c r="AB392" s="121">
        <v>0</v>
      </c>
      <c r="AC392" s="121">
        <v>0</v>
      </c>
      <c r="AD392" s="121">
        <v>0</v>
      </c>
      <c r="AE392" s="121">
        <v>0</v>
      </c>
      <c r="AF392" s="121">
        <v>0</v>
      </c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148</v>
      </c>
      <c r="B393" t="s">
        <v>149</v>
      </c>
      <c r="C393">
        <v>30</v>
      </c>
      <c r="D393" t="s">
        <v>137</v>
      </c>
      <c r="E393" s="14">
        <v>0</v>
      </c>
      <c r="F393" s="14">
        <v>0</v>
      </c>
      <c r="G393" s="124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>
        <v>0</v>
      </c>
      <c r="AB393" s="121">
        <v>0</v>
      </c>
      <c r="AC393" s="121">
        <v>0</v>
      </c>
      <c r="AD393" s="121">
        <v>0</v>
      </c>
      <c r="AE393" s="121">
        <v>0</v>
      </c>
      <c r="AF393" s="121">
        <v>0</v>
      </c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148</v>
      </c>
      <c r="B394" t="s">
        <v>149</v>
      </c>
      <c r="C394">
        <v>31</v>
      </c>
      <c r="D394" t="s">
        <v>138</v>
      </c>
      <c r="E394" s="14">
        <v>0</v>
      </c>
      <c r="F394" s="14">
        <v>0</v>
      </c>
      <c r="G394" s="124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>
        <v>0</v>
      </c>
      <c r="AB394" s="121">
        <v>0</v>
      </c>
      <c r="AC394" s="121">
        <v>0</v>
      </c>
      <c r="AD394" s="121">
        <v>0</v>
      </c>
      <c r="AE394" s="121">
        <v>0</v>
      </c>
      <c r="AF394" s="121">
        <v>0</v>
      </c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148</v>
      </c>
      <c r="B395" t="s">
        <v>149</v>
      </c>
      <c r="C395">
        <v>32</v>
      </c>
      <c r="D395" t="s">
        <v>72</v>
      </c>
      <c r="E395" s="14">
        <v>0</v>
      </c>
      <c r="F395" s="14">
        <v>0</v>
      </c>
      <c r="G395" s="124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>
        <v>0</v>
      </c>
      <c r="AB395" s="121">
        <v>0</v>
      </c>
      <c r="AC395" s="121">
        <v>0</v>
      </c>
      <c r="AD395" s="121">
        <v>0</v>
      </c>
      <c r="AE395" s="121">
        <v>0</v>
      </c>
      <c r="AF395" s="121">
        <v>0</v>
      </c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148</v>
      </c>
      <c r="B396" t="s">
        <v>149</v>
      </c>
      <c r="C396">
        <v>33</v>
      </c>
      <c r="D396" t="s">
        <v>73</v>
      </c>
      <c r="E396" s="14">
        <v>0</v>
      </c>
      <c r="F396" s="14">
        <v>0</v>
      </c>
      <c r="G396" s="124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>
        <v>0</v>
      </c>
      <c r="AB396" s="121">
        <v>0</v>
      </c>
      <c r="AC396" s="121">
        <v>0</v>
      </c>
      <c r="AD396" s="121">
        <v>0</v>
      </c>
      <c r="AE396" s="121">
        <v>0</v>
      </c>
      <c r="AF396" s="121">
        <v>0</v>
      </c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148</v>
      </c>
      <c r="B397" t="s">
        <v>149</v>
      </c>
      <c r="C397">
        <v>34</v>
      </c>
      <c r="D397" t="s">
        <v>74</v>
      </c>
      <c r="E397" s="14">
        <v>0</v>
      </c>
      <c r="F397" s="14">
        <v>0</v>
      </c>
      <c r="G397" s="124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>
        <v>0</v>
      </c>
      <c r="AB397" s="121">
        <v>0</v>
      </c>
      <c r="AC397" s="121">
        <v>0</v>
      </c>
      <c r="AD397" s="121">
        <v>0</v>
      </c>
      <c r="AE397" s="121">
        <v>0</v>
      </c>
      <c r="AF397" s="121">
        <v>0</v>
      </c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148</v>
      </c>
      <c r="B398" t="s">
        <v>149</v>
      </c>
      <c r="C398">
        <v>35</v>
      </c>
      <c r="D398" t="s">
        <v>75</v>
      </c>
      <c r="E398" s="14">
        <v>0</v>
      </c>
      <c r="F398" s="14">
        <v>0</v>
      </c>
      <c r="G398" s="124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>
        <v>0</v>
      </c>
      <c r="AB398" s="121">
        <v>0</v>
      </c>
      <c r="AC398" s="121">
        <v>0</v>
      </c>
      <c r="AD398" s="121">
        <v>0</v>
      </c>
      <c r="AE398" s="121">
        <v>0</v>
      </c>
      <c r="AF398" s="121">
        <v>0</v>
      </c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148</v>
      </c>
      <c r="B399" t="s">
        <v>149</v>
      </c>
      <c r="C399">
        <v>36</v>
      </c>
      <c r="D399" t="s">
        <v>76</v>
      </c>
      <c r="E399" s="14">
        <v>0</v>
      </c>
      <c r="F399" s="14">
        <v>0</v>
      </c>
      <c r="G399" s="124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>
        <v>0</v>
      </c>
      <c r="AB399" s="121">
        <v>0</v>
      </c>
      <c r="AC399" s="121">
        <v>0</v>
      </c>
      <c r="AD399" s="121">
        <v>0</v>
      </c>
      <c r="AE399" s="121">
        <v>0</v>
      </c>
      <c r="AF399" s="121">
        <v>0</v>
      </c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148</v>
      </c>
      <c r="B400" t="s">
        <v>149</v>
      </c>
      <c r="C400">
        <v>37</v>
      </c>
      <c r="D400" t="s">
        <v>77</v>
      </c>
      <c r="E400" s="14">
        <v>0</v>
      </c>
      <c r="F400" s="14">
        <v>0</v>
      </c>
      <c r="G400" s="124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>
        <v>0</v>
      </c>
      <c r="AB400" s="121">
        <v>0</v>
      </c>
      <c r="AC400" s="121">
        <v>0</v>
      </c>
      <c r="AD400" s="121">
        <v>0</v>
      </c>
      <c r="AE400" s="121">
        <v>0</v>
      </c>
      <c r="AF400" s="121">
        <v>0</v>
      </c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148</v>
      </c>
      <c r="B401" t="s">
        <v>149</v>
      </c>
      <c r="C401">
        <v>38</v>
      </c>
      <c r="D401" t="s">
        <v>78</v>
      </c>
      <c r="E401" s="14">
        <v>0</v>
      </c>
      <c r="F401" s="14">
        <v>0</v>
      </c>
      <c r="G401" s="124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>
        <v>0</v>
      </c>
      <c r="AB401" s="121">
        <v>0</v>
      </c>
      <c r="AC401" s="121">
        <v>0</v>
      </c>
      <c r="AD401" s="121">
        <v>0</v>
      </c>
      <c r="AE401" s="121">
        <v>0</v>
      </c>
      <c r="AF401" s="121">
        <v>0</v>
      </c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148</v>
      </c>
      <c r="B402" t="s">
        <v>149</v>
      </c>
      <c r="C402">
        <v>39</v>
      </c>
      <c r="D402" t="s">
        <v>79</v>
      </c>
      <c r="E402" s="14">
        <v>0</v>
      </c>
      <c r="F402" s="14">
        <v>0</v>
      </c>
      <c r="G402" s="124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>
        <v>0</v>
      </c>
      <c r="AB402" s="121">
        <v>0</v>
      </c>
      <c r="AC402" s="121">
        <v>0</v>
      </c>
      <c r="AD402" s="121">
        <v>0</v>
      </c>
      <c r="AE402" s="121">
        <v>0</v>
      </c>
      <c r="AF402" s="121">
        <v>0</v>
      </c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148</v>
      </c>
      <c r="B403" t="s">
        <v>149</v>
      </c>
      <c r="C403">
        <v>40</v>
      </c>
      <c r="D403" t="s">
        <v>80</v>
      </c>
      <c r="E403" s="14">
        <v>0</v>
      </c>
      <c r="F403" s="14">
        <v>0</v>
      </c>
      <c r="G403" s="124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>
        <v>0</v>
      </c>
      <c r="AB403" s="121">
        <v>0</v>
      </c>
      <c r="AC403" s="121">
        <v>0</v>
      </c>
      <c r="AD403" s="121">
        <v>0</v>
      </c>
      <c r="AE403" s="121">
        <v>0</v>
      </c>
      <c r="AF403" s="121">
        <v>0</v>
      </c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118" x14ac:dyDescent="0.2"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118" x14ac:dyDescent="0.2"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118" x14ac:dyDescent="0.2"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118" x14ac:dyDescent="0.2"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118" x14ac:dyDescent="0.2"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118" x14ac:dyDescent="0.2"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118" x14ac:dyDescent="0.2"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118" x14ac:dyDescent="0.2"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118" x14ac:dyDescent="0.2"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118" x14ac:dyDescent="0.2"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118" x14ac:dyDescent="0.2">
      <c r="I415" s="170"/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118" x14ac:dyDescent="0.2"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21:32" x14ac:dyDescent="0.2"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1:32" x14ac:dyDescent="0.2"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21:32" x14ac:dyDescent="0.2"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1:32" x14ac:dyDescent="0.2"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1:32" x14ac:dyDescent="0.2"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21:32" x14ac:dyDescent="0.2"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21:32" x14ac:dyDescent="0.2"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1:32" x14ac:dyDescent="0.2"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21:32" x14ac:dyDescent="0.2"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1:32" x14ac:dyDescent="0.2"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21:32" x14ac:dyDescent="0.2"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21:32" x14ac:dyDescent="0.2"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21:32" x14ac:dyDescent="0.2"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21:32" x14ac:dyDescent="0.2"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1:32" x14ac:dyDescent="0.2"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1:32" x14ac:dyDescent="0.2"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21:32" x14ac:dyDescent="0.2"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21:32" x14ac:dyDescent="0.2"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21:32" x14ac:dyDescent="0.2"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21:32" x14ac:dyDescent="0.2"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21:32" x14ac:dyDescent="0.2"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21:32" x14ac:dyDescent="0.2"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21:32" x14ac:dyDescent="0.2"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21:32" x14ac:dyDescent="0.2"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21:32" x14ac:dyDescent="0.2"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21:32" x14ac:dyDescent="0.2"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21:32" x14ac:dyDescent="0.2"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21:32" x14ac:dyDescent="0.2">
      <c r="U444">
        <v>-11513</v>
      </c>
      <c r="V444">
        <v>-29704.17</v>
      </c>
      <c r="W444">
        <v>-32087</v>
      </c>
      <c r="X444">
        <v>-78405.78</v>
      </c>
      <c r="Y444">
        <v>0</v>
      </c>
      <c r="Z444">
        <v>0</v>
      </c>
      <c r="AA444">
        <v>-23663</v>
      </c>
      <c r="AB444">
        <v>-59752.29</v>
      </c>
      <c r="AC444">
        <v>-41167</v>
      </c>
      <c r="AD444">
        <v>-114038.65</v>
      </c>
      <c r="AE444">
        <v>-294288</v>
      </c>
      <c r="AF444">
        <v>-703261.61</v>
      </c>
    </row>
    <row r="445" spans="21:32" x14ac:dyDescent="0.2"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21:32" x14ac:dyDescent="0.2">
      <c r="U446">
        <v>140254</v>
      </c>
      <c r="V446">
        <v>315491</v>
      </c>
      <c r="W446">
        <v>0</v>
      </c>
      <c r="X446">
        <v>0</v>
      </c>
      <c r="Y446">
        <v>-140254</v>
      </c>
      <c r="Z446">
        <v>-315491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21:32" x14ac:dyDescent="0.2"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21:32" x14ac:dyDescent="0.2"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21:32" x14ac:dyDescent="0.2">
      <c r="U449">
        <v>11513</v>
      </c>
      <c r="V449">
        <v>26036.79</v>
      </c>
      <c r="W449">
        <v>31962</v>
      </c>
      <c r="X449">
        <v>69720.149999999994</v>
      </c>
      <c r="Y449">
        <v>-100</v>
      </c>
      <c r="Z449">
        <v>-216</v>
      </c>
      <c r="AA449">
        <v>0</v>
      </c>
      <c r="AB449">
        <v>0</v>
      </c>
      <c r="AC449">
        <v>-324293</v>
      </c>
      <c r="AD449">
        <v>-740357.18</v>
      </c>
      <c r="AE449">
        <v>-8342</v>
      </c>
      <c r="AF449">
        <v>-19016.599999999999</v>
      </c>
    </row>
    <row r="450" spans="21:32" x14ac:dyDescent="0.2"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21:32" x14ac:dyDescent="0.2">
      <c r="U451">
        <v>232203</v>
      </c>
      <c r="V451">
        <v>501231</v>
      </c>
      <c r="W451">
        <v>0</v>
      </c>
      <c r="X451">
        <v>0</v>
      </c>
      <c r="Y451">
        <v>-232203</v>
      </c>
      <c r="Z451">
        <v>-501231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21:32" x14ac:dyDescent="0.2"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21:32" x14ac:dyDescent="0.2"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21:32" x14ac:dyDescent="0.2"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1:32" x14ac:dyDescent="0.2">
      <c r="U455">
        <v>0</v>
      </c>
      <c r="V455">
        <v>0</v>
      </c>
      <c r="W455">
        <v>0</v>
      </c>
      <c r="X455">
        <v>0</v>
      </c>
      <c r="Y455">
        <v>21218</v>
      </c>
      <c r="Z455">
        <v>49862.3</v>
      </c>
      <c r="AA455">
        <v>0</v>
      </c>
      <c r="AB455">
        <v>0</v>
      </c>
      <c r="AC455">
        <v>-732</v>
      </c>
      <c r="AD455">
        <v>-1720.2</v>
      </c>
      <c r="AE455">
        <v>-79</v>
      </c>
      <c r="AF455">
        <v>-178.84</v>
      </c>
    </row>
    <row r="456" spans="21:32" x14ac:dyDescent="0.2">
      <c r="U456">
        <v>0</v>
      </c>
      <c r="V456">
        <v>0</v>
      </c>
      <c r="W456">
        <v>168031</v>
      </c>
      <c r="X456">
        <v>366475.61</v>
      </c>
      <c r="Y456">
        <v>100</v>
      </c>
      <c r="Z456">
        <v>228.8</v>
      </c>
      <c r="AA456">
        <v>-34010</v>
      </c>
      <c r="AB456">
        <v>-77814.880000000005</v>
      </c>
      <c r="AC456">
        <v>52488</v>
      </c>
      <c r="AD456">
        <v>120092.54399999999</v>
      </c>
      <c r="AE456">
        <v>301905</v>
      </c>
      <c r="AF456">
        <v>690758.64</v>
      </c>
    </row>
    <row r="457" spans="21:32" x14ac:dyDescent="0.2"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21:32" x14ac:dyDescent="0.2"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21:32" x14ac:dyDescent="0.2"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1:32" x14ac:dyDescent="0.2">
      <c r="U460">
        <v>0</v>
      </c>
      <c r="V460">
        <v>0</v>
      </c>
      <c r="W460">
        <v>0</v>
      </c>
      <c r="X460">
        <v>0</v>
      </c>
      <c r="Y460">
        <v>-1759</v>
      </c>
      <c r="Z460">
        <v>-4024.59</v>
      </c>
      <c r="AA460">
        <v>1650</v>
      </c>
      <c r="AB460">
        <v>22723.25</v>
      </c>
      <c r="AC460">
        <v>348169</v>
      </c>
      <c r="AD460">
        <v>818591.45</v>
      </c>
      <c r="AE460">
        <v>773</v>
      </c>
      <c r="AF460">
        <v>1859.07</v>
      </c>
    </row>
    <row r="461" spans="21:32" x14ac:dyDescent="0.2"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1:32" x14ac:dyDescent="0.2"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1:32" x14ac:dyDescent="0.2"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21:32" x14ac:dyDescent="0.2"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21:32" x14ac:dyDescent="0.2">
      <c r="U465">
        <v>-372457</v>
      </c>
      <c r="V465">
        <v>-852181.61600000004</v>
      </c>
      <c r="W465">
        <v>-167906</v>
      </c>
      <c r="X465">
        <v>-384168.92800000001</v>
      </c>
      <c r="Y465">
        <v>352998</v>
      </c>
      <c r="Z465">
        <v>807659.424</v>
      </c>
      <c r="AA465">
        <v>56023</v>
      </c>
      <c r="AB465">
        <v>128180.624</v>
      </c>
      <c r="AC465">
        <v>-34465</v>
      </c>
      <c r="AD465">
        <v>-78855.92</v>
      </c>
      <c r="AE465">
        <v>31</v>
      </c>
      <c r="AF465">
        <v>70.927999999999997</v>
      </c>
    </row>
    <row r="466" spans="21:32" x14ac:dyDescent="0.2"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21:32" x14ac:dyDescent="0.2">
      <c r="U467">
        <v>-4723</v>
      </c>
      <c r="V467">
        <v>-944.61</v>
      </c>
      <c r="W467">
        <v>148567</v>
      </c>
      <c r="X467">
        <v>13371.03</v>
      </c>
      <c r="Y467">
        <v>-148667</v>
      </c>
      <c r="Z467">
        <v>-13369.53</v>
      </c>
      <c r="AA467">
        <v>-1650</v>
      </c>
      <c r="AB467">
        <v>276.01</v>
      </c>
      <c r="AC467">
        <v>-25807</v>
      </c>
      <c r="AD467">
        <v>-526.34</v>
      </c>
      <c r="AE467">
        <v>-2032</v>
      </c>
      <c r="AF467">
        <v>-616.88</v>
      </c>
    </row>
    <row r="468" spans="21:32" x14ac:dyDescent="0.2">
      <c r="U468">
        <v>0</v>
      </c>
      <c r="V468">
        <v>93300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21:32" x14ac:dyDescent="0.2"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21:32" x14ac:dyDescent="0.2"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21:32" x14ac:dyDescent="0.2"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1.63</v>
      </c>
      <c r="AC471">
        <v>0</v>
      </c>
      <c r="AD471">
        <v>-1.55</v>
      </c>
      <c r="AE471">
        <v>0</v>
      </c>
      <c r="AF471">
        <v>-7064.2</v>
      </c>
    </row>
    <row r="472" spans="21:32" x14ac:dyDescent="0.2"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21:32" x14ac:dyDescent="0.2"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21:32" x14ac:dyDescent="0.2"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21:32" x14ac:dyDescent="0.2"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21:32" x14ac:dyDescent="0.2"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21:32" x14ac:dyDescent="0.2"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21:32" x14ac:dyDescent="0.2"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21:32" x14ac:dyDescent="0.2"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21:32" x14ac:dyDescent="0.2"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1:32" x14ac:dyDescent="0.2"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1:32" x14ac:dyDescent="0.2"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1:32" x14ac:dyDescent="0.2"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1:32" x14ac:dyDescent="0.2">
      <c r="U484">
        <v>0</v>
      </c>
      <c r="V484">
        <v>-959372.83</v>
      </c>
      <c r="W484">
        <v>0</v>
      </c>
      <c r="X484">
        <v>0</v>
      </c>
      <c r="Y484">
        <v>-30570</v>
      </c>
      <c r="Z484">
        <v>-60834.3</v>
      </c>
      <c r="AA484">
        <v>0</v>
      </c>
      <c r="AB484">
        <v>0</v>
      </c>
      <c r="AC484">
        <v>0</v>
      </c>
      <c r="AD484">
        <v>-162611.62</v>
      </c>
      <c r="AE484">
        <v>0</v>
      </c>
      <c r="AF484">
        <v>0</v>
      </c>
    </row>
    <row r="485" spans="21:32" x14ac:dyDescent="0.2"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1:32" x14ac:dyDescent="0.2">
      <c r="U486">
        <v>3248249</v>
      </c>
      <c r="V486">
        <v>7090212</v>
      </c>
      <c r="W486">
        <v>0</v>
      </c>
      <c r="X486">
        <v>0</v>
      </c>
      <c r="Y486">
        <v>-3248249</v>
      </c>
      <c r="Z486">
        <v>-7090212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21:32" x14ac:dyDescent="0.2"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21:32" x14ac:dyDescent="0.2"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21:32" x14ac:dyDescent="0.2">
      <c r="U489">
        <v>0</v>
      </c>
      <c r="V489">
        <v>0</v>
      </c>
      <c r="W489">
        <v>0</v>
      </c>
      <c r="X489">
        <v>0</v>
      </c>
      <c r="Y489">
        <v>7963</v>
      </c>
      <c r="Z489">
        <v>14734.52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21:32" x14ac:dyDescent="0.2"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21:32" x14ac:dyDescent="0.2">
      <c r="U491">
        <v>-3693659</v>
      </c>
      <c r="V491">
        <v>-8078734</v>
      </c>
      <c r="W491">
        <v>0</v>
      </c>
      <c r="X491">
        <v>0</v>
      </c>
      <c r="Y491">
        <v>3693659</v>
      </c>
      <c r="Z491">
        <v>8078734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21:32" x14ac:dyDescent="0.2"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21:32" x14ac:dyDescent="0.2"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21:32" x14ac:dyDescent="0.2"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21:32" x14ac:dyDescent="0.2"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21:32" x14ac:dyDescent="0.2"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21:32" x14ac:dyDescent="0.2"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21:32" x14ac:dyDescent="0.2"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21:32" x14ac:dyDescent="0.2"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21:32" x14ac:dyDescent="0.2"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21:32" x14ac:dyDescent="0.2"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21:32" x14ac:dyDescent="0.2"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21:32" x14ac:dyDescent="0.2"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21:32" x14ac:dyDescent="0.2"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21:32" x14ac:dyDescent="0.2">
      <c r="U505">
        <v>445410</v>
      </c>
      <c r="V505">
        <v>926452.8</v>
      </c>
      <c r="W505">
        <v>0</v>
      </c>
      <c r="X505">
        <v>0</v>
      </c>
      <c r="Y505">
        <v>-422803</v>
      </c>
      <c r="Z505">
        <v>-879430.24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21:32" x14ac:dyDescent="0.2"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21:32" x14ac:dyDescent="0.2">
      <c r="U507">
        <v>0</v>
      </c>
      <c r="V507">
        <v>0</v>
      </c>
      <c r="W507">
        <v>0</v>
      </c>
      <c r="X507">
        <v>-2680.95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21:32" x14ac:dyDescent="0.2">
      <c r="U508">
        <v>0</v>
      </c>
      <c r="V508">
        <v>0</v>
      </c>
      <c r="W508">
        <v>-1130</v>
      </c>
      <c r="X508">
        <v>-2204.04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21:32" x14ac:dyDescent="0.2"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21:32" x14ac:dyDescent="0.2"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21:32" x14ac:dyDescent="0.2"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21:32" x14ac:dyDescent="0.2"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1:32" x14ac:dyDescent="0.2"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1:32" x14ac:dyDescent="0.2"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1:32" x14ac:dyDescent="0.2"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1:32" x14ac:dyDescent="0.2"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1:32" x14ac:dyDescent="0.2"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1:32" x14ac:dyDescent="0.2"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1:32" x14ac:dyDescent="0.2"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1:32" x14ac:dyDescent="0.2"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1:32" x14ac:dyDescent="0.2"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1:32" x14ac:dyDescent="0.2"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1:32" x14ac:dyDescent="0.2"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1:32" x14ac:dyDescent="0.2"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1:32" x14ac:dyDescent="0.2"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1:32" x14ac:dyDescent="0.2"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1:32" x14ac:dyDescent="0.2"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1:32" x14ac:dyDescent="0.2"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21:32" x14ac:dyDescent="0.2"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21:32" x14ac:dyDescent="0.2"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21:32" x14ac:dyDescent="0.2"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21:32" x14ac:dyDescent="0.2"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21:32" x14ac:dyDescent="0.2"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21:32" x14ac:dyDescent="0.2"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21:32" x14ac:dyDescent="0.2"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21:32" x14ac:dyDescent="0.2"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21:32" x14ac:dyDescent="0.2"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21:32" x14ac:dyDescent="0.2"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21:32" x14ac:dyDescent="0.2"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21:32" x14ac:dyDescent="0.2"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21:32" x14ac:dyDescent="0.2"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21:32" x14ac:dyDescent="0.2"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21:32" x14ac:dyDescent="0.2"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21:32" x14ac:dyDescent="0.2"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1:32" x14ac:dyDescent="0.2"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1:32" x14ac:dyDescent="0.2"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21:32" x14ac:dyDescent="0.2"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1:32" x14ac:dyDescent="0.2"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1:32" x14ac:dyDescent="0.2"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21:32" x14ac:dyDescent="0.2"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1:32" x14ac:dyDescent="0.2"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21:32" x14ac:dyDescent="0.2"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21:32" x14ac:dyDescent="0.2"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1:32" x14ac:dyDescent="0.2"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1:32" x14ac:dyDescent="0.2"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1:32" x14ac:dyDescent="0.2"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1:32" x14ac:dyDescent="0.2"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1:32" x14ac:dyDescent="0.2"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21:32" x14ac:dyDescent="0.2"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1:32" x14ac:dyDescent="0.2"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21:32" x14ac:dyDescent="0.2"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21:32" x14ac:dyDescent="0.2"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21:32" x14ac:dyDescent="0.2"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21:32" x14ac:dyDescent="0.2"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21:32" x14ac:dyDescent="0.2"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21:32" x14ac:dyDescent="0.2"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21:32" x14ac:dyDescent="0.2"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21:32" x14ac:dyDescent="0.2"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21:32" x14ac:dyDescent="0.2"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21:32" x14ac:dyDescent="0.2"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21:32" x14ac:dyDescent="0.2"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21:32" x14ac:dyDescent="0.2"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21:32" x14ac:dyDescent="0.2"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21:32" x14ac:dyDescent="0.2"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21:32" x14ac:dyDescent="0.2"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21:32" x14ac:dyDescent="0.2"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21:32" x14ac:dyDescent="0.2"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21:32" x14ac:dyDescent="0.2"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21:32" x14ac:dyDescent="0.2"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21:32" x14ac:dyDescent="0.2"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21:32" x14ac:dyDescent="0.2"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21:32" x14ac:dyDescent="0.2"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21:32" x14ac:dyDescent="0.2"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21:32" x14ac:dyDescent="0.2"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21:32" x14ac:dyDescent="0.2"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21:32" x14ac:dyDescent="0.2"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21:32" x14ac:dyDescent="0.2"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21:32" x14ac:dyDescent="0.2"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21:32" x14ac:dyDescent="0.2"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21:32" x14ac:dyDescent="0.2"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21:32" x14ac:dyDescent="0.2"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21:32" x14ac:dyDescent="0.2"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21:32" x14ac:dyDescent="0.2"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21:32" x14ac:dyDescent="0.2"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21:32" x14ac:dyDescent="0.2"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21:32" x14ac:dyDescent="0.2"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21:32" x14ac:dyDescent="0.2"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21:32" x14ac:dyDescent="0.2"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21:32" x14ac:dyDescent="0.2"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21:32" x14ac:dyDescent="0.2"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21:32" x14ac:dyDescent="0.2"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21:32" x14ac:dyDescent="0.2"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21:32" x14ac:dyDescent="0.2"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38" spans="4:39" x14ac:dyDescent="0.2">
      <c r="F638" s="213">
        <v>36281</v>
      </c>
      <c r="G638" s="214"/>
      <c r="H638" s="215">
        <f>+F638+31</f>
        <v>36312</v>
      </c>
      <c r="I638" s="216"/>
      <c r="J638" s="208">
        <f>+H638+31</f>
        <v>36343</v>
      </c>
      <c r="K638" s="209"/>
      <c r="L638" s="208">
        <f>+J638+31</f>
        <v>36374</v>
      </c>
      <c r="M638" s="209"/>
      <c r="N638" s="208">
        <f>+L638+31</f>
        <v>36405</v>
      </c>
      <c r="O638" s="209"/>
      <c r="P638" s="208">
        <f>+N638+31</f>
        <v>36436</v>
      </c>
      <c r="Q638" s="209"/>
      <c r="R638" s="208">
        <f>+P638+31</f>
        <v>36467</v>
      </c>
      <c r="S638" s="209"/>
      <c r="T638" s="208">
        <f>+R638+31</f>
        <v>36498</v>
      </c>
      <c r="U638" s="209"/>
      <c r="V638" s="208">
        <f>+T638+31</f>
        <v>36529</v>
      </c>
      <c r="W638" s="209"/>
      <c r="X638" s="208">
        <f>+V638+31</f>
        <v>36560</v>
      </c>
      <c r="Y638" s="209"/>
      <c r="Z638" s="208">
        <f>+X638+31</f>
        <v>36591</v>
      </c>
      <c r="AA638" s="209"/>
      <c r="AB638" s="208">
        <f>+Z638+31</f>
        <v>36622</v>
      </c>
      <c r="AC638" s="209"/>
      <c r="AD638" s="208">
        <f>+AB638+31</f>
        <v>36653</v>
      </c>
      <c r="AE638" s="209"/>
      <c r="AF638" s="208">
        <f>+AD638+31</f>
        <v>36684</v>
      </c>
      <c r="AG638" s="209"/>
      <c r="AH638" s="208">
        <f>+AF638+31</f>
        <v>36715</v>
      </c>
      <c r="AI638" s="209"/>
      <c r="AJ638" s="208">
        <f>+AH638+31</f>
        <v>36746</v>
      </c>
      <c r="AK638" s="209"/>
      <c r="AL638" s="208">
        <f>+AJ638+31</f>
        <v>36777</v>
      </c>
      <c r="AM638" s="209"/>
    </row>
    <row r="639" spans="4:39" x14ac:dyDescent="0.2">
      <c r="F639" s="132" t="s">
        <v>24</v>
      </c>
      <c r="G639" s="171" t="s">
        <v>150</v>
      </c>
      <c r="H639" s="132" t="s">
        <v>24</v>
      </c>
      <c r="I639" s="171" t="s">
        <v>150</v>
      </c>
      <c r="J639" s="132" t="s">
        <v>24</v>
      </c>
      <c r="K639" s="132" t="s">
        <v>150</v>
      </c>
      <c r="L639" s="132" t="s">
        <v>24</v>
      </c>
      <c r="M639" s="132" t="s">
        <v>150</v>
      </c>
      <c r="N639" s="132" t="s">
        <v>24</v>
      </c>
      <c r="O639" s="132" t="s">
        <v>150</v>
      </c>
      <c r="P639" s="132" t="s">
        <v>24</v>
      </c>
      <c r="Q639" s="132" t="s">
        <v>150</v>
      </c>
      <c r="R639" s="132" t="s">
        <v>24</v>
      </c>
      <c r="S639" s="132" t="s">
        <v>150</v>
      </c>
      <c r="T639" s="132" t="s">
        <v>24</v>
      </c>
      <c r="U639" s="132" t="s">
        <v>150</v>
      </c>
      <c r="V639" s="132" t="s">
        <v>24</v>
      </c>
      <c r="W639" s="132" t="s">
        <v>150</v>
      </c>
      <c r="X639" s="132" t="s">
        <v>24</v>
      </c>
      <c r="Y639" s="132" t="s">
        <v>150</v>
      </c>
      <c r="Z639" s="132" t="s">
        <v>24</v>
      </c>
      <c r="AA639" s="132" t="s">
        <v>150</v>
      </c>
      <c r="AB639" s="132" t="s">
        <v>24</v>
      </c>
      <c r="AC639" s="132" t="s">
        <v>150</v>
      </c>
      <c r="AD639" s="132" t="s">
        <v>24</v>
      </c>
      <c r="AE639" s="132" t="s">
        <v>150</v>
      </c>
      <c r="AF639" s="132" t="s">
        <v>24</v>
      </c>
      <c r="AG639" s="132" t="s">
        <v>150</v>
      </c>
      <c r="AH639" s="132" t="s">
        <v>24</v>
      </c>
      <c r="AI639" s="132" t="s">
        <v>150</v>
      </c>
      <c r="AJ639" s="132" t="s">
        <v>24</v>
      </c>
      <c r="AK639" s="132" t="s">
        <v>150</v>
      </c>
      <c r="AL639" s="132" t="s">
        <v>24</v>
      </c>
      <c r="AM639" s="132" t="s">
        <v>150</v>
      </c>
    </row>
    <row r="640" spans="4:39" x14ac:dyDescent="0.2">
      <c r="D640" s="133" t="s">
        <v>115</v>
      </c>
      <c r="E640" s="134"/>
      <c r="F640" s="135">
        <f>BUG_GL!H82</f>
        <v>0</v>
      </c>
      <c r="G640" s="136">
        <f>BUG_GL!I82</f>
        <v>-9683637</v>
      </c>
      <c r="H640" s="135">
        <f>BUG_GL!J82</f>
        <v>0</v>
      </c>
      <c r="I640" s="136">
        <f>BUG_GL!K82</f>
        <v>-7160239</v>
      </c>
      <c r="J640" s="135">
        <f>BUG_GL!L82</f>
        <v>0</v>
      </c>
      <c r="K640" s="135">
        <f>BUG_GL!M82</f>
        <v>99704</v>
      </c>
      <c r="L640" s="135">
        <f>BUG_GL!N82</f>
        <v>0</v>
      </c>
      <c r="M640" s="135">
        <f>BUG_GL!O82</f>
        <v>-73</v>
      </c>
      <c r="N640" s="135">
        <f>BUG_GL!P82</f>
        <v>0</v>
      </c>
      <c r="O640" s="135">
        <f>BUG_GL!Q82</f>
        <v>28324</v>
      </c>
      <c r="P640" s="135">
        <f>BUG_GL!R82</f>
        <v>0</v>
      </c>
      <c r="Q640" s="136">
        <f>BUG_GL!S82</f>
        <v>16603099</v>
      </c>
      <c r="R640" s="135">
        <f>BUG_GL!T82</f>
        <v>0</v>
      </c>
      <c r="S640" s="135">
        <f>BUG_GL!U82</f>
        <v>0</v>
      </c>
      <c r="T640" s="135">
        <f>BUG_GL!V82</f>
        <v>0</v>
      </c>
      <c r="U640" s="135">
        <f>BUG_GL!W82</f>
        <v>-182019</v>
      </c>
      <c r="V640" s="135">
        <f>BUG_GL!X82</f>
        <v>0</v>
      </c>
      <c r="W640" s="135">
        <f>BUG_GL!Y82</f>
        <v>0</v>
      </c>
      <c r="X640" s="135">
        <f>BUG_GL!Z82</f>
        <v>0</v>
      </c>
      <c r="Y640" s="135">
        <f>BUG_GL!AA82</f>
        <v>0</v>
      </c>
      <c r="Z640" s="135">
        <f>BUG_GL!AB82</f>
        <v>0</v>
      </c>
      <c r="AA640" s="135">
        <f>BUG_GL!AC82</f>
        <v>0</v>
      </c>
      <c r="AB640" s="135">
        <f>BUG_GL!AD82</f>
        <v>0</v>
      </c>
      <c r="AC640" s="137">
        <f>BUG_GL!AE82</f>
        <v>0</v>
      </c>
      <c r="AD640" s="135">
        <f>BUG_GL!AF82</f>
        <v>0</v>
      </c>
      <c r="AE640" s="207">
        <f>BUG_GL!AG82</f>
        <v>11833.14</v>
      </c>
      <c r="AF640" s="135">
        <f>BUG_GL!AH82</f>
        <v>0</v>
      </c>
      <c r="AG640" s="207">
        <f>BUG_GL!AI82</f>
        <v>0</v>
      </c>
      <c r="AH640" s="135">
        <f>BUG_GL!AJ82</f>
        <v>0</v>
      </c>
      <c r="AI640" s="207">
        <f>BUG_GL!AK82</f>
        <v>0</v>
      </c>
      <c r="AJ640" s="135">
        <f>BUG_GL!AL82</f>
        <v>0</v>
      </c>
      <c r="AK640" s="207">
        <f>BUG_GL!AM82</f>
        <v>0</v>
      </c>
      <c r="AL640" s="135">
        <f>BUG_GL!AN82</f>
        <v>0</v>
      </c>
      <c r="AM640" s="207">
        <f>BUG_GL!AO82</f>
        <v>0</v>
      </c>
    </row>
    <row r="641" spans="4:39" x14ac:dyDescent="0.2">
      <c r="D641" s="133" t="s">
        <v>142</v>
      </c>
      <c r="E641" s="134"/>
      <c r="F641" s="135">
        <f>CE_GL!H82</f>
        <v>0</v>
      </c>
      <c r="G641" s="203">
        <f>CE_GL!I82</f>
        <v>7301816.2080000164</v>
      </c>
      <c r="H641" s="135">
        <f>CE_GL!J82</f>
        <v>0</v>
      </c>
      <c r="I641" s="136">
        <f>CE_GL!K82</f>
        <v>-4250632.074</v>
      </c>
      <c r="J641" s="135">
        <f>CE_GL!L82</f>
        <v>0</v>
      </c>
      <c r="K641" s="136">
        <f>CE_GL!M82</f>
        <v>1830540.4679999999</v>
      </c>
      <c r="L641" s="135">
        <f>CE_GL!N82</f>
        <v>0</v>
      </c>
      <c r="M641" s="136">
        <f>CE_GL!O82</f>
        <v>1458165.176</v>
      </c>
      <c r="N641" s="135">
        <f>CE_GL!P82</f>
        <v>0</v>
      </c>
      <c r="O641" s="135">
        <f>CE_GL!Q82</f>
        <v>729314.23199999984</v>
      </c>
      <c r="P641" s="135">
        <f>CE_GL!R82</f>
        <v>0</v>
      </c>
      <c r="Q641" s="135">
        <f>CE_GL!S82</f>
        <v>-14244.056000000099</v>
      </c>
      <c r="R641" s="135">
        <f>CE_GL!T82</f>
        <v>0</v>
      </c>
      <c r="S641" s="135">
        <f>CE_GL!U82</f>
        <v>41653.041999999921</v>
      </c>
      <c r="T641" s="135">
        <f>CE_GL!V82</f>
        <v>0</v>
      </c>
      <c r="U641" s="135">
        <f>CE_GL!W82</f>
        <v>18310.257999999572</v>
      </c>
      <c r="V641" s="135">
        <f>CE_GL!X82</f>
        <v>0</v>
      </c>
      <c r="W641" s="135">
        <f>CE_GL!Y82</f>
        <v>15812.537999999382</v>
      </c>
      <c r="X641" s="135">
        <f>CE_GL!Z82</f>
        <v>0</v>
      </c>
      <c r="Y641" s="135">
        <f>CE_GL!AA82</f>
        <v>-12630.227999999999</v>
      </c>
      <c r="Z641" s="135">
        <f>CE_GL!AB82</f>
        <v>0</v>
      </c>
      <c r="AA641" s="136">
        <f>CE_GL!AC82</f>
        <v>1184011.4040000003</v>
      </c>
      <c r="AB641" s="135">
        <f>CE_GL!AD82</f>
        <v>0</v>
      </c>
      <c r="AC641" s="137">
        <f>CE_GL!AE82</f>
        <v>10187.449999999999</v>
      </c>
      <c r="AD641" s="135">
        <f>CE_GL!AF82</f>
        <v>0</v>
      </c>
      <c r="AE641" s="207">
        <f>CE_GL!AG82</f>
        <v>89767.86</v>
      </c>
      <c r="AF641" s="135">
        <f>CE_GL!AH82</f>
        <v>0</v>
      </c>
      <c r="AG641" s="207">
        <f>CE_GL!AI82</f>
        <v>-1432.1120000000001</v>
      </c>
      <c r="AH641" s="135">
        <f>CE_GL!AJ82</f>
        <v>0</v>
      </c>
      <c r="AI641" s="207">
        <f>CE_GL!AK82</f>
        <v>452481.36</v>
      </c>
      <c r="AJ641" s="135">
        <f>CE_GL!AL82</f>
        <v>0</v>
      </c>
      <c r="AK641" s="207">
        <f>CE_GL!AM82</f>
        <v>0</v>
      </c>
      <c r="AL641" s="135">
        <f>CE_GL!AN82</f>
        <v>0</v>
      </c>
      <c r="AM641" s="207">
        <f>CE_GL!AO82</f>
        <v>-226240.84000000003</v>
      </c>
    </row>
    <row r="642" spans="4:39" x14ac:dyDescent="0.2">
      <c r="D642" s="133" t="s">
        <v>143</v>
      </c>
      <c r="E642" s="134"/>
      <c r="F642" s="135">
        <f>+'EAST-EGM-GL'!H82</f>
        <v>0</v>
      </c>
      <c r="G642" s="136">
        <f>+'EAST-EGM-GL'!I82</f>
        <v>4020373.5500000203</v>
      </c>
      <c r="H642" s="135">
        <f>+'EAST-EGM-GL'!J82</f>
        <v>0</v>
      </c>
      <c r="I642" s="136">
        <f>+'EAST-EGM-GL'!K82</f>
        <v>17118373.098000001</v>
      </c>
      <c r="J642" s="135">
        <f>+'EAST-EGM-GL'!L82</f>
        <v>0</v>
      </c>
      <c r="K642" s="136">
        <f>+'EAST-EGM-GL'!M82</f>
        <v>-1818384.9779999999</v>
      </c>
      <c r="L642" s="135">
        <f>+'EAST-EGM-GL'!N82</f>
        <v>0</v>
      </c>
      <c r="M642" s="136">
        <f>+'EAST-EGM-GL'!O82</f>
        <v>498452.28599999996</v>
      </c>
      <c r="N642" s="135">
        <f>+'EAST-EGM-GL'!P82</f>
        <v>0</v>
      </c>
      <c r="O642" s="135">
        <f>+'EAST-EGM-GL'!Q82</f>
        <v>1130253.9039999999</v>
      </c>
      <c r="P642" s="135">
        <f>+'EAST-EGM-GL'!R82</f>
        <v>0</v>
      </c>
      <c r="Q642" s="136">
        <f>+'EAST-EGM-GL'!S82</f>
        <v>-16796729.884999998</v>
      </c>
      <c r="R642" s="135">
        <f>+'EAST-EGM-GL'!T82</f>
        <v>0</v>
      </c>
      <c r="S642" s="135">
        <f>+'EAST-EGM-GL'!U82</f>
        <v>0</v>
      </c>
      <c r="T642" s="135">
        <f>+'EAST-EGM-GL'!V82</f>
        <v>0</v>
      </c>
      <c r="U642" s="136">
        <f>+'EAST-EGM-GL'!W82</f>
        <v>-11348.920000000013</v>
      </c>
      <c r="V642" s="135">
        <f>+'EAST-EGM-GL'!X82</f>
        <v>0</v>
      </c>
      <c r="W642" s="135">
        <f>+'EAST-EGM-GL'!Y82</f>
        <v>71238.639999999868</v>
      </c>
      <c r="X642" s="135">
        <f>+'EAST-EGM-GL'!Z82</f>
        <v>0</v>
      </c>
      <c r="Y642" s="135">
        <f>+'EAST-EGM-GL'!AA82</f>
        <v>99955</v>
      </c>
      <c r="Z642" s="135">
        <f>+'EAST-EGM-GL'!AB82</f>
        <v>0</v>
      </c>
      <c r="AA642" s="136">
        <f>+'EAST-EGM-GL'!AC82</f>
        <v>-11348.920000000013</v>
      </c>
      <c r="AB642" s="135">
        <f>+'EAST-EGM-GL'!AD82</f>
        <v>0</v>
      </c>
      <c r="AC642" s="137">
        <f>+'EAST-EGM-GL'!AE82</f>
        <v>0</v>
      </c>
      <c r="AD642" s="135">
        <f>+'EAST-EGM-GL'!AF82</f>
        <v>0</v>
      </c>
      <c r="AE642" s="207">
        <f>+'EAST-EGM-GL'!AG82</f>
        <v>-57153.584999999992</v>
      </c>
      <c r="AF642" s="135">
        <f>+'EAST-EGM-GL'!AH82</f>
        <v>0</v>
      </c>
      <c r="AG642" s="207">
        <f>+'EAST-EGM-GL'!AI82</f>
        <v>-5227.8999999999996</v>
      </c>
      <c r="AH642" s="135">
        <f>+'EAST-EGM-GL'!AJ82</f>
        <v>0</v>
      </c>
      <c r="AI642" s="207">
        <f>+'EAST-EGM-GL'!AK82</f>
        <v>0</v>
      </c>
      <c r="AJ642" s="135">
        <f>+'EAST-EGM-GL'!AL82</f>
        <v>0</v>
      </c>
      <c r="AK642" s="207">
        <f>+'EAST-EGM-GL'!AM82</f>
        <v>0</v>
      </c>
      <c r="AL642" s="135">
        <f>+'EAST-EGM-GL'!AN82</f>
        <v>0</v>
      </c>
      <c r="AM642" s="207">
        <f>+'EAST-EGM-GL'!AO82</f>
        <v>0</v>
      </c>
    </row>
    <row r="643" spans="4:39" x14ac:dyDescent="0.2">
      <c r="D643" s="133" t="s">
        <v>151</v>
      </c>
      <c r="E643" s="134"/>
      <c r="F643" s="135">
        <f>+'EAST-LRC-GL'!H82</f>
        <v>0</v>
      </c>
      <c r="G643" s="162">
        <f>+'EAST-LRC-GL'!I82</f>
        <v>1290655.3249999951</v>
      </c>
      <c r="H643" s="135">
        <f>+'EAST-LRC-GL'!J82</f>
        <v>-8178</v>
      </c>
      <c r="I643" s="136">
        <f>+'EAST-LRC-GL'!K82</f>
        <v>-222901.05000000016</v>
      </c>
      <c r="J643" s="135">
        <f>+'EAST-LRC-GL'!L82</f>
        <v>0</v>
      </c>
      <c r="K643" s="136">
        <f>+'EAST-LRC-GL'!M82</f>
        <v>48483.21700000007</v>
      </c>
      <c r="L643" s="135">
        <f>+'EAST-LRC-GL'!N82</f>
        <v>0</v>
      </c>
      <c r="M643" s="136">
        <f>+'EAST-LRC-GL'!O82</f>
        <v>-20357.872000000101</v>
      </c>
      <c r="N643" s="135">
        <f>+'EAST-LRC-GL'!P82</f>
        <v>0</v>
      </c>
      <c r="O643" s="135">
        <f>+'EAST-LRC-GL'!Q82</f>
        <v>-4998.0779999999722</v>
      </c>
      <c r="P643" s="135">
        <f>+'EAST-LRC-GL'!R82</f>
        <v>0</v>
      </c>
      <c r="Q643" s="136">
        <f>+'EAST-LRC-GL'!S82</f>
        <v>-82960.262999999948</v>
      </c>
      <c r="R643" s="135">
        <f>+'EAST-LRC-GL'!T82</f>
        <v>0</v>
      </c>
      <c r="S643" s="135">
        <f>+'EAST-LRC-GL'!U82</f>
        <v>8153.0659999999916</v>
      </c>
      <c r="T643" s="135">
        <f>+'EAST-LRC-GL'!V82</f>
        <v>0</v>
      </c>
      <c r="U643" s="136">
        <f>+'EAST-LRC-GL'!W82</f>
        <v>-1536.2150000000561</v>
      </c>
      <c r="V643" s="135">
        <f>+'EAST-LRC-GL'!X82</f>
        <v>0</v>
      </c>
      <c r="W643" s="135">
        <f>+'EAST-LRC-GL'!Y82</f>
        <v>54.86</v>
      </c>
      <c r="X643" s="135">
        <f>+'EAST-LRC-GL'!Z82</f>
        <v>0</v>
      </c>
      <c r="Y643" s="135">
        <f>+'EAST-LRC-GL'!AA82</f>
        <v>-128.9600000000064</v>
      </c>
      <c r="Z643" s="135">
        <f>+'EAST-LRC-GL'!AB82</f>
        <v>0</v>
      </c>
      <c r="AA643" s="136">
        <f>+'EAST-LRC-GL'!AC82</f>
        <v>-506.06000000000699</v>
      </c>
      <c r="AB643" s="135">
        <f>+'EAST-LRC-GL'!AD82</f>
        <v>0</v>
      </c>
      <c r="AC643" s="137">
        <f>+'EAST-LRC-GL'!AE82</f>
        <v>-637.06499999999983</v>
      </c>
      <c r="AD643" s="135">
        <f>+'EAST-LRC-GL'!AF82</f>
        <v>0</v>
      </c>
      <c r="AE643" s="207">
        <f>+'EAST-LRC-GL'!AG82</f>
        <v>35763</v>
      </c>
      <c r="AF643" s="135">
        <f>+'EAST-LRC-GL'!AH82</f>
        <v>0</v>
      </c>
      <c r="AG643" s="207">
        <f>+'EAST-LRC-GL'!AI82</f>
        <v>0</v>
      </c>
      <c r="AH643" s="135">
        <f>+'EAST-LRC-GL'!AJ82</f>
        <v>0</v>
      </c>
      <c r="AI643" s="207">
        <f>+'EAST-LRC-GL'!AK82</f>
        <v>0</v>
      </c>
      <c r="AJ643" s="135">
        <f>+'EAST-LRC-GL'!AL82</f>
        <v>0</v>
      </c>
      <c r="AK643" s="207">
        <f>+'EAST-LRC-GL'!AM82</f>
        <v>0</v>
      </c>
      <c r="AL643" s="135">
        <f>+'EAST-LRC-GL'!AN82</f>
        <v>0</v>
      </c>
      <c r="AM643" s="207">
        <f>+'EAST-LRC-GL'!AO82</f>
        <v>0</v>
      </c>
    </row>
    <row r="644" spans="4:39" x14ac:dyDescent="0.2">
      <c r="D644" s="133" t="s">
        <v>152</v>
      </c>
      <c r="E644" s="134"/>
      <c r="F644" s="135">
        <f>+'BGC-EGM-GL'!H82</f>
        <v>0</v>
      </c>
      <c r="G644" s="162">
        <f>+'BGC-EGM-GL'!I82</f>
        <v>0</v>
      </c>
      <c r="H644" s="135">
        <f>+'BGC-EGM-GL'!J82</f>
        <v>0</v>
      </c>
      <c r="I644" s="162">
        <f>+'BGC-EGM-GL'!K82</f>
        <v>0</v>
      </c>
      <c r="J644" s="135">
        <f>+'BGC-EGM-GL'!L82</f>
        <v>0</v>
      </c>
      <c r="K644" s="135">
        <f>+'BGC-EGM-GL'!M82</f>
        <v>0</v>
      </c>
      <c r="L644" s="135">
        <f>+'BGC-EGM-GL'!N82</f>
        <v>0</v>
      </c>
      <c r="M644" s="136">
        <f>+'BGC-EGM-GL'!O82</f>
        <v>0</v>
      </c>
      <c r="N644" s="135">
        <f>+'BGC-EGM-GL'!P82</f>
        <v>0</v>
      </c>
      <c r="O644" s="135">
        <f>+'BGC-EGM-GL'!Q82</f>
        <v>0</v>
      </c>
      <c r="P644" s="135">
        <f>+'BGC-EGM-GL'!R82</f>
        <v>0</v>
      </c>
      <c r="Q644" s="136">
        <f>+'BGC-EGM-GL'!S82</f>
        <v>0</v>
      </c>
      <c r="R644" s="135">
        <f>+'BGC-EGM-GL'!T82</f>
        <v>0</v>
      </c>
      <c r="S644" s="135">
        <f>+'BGC-EGM-GL'!U82</f>
        <v>0</v>
      </c>
      <c r="T644" s="135">
        <f>+'BGC-EGM-GL'!V82</f>
        <v>0</v>
      </c>
      <c r="U644" s="136">
        <f>+'BGC-EGM-GL'!W82</f>
        <v>0</v>
      </c>
      <c r="V644" s="135">
        <f>+'BGC-EGM-GL'!X82</f>
        <v>0</v>
      </c>
      <c r="W644" s="135">
        <f>+'BGC-EGM-GL'!Y82</f>
        <v>0</v>
      </c>
      <c r="X644" s="135">
        <f>+'BGC-EGM-GL'!Z82</f>
        <v>0</v>
      </c>
      <c r="Y644" s="135">
        <f>+'BGC-EGM-GL'!AA82</f>
        <v>0</v>
      </c>
      <c r="Z644" s="135">
        <f>+'BGC-EGM-GL'!AB82</f>
        <v>0</v>
      </c>
      <c r="AA644" s="135">
        <f>+'BGC-EGM-GL'!AC82</f>
        <v>0</v>
      </c>
      <c r="AB644" s="135">
        <f>+'BGC-EGM-GL'!AD82</f>
        <v>0</v>
      </c>
      <c r="AC644" s="137">
        <f>+'BGC-EGM-GL'!AE82</f>
        <v>0</v>
      </c>
      <c r="AD644" s="135">
        <f>+'BGC-EGM-GL'!AF82</f>
        <v>0</v>
      </c>
      <c r="AE644" s="137">
        <f>+'BGC-EGM-GL'!AG82</f>
        <v>0</v>
      </c>
      <c r="AF644" s="135">
        <f>+'BGC-EGM-GL'!AH82</f>
        <v>0</v>
      </c>
      <c r="AG644" s="137">
        <f>+'BGC-EGM-GL'!AI82</f>
        <v>0</v>
      </c>
      <c r="AH644" s="135">
        <f>+'BGC-EGM-GL'!AJ82</f>
        <v>0</v>
      </c>
      <c r="AI644" s="137">
        <f>+'BGC-EGM-GL'!AK82</f>
        <v>0</v>
      </c>
      <c r="AJ644" s="135">
        <f>+'BGC-EGM-GL'!AL82</f>
        <v>0</v>
      </c>
      <c r="AK644" s="137">
        <f>+'BGC-EGM-GL'!AM82</f>
        <v>0</v>
      </c>
      <c r="AL644" s="135">
        <f>+'BGC-EGM-GL'!AN82</f>
        <v>0</v>
      </c>
      <c r="AM644" s="137">
        <f>+'BGC-EGM-GL'!AO82</f>
        <v>0</v>
      </c>
    </row>
    <row r="645" spans="4:39" x14ac:dyDescent="0.2">
      <c r="D645" s="133" t="s">
        <v>153</v>
      </c>
      <c r="E645" s="134"/>
      <c r="F645" s="135">
        <f>+'EAST-CON-GL '!H82</f>
        <v>0</v>
      </c>
      <c r="G645" s="162">
        <f>+'EAST-CON-GL '!I82</f>
        <v>5311028.8750000363</v>
      </c>
      <c r="H645" s="135">
        <f>+'EAST-CON-GL '!J82</f>
        <v>-8178</v>
      </c>
      <c r="I645" s="162">
        <f>+'EAST-CON-GL '!K82</f>
        <v>16895472.048000008</v>
      </c>
      <c r="J645" s="135">
        <f>+'EAST-CON-GL '!L82</f>
        <v>0</v>
      </c>
      <c r="K645" s="135">
        <f>+'EAST-CON-GL '!M82</f>
        <v>-1769901.7509999999</v>
      </c>
      <c r="L645" s="135">
        <f>+'EAST-CON-GL '!N82</f>
        <v>0</v>
      </c>
      <c r="M645" s="136">
        <f>+'EAST-CON-GL '!O82</f>
        <v>478094.40399999986</v>
      </c>
      <c r="N645" s="135">
        <f>+'EAST-CON-GL '!P82</f>
        <v>0</v>
      </c>
      <c r="O645" s="135">
        <f>+'EAST-CON-GL '!Q82</f>
        <v>1125255.8259999999</v>
      </c>
      <c r="P645" s="135">
        <f>+'EAST-CON-GL '!R82</f>
        <v>0</v>
      </c>
      <c r="Q645" s="136">
        <f>+'EAST-CON-GL '!S82</f>
        <v>-16879690.147999998</v>
      </c>
      <c r="R645" s="135">
        <f>+'EAST-CON-GL '!T82</f>
        <v>0</v>
      </c>
      <c r="S645" s="135">
        <f>+'EAST-CON-GL '!U82</f>
        <v>8153.0659999998752</v>
      </c>
      <c r="T645" s="135">
        <f>+'EAST-CON-GL '!V82</f>
        <v>0</v>
      </c>
      <c r="U645" s="136">
        <f>+'EAST-CON-GL '!W82</f>
        <v>-12885.124999999971</v>
      </c>
      <c r="V645" s="135">
        <f>+'EAST-CON-GL '!X82</f>
        <v>0</v>
      </c>
      <c r="W645" s="135">
        <f>+'EAST-CON-GL '!Y82</f>
        <v>71293.499999999854</v>
      </c>
      <c r="X645" s="135">
        <f>+'EAST-CON-GL '!Z82</f>
        <v>0</v>
      </c>
      <c r="Y645" s="135">
        <f>+'EAST-CON-GL '!AA82</f>
        <v>99826.04</v>
      </c>
      <c r="Z645" s="135">
        <f>+'EAST-CON-GL '!AB82</f>
        <v>0</v>
      </c>
      <c r="AA645" s="136">
        <f>+'EAST-CON-GL '!AC82</f>
        <v>-11854.989999999932</v>
      </c>
      <c r="AB645" s="135">
        <f>+'EAST-CON-GL '!AD82</f>
        <v>0</v>
      </c>
      <c r="AC645" s="137">
        <f>+'EAST-CON-GL '!AE82</f>
        <v>-637.06499999999983</v>
      </c>
      <c r="AD645" s="135">
        <f>+'EAST-CON-GL '!AF82</f>
        <v>0</v>
      </c>
      <c r="AE645" s="137">
        <f>+'EAST-CON-GL '!AG82</f>
        <v>-5227.8999999999996</v>
      </c>
      <c r="AF645" s="135">
        <f>+'EAST-CON-GL '!AH82</f>
        <v>0</v>
      </c>
      <c r="AG645" s="137">
        <f>+'EAST-CON-GL '!AI82</f>
        <v>0</v>
      </c>
      <c r="AH645" s="135">
        <f>+'EAST-CON-GL '!AJ82</f>
        <v>0</v>
      </c>
      <c r="AI645" s="137">
        <f>+'EAST-CON-GL '!AK82</f>
        <v>0</v>
      </c>
      <c r="AJ645" s="135">
        <f>+'EAST-CON-GL '!AL82</f>
        <v>0</v>
      </c>
      <c r="AK645" s="137">
        <f>+'EAST-CON-GL '!AM82</f>
        <v>0</v>
      </c>
      <c r="AL645" s="135">
        <f>+'EAST-CON-GL '!AN82</f>
        <v>0</v>
      </c>
      <c r="AM645" s="137">
        <f>+'EAST-CON-GL '!AO82</f>
        <v>0</v>
      </c>
    </row>
    <row r="646" spans="4:39" x14ac:dyDescent="0.2">
      <c r="D646" s="133" t="s">
        <v>154</v>
      </c>
      <c r="E646" s="134"/>
      <c r="F646" s="135">
        <f>+'TX-EGM-GL'!H82</f>
        <v>0</v>
      </c>
      <c r="G646" s="136">
        <f>+'TX-EGM-GL'!I82</f>
        <v>4597593.7760000005</v>
      </c>
      <c r="H646" s="135">
        <f>+'TX-EGM-GL'!J82</f>
        <v>0</v>
      </c>
      <c r="I646" s="136">
        <f>+'TX-EGM-GL'!K91</f>
        <v>-639457.77400000056</v>
      </c>
      <c r="J646" s="135">
        <f>+'TX-EGM-GL'!L82</f>
        <v>0</v>
      </c>
      <c r="K646" s="136">
        <f>+'TX-EGM-GL'!M82</f>
        <v>1215432.5620000004</v>
      </c>
      <c r="L646" s="135">
        <f>+'TX-EGM-GL'!N82</f>
        <v>0</v>
      </c>
      <c r="M646" s="136">
        <f>+'TX-EGM-GL'!O82</f>
        <v>-1941179.0759999999</v>
      </c>
      <c r="N646" s="135">
        <f>+'TX-EGM-GL'!P82</f>
        <v>0</v>
      </c>
      <c r="O646" s="135">
        <f>+'TX-EGM-GL'!Q82</f>
        <v>103782.228</v>
      </c>
      <c r="P646" s="135">
        <f>+'TX-EGM-GL'!R82</f>
        <v>0</v>
      </c>
      <c r="Q646" s="136">
        <f>+'TX-EGM-GL'!S82</f>
        <v>351783.74199999997</v>
      </c>
      <c r="R646" s="135">
        <f>+'TX-EGM-GL'!T82</f>
        <v>0</v>
      </c>
      <c r="S646" s="135">
        <f>+'TX-EGM-GL'!U82</f>
        <v>83863.615999999922</v>
      </c>
      <c r="T646" s="135">
        <f>+'TX-EGM-GL'!V82</f>
        <v>0</v>
      </c>
      <c r="U646" s="136">
        <f>+'TX-EGM-GL'!W82</f>
        <v>-28643.534000000065</v>
      </c>
      <c r="V646" s="135">
        <f>+'TX-EGM-GL'!X82</f>
        <v>0</v>
      </c>
      <c r="W646" s="135">
        <f>+'TX-EGM-GL'!Y82</f>
        <v>53228.394000000073</v>
      </c>
      <c r="X646" s="135">
        <f>+'TX-EGM-GL'!Z82</f>
        <v>0</v>
      </c>
      <c r="Y646" s="135">
        <f>+'TX-EGM-GL'!AA82</f>
        <v>-13007.918000000032</v>
      </c>
      <c r="Z646" s="135">
        <f>+'TX-EGM-GL'!AB82</f>
        <v>0</v>
      </c>
      <c r="AA646" s="136">
        <f>+'TX-EGM-GL'!AC82</f>
        <v>1075.4040000001241</v>
      </c>
      <c r="AB646" s="135">
        <f>+'TX-EGM-GL'!AD82</f>
        <v>0</v>
      </c>
      <c r="AC646" s="137">
        <f>+'TX-EGM-GL'!AE82</f>
        <v>13614.343999999983</v>
      </c>
      <c r="AD646" s="135">
        <f>+'TX-EGM-GL'!AF82</f>
        <v>0</v>
      </c>
      <c r="AE646" s="207">
        <f>+'TX-EGM-GL'!AG82</f>
        <v>3184.1539999999213</v>
      </c>
      <c r="AF646" s="135">
        <f>+'TX-EGM-GL'!AH82</f>
        <v>0</v>
      </c>
      <c r="AG646" s="207">
        <f>+'TX-EGM-GL'!AI82</f>
        <v>-37449.491999999918</v>
      </c>
      <c r="AH646" s="135">
        <f>+'TX-EGM-GL'!AJ82</f>
        <v>0</v>
      </c>
      <c r="AI646" s="207">
        <f>+'TX-EGM-GL'!AK82</f>
        <v>547.8900000000001</v>
      </c>
      <c r="AJ646" s="135">
        <f>+'TX-EGM-GL'!AL82</f>
        <v>0</v>
      </c>
      <c r="AK646" s="207">
        <f>+'TX-EGM-GL'!AM82</f>
        <v>3823.2200000000116</v>
      </c>
      <c r="AL646" s="135">
        <f>+'TX-EGM-GL'!AN82</f>
        <v>0</v>
      </c>
      <c r="AM646" s="207">
        <f>+'TX-EGM-GL'!AO82</f>
        <v>-5363.2899999999963</v>
      </c>
    </row>
    <row r="647" spans="4:39" x14ac:dyDescent="0.2">
      <c r="D647" s="133" t="s">
        <v>155</v>
      </c>
      <c r="E647" s="134"/>
      <c r="F647" s="135">
        <f>+'TX-HPL-GL '!H82</f>
        <v>0</v>
      </c>
      <c r="G647" s="136">
        <f>+'TX-HPL-GL '!I82</f>
        <v>247350.4200000001</v>
      </c>
      <c r="H647" s="135">
        <f>+'TX-HPL-GL '!J82</f>
        <v>0</v>
      </c>
      <c r="I647" s="136">
        <f>+'TX-HPL-GL '!K82</f>
        <v>68897.794399999955</v>
      </c>
      <c r="J647" s="135">
        <f>+'TX-HPL-GL '!L82</f>
        <v>0</v>
      </c>
      <c r="K647" s="136">
        <f>+'TX-HPL-GL '!M82</f>
        <v>325361.02759999997</v>
      </c>
      <c r="L647" s="135">
        <f>+'TX-HPL-GL '!N82</f>
        <v>0</v>
      </c>
      <c r="M647" s="136">
        <f>+'TX-HPL-GL '!O82</f>
        <v>578.01760000000002</v>
      </c>
      <c r="N647" s="135">
        <f>+'TX-HPL-GL '!P82</f>
        <v>0</v>
      </c>
      <c r="O647" s="135">
        <f>+'TX-HPL-GL '!Q82</f>
        <v>-9722.0007999999998</v>
      </c>
      <c r="P647" s="135">
        <f>+'TX-HPL-GL '!R82</f>
        <v>0</v>
      </c>
      <c r="Q647" s="136">
        <f>+'TX-HPL-GL '!S82</f>
        <v>-17498.202000000008</v>
      </c>
      <c r="R647" s="135">
        <f>+'TX-HPL-GL '!T82</f>
        <v>0</v>
      </c>
      <c r="S647" s="135">
        <f>+'TX-HPL-GL '!U82</f>
        <v>1001.712</v>
      </c>
      <c r="T647" s="135">
        <f>+'TX-HPL-GL '!V82</f>
        <v>0</v>
      </c>
      <c r="U647" s="136">
        <f>+'TX-HPL-GL '!W82</f>
        <v>0.64800000000000002</v>
      </c>
      <c r="V647" s="135">
        <f>+'TX-HPL-GL '!X82</f>
        <v>0</v>
      </c>
      <c r="W647" s="135">
        <f>+'TX-HPL-GL '!Y82</f>
        <v>0</v>
      </c>
      <c r="X647" s="135">
        <f>+'TX-HPL-GL '!Z82</f>
        <v>0</v>
      </c>
      <c r="Y647" s="135">
        <f>+'TX-HPL-GL '!AA82</f>
        <v>0</v>
      </c>
      <c r="Z647" s="135">
        <f>+'TX-HPL-GL '!AB82</f>
        <v>0</v>
      </c>
      <c r="AA647" s="136">
        <f>+'TX-HPL-GL '!AC82</f>
        <v>-1975.2986000000019</v>
      </c>
      <c r="AB647" s="135">
        <f>+'TX-HPL-GL '!AD82</f>
        <v>0</v>
      </c>
      <c r="AC647" s="137">
        <f>+'TX-HPL-GL '!AE82</f>
        <v>0</v>
      </c>
      <c r="AD647" s="135">
        <f>+'TX-HPL-GL '!AF82</f>
        <v>0</v>
      </c>
      <c r="AE647" s="207">
        <f>+'TX-HPL-GL '!AG82</f>
        <v>-26.183599999999956</v>
      </c>
      <c r="AF647" s="135">
        <f>+'TX-HPL-GL '!AH82</f>
        <v>0</v>
      </c>
      <c r="AG647" s="207">
        <f>+'TX-HPL-GL '!AI82</f>
        <v>0</v>
      </c>
      <c r="AH647" s="135">
        <f>+'TX-HPL-GL '!AJ82</f>
        <v>0</v>
      </c>
      <c r="AI647" s="207">
        <f>+'TX-HPL-GL '!AK82</f>
        <v>3900.4400000000028</v>
      </c>
      <c r="AJ647" s="135">
        <f>+'TX-HPL-GL '!AL82</f>
        <v>0</v>
      </c>
      <c r="AK647" s="207">
        <f>+'TX-HPL-GL '!AM82</f>
        <v>0</v>
      </c>
      <c r="AL647" s="135">
        <f>+'TX-HPL-GL '!AN82</f>
        <v>0</v>
      </c>
      <c r="AM647" s="207">
        <f>+'TX-HPL-GL '!AO82</f>
        <v>0</v>
      </c>
    </row>
    <row r="648" spans="4:39" x14ac:dyDescent="0.2">
      <c r="D648" s="133" t="s">
        <v>156</v>
      </c>
      <c r="E648" s="134"/>
      <c r="F648" s="135">
        <f>+'TX-CON-GL '!H82</f>
        <v>0</v>
      </c>
      <c r="G648" s="162">
        <f>+'TX-CON-GL '!I82</f>
        <v>4844944.1959999744</v>
      </c>
      <c r="H648" s="135">
        <f>+'TX-CON-GL '!J82</f>
        <v>0</v>
      </c>
      <c r="I648" s="162">
        <f>+'TX-CON-GL '!K82</f>
        <v>-570559.97960000159</v>
      </c>
      <c r="J648" s="135">
        <f>+'TX-CON-GL '!L82</f>
        <v>0</v>
      </c>
      <c r="K648" s="135">
        <f>+'TX-CON-GL '!M82</f>
        <v>1540793.5896000001</v>
      </c>
      <c r="L648" s="135">
        <f>+'TX-CON-GL '!N82</f>
        <v>0</v>
      </c>
      <c r="M648" s="136">
        <f>+'TX-CON-GL '!O82</f>
        <v>-1940601.0584000004</v>
      </c>
      <c r="N648" s="135">
        <f>+'TX-CON-GL '!P82</f>
        <v>0</v>
      </c>
      <c r="O648" s="135">
        <f>+'TX-CON-GL '!Q82</f>
        <v>94060.227200000038</v>
      </c>
      <c r="P648" s="135">
        <f>+'TX-CON-GL '!R82</f>
        <v>0</v>
      </c>
      <c r="Q648" s="136">
        <f>+'TX-CON-GL '!S82</f>
        <v>334285.54000000004</v>
      </c>
      <c r="R648" s="135">
        <f>+'TX-CON-GL '!T82</f>
        <v>0</v>
      </c>
      <c r="S648" s="135">
        <f>+'TX-CON-GL '!U82</f>
        <v>84865.32799999998</v>
      </c>
      <c r="T648" s="135">
        <f>+'TX-CON-GL '!V82</f>
        <v>0</v>
      </c>
      <c r="U648" s="136">
        <f>+'TX-CON-GL '!W82</f>
        <v>-28642.88600000002</v>
      </c>
      <c r="V648" s="135">
        <f>+'TX-CON-GL '!X82</f>
        <v>0</v>
      </c>
      <c r="W648" s="135">
        <f>+'TX-CON-GL '!Y82</f>
        <v>53228.394000000073</v>
      </c>
      <c r="X648" s="135">
        <f>+'TX-CON-GL '!Z82</f>
        <v>0</v>
      </c>
      <c r="Y648" s="135">
        <f>+'TX-CON-GL '!AA82</f>
        <v>-13007.918000000032</v>
      </c>
      <c r="Z648" s="135">
        <f>+'TX-CON-GL '!AB82</f>
        <v>0</v>
      </c>
      <c r="AA648" s="136">
        <f>+'TX-CON-GL '!AC82</f>
        <v>-899.89459999997234</v>
      </c>
      <c r="AB648" s="135">
        <f>+'TX-CON-GL '!AD82</f>
        <v>0</v>
      </c>
      <c r="AC648" s="137">
        <f>+'TX-CON-GL '!AE82</f>
        <v>13614.343999999983</v>
      </c>
      <c r="AD648" s="135">
        <f>+'TX-CON-GL '!AF82</f>
        <v>0</v>
      </c>
      <c r="AE648" s="137">
        <f>+'TX-CON-GL '!AG82</f>
        <v>-37449.491999999918</v>
      </c>
      <c r="AF648" s="135">
        <f>+'TX-CON-GL '!AH82</f>
        <v>0</v>
      </c>
      <c r="AG648" s="137">
        <f>+'TX-CON-GL '!AI82</f>
        <v>3823.2200000000116</v>
      </c>
      <c r="AH648" s="135">
        <f>+'TX-CON-GL '!AJ82</f>
        <v>0</v>
      </c>
      <c r="AI648" s="137">
        <f>+'TX-CON-GL '!AK82</f>
        <v>0</v>
      </c>
      <c r="AJ648" s="135">
        <f>+'TX-CON-GL '!AL82</f>
        <v>0</v>
      </c>
      <c r="AK648" s="137">
        <f>+'TX-CON-GL '!AM82</f>
        <v>0</v>
      </c>
      <c r="AL648" s="135">
        <f>+'TX-CON-GL '!AN82</f>
        <v>0</v>
      </c>
      <c r="AM648" s="137">
        <f>+'TX-CON-GL '!AO82</f>
        <v>0</v>
      </c>
    </row>
    <row r="649" spans="4:39" x14ac:dyDescent="0.2">
      <c r="D649" s="133" t="s">
        <v>145</v>
      </c>
      <c r="E649" s="134"/>
      <c r="F649" s="135">
        <f>+'WE-GL '!H82</f>
        <v>0</v>
      </c>
      <c r="G649" s="136">
        <f>+'WE-GL '!I82</f>
        <v>406013.06999997795</v>
      </c>
      <c r="H649" s="135">
        <f>+'WE-GL '!J82</f>
        <v>0</v>
      </c>
      <c r="I649" s="136">
        <f>+'WE-GL '!K82</f>
        <v>610970.86</v>
      </c>
      <c r="J649" s="135">
        <f>+'WE-GL '!L82</f>
        <v>0</v>
      </c>
      <c r="K649" s="135">
        <f>+'WE-GL '!M82</f>
        <v>-1278006.0850000002</v>
      </c>
      <c r="L649" s="135">
        <f>+'WE-GL '!N82</f>
        <v>0</v>
      </c>
      <c r="M649" s="136">
        <f>+'WE-GL '!O82</f>
        <v>1249169.5950000002</v>
      </c>
      <c r="N649" s="135">
        <f>+'WE-GL '!P82</f>
        <v>0</v>
      </c>
      <c r="O649" s="135">
        <f>+'WE-GL '!Q82</f>
        <v>-869227.38899999997</v>
      </c>
      <c r="P649" s="135">
        <f>+'WE-GL '!R82</f>
        <v>0</v>
      </c>
      <c r="Q649" s="136">
        <f>+'WE-GL '!S82</f>
        <v>568047.65399999998</v>
      </c>
      <c r="R649" s="135">
        <f>+'WE-GL '!T82</f>
        <v>0</v>
      </c>
      <c r="S649" s="135">
        <f>+'WE-GL '!U82</f>
        <v>0</v>
      </c>
      <c r="T649" s="135">
        <f>+'WE-GL '!V82</f>
        <v>0</v>
      </c>
      <c r="U649" s="136">
        <f>+'WE-GL '!W82</f>
        <v>108950.41999999969</v>
      </c>
      <c r="V649" s="135">
        <f>+'WE-GL '!X82</f>
        <v>0</v>
      </c>
      <c r="W649" s="135">
        <f>+'WE-GL '!Y82</f>
        <v>-1021442.03</v>
      </c>
      <c r="X649" s="135">
        <f>+'WE-GL '!Z82</f>
        <v>0</v>
      </c>
      <c r="Y649" s="135">
        <f>+'WE-GL '!AA82</f>
        <v>-4884.99</v>
      </c>
      <c r="Z649" s="135">
        <f>+'WE-GL '!AB82</f>
        <v>0</v>
      </c>
      <c r="AA649" s="136">
        <f>+'WE-GL '!AC82</f>
        <v>-146645.02000000025</v>
      </c>
      <c r="AB649" s="135">
        <f>+'WE-GL '!AD82</f>
        <v>0</v>
      </c>
      <c r="AC649" s="137">
        <f>+'WE-GL '!AE82</f>
        <v>0</v>
      </c>
      <c r="AD649" s="135">
        <f>+'WE-GL '!AF82</f>
        <v>0</v>
      </c>
      <c r="AE649" s="207">
        <f>+'WE-GL '!AG82</f>
        <v>-162611.62</v>
      </c>
      <c r="AF649" s="135">
        <f>+'WE-GL '!AH82</f>
        <v>0</v>
      </c>
      <c r="AG649" s="207">
        <f>+'WE-GL '!AI82</f>
        <v>0</v>
      </c>
      <c r="AH649" s="135">
        <f>+'WE-GL '!AJ82</f>
        <v>0</v>
      </c>
      <c r="AI649" s="207">
        <f>+'WE-GL '!AK82</f>
        <v>0</v>
      </c>
      <c r="AJ649" s="135">
        <f>+'WE-GL '!AL82</f>
        <v>0</v>
      </c>
      <c r="AK649" s="207">
        <f>+'WE-GL '!AM82</f>
        <v>4695.880000000001</v>
      </c>
      <c r="AL649" s="135">
        <f>+'WE-GL '!AN82</f>
        <v>0</v>
      </c>
      <c r="AM649" s="207">
        <f>+'WE-GL '!AO82</f>
        <v>0</v>
      </c>
    </row>
    <row r="650" spans="4:39" x14ac:dyDescent="0.2">
      <c r="D650" t="s">
        <v>147</v>
      </c>
      <c r="F650" s="138">
        <f>+STG_GL!H82</f>
        <v>0</v>
      </c>
      <c r="G650" s="163">
        <f>+STG_GL!I82</f>
        <v>9226072</v>
      </c>
      <c r="H650" s="138">
        <f>+STG_GL!J82</f>
        <v>0</v>
      </c>
      <c r="I650" s="163">
        <f>+STG_GL!K82</f>
        <v>-25504092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0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38">
        <f>+STG_GL!S82</f>
        <v>84126</v>
      </c>
      <c r="R650" s="138">
        <f>+STG_GL!T82</f>
        <v>0</v>
      </c>
      <c r="S650" s="138">
        <f>+STG_GL!U82</f>
        <v>-39976</v>
      </c>
      <c r="T650" s="138">
        <f>+STG_GL!V82</f>
        <v>0</v>
      </c>
      <c r="U650" s="138">
        <f>+STG_GL!W82</f>
        <v>0</v>
      </c>
      <c r="V650" s="138">
        <f>+STG_GL!X82</f>
        <v>0</v>
      </c>
      <c r="W650" s="138">
        <f>+STG_GL!Y82</f>
        <v>-352900</v>
      </c>
      <c r="X650" s="138">
        <f>+STG_GL!Z82</f>
        <v>0</v>
      </c>
      <c r="Y650" s="138">
        <f>+STG_GL!AA82</f>
        <v>0</v>
      </c>
      <c r="Z650" s="138">
        <f>+STG_GL!AB82</f>
        <v>0</v>
      </c>
      <c r="AA650" s="138">
        <f>+STG_GL!AC82</f>
        <v>-96818</v>
      </c>
      <c r="AB650" s="138">
        <f>+STG_GL!AD82</f>
        <v>0</v>
      </c>
      <c r="AC650" s="138">
        <f>+STG_GL!AE82</f>
        <v>625109</v>
      </c>
      <c r="AD650" s="138">
        <f>+STG_GL!AF82</f>
        <v>0</v>
      </c>
      <c r="AE650" s="138">
        <f>+STG_GL!AG82</f>
        <v>0</v>
      </c>
      <c r="AF650" s="138">
        <f>+STG_GL!AH82</f>
        <v>0</v>
      </c>
      <c r="AG650" s="138">
        <f>+STG_GL!AI82</f>
        <v>0</v>
      </c>
      <c r="AH650" s="138">
        <f>+STG_GL!AJ82</f>
        <v>0</v>
      </c>
      <c r="AI650" s="138">
        <f>+STG_GL!AK82</f>
        <v>0</v>
      </c>
      <c r="AJ650" s="138">
        <f>+STG_GL!AL82</f>
        <v>0</v>
      </c>
      <c r="AK650" s="138">
        <f>+STG_GL!AM82</f>
        <v>0</v>
      </c>
      <c r="AL650" s="138">
        <f>+STG_GL!AN82</f>
        <v>0</v>
      </c>
      <c r="AM650" s="138">
        <f>+STG_GL!AO82</f>
        <v>0</v>
      </c>
    </row>
    <row r="651" spans="4:39" x14ac:dyDescent="0.2">
      <c r="D651" t="s">
        <v>167</v>
      </c>
      <c r="F651" s="138">
        <f>+'ONT_GL '!H82</f>
        <v>0</v>
      </c>
      <c r="G651" s="167">
        <f>+'ONT_GL '!I82</f>
        <v>-423520</v>
      </c>
      <c r="H651" s="138">
        <f>+'ONT_GL '!J82</f>
        <v>0</v>
      </c>
      <c r="I651" s="167">
        <f>+'ONT_GL '!K82</f>
        <v>-65488</v>
      </c>
      <c r="J651" s="138">
        <f>+'ONT_GL '!L82</f>
        <v>0</v>
      </c>
      <c r="K651" s="138">
        <f>+'ONT_GL '!M82</f>
        <v>584074</v>
      </c>
      <c r="L651" s="138">
        <f>+'ONT_GL '!N82</f>
        <v>0</v>
      </c>
      <c r="M651" s="138">
        <f>+'ONT_GL '!O82</f>
        <v>-45161</v>
      </c>
      <c r="N651" s="138">
        <f>+'ONT_GL '!P82</f>
        <v>0</v>
      </c>
      <c r="O651" s="138">
        <f>+'ONT_GL '!Q82</f>
        <v>1268507</v>
      </c>
      <c r="P651" s="138">
        <f>+'ONT_GL '!R82</f>
        <v>0</v>
      </c>
      <c r="Q651" s="167">
        <f>+'ONT_GL '!S82</f>
        <v>-21000</v>
      </c>
      <c r="R651" s="138">
        <f>+'ONT_GL '!T82</f>
        <v>0</v>
      </c>
      <c r="S651" s="138">
        <f>+'ONT_GL '!U82</f>
        <v>0</v>
      </c>
      <c r="T651" s="138">
        <f>+'ONT_GL '!V82</f>
        <v>0</v>
      </c>
      <c r="U651" s="167">
        <f>+'ONT_GL '!W82</f>
        <v>-12795</v>
      </c>
      <c r="V651" s="138">
        <f>+'ONT_GL '!X82</f>
        <v>0</v>
      </c>
      <c r="W651" s="138">
        <f>+'ONT_GL '!Y82</f>
        <v>12794.760000000009</v>
      </c>
      <c r="X651" s="138">
        <f>+'ONT_GL '!Z82</f>
        <v>0</v>
      </c>
      <c r="Y651" s="138">
        <f>+'ONT_GL '!AA82</f>
        <v>0</v>
      </c>
      <c r="Z651" s="138">
        <f>+'ONT_GL '!AB82</f>
        <v>0</v>
      </c>
      <c r="AA651" s="167">
        <f>+'ONT_GL '!AC82</f>
        <v>518988.24</v>
      </c>
      <c r="AB651" s="138">
        <f>+'ONT_GL '!AD82</f>
        <v>0</v>
      </c>
      <c r="AC651" s="138">
        <f>+'ONT_GL '!AE82</f>
        <v>0</v>
      </c>
      <c r="AD651" s="138">
        <f>+'ONT_GL '!AF82</f>
        <v>0</v>
      </c>
      <c r="AE651" s="138">
        <f>+'ONT_GL '!AG82</f>
        <v>0</v>
      </c>
      <c r="AF651" s="138">
        <f>+'ONT_GL '!AH82</f>
        <v>0</v>
      </c>
      <c r="AG651" s="138">
        <f>+'ONT_GL '!AI82</f>
        <v>0</v>
      </c>
      <c r="AH651" s="138">
        <f>+'ONT_GL '!AJ82</f>
        <v>0</v>
      </c>
      <c r="AI651" s="138">
        <f>+'ONT_GL '!AK82</f>
        <v>0</v>
      </c>
      <c r="AJ651" s="138">
        <f>+'ONT_GL '!AL82</f>
        <v>0</v>
      </c>
      <c r="AK651" s="138">
        <f>+'ONT_GL '!AM82</f>
        <v>0</v>
      </c>
      <c r="AL651" s="138">
        <f>+'ONT_GL '!AN82</f>
        <v>0</v>
      </c>
      <c r="AM651" s="138">
        <f>+'ONT_GL '!AO82</f>
        <v>0</v>
      </c>
    </row>
    <row r="652" spans="4:39" x14ac:dyDescent="0.2">
      <c r="G652" s="170"/>
    </row>
    <row r="653" spans="4:39" x14ac:dyDescent="0.2">
      <c r="D653" t="s">
        <v>2</v>
      </c>
    </row>
  </sheetData>
  <mergeCells count="32">
    <mergeCell ref="AB638:AC638"/>
    <mergeCell ref="AD638:AE638"/>
    <mergeCell ref="T638:U638"/>
    <mergeCell ref="V638:W638"/>
    <mergeCell ref="X638:Y638"/>
    <mergeCell ref="Z638:AA638"/>
    <mergeCell ref="AC1:AD1"/>
    <mergeCell ref="AE1:AF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Q1:R1"/>
    <mergeCell ref="S1:T1"/>
    <mergeCell ref="U1:V1"/>
    <mergeCell ref="W1:X1"/>
    <mergeCell ref="Y1:Z1"/>
    <mergeCell ref="AA1:AB1"/>
    <mergeCell ref="AL638:AM638"/>
    <mergeCell ref="AJ638:AK638"/>
    <mergeCell ref="AH638:AI638"/>
    <mergeCell ref="AF638:AG638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Felienne</cp:lastModifiedBy>
  <cp:lastPrinted>2000-01-14T23:17:31Z</cp:lastPrinted>
  <dcterms:created xsi:type="dcterms:W3CDTF">1997-07-11T21:57:33Z</dcterms:created>
  <dcterms:modified xsi:type="dcterms:W3CDTF">2014-09-05T10:40:47Z</dcterms:modified>
</cp:coreProperties>
</file>