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20" windowWidth="15180" windowHeight="883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C13" i="1" l="1"/>
  <c r="B13" i="1" s="1"/>
  <c r="B18" i="1" s="1"/>
  <c r="B20" i="1" s="1"/>
  <c r="B21" i="1" s="1"/>
  <c r="E13" i="1"/>
  <c r="D13" i="1" s="1"/>
  <c r="D18" i="1" s="1"/>
  <c r="D20" i="1" s="1"/>
  <c r="D21" i="1" s="1"/>
  <c r="F13" i="1"/>
  <c r="F18" i="1" s="1"/>
  <c r="F20" i="1" s="1"/>
  <c r="F21" i="1" s="1"/>
  <c r="G13" i="1"/>
  <c r="I13" i="1"/>
  <c r="H13" i="1" s="1"/>
  <c r="H18" i="1" s="1"/>
  <c r="H20" i="1" s="1"/>
  <c r="H21" i="1" s="1"/>
  <c r="K13" i="1"/>
  <c r="J13" i="1" s="1"/>
  <c r="J18" i="1" s="1"/>
  <c r="J20" i="1" s="1"/>
  <c r="J21" i="1" s="1"/>
  <c r="M13" i="1"/>
  <c r="L13" i="1" s="1"/>
  <c r="L18" i="1" s="1"/>
  <c r="L20" i="1" s="1"/>
  <c r="L21" i="1" s="1"/>
  <c r="N13" i="1"/>
  <c r="O13" i="1"/>
  <c r="N18" i="1"/>
  <c r="N20" i="1" s="1"/>
  <c r="N21" i="1" s="1"/>
  <c r="R19" i="1"/>
  <c r="B25" i="1"/>
  <c r="B30" i="1" s="1"/>
  <c r="B32" i="1" s="1"/>
  <c r="B33" i="1" s="1"/>
  <c r="C25" i="1"/>
  <c r="E25" i="1"/>
  <c r="D25" i="1" s="1"/>
  <c r="D30" i="1" s="1"/>
  <c r="D32" i="1" s="1"/>
  <c r="D33" i="1" s="1"/>
  <c r="G25" i="1"/>
  <c r="F25" i="1" s="1"/>
  <c r="F30" i="1" s="1"/>
  <c r="F32" i="1" s="1"/>
  <c r="F33" i="1" s="1"/>
  <c r="H25" i="1"/>
  <c r="H30" i="1" s="1"/>
  <c r="H32" i="1" s="1"/>
  <c r="H33" i="1" s="1"/>
  <c r="I25" i="1"/>
  <c r="J25" i="1"/>
  <c r="K25" i="1"/>
  <c r="M25" i="1"/>
  <c r="L25" i="1" s="1"/>
  <c r="L30" i="1" s="1"/>
  <c r="L32" i="1" s="1"/>
  <c r="L33" i="1" s="1"/>
  <c r="O25" i="1"/>
  <c r="N25" i="1" s="1"/>
  <c r="N30" i="1" s="1"/>
  <c r="N32" i="1" s="1"/>
  <c r="N33" i="1" s="1"/>
  <c r="J30" i="1"/>
  <c r="R31" i="1"/>
  <c r="J32" i="1"/>
  <c r="J33" i="1" s="1"/>
  <c r="C37" i="1"/>
  <c r="B37" i="1" s="1"/>
  <c r="B42" i="1" s="1"/>
  <c r="B44" i="1" s="1"/>
  <c r="B45" i="1" s="1"/>
  <c r="D37" i="1"/>
  <c r="E37" i="1"/>
  <c r="F37" i="1"/>
  <c r="F42" i="1" s="1"/>
  <c r="F44" i="1" s="1"/>
  <c r="F45" i="1" s="1"/>
  <c r="G37" i="1"/>
  <c r="I37" i="1"/>
  <c r="H37" i="1" s="1"/>
  <c r="H42" i="1" s="1"/>
  <c r="H44" i="1" s="1"/>
  <c r="H45" i="1" s="1"/>
  <c r="K37" i="1"/>
  <c r="J37" i="1" s="1"/>
  <c r="J42" i="1" s="1"/>
  <c r="J44" i="1" s="1"/>
  <c r="J45" i="1" s="1"/>
  <c r="L37" i="1"/>
  <c r="L42" i="1" s="1"/>
  <c r="L44" i="1" s="1"/>
  <c r="L45" i="1" s="1"/>
  <c r="L47" i="1" s="1"/>
  <c r="M37" i="1"/>
  <c r="N37" i="1"/>
  <c r="N42" i="1" s="1"/>
  <c r="N44" i="1" s="1"/>
  <c r="N45" i="1" s="1"/>
  <c r="O37" i="1"/>
  <c r="D42" i="1"/>
  <c r="D44" i="1" s="1"/>
  <c r="D45" i="1" s="1"/>
  <c r="D47" i="1" s="1"/>
  <c r="R43" i="1"/>
  <c r="B55" i="1"/>
  <c r="B56" i="1" s="1"/>
  <c r="D55" i="1"/>
  <c r="F55" i="1"/>
  <c r="H55" i="1"/>
  <c r="H56" i="1" s="1"/>
  <c r="J55" i="1"/>
  <c r="L55" i="1"/>
  <c r="L56" i="1" s="1"/>
  <c r="L58" i="1" s="1"/>
  <c r="N55" i="1"/>
  <c r="D56" i="1"/>
  <c r="D58" i="1" s="1"/>
  <c r="J56" i="1"/>
  <c r="J58" i="1" s="1"/>
  <c r="N63" i="1"/>
  <c r="N64" i="1"/>
  <c r="N67" i="1" s="1"/>
  <c r="N65" i="1"/>
  <c r="J80" i="1"/>
  <c r="L80" i="1"/>
  <c r="N80" i="1"/>
  <c r="J47" i="1" l="1"/>
  <c r="H47" i="1"/>
  <c r="F47" i="1"/>
  <c r="N47" i="1"/>
  <c r="B47" i="1"/>
  <c r="P47" i="1" s="1"/>
  <c r="H58" i="1"/>
  <c r="F56" i="1"/>
  <c r="F58" i="1" s="1"/>
  <c r="B58" i="1"/>
  <c r="N56" i="1"/>
  <c r="N58" i="1" s="1"/>
  <c r="P58" i="1" s="1"/>
  <c r="P67" i="1" s="1"/>
  <c r="P72" i="1" s="1"/>
  <c r="P80" i="1" s="1"/>
  <c r="P83" i="1" s="1"/>
</calcChain>
</file>

<file path=xl/sharedStrings.xml><?xml version="1.0" encoding="utf-8"?>
<sst xmlns="http://schemas.openxmlformats.org/spreadsheetml/2006/main" count="68" uniqueCount="42">
  <si>
    <t>Source:</t>
  </si>
  <si>
    <t>IF Index</t>
  </si>
  <si>
    <t>Fuel - %</t>
  </si>
  <si>
    <t>FERC Tariff Sheets - FT transportation - Website</t>
  </si>
  <si>
    <t>Enron's invoices paid by PSE&amp;G for gas purchases</t>
  </si>
  <si>
    <t>Transport.</t>
  </si>
  <si>
    <t>ACA</t>
  </si>
  <si>
    <t xml:space="preserve">GRI </t>
  </si>
  <si>
    <t>GPS</t>
  </si>
  <si>
    <t>Total</t>
  </si>
  <si>
    <t>Contract Price:</t>
  </si>
  <si>
    <t>Billed by Enron</t>
  </si>
  <si>
    <t>Difference</t>
  </si>
  <si>
    <t>Amount Underbilled</t>
  </si>
  <si>
    <t>Sta. #45 - Dths / Day</t>
  </si>
  <si>
    <t>Sta. #30 - Dths / Day</t>
  </si>
  <si>
    <t>Sta. #65 - Dths / Day</t>
  </si>
  <si>
    <t>Possible Price</t>
  </si>
  <si>
    <t>Due 12/25/01</t>
  </si>
  <si>
    <t xml:space="preserve">NET </t>
  </si>
  <si>
    <t>AMOUNT</t>
  </si>
  <si>
    <t>Trade Tickets / Transaction Confirmations</t>
  </si>
  <si>
    <t>PRODUCTION MONTH:</t>
  </si>
  <si>
    <t>Term Deal - Purchase 10,000 Dths / Day (May 2001 - April 2002) Terminated 11/30/01</t>
  </si>
  <si>
    <t>Spot Market Purchases:</t>
  </si>
  <si>
    <t>Total Spot Purchases</t>
  </si>
  <si>
    <t>Total Term Purchase</t>
  </si>
  <si>
    <t>Spot Market Off System Sales:</t>
  </si>
  <si>
    <t>Transco - Destin (2,564 Dths / Day @ $2.77 11/7/01)</t>
  </si>
  <si>
    <t>Texas Eastern - PSE&amp;G City Gate (7,500 Dths / Day @ $2.82 11/13/01)</t>
  </si>
  <si>
    <t>Texas Eastern - STX Pool (5,500 Dths / Day @ $2.375 11/21/01)</t>
  </si>
  <si>
    <t>Transco - Zone 6 (Brooklyn Union)  (5,000 Dths / Day @ $2.50 11/22 - 26/01)</t>
  </si>
  <si>
    <t>FT / TSG Cash Out:</t>
  </si>
  <si>
    <t>Total Cash Out</t>
  </si>
  <si>
    <t>Capacity Released @ Max Rate:</t>
  </si>
  <si>
    <t>Transco Zone 1 - 6 (10,000 Dths)</t>
  </si>
  <si>
    <t>Pipeline Offset (Agency Auth.)</t>
  </si>
  <si>
    <t>Total Capacity Release</t>
  </si>
  <si>
    <t>TOTAL NET AMOUNT DUE ENRON</t>
  </si>
  <si>
    <t>September 2001</t>
  </si>
  <si>
    <t>October 2001</t>
  </si>
  <si>
    <t>November 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</si>
</sst>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&quot;$&quot;* #,##0.0000_);_(&quot;$&quot;* \(#,##0.0000\);_(&quot;$&quot;* &quot;-&quot;??_);_(@_)"/>
    <numFmt numFmtId="169" formatCode="_(* #,##0.0000_);_(* \(#,##0.0000\);_(* &quot;-&quot;??_);_(@_)"/>
    <numFmt numFmtId="170" formatCode="mmmm\-yy"/>
    <numFmt numFmtId="172" formatCode="_(* #,##0_);_(* \(#,##0\);_(* &quot;-&quot;??_);_(@_)"/>
  </numFmts>
  <fonts count="12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u/>
      <sz val="10"/>
      <name val="Arial"/>
      <family val="2"/>
    </font>
    <font>
      <u val="singleAccounting"/>
      <sz val="10"/>
      <name val="Arial"/>
      <family val="2"/>
    </font>
    <font>
      <sz val="10"/>
      <color indexed="48"/>
      <name val="Arial"/>
      <family val="2"/>
    </font>
    <font>
      <u val="singleAccounting"/>
      <sz val="10"/>
      <color indexed="48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b/>
      <u/>
      <sz val="10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9">
    <xf numFmtId="0" fontId="0" fillId="0" borderId="0" xfId="0"/>
    <xf numFmtId="0" fontId="2" fillId="0" borderId="0" xfId="0" applyFont="1"/>
    <xf numFmtId="166" fontId="0" fillId="0" borderId="0" xfId="2" applyNumberFormat="1" applyFont="1"/>
    <xf numFmtId="169" fontId="0" fillId="0" borderId="0" xfId="1" applyNumberFormat="1" applyFont="1"/>
    <xf numFmtId="170" fontId="2" fillId="0" borderId="0" xfId="2" applyNumberFormat="1" applyFont="1"/>
    <xf numFmtId="170" fontId="2" fillId="0" borderId="0" xfId="1" applyNumberFormat="1" applyFont="1"/>
    <xf numFmtId="0" fontId="3" fillId="0" borderId="0" xfId="0" applyFont="1"/>
    <xf numFmtId="166" fontId="4" fillId="0" borderId="0" xfId="2" applyNumberFormat="1" applyFont="1"/>
    <xf numFmtId="0" fontId="5" fillId="0" borderId="0" xfId="0" applyFont="1"/>
    <xf numFmtId="166" fontId="5" fillId="0" borderId="0" xfId="2" applyNumberFormat="1" applyFont="1"/>
    <xf numFmtId="169" fontId="5" fillId="0" borderId="0" xfId="1" applyNumberFormat="1" applyFont="1"/>
    <xf numFmtId="166" fontId="6" fillId="0" borderId="0" xfId="2" applyNumberFormat="1" applyFont="1"/>
    <xf numFmtId="172" fontId="0" fillId="0" borderId="0" xfId="1" applyNumberFormat="1" applyFont="1"/>
    <xf numFmtId="0" fontId="7" fillId="0" borderId="0" xfId="0" applyFont="1"/>
    <xf numFmtId="44" fontId="7" fillId="0" borderId="0" xfId="2" applyFont="1"/>
    <xf numFmtId="169" fontId="7" fillId="0" borderId="0" xfId="1" applyNumberFormat="1" applyFont="1"/>
    <xf numFmtId="44" fontId="0" fillId="0" borderId="1" xfId="2" applyFont="1" applyBorder="1"/>
    <xf numFmtId="169" fontId="0" fillId="0" borderId="1" xfId="1" applyNumberFormat="1" applyFont="1" applyBorder="1"/>
    <xf numFmtId="0" fontId="0" fillId="0" borderId="0" xfId="0" applyBorder="1"/>
    <xf numFmtId="166" fontId="8" fillId="0" borderId="0" xfId="2" applyNumberFormat="1" applyFont="1"/>
    <xf numFmtId="0" fontId="2" fillId="0" borderId="2" xfId="0" applyFont="1" applyBorder="1"/>
    <xf numFmtId="0" fontId="8" fillId="0" borderId="0" xfId="0" applyFont="1" applyAlignment="1">
      <alignment horizontal="left"/>
    </xf>
    <xf numFmtId="166" fontId="0" fillId="0" borderId="0" xfId="2" applyNumberFormat="1" applyFont="1" applyAlignment="1">
      <alignment horizontal="center"/>
    </xf>
    <xf numFmtId="44" fontId="0" fillId="0" borderId="0" xfId="2" applyFont="1"/>
    <xf numFmtId="44" fontId="8" fillId="0" borderId="3" xfId="0" applyNumberFormat="1" applyFont="1" applyBorder="1"/>
    <xf numFmtId="0" fontId="2" fillId="0" borderId="0" xfId="0" applyFont="1" applyBorder="1"/>
    <xf numFmtId="166" fontId="0" fillId="0" borderId="0" xfId="2" applyNumberFormat="1" applyFont="1" applyBorder="1"/>
    <xf numFmtId="169" fontId="0" fillId="0" borderId="0" xfId="1" applyNumberFormat="1" applyFont="1" applyBorder="1"/>
    <xf numFmtId="44" fontId="2" fillId="0" borderId="0" xfId="2" applyFont="1" applyBorder="1"/>
    <xf numFmtId="0" fontId="2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/>
    <xf numFmtId="44" fontId="4" fillId="0" borderId="0" xfId="2" applyFont="1"/>
    <xf numFmtId="44" fontId="0" fillId="0" borderId="0" xfId="0" applyNumberFormat="1"/>
    <xf numFmtId="0" fontId="11" fillId="0" borderId="0" xfId="0" applyFont="1" applyBorder="1"/>
    <xf numFmtId="0" fontId="11" fillId="0" borderId="0" xfId="0" applyFont="1"/>
    <xf numFmtId="0" fontId="0" fillId="0" borderId="0" xfId="0" applyFill="1" applyBorder="1"/>
    <xf numFmtId="44" fontId="0" fillId="0" borderId="0" xfId="2" applyFont="1" applyBorder="1"/>
    <xf numFmtId="166" fontId="10" fillId="0" borderId="0" xfId="2" applyNumberFormat="1" applyFont="1" applyBorder="1"/>
    <xf numFmtId="44" fontId="4" fillId="0" borderId="0" xfId="2" applyFont="1" applyBorder="1"/>
    <xf numFmtId="0" fontId="2" fillId="0" borderId="0" xfId="0" applyFont="1" applyFill="1" applyBorder="1"/>
    <xf numFmtId="44" fontId="0" fillId="0" borderId="0" xfId="0" applyNumberFormat="1" applyBorder="1"/>
    <xf numFmtId="44" fontId="2" fillId="0" borderId="4" xfId="0" applyNumberFormat="1" applyFont="1" applyBorder="1"/>
    <xf numFmtId="49" fontId="0" fillId="0" borderId="0" xfId="0" applyNumberFormat="1"/>
    <xf numFmtId="0" fontId="0" fillId="2" borderId="0" xfId="0" applyFill="1"/>
    <xf numFmtId="166" fontId="0" fillId="2" borderId="0" xfId="2" applyNumberFormat="1" applyFont="1" applyFill="1"/>
    <xf numFmtId="169" fontId="0" fillId="2" borderId="0" xfId="1" applyNumberFormat="1" applyFont="1" applyFill="1"/>
    <xf numFmtId="166" fontId="4" fillId="3" borderId="0" xfId="2" applyNumberFormat="1" applyFont="1" applyFill="1"/>
    <xf numFmtId="169" fontId="0" fillId="3" borderId="0" xfId="1" applyNumberFormat="1" applyFont="1" applyFill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3"/>
  <sheetViews>
    <sheetView tabSelected="1" workbookViewId="0">
      <pane ySplit="6" topLeftCell="A7" activePane="bottomLeft" state="frozen"/>
      <selection pane="bottomLeft" activeCell="A3" sqref="A3"/>
    </sheetView>
  </sheetViews>
  <sheetFormatPr defaultRowHeight="12.75" x14ac:dyDescent="0.2"/>
  <cols>
    <col min="1" max="1" width="28.42578125" customWidth="1"/>
    <col min="2" max="2" width="13.140625" style="2" customWidth="1"/>
    <col min="3" max="3" width="7.7109375" style="3" bestFit="1" customWidth="1"/>
    <col min="4" max="4" width="12.85546875" style="2" bestFit="1" customWidth="1"/>
    <col min="5" max="5" width="7.7109375" style="3" bestFit="1" customWidth="1"/>
    <col min="6" max="6" width="12.85546875" style="2" bestFit="1" customWidth="1"/>
    <col min="7" max="7" width="7.7109375" style="3" bestFit="1" customWidth="1"/>
    <col min="8" max="8" width="12.85546875" style="2" bestFit="1" customWidth="1"/>
    <col min="9" max="9" width="7.7109375" style="3" bestFit="1" customWidth="1"/>
    <col min="10" max="10" width="13.7109375" style="2" bestFit="1" customWidth="1"/>
    <col min="11" max="11" width="7.7109375" style="3" bestFit="1" customWidth="1"/>
    <col min="12" max="12" width="12.85546875" style="2" bestFit="1" customWidth="1"/>
    <col min="13" max="13" width="7.7109375" style="3" bestFit="1" customWidth="1"/>
    <col min="14" max="14" width="13.85546875" style="2" customWidth="1"/>
    <col min="15" max="15" width="9.5703125" style="3" bestFit="1" customWidth="1"/>
    <col min="16" max="16" width="16" bestFit="1" customWidth="1"/>
    <col min="17" max="17" width="4.85546875" customWidth="1"/>
    <col min="20" max="20" width="5.7109375" customWidth="1"/>
  </cols>
  <sheetData>
    <row r="1" spans="1:16" x14ac:dyDescent="0.2">
      <c r="A1" t="s">
        <v>0</v>
      </c>
      <c r="B1" s="2" t="s">
        <v>21</v>
      </c>
    </row>
    <row r="2" spans="1:16" x14ac:dyDescent="0.2">
      <c r="B2" s="2" t="s">
        <v>3</v>
      </c>
    </row>
    <row r="3" spans="1:16" x14ac:dyDescent="0.2">
      <c r="B3" s="9" t="s">
        <v>4</v>
      </c>
    </row>
    <row r="4" spans="1:16" x14ac:dyDescent="0.2">
      <c r="B4" s="9"/>
    </row>
    <row r="5" spans="1:16" x14ac:dyDescent="0.2">
      <c r="A5" s="1"/>
      <c r="N5" s="22" t="s">
        <v>18</v>
      </c>
      <c r="P5" s="29" t="s">
        <v>19</v>
      </c>
    </row>
    <row r="6" spans="1:16" x14ac:dyDescent="0.2">
      <c r="A6" s="1" t="s">
        <v>22</v>
      </c>
      <c r="B6" s="4">
        <v>37012</v>
      </c>
      <c r="C6" s="5"/>
      <c r="D6" s="4">
        <v>37043</v>
      </c>
      <c r="E6" s="5"/>
      <c r="F6" s="4">
        <v>37073</v>
      </c>
      <c r="G6" s="5"/>
      <c r="H6" s="4">
        <v>37104</v>
      </c>
      <c r="I6" s="5"/>
      <c r="J6" s="4">
        <v>37135</v>
      </c>
      <c r="K6" s="5"/>
      <c r="L6" s="4">
        <v>37165</v>
      </c>
      <c r="M6" s="5"/>
      <c r="N6" s="4">
        <v>37196</v>
      </c>
      <c r="P6" s="30" t="s">
        <v>20</v>
      </c>
    </row>
    <row r="8" spans="1:16" x14ac:dyDescent="0.2">
      <c r="A8" s="31" t="s">
        <v>23</v>
      </c>
    </row>
    <row r="10" spans="1:16" x14ac:dyDescent="0.2">
      <c r="A10" s="6" t="s">
        <v>10</v>
      </c>
    </row>
    <row r="11" spans="1:16" x14ac:dyDescent="0.2">
      <c r="A11" s="21" t="s">
        <v>15</v>
      </c>
      <c r="B11" s="12">
        <v>1700</v>
      </c>
      <c r="D11" s="12">
        <v>1700</v>
      </c>
      <c r="F11" s="12">
        <v>1700</v>
      </c>
      <c r="H11" s="12">
        <v>1700</v>
      </c>
      <c r="J11" s="12">
        <v>1700</v>
      </c>
      <c r="L11" s="12">
        <v>1700</v>
      </c>
      <c r="N11" s="12">
        <v>1700</v>
      </c>
    </row>
    <row r="12" spans="1:16" x14ac:dyDescent="0.2">
      <c r="A12" t="s">
        <v>1</v>
      </c>
      <c r="B12" s="2">
        <v>4.79</v>
      </c>
      <c r="D12" s="2">
        <v>3.64</v>
      </c>
      <c r="F12" s="2">
        <v>3.09</v>
      </c>
      <c r="H12" s="2">
        <v>3.1</v>
      </c>
      <c r="J12" s="2">
        <v>2.21</v>
      </c>
      <c r="L12" s="2">
        <v>1.76</v>
      </c>
      <c r="N12" s="2">
        <v>3.11</v>
      </c>
    </row>
    <row r="13" spans="1:16" x14ac:dyDescent="0.2">
      <c r="A13" s="44" t="s">
        <v>2</v>
      </c>
      <c r="B13" s="45">
        <f>(B12/C13-B12)</f>
        <v>0.27288975795370529</v>
      </c>
      <c r="C13" s="46">
        <f>1-0.0539</f>
        <v>0.94609999999999994</v>
      </c>
      <c r="D13" s="45">
        <f>(D12/E13-D12)</f>
        <v>0.2073734277560515</v>
      </c>
      <c r="E13" s="46">
        <f>1-0.0539</f>
        <v>0.94609999999999994</v>
      </c>
      <c r="F13" s="45">
        <f>(F12/G13-F12)</f>
        <v>0.17603953070499978</v>
      </c>
      <c r="G13" s="46">
        <f>1-0.0539</f>
        <v>0.94609999999999994</v>
      </c>
      <c r="H13" s="45">
        <f>(H12/I13-H12)</f>
        <v>0.17660923792410976</v>
      </c>
      <c r="I13" s="46">
        <f>1-0.0539</f>
        <v>0.94609999999999994</v>
      </c>
      <c r="J13" s="45">
        <f>(J12/K13-J12)</f>
        <v>0.12590529542331685</v>
      </c>
      <c r="K13" s="46">
        <f>1-0.0539</f>
        <v>0.94609999999999994</v>
      </c>
      <c r="L13" s="45">
        <f>(L12/M13-L12)</f>
        <v>0.10026847056336541</v>
      </c>
      <c r="M13" s="46">
        <f>1-0.0539</f>
        <v>0.94609999999999994</v>
      </c>
      <c r="N13" s="45">
        <f>(N12/O13-N12)</f>
        <v>0.17717894514321975</v>
      </c>
      <c r="O13" s="46">
        <f>1-0.0539</f>
        <v>0.94609999999999994</v>
      </c>
    </row>
    <row r="14" spans="1:16" x14ac:dyDescent="0.2">
      <c r="A14" t="s">
        <v>5</v>
      </c>
      <c r="B14" s="2">
        <v>3.9199999999999999E-2</v>
      </c>
      <c r="D14" s="2">
        <v>3.9199999999999999E-2</v>
      </c>
      <c r="F14" s="2">
        <v>3.9199999999999999E-2</v>
      </c>
      <c r="H14" s="2">
        <v>3.9199999999999999E-2</v>
      </c>
      <c r="J14" s="2">
        <v>3.5099999999999999E-2</v>
      </c>
      <c r="L14" s="2">
        <v>3.5099999999999999E-2</v>
      </c>
      <c r="N14" s="2">
        <v>3.5099999999999999E-2</v>
      </c>
    </row>
    <row r="15" spans="1:16" x14ac:dyDescent="0.2">
      <c r="A15" t="s">
        <v>6</v>
      </c>
      <c r="B15" s="2">
        <v>2.2000000000000001E-3</v>
      </c>
      <c r="D15" s="2">
        <v>2.2000000000000001E-3</v>
      </c>
      <c r="F15" s="2">
        <v>2.2000000000000001E-3</v>
      </c>
      <c r="H15" s="2">
        <v>2.2000000000000001E-3</v>
      </c>
      <c r="J15" s="2">
        <v>2.2000000000000001E-3</v>
      </c>
      <c r="L15" s="2">
        <v>2.0999999999999999E-3</v>
      </c>
      <c r="N15" s="2">
        <v>2.0999999999999999E-3</v>
      </c>
    </row>
    <row r="16" spans="1:16" x14ac:dyDescent="0.2">
      <c r="A16" t="s">
        <v>7</v>
      </c>
      <c r="B16" s="2">
        <v>7.0000000000000001E-3</v>
      </c>
      <c r="D16" s="2">
        <v>7.0000000000000001E-3</v>
      </c>
      <c r="F16" s="2">
        <v>7.0000000000000001E-3</v>
      </c>
      <c r="H16" s="2">
        <v>7.0000000000000001E-3</v>
      </c>
      <c r="J16" s="2">
        <v>7.0000000000000001E-3</v>
      </c>
      <c r="L16" s="2">
        <v>7.0000000000000001E-3</v>
      </c>
      <c r="N16" s="2">
        <v>7.0000000000000001E-3</v>
      </c>
    </row>
    <row r="17" spans="1:19" ht="15" x14ac:dyDescent="0.35">
      <c r="A17" t="s">
        <v>8</v>
      </c>
      <c r="B17" s="7">
        <v>9.7000000000000003E-3</v>
      </c>
      <c r="D17" s="7">
        <v>9.7000000000000003E-3</v>
      </c>
      <c r="F17" s="7">
        <v>9.7000000000000003E-3</v>
      </c>
      <c r="H17" s="47">
        <v>1.5800000000000002E-2</v>
      </c>
      <c r="I17" s="48"/>
      <c r="J17" s="47">
        <v>1.5800000000000002E-2</v>
      </c>
      <c r="K17" s="48"/>
      <c r="L17" s="47">
        <v>1.5800000000000002E-2</v>
      </c>
      <c r="M17" s="48"/>
      <c r="N17" s="47">
        <v>1.5800000000000002E-2</v>
      </c>
    </row>
    <row r="18" spans="1:19" x14ac:dyDescent="0.2">
      <c r="A18" t="s">
        <v>9</v>
      </c>
      <c r="B18" s="2">
        <f>SUM(B12:B17)</f>
        <v>5.1209897579537049</v>
      </c>
      <c r="D18" s="2">
        <f>SUM(D12:D17)</f>
        <v>3.9054734277560521</v>
      </c>
      <c r="F18" s="2">
        <f>SUM(F12:F17)</f>
        <v>3.3241395307050001</v>
      </c>
      <c r="H18" s="2">
        <f>SUM(H12:H17)</f>
        <v>3.3408092379241103</v>
      </c>
      <c r="J18" s="2">
        <f>SUM(J12:J17)</f>
        <v>2.3960052954233171</v>
      </c>
      <c r="L18" s="2">
        <f>SUM(L12:L17)</f>
        <v>1.9202684705633652</v>
      </c>
      <c r="N18" s="2">
        <f>SUM(N12:N17)</f>
        <v>3.3471789451432197</v>
      </c>
    </row>
    <row r="19" spans="1:19" s="8" customFormat="1" ht="15" x14ac:dyDescent="0.35">
      <c r="A19" s="8" t="s">
        <v>11</v>
      </c>
      <c r="B19" s="11">
        <v>4.8480999999999996</v>
      </c>
      <c r="C19" s="10"/>
      <c r="D19" s="11">
        <v>3.6981000000000002</v>
      </c>
      <c r="E19" s="10"/>
      <c r="F19" s="11">
        <v>3.1480999999999999</v>
      </c>
      <c r="G19" s="10"/>
      <c r="H19" s="11">
        <v>3.1581000000000001</v>
      </c>
      <c r="I19" s="10"/>
      <c r="J19" s="11">
        <v>2.2681</v>
      </c>
      <c r="K19" s="10"/>
      <c r="L19" s="11">
        <v>1.8181</v>
      </c>
      <c r="M19" s="10"/>
      <c r="N19" s="11">
        <v>0</v>
      </c>
      <c r="R19" s="10">
        <f>SUM(F14:F17)+N12</f>
        <v>3.1680999999999999</v>
      </c>
      <c r="S19" s="8" t="s">
        <v>17</v>
      </c>
    </row>
    <row r="20" spans="1:19" x14ac:dyDescent="0.2">
      <c r="A20" t="s">
        <v>12</v>
      </c>
      <c r="B20" s="2">
        <f>+B18-B19</f>
        <v>0.27288975795370529</v>
      </c>
      <c r="D20" s="2">
        <f>+D18-D19</f>
        <v>0.20737342775605194</v>
      </c>
      <c r="F20" s="2">
        <f>+F18-F19</f>
        <v>0.17603953070500022</v>
      </c>
      <c r="H20" s="2">
        <f>+H18-H19</f>
        <v>0.1827092379241102</v>
      </c>
      <c r="J20" s="2">
        <f>+J18-J19</f>
        <v>0.12790529542331708</v>
      </c>
      <c r="L20" s="2">
        <f>+L18-L19</f>
        <v>0.1021684705633652</v>
      </c>
      <c r="N20" s="2">
        <f>+N18-N19</f>
        <v>3.3471789451432197</v>
      </c>
    </row>
    <row r="21" spans="1:19" s="13" customFormat="1" x14ac:dyDescent="0.2">
      <c r="A21" s="13" t="s">
        <v>13</v>
      </c>
      <c r="B21" s="14">
        <f>(B11*31)*B20</f>
        <v>14381.290244160269</v>
      </c>
      <c r="C21" s="15"/>
      <c r="D21" s="14">
        <f>(D11*30)*D20</f>
        <v>10576.044815558649</v>
      </c>
      <c r="E21" s="15"/>
      <c r="F21" s="14">
        <f>(F11*31)*F20</f>
        <v>9277.283268153511</v>
      </c>
      <c r="G21" s="15"/>
      <c r="H21" s="14">
        <f>(H11*31)*H20</f>
        <v>9628.7768386006082</v>
      </c>
      <c r="I21" s="15"/>
      <c r="J21" s="14">
        <f>(J11*30)*J20</f>
        <v>6523.1700665891713</v>
      </c>
      <c r="K21" s="15"/>
      <c r="L21" s="14">
        <f>(L11*31)*L20</f>
        <v>5384.2783986893464</v>
      </c>
      <c r="M21" s="15"/>
      <c r="N21" s="14">
        <f>(N11*30)*N20</f>
        <v>170706.12620230421</v>
      </c>
      <c r="O21" s="15"/>
    </row>
    <row r="23" spans="1:19" x14ac:dyDescent="0.2">
      <c r="A23" s="21" t="s">
        <v>14</v>
      </c>
      <c r="B23" s="12">
        <v>2500</v>
      </c>
      <c r="D23" s="12">
        <v>2500</v>
      </c>
      <c r="F23" s="12">
        <v>2500</v>
      </c>
      <c r="H23" s="12">
        <v>2500</v>
      </c>
      <c r="J23" s="12">
        <v>2500</v>
      </c>
      <c r="L23" s="12">
        <v>2500</v>
      </c>
      <c r="N23" s="12">
        <v>2500</v>
      </c>
    </row>
    <row r="24" spans="1:19" x14ac:dyDescent="0.2">
      <c r="A24" t="s">
        <v>1</v>
      </c>
      <c r="B24" s="2">
        <v>4.83</v>
      </c>
      <c r="D24" s="2">
        <v>3.68</v>
      </c>
      <c r="F24" s="2">
        <v>3.12</v>
      </c>
      <c r="H24" s="2">
        <v>3.13</v>
      </c>
      <c r="J24" s="2">
        <v>2.25</v>
      </c>
      <c r="L24" s="2">
        <v>1.78</v>
      </c>
      <c r="N24" s="2">
        <v>3.14</v>
      </c>
    </row>
    <row r="25" spans="1:19" x14ac:dyDescent="0.2">
      <c r="A25" s="44" t="s">
        <v>2</v>
      </c>
      <c r="B25" s="45">
        <f>(B24/C25-B24)</f>
        <v>0.25635214827295716</v>
      </c>
      <c r="C25" s="46">
        <f>1-0.0504</f>
        <v>0.9496</v>
      </c>
      <c r="D25" s="45">
        <f>(D24/E25-D24)</f>
        <v>0.19531592249368135</v>
      </c>
      <c r="E25" s="46">
        <f>1-0.0504</f>
        <v>0.9496</v>
      </c>
      <c r="F25" s="45">
        <f>(F24/G25-F24)</f>
        <v>0.16559393428812141</v>
      </c>
      <c r="G25" s="46">
        <f>1-0.0504</f>
        <v>0.9496</v>
      </c>
      <c r="H25" s="45">
        <f>(H24/I25-H24)</f>
        <v>0.16612468407750614</v>
      </c>
      <c r="I25" s="46">
        <f>1-0.0504</f>
        <v>0.9496</v>
      </c>
      <c r="J25" s="45">
        <f>(J24/K25-J24)</f>
        <v>0.11941870261162579</v>
      </c>
      <c r="K25" s="46">
        <f>1-0.0504</f>
        <v>0.9496</v>
      </c>
      <c r="L25" s="45">
        <f>(L24/M25-L24)</f>
        <v>9.4473462510530792E-2</v>
      </c>
      <c r="M25" s="46">
        <f>1-0.0504</f>
        <v>0.9496</v>
      </c>
      <c r="N25" s="45">
        <f>(N24/O25-N24)</f>
        <v>0.1666554338668913</v>
      </c>
      <c r="O25" s="46">
        <f>1-0.0504</f>
        <v>0.9496</v>
      </c>
    </row>
    <row r="26" spans="1:19" x14ac:dyDescent="0.2">
      <c r="A26" t="s">
        <v>5</v>
      </c>
      <c r="B26" s="2">
        <v>3.6700000000000003E-2</v>
      </c>
      <c r="D26" s="2">
        <v>3.6700000000000003E-2</v>
      </c>
      <c r="F26" s="2">
        <v>3.6700000000000003E-2</v>
      </c>
      <c r="H26" s="2">
        <v>3.6700000000000003E-2</v>
      </c>
      <c r="J26" s="2">
        <v>3.2899999999999999E-2</v>
      </c>
      <c r="L26" s="2">
        <v>3.2899999999999999E-2</v>
      </c>
      <c r="N26" s="2">
        <v>3.2899999999999999E-2</v>
      </c>
    </row>
    <row r="27" spans="1:19" x14ac:dyDescent="0.2">
      <c r="A27" t="s">
        <v>6</v>
      </c>
      <c r="B27" s="2">
        <v>2.2000000000000001E-3</v>
      </c>
      <c r="D27" s="2">
        <v>2.2000000000000001E-3</v>
      </c>
      <c r="F27" s="2">
        <v>2.2000000000000001E-3</v>
      </c>
      <c r="H27" s="2">
        <v>2.2000000000000001E-3</v>
      </c>
      <c r="J27" s="2">
        <v>2.2000000000000001E-3</v>
      </c>
      <c r="L27" s="2">
        <v>2.0999999999999999E-3</v>
      </c>
      <c r="N27" s="2">
        <v>2.0999999999999999E-3</v>
      </c>
    </row>
    <row r="28" spans="1:19" x14ac:dyDescent="0.2">
      <c r="A28" t="s">
        <v>7</v>
      </c>
      <c r="B28" s="2">
        <v>7.0000000000000001E-3</v>
      </c>
      <c r="D28" s="2">
        <v>7.0000000000000001E-3</v>
      </c>
      <c r="F28" s="2">
        <v>7.0000000000000001E-3</v>
      </c>
      <c r="H28" s="2">
        <v>7.0000000000000001E-3</v>
      </c>
      <c r="J28" s="2">
        <v>7.0000000000000001E-3</v>
      </c>
      <c r="L28" s="2">
        <v>7.0000000000000001E-3</v>
      </c>
      <c r="N28" s="2">
        <v>7.0000000000000001E-3</v>
      </c>
    </row>
    <row r="29" spans="1:19" ht="15" x14ac:dyDescent="0.35">
      <c r="A29" t="s">
        <v>8</v>
      </c>
      <c r="B29" s="7">
        <v>9.7000000000000003E-3</v>
      </c>
      <c r="D29" s="7">
        <v>9.7000000000000003E-3</v>
      </c>
      <c r="F29" s="7">
        <v>9.7000000000000003E-3</v>
      </c>
      <c r="H29" s="47">
        <v>1.5800000000000002E-2</v>
      </c>
      <c r="I29" s="48"/>
      <c r="J29" s="47">
        <v>1.5800000000000002E-2</v>
      </c>
      <c r="K29" s="48"/>
      <c r="L29" s="47">
        <v>1.5800000000000002E-2</v>
      </c>
      <c r="M29" s="48"/>
      <c r="N29" s="47">
        <v>1.5800000000000002E-2</v>
      </c>
    </row>
    <row r="30" spans="1:19" x14ac:dyDescent="0.2">
      <c r="A30" t="s">
        <v>9</v>
      </c>
      <c r="B30" s="2">
        <f>SUM(B24:B29)</f>
        <v>5.1419521482729564</v>
      </c>
      <c r="D30" s="2">
        <f>SUM(D24:D29)</f>
        <v>3.930915922493682</v>
      </c>
      <c r="F30" s="2">
        <f>SUM(F24:F29)</f>
        <v>3.3411939342881221</v>
      </c>
      <c r="H30" s="19">
        <f>SUM(H24:H29)</f>
        <v>3.3578246840775066</v>
      </c>
      <c r="J30" s="2">
        <f>SUM(J24:J29)</f>
        <v>2.4273187026116263</v>
      </c>
      <c r="L30" s="2">
        <f>SUM(L24:L29)</f>
        <v>1.9322734625105307</v>
      </c>
      <c r="N30" s="2">
        <f>SUM(N24:N29)</f>
        <v>3.3644554338668917</v>
      </c>
    </row>
    <row r="31" spans="1:19" s="8" customFormat="1" ht="15" x14ac:dyDescent="0.35">
      <c r="A31" s="8" t="s">
        <v>11</v>
      </c>
      <c r="B31" s="11">
        <v>4.8856000000000002</v>
      </c>
      <c r="C31" s="10"/>
      <c r="D31" s="11">
        <v>3.7355999999999998</v>
      </c>
      <c r="E31" s="10"/>
      <c r="F31" s="11">
        <v>3.1756000000000002</v>
      </c>
      <c r="G31" s="10"/>
      <c r="H31" s="11">
        <v>3.1856</v>
      </c>
      <c r="I31" s="10"/>
      <c r="J31" s="11">
        <v>2.3056000000000001</v>
      </c>
      <c r="K31" s="10"/>
      <c r="L31" s="11">
        <v>1.8355999999999999</v>
      </c>
      <c r="M31" s="10"/>
      <c r="N31" s="11">
        <v>0</v>
      </c>
      <c r="R31" s="10">
        <f>SUM(F26:F29)+N24</f>
        <v>3.1956000000000002</v>
      </c>
      <c r="S31" s="8" t="s">
        <v>17</v>
      </c>
    </row>
    <row r="32" spans="1:19" x14ac:dyDescent="0.2">
      <c r="A32" t="s">
        <v>12</v>
      </c>
      <c r="B32" s="2">
        <f>+B30-B31</f>
        <v>0.25635214827295627</v>
      </c>
      <c r="D32" s="2">
        <f>+D30-D31</f>
        <v>0.19531592249368224</v>
      </c>
      <c r="F32" s="2">
        <f>+F30-F31</f>
        <v>0.16559393428812186</v>
      </c>
      <c r="H32" s="2">
        <f>+H30-H31</f>
        <v>0.17222468407750657</v>
      </c>
      <c r="J32" s="2">
        <f>+J30-J31</f>
        <v>0.12171870261162621</v>
      </c>
      <c r="L32" s="2">
        <f>+L30-L31</f>
        <v>9.6673462510530772E-2</v>
      </c>
      <c r="N32" s="2">
        <f>+N30-N31</f>
        <v>3.3644554338668917</v>
      </c>
    </row>
    <row r="33" spans="1:19" s="13" customFormat="1" x14ac:dyDescent="0.2">
      <c r="A33" s="13" t="s">
        <v>13</v>
      </c>
      <c r="B33" s="14">
        <f>(B23*31)*B32</f>
        <v>19867.291491154112</v>
      </c>
      <c r="C33" s="15"/>
      <c r="D33" s="14">
        <f>(D23*30)*D32</f>
        <v>14648.694187026167</v>
      </c>
      <c r="E33" s="15"/>
      <c r="F33" s="14">
        <f>(F23*31)*F32</f>
        <v>12833.529907329445</v>
      </c>
      <c r="G33" s="15"/>
      <c r="H33" s="14">
        <f>(H23*31)*H32</f>
        <v>13347.41301600676</v>
      </c>
      <c r="I33" s="15"/>
      <c r="J33" s="14">
        <f>(J23*30)*J32</f>
        <v>9128.902695871966</v>
      </c>
      <c r="K33" s="15"/>
      <c r="L33" s="14">
        <f>(L23*31)*L32</f>
        <v>7492.1933445661352</v>
      </c>
      <c r="M33" s="15"/>
      <c r="N33" s="14">
        <f>(N23*30)*N32</f>
        <v>252334.15754001687</v>
      </c>
      <c r="O33" s="15"/>
    </row>
    <row r="35" spans="1:19" x14ac:dyDescent="0.2">
      <c r="A35" s="21" t="s">
        <v>16</v>
      </c>
      <c r="B35" s="12">
        <v>5800</v>
      </c>
      <c r="D35" s="12">
        <v>5800</v>
      </c>
      <c r="F35" s="12">
        <v>5800</v>
      </c>
      <c r="H35" s="12">
        <v>5800</v>
      </c>
      <c r="J35" s="12">
        <v>5800</v>
      </c>
      <c r="L35" s="12">
        <v>5800</v>
      </c>
      <c r="N35" s="12">
        <v>5800</v>
      </c>
    </row>
    <row r="36" spans="1:19" x14ac:dyDescent="0.2">
      <c r="A36" t="s">
        <v>1</v>
      </c>
      <c r="B36" s="2">
        <v>4.88</v>
      </c>
      <c r="D36" s="2">
        <v>3.74</v>
      </c>
      <c r="F36" s="2">
        <v>3.19</v>
      </c>
      <c r="H36" s="2">
        <v>3.19</v>
      </c>
      <c r="J36" s="2">
        <v>2.33</v>
      </c>
      <c r="L36" s="2">
        <v>1.86</v>
      </c>
      <c r="N36" s="2">
        <v>3.18</v>
      </c>
    </row>
    <row r="37" spans="1:19" x14ac:dyDescent="0.2">
      <c r="A37" s="44" t="s">
        <v>2</v>
      </c>
      <c r="B37" s="45">
        <f>(B36/C37-B36)</f>
        <v>0.23637659886768692</v>
      </c>
      <c r="C37" s="46">
        <f>1-0.0462</f>
        <v>0.95379999999999998</v>
      </c>
      <c r="D37" s="45">
        <f>(D36/E37-D36)</f>
        <v>0.18115747536171112</v>
      </c>
      <c r="E37" s="46">
        <f>1-0.0462</f>
        <v>0.95379999999999998</v>
      </c>
      <c r="F37" s="45">
        <f>(F36/G37-F36)</f>
        <v>0.15451667016145931</v>
      </c>
      <c r="G37" s="46">
        <f>1-0.0462</f>
        <v>0.95379999999999998</v>
      </c>
      <c r="H37" s="45">
        <f>(H36/I37-H36)</f>
        <v>0.15451667016145931</v>
      </c>
      <c r="I37" s="46">
        <f>1-0.0462</f>
        <v>0.95379999999999998</v>
      </c>
      <c r="J37" s="45">
        <f>(J36/K37-J36)</f>
        <v>0.11286013839379327</v>
      </c>
      <c r="K37" s="46">
        <f>1-0.0462</f>
        <v>0.95379999999999998</v>
      </c>
      <c r="L37" s="45">
        <f>(L36/M37-L36)</f>
        <v>9.0094359404487401E-2</v>
      </c>
      <c r="M37" s="46">
        <f>1-0.0462</f>
        <v>0.95379999999999998</v>
      </c>
      <c r="N37" s="45">
        <f>(N36/O37-N36)</f>
        <v>0.15403229188509115</v>
      </c>
      <c r="O37" s="46">
        <f>1-0.0462</f>
        <v>0.95379999999999998</v>
      </c>
    </row>
    <row r="38" spans="1:19" x14ac:dyDescent="0.2">
      <c r="A38" t="s">
        <v>5</v>
      </c>
      <c r="B38" s="2">
        <v>3.3599999999999998E-2</v>
      </c>
      <c r="D38" s="2">
        <v>3.3599999999999998E-2</v>
      </c>
      <c r="F38" s="2">
        <v>3.3599999999999998E-2</v>
      </c>
      <c r="H38" s="2">
        <v>3.3599999999999998E-2</v>
      </c>
      <c r="J38" s="2">
        <v>3.0300000000000001E-2</v>
      </c>
      <c r="L38" s="2">
        <v>3.0300000000000001E-2</v>
      </c>
      <c r="N38" s="2">
        <v>3.0300000000000001E-2</v>
      </c>
    </row>
    <row r="39" spans="1:19" x14ac:dyDescent="0.2">
      <c r="A39" t="s">
        <v>6</v>
      </c>
      <c r="B39" s="2">
        <v>2.2000000000000001E-3</v>
      </c>
      <c r="D39" s="2">
        <v>2.2000000000000001E-3</v>
      </c>
      <c r="F39" s="2">
        <v>2.2000000000000001E-3</v>
      </c>
      <c r="H39" s="2">
        <v>2.2000000000000001E-3</v>
      </c>
      <c r="J39" s="2">
        <v>2.2000000000000001E-3</v>
      </c>
      <c r="L39" s="2">
        <v>2.0999999999999999E-3</v>
      </c>
      <c r="N39" s="2">
        <v>2.0999999999999999E-3</v>
      </c>
    </row>
    <row r="40" spans="1:19" x14ac:dyDescent="0.2">
      <c r="A40" t="s">
        <v>7</v>
      </c>
      <c r="B40" s="2">
        <v>7.0000000000000001E-3</v>
      </c>
      <c r="D40" s="2">
        <v>7.0000000000000001E-3</v>
      </c>
      <c r="F40" s="2">
        <v>7.0000000000000001E-3</v>
      </c>
      <c r="H40" s="2">
        <v>7.0000000000000001E-3</v>
      </c>
      <c r="J40" s="2">
        <v>7.0000000000000001E-3</v>
      </c>
      <c r="L40" s="2">
        <v>7.0000000000000001E-3</v>
      </c>
      <c r="N40" s="2">
        <v>7.0000000000000001E-3</v>
      </c>
    </row>
    <row r="41" spans="1:19" ht="15" x14ac:dyDescent="0.35">
      <c r="A41" t="s">
        <v>8</v>
      </c>
      <c r="B41" s="7">
        <v>9.7000000000000003E-3</v>
      </c>
      <c r="D41" s="7">
        <v>9.7000000000000003E-3</v>
      </c>
      <c r="F41" s="7">
        <v>9.7000000000000003E-3</v>
      </c>
      <c r="H41" s="47">
        <v>1.5800000000000002E-2</v>
      </c>
      <c r="I41" s="48"/>
      <c r="J41" s="47">
        <v>1.5800000000000002E-2</v>
      </c>
      <c r="K41" s="48"/>
      <c r="L41" s="47">
        <v>1.5800000000000002E-2</v>
      </c>
      <c r="M41" s="48"/>
      <c r="N41" s="47">
        <v>1.5800000000000002E-2</v>
      </c>
    </row>
    <row r="42" spans="1:19" x14ac:dyDescent="0.2">
      <c r="A42" t="s">
        <v>9</v>
      </c>
      <c r="B42" s="2">
        <f>SUM(B36:B41)</f>
        <v>5.1688765988676861</v>
      </c>
      <c r="D42" s="2">
        <f>SUM(D36:D41)</f>
        <v>3.9736574753617115</v>
      </c>
      <c r="F42" s="2">
        <f>SUM(F36:F41)</f>
        <v>3.3970166701614595</v>
      </c>
      <c r="H42" s="2">
        <f>SUM(H36:H41)</f>
        <v>3.4031166701614595</v>
      </c>
      <c r="J42" s="2">
        <f>SUM(J36:J41)</f>
        <v>2.4981601383937937</v>
      </c>
      <c r="L42" s="2">
        <f>SUM(L36:L41)</f>
        <v>2.0052943594044872</v>
      </c>
      <c r="N42" s="2">
        <f>SUM(N36:N41)</f>
        <v>3.3892322918850915</v>
      </c>
    </row>
    <row r="43" spans="1:19" s="8" customFormat="1" ht="15" x14ac:dyDescent="0.35">
      <c r="A43" s="8" t="s">
        <v>11</v>
      </c>
      <c r="B43" s="11">
        <v>4.9325000000000001</v>
      </c>
      <c r="C43" s="10"/>
      <c r="D43" s="11">
        <v>3.7925</v>
      </c>
      <c r="E43" s="10"/>
      <c r="F43" s="11">
        <v>3.2425000000000002</v>
      </c>
      <c r="G43" s="10"/>
      <c r="H43" s="11">
        <v>3.2425000000000002</v>
      </c>
      <c r="I43" s="10"/>
      <c r="J43" s="11">
        <v>2.3824999999999998</v>
      </c>
      <c r="K43" s="10"/>
      <c r="L43" s="11">
        <v>1.9125000000000001</v>
      </c>
      <c r="M43" s="10"/>
      <c r="N43" s="11">
        <v>0</v>
      </c>
      <c r="R43" s="10">
        <f>SUM(F38:F41)+N36</f>
        <v>3.2325000000000004</v>
      </c>
      <c r="S43" s="8" t="s">
        <v>17</v>
      </c>
    </row>
    <row r="44" spans="1:19" x14ac:dyDescent="0.2">
      <c r="A44" t="s">
        <v>12</v>
      </c>
      <c r="B44" s="2">
        <f>+B42-B43</f>
        <v>0.23637659886768603</v>
      </c>
      <c r="D44" s="2">
        <f>+D42-D43</f>
        <v>0.18115747536171156</v>
      </c>
      <c r="F44" s="2">
        <f>+F42-F43</f>
        <v>0.15451667016145931</v>
      </c>
      <c r="H44" s="2">
        <f>+H42-H43</f>
        <v>0.16061667016145931</v>
      </c>
      <c r="J44" s="2">
        <f>+J42-J43</f>
        <v>0.11566013839379385</v>
      </c>
      <c r="L44" s="2">
        <f>+L42-L43</f>
        <v>9.2794359404487103E-2</v>
      </c>
      <c r="N44" s="2">
        <f>+N42-N43</f>
        <v>3.3892322918850915</v>
      </c>
    </row>
    <row r="45" spans="1:19" s="13" customFormat="1" x14ac:dyDescent="0.2">
      <c r="A45" s="13" t="s">
        <v>13</v>
      </c>
      <c r="B45" s="14">
        <f>(B35*31)*B44</f>
        <v>42500.512476409946</v>
      </c>
      <c r="C45" s="15"/>
      <c r="D45" s="14">
        <f>(D35*30)*D44</f>
        <v>31521.400712937811</v>
      </c>
      <c r="E45" s="15"/>
      <c r="F45" s="14">
        <f>(F35*31)*F44</f>
        <v>27782.097295030384</v>
      </c>
      <c r="G45" s="15"/>
      <c r="H45" s="14">
        <f>(H35*31)*H44</f>
        <v>28878.877295030383</v>
      </c>
      <c r="I45" s="15"/>
      <c r="J45" s="14">
        <f>(J35*30)*J44</f>
        <v>20124.864080520132</v>
      </c>
      <c r="K45" s="15"/>
      <c r="L45" s="14">
        <f>(L35*31)*L44</f>
        <v>16684.425820926783</v>
      </c>
      <c r="M45" s="15"/>
      <c r="N45" s="14">
        <f>(N35*30)*N44</f>
        <v>589726.41878800595</v>
      </c>
      <c r="O45" s="15"/>
    </row>
    <row r="46" spans="1:19" ht="13.5" thickBot="1" x14ac:dyDescent="0.25"/>
    <row r="47" spans="1:19" s="18" customFormat="1" ht="13.5" thickBot="1" x14ac:dyDescent="0.25">
      <c r="A47" s="20" t="s">
        <v>26</v>
      </c>
      <c r="B47" s="16">
        <f>+B45+B33+B21</f>
        <v>76749.094211724325</v>
      </c>
      <c r="C47" s="17"/>
      <c r="D47" s="16">
        <f>+D45+D33+D21</f>
        <v>56746.13971552263</v>
      </c>
      <c r="E47" s="17"/>
      <c r="F47" s="16">
        <f>+F45+F33+F21</f>
        <v>49892.910470513336</v>
      </c>
      <c r="G47" s="17"/>
      <c r="H47" s="16">
        <f>+H45+H33+H21</f>
        <v>51855.067149637747</v>
      </c>
      <c r="I47" s="17"/>
      <c r="J47" s="16">
        <f>+J45+J33+J21</f>
        <v>35776.936842981268</v>
      </c>
      <c r="K47" s="17"/>
      <c r="L47" s="16">
        <f>+L45+L33+L21</f>
        <v>29560.897564182262</v>
      </c>
      <c r="M47" s="17"/>
      <c r="N47" s="16">
        <f>+N45+N33+N21</f>
        <v>1012766.702530327</v>
      </c>
      <c r="O47" s="17"/>
      <c r="P47" s="24">
        <f>SUM(B47:N47)</f>
        <v>1313347.7484848886</v>
      </c>
    </row>
    <row r="49" spans="1:16" s="18" customFormat="1" x14ac:dyDescent="0.2">
      <c r="A49" s="25"/>
      <c r="B49" s="26"/>
      <c r="C49" s="27"/>
      <c r="D49" s="26"/>
      <c r="E49" s="27"/>
      <c r="F49" s="26"/>
      <c r="G49" s="27"/>
      <c r="H49" s="26"/>
      <c r="I49" s="27"/>
      <c r="J49" s="26"/>
      <c r="K49" s="27"/>
      <c r="L49" s="26"/>
      <c r="M49" s="27"/>
      <c r="N49" s="26"/>
      <c r="O49" s="27"/>
      <c r="P49" s="28"/>
    </row>
    <row r="50" spans="1:16" s="18" customFormat="1" x14ac:dyDescent="0.2">
      <c r="B50" s="26"/>
      <c r="C50" s="27"/>
      <c r="D50" s="26"/>
      <c r="E50" s="27"/>
      <c r="F50" s="26"/>
      <c r="G50" s="27"/>
      <c r="H50" s="26"/>
      <c r="I50" s="27"/>
      <c r="J50" s="26"/>
      <c r="K50" s="27"/>
      <c r="L50" s="26"/>
      <c r="M50" s="27"/>
      <c r="N50" s="26"/>
      <c r="O50" s="27"/>
    </row>
    <row r="51" spans="1:16" s="18" customFormat="1" x14ac:dyDescent="0.2">
      <c r="B51" s="26"/>
      <c r="C51" s="27"/>
      <c r="D51" s="26"/>
      <c r="E51" s="27"/>
      <c r="F51" s="26"/>
      <c r="G51" s="27"/>
      <c r="H51" s="26"/>
      <c r="I51" s="27"/>
      <c r="J51" s="26"/>
      <c r="K51" s="27"/>
      <c r="L51" s="26"/>
      <c r="M51" s="27"/>
      <c r="N51" s="22" t="s">
        <v>18</v>
      </c>
      <c r="O51" s="27"/>
      <c r="P51" s="29" t="s">
        <v>19</v>
      </c>
    </row>
    <row r="52" spans="1:16" s="18" customFormat="1" x14ac:dyDescent="0.2">
      <c r="A52" s="1" t="s">
        <v>22</v>
      </c>
      <c r="B52" s="4">
        <v>37012</v>
      </c>
      <c r="C52" s="5"/>
      <c r="D52" s="4">
        <v>37043</v>
      </c>
      <c r="E52" s="5"/>
      <c r="F52" s="4">
        <v>37073</v>
      </c>
      <c r="G52" s="5"/>
      <c r="H52" s="4">
        <v>37104</v>
      </c>
      <c r="I52" s="5"/>
      <c r="J52" s="4">
        <v>37135</v>
      </c>
      <c r="K52" s="5"/>
      <c r="L52" s="4">
        <v>37165</v>
      </c>
      <c r="M52" s="5"/>
      <c r="N52" s="4">
        <v>37196</v>
      </c>
      <c r="O52" s="27"/>
      <c r="P52" s="30" t="s">
        <v>20</v>
      </c>
    </row>
    <row r="53" spans="1:16" s="18" customFormat="1" x14ac:dyDescent="0.2">
      <c r="B53" s="26"/>
      <c r="C53" s="27"/>
      <c r="D53" s="26"/>
      <c r="E53" s="27"/>
      <c r="F53" s="26"/>
      <c r="G53" s="27"/>
      <c r="H53" s="26"/>
      <c r="I53" s="27"/>
      <c r="J53" s="26"/>
      <c r="K53" s="27"/>
      <c r="L53" s="26"/>
      <c r="M53" s="27"/>
    </row>
    <row r="54" spans="1:16" s="18" customFormat="1" x14ac:dyDescent="0.2">
      <c r="A54" s="34" t="s">
        <v>34</v>
      </c>
      <c r="B54" s="38">
        <v>10.904299999999999</v>
      </c>
      <c r="C54" s="27"/>
      <c r="D54" s="38">
        <v>10.904299999999999</v>
      </c>
      <c r="E54" s="27"/>
      <c r="F54" s="38">
        <v>10.904299999999999</v>
      </c>
      <c r="G54" s="27"/>
      <c r="H54" s="38">
        <v>10.904299999999999</v>
      </c>
      <c r="I54" s="27"/>
      <c r="J54" s="38">
        <v>14.345499999999999</v>
      </c>
      <c r="K54" s="27"/>
      <c r="L54" s="38">
        <v>14.345499999999999</v>
      </c>
      <c r="M54" s="27"/>
      <c r="N54" s="38">
        <v>14.345499999999999</v>
      </c>
    </row>
    <row r="55" spans="1:16" s="18" customFormat="1" x14ac:dyDescent="0.2">
      <c r="A55" s="18" t="s">
        <v>35</v>
      </c>
      <c r="B55" s="37">
        <f>10000*B54</f>
        <v>109042.99999999999</v>
      </c>
      <c r="C55" s="27"/>
      <c r="D55" s="37">
        <f>10000*D54</f>
        <v>109042.99999999999</v>
      </c>
      <c r="E55" s="27"/>
      <c r="F55" s="37">
        <f>10000*F54</f>
        <v>109042.99999999999</v>
      </c>
      <c r="G55" s="27"/>
      <c r="H55" s="37">
        <f>10000*H54</f>
        <v>109042.99999999999</v>
      </c>
      <c r="I55" s="27"/>
      <c r="J55" s="37">
        <f>10000*J54</f>
        <v>143455</v>
      </c>
      <c r="K55" s="27"/>
      <c r="L55" s="37">
        <f>10000*L54</f>
        <v>143455</v>
      </c>
      <c r="M55" s="27"/>
      <c r="N55" s="37">
        <f>10000*N54</f>
        <v>143455</v>
      </c>
    </row>
    <row r="56" spans="1:16" s="18" customFormat="1" ht="15" x14ac:dyDescent="0.35">
      <c r="A56" s="36" t="s">
        <v>36</v>
      </c>
      <c r="B56" s="39">
        <f>-B55</f>
        <v>-109042.99999999999</v>
      </c>
      <c r="C56" s="27"/>
      <c r="D56" s="39">
        <f>-D55</f>
        <v>-109042.99999999999</v>
      </c>
      <c r="E56" s="27"/>
      <c r="F56" s="39">
        <f>-F55</f>
        <v>-109042.99999999999</v>
      </c>
      <c r="G56" s="27"/>
      <c r="H56" s="39">
        <f>-H55</f>
        <v>-109042.99999999999</v>
      </c>
      <c r="I56" s="27"/>
      <c r="J56" s="39">
        <f>-J55</f>
        <v>-143455</v>
      </c>
      <c r="K56" s="27"/>
      <c r="L56" s="39">
        <f>-L55</f>
        <v>-143455</v>
      </c>
      <c r="M56" s="27"/>
      <c r="N56" s="39">
        <f>-N55</f>
        <v>-143455</v>
      </c>
    </row>
    <row r="57" spans="1:16" s="18" customFormat="1" x14ac:dyDescent="0.2">
      <c r="A57" s="36"/>
      <c r="B57" s="37"/>
      <c r="C57" s="27"/>
      <c r="D57" s="37"/>
      <c r="E57" s="27"/>
      <c r="F57" s="37"/>
      <c r="G57" s="27"/>
      <c r="H57" s="37"/>
      <c r="I57" s="27"/>
      <c r="J57" s="37"/>
      <c r="K57" s="27"/>
      <c r="L57" s="37"/>
      <c r="M57" s="27"/>
      <c r="N57" s="37"/>
    </row>
    <row r="58" spans="1:16" s="18" customFormat="1" x14ac:dyDescent="0.2">
      <c r="A58" s="40" t="s">
        <v>37</v>
      </c>
      <c r="B58" s="37">
        <f>SUM(B55:B56)</f>
        <v>0</v>
      </c>
      <c r="C58" s="27"/>
      <c r="D58" s="37">
        <f>SUM(D55:D56)</f>
        <v>0</v>
      </c>
      <c r="E58" s="27"/>
      <c r="F58" s="37">
        <f>SUM(F55:F56)</f>
        <v>0</v>
      </c>
      <c r="G58" s="27"/>
      <c r="H58" s="37">
        <f>SUM(H55:H56)</f>
        <v>0</v>
      </c>
      <c r="I58" s="27"/>
      <c r="J58" s="37">
        <f>SUM(J55:J56)</f>
        <v>0</v>
      </c>
      <c r="K58" s="27"/>
      <c r="L58" s="37">
        <f>SUM(L55:L56)</f>
        <v>0</v>
      </c>
      <c r="M58" s="27"/>
      <c r="N58" s="37">
        <f>SUM(N55:N56)</f>
        <v>0</v>
      </c>
      <c r="P58" s="41">
        <f>+N58+P47</f>
        <v>1313347.7484848886</v>
      </c>
    </row>
    <row r="59" spans="1:16" s="18" customFormat="1" x14ac:dyDescent="0.2">
      <c r="B59" s="26"/>
      <c r="C59" s="27"/>
      <c r="D59" s="26"/>
      <c r="E59" s="27"/>
      <c r="F59" s="26"/>
      <c r="G59" s="27"/>
      <c r="H59" s="26"/>
      <c r="I59" s="27"/>
      <c r="J59" s="26"/>
      <c r="K59" s="27"/>
      <c r="L59" s="26"/>
      <c r="M59" s="27"/>
    </row>
    <row r="60" spans="1:16" s="18" customFormat="1" x14ac:dyDescent="0.2">
      <c r="B60" s="26"/>
      <c r="C60" s="27"/>
      <c r="D60" s="26"/>
      <c r="E60" s="27"/>
      <c r="F60" s="26"/>
      <c r="G60" s="27"/>
      <c r="H60" s="26"/>
      <c r="I60" s="27"/>
      <c r="J60" s="26"/>
      <c r="K60" s="27"/>
      <c r="L60" s="26"/>
      <c r="M60" s="27"/>
    </row>
    <row r="61" spans="1:16" s="18" customFormat="1" x14ac:dyDescent="0.2">
      <c r="A61" s="34" t="s">
        <v>24</v>
      </c>
      <c r="B61" s="26"/>
      <c r="C61" s="27"/>
      <c r="D61" s="26"/>
      <c r="E61" s="27"/>
      <c r="F61" s="26"/>
      <c r="G61" s="27"/>
      <c r="H61" s="26"/>
      <c r="I61" s="27"/>
      <c r="J61" s="26"/>
      <c r="K61" s="27"/>
      <c r="L61" s="26"/>
      <c r="M61" s="27"/>
      <c r="N61" s="26"/>
      <c r="O61" s="27"/>
    </row>
    <row r="62" spans="1:16" s="18" customFormat="1" x14ac:dyDescent="0.2">
      <c r="B62" s="26"/>
      <c r="C62" s="27"/>
      <c r="D62" s="26"/>
      <c r="E62" s="27"/>
      <c r="F62" s="26"/>
      <c r="G62" s="27"/>
      <c r="H62" s="26"/>
      <c r="I62" s="27"/>
      <c r="J62" s="26"/>
      <c r="K62" s="27"/>
      <c r="L62" s="26"/>
      <c r="M62" s="27"/>
      <c r="N62" s="26"/>
      <c r="O62" s="27"/>
    </row>
    <row r="63" spans="1:16" x14ac:dyDescent="0.2">
      <c r="A63" t="s">
        <v>28</v>
      </c>
      <c r="N63" s="23">
        <f>2564*2.77</f>
        <v>7102.28</v>
      </c>
    </row>
    <row r="64" spans="1:16" x14ac:dyDescent="0.2">
      <c r="A64" t="s">
        <v>29</v>
      </c>
      <c r="N64" s="23">
        <f>7500*2.82</f>
        <v>21150</v>
      </c>
    </row>
    <row r="65" spans="1:16" ht="15" x14ac:dyDescent="0.35">
      <c r="A65" t="s">
        <v>30</v>
      </c>
      <c r="N65" s="32">
        <f>5500*2.375</f>
        <v>13062.5</v>
      </c>
    </row>
    <row r="67" spans="1:16" x14ac:dyDescent="0.2">
      <c r="A67" s="1" t="s">
        <v>25</v>
      </c>
      <c r="N67" s="23">
        <f>SUM(N63:N66)</f>
        <v>41314.78</v>
      </c>
      <c r="P67" s="33">
        <f>+N67+P58</f>
        <v>1354662.5284848886</v>
      </c>
    </row>
    <row r="70" spans="1:16" x14ac:dyDescent="0.2">
      <c r="A70" s="35" t="s">
        <v>27</v>
      </c>
    </row>
    <row r="72" spans="1:16" x14ac:dyDescent="0.2">
      <c r="A72" t="s">
        <v>31</v>
      </c>
      <c r="N72" s="23">
        <v>-62500</v>
      </c>
      <c r="P72" s="33">
        <f>+P67+N72</f>
        <v>1292162.5284848886</v>
      </c>
    </row>
    <row r="75" spans="1:16" x14ac:dyDescent="0.2">
      <c r="A75" s="35" t="s">
        <v>32</v>
      </c>
      <c r="J75" s="23"/>
      <c r="L75" s="23"/>
    </row>
    <row r="77" spans="1:16" ht="15" x14ac:dyDescent="0.35">
      <c r="A77" s="43" t="s">
        <v>39</v>
      </c>
      <c r="J77" s="32">
        <v>-2129.33</v>
      </c>
    </row>
    <row r="78" spans="1:16" ht="15" x14ac:dyDescent="0.35">
      <c r="A78" s="43" t="s">
        <v>40</v>
      </c>
      <c r="L78" s="32">
        <v>2130.79</v>
      </c>
    </row>
    <row r="79" spans="1:16" ht="15" x14ac:dyDescent="0.35">
      <c r="A79" s="43" t="s">
        <v>41</v>
      </c>
      <c r="N79" s="32">
        <v>12940.31</v>
      </c>
    </row>
    <row r="80" spans="1:16" x14ac:dyDescent="0.2">
      <c r="A80" s="1" t="s">
        <v>33</v>
      </c>
      <c r="J80" s="23">
        <f>SUM(J77:J79)</f>
        <v>-2129.33</v>
      </c>
      <c r="L80" s="23">
        <f>SUM(L78:L79)</f>
        <v>2130.79</v>
      </c>
      <c r="N80" s="23">
        <f>SUM(N78:N79)</f>
        <v>12940.31</v>
      </c>
      <c r="P80" s="23">
        <f>SUM(B80:N80)+P72</f>
        <v>1305104.2984848886</v>
      </c>
    </row>
    <row r="82" spans="1:16" ht="13.5" thickBot="1" x14ac:dyDescent="0.25"/>
    <row r="83" spans="1:16" ht="13.5" thickBot="1" x14ac:dyDescent="0.25">
      <c r="A83" s="1" t="s">
        <v>38</v>
      </c>
      <c r="P83" s="42">
        <f>+P80</f>
        <v>1305104.2984848886</v>
      </c>
    </row>
  </sheetData>
  <phoneticPr fontId="0" type="noConversion"/>
  <printOptions gridLines="1"/>
  <pageMargins left="0.34" right="0.24" top="1" bottom="1" header="0.5" footer="0.5"/>
  <pageSetup scale="60" orientation="landscape" r:id="rId1"/>
  <headerFooter alignWithMargins="0">
    <oddHeader>&amp;CENRON NORTH AMERICA CORP.
NATURAL GAS PHYSICAL TRANSACTIONS</oddHeader>
    <oddFooter>&amp;LERT Back Office - Gas
PSEG CONFIDENTIAL&amp;R&amp;F
&amp;D &amp;T</oddFooter>
  </headerFooter>
  <rowBreaks count="1" manualBreakCount="1">
    <brk id="49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PSEG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SCSMW</dc:creator>
  <cp:lastModifiedBy>Felienne</cp:lastModifiedBy>
  <cp:lastPrinted>2001-12-12T16:37:07Z</cp:lastPrinted>
  <dcterms:created xsi:type="dcterms:W3CDTF">2001-12-03T19:27:09Z</dcterms:created>
  <dcterms:modified xsi:type="dcterms:W3CDTF">2014-09-04T08:12:23Z</dcterms:modified>
</cp:coreProperties>
</file>