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2">Actuals!$D$638:$I$651</definedName>
    <definedName name="_xlnm.Print_Area" localSheetId="10">'BGC-EGM-FLSH'!$A$1:$M$82</definedName>
    <definedName name="_xlnm.Print_Area" localSheetId="34">'BGC-EGM-VAR'!$A$1:$I$82</definedName>
    <definedName name="_xlnm.Print_Area" localSheetId="41">BUG_VAR!$A$1:$I$82</definedName>
    <definedName name="_xlnm.Print_Area" localSheetId="30">'CE-VAR'!$A$1:$I$82</definedName>
    <definedName name="_xlnm.Print_Area" localSheetId="2">Check!$A$1:$D$39</definedName>
    <definedName name="_xlnm.Print_Area" localSheetId="9">'EAST-CON-FLSH'!$A$1:$M$82</definedName>
    <definedName name="_xlnm.Print_Area" localSheetId="33">'EAST-CON-VAR'!$A$1:$I$82</definedName>
    <definedName name="_xlnm.Print_Area" localSheetId="7">'EAST-EGM-FLSH'!$A$1:$M$82</definedName>
    <definedName name="_xlnm.Print_Area" localSheetId="31">'EAST-EGM-VAR'!$A$1:$I$82</definedName>
    <definedName name="_xlnm.Print_Area" localSheetId="8">'EAST-LRC-FLSH'!$A$1:$M$82</definedName>
    <definedName name="_xlnm.Print_Area" localSheetId="32">'EAST-LRC-VAR'!$A$1:$I$82</definedName>
    <definedName name="_xlnm.Print_Area" localSheetId="40">ONT_VAR!$A$1:$I$82</definedName>
    <definedName name="_xlnm.Print_Area" localSheetId="4">RECLASS!$A$1:$Y$82</definedName>
    <definedName name="_xlnm.Print_Area" localSheetId="39">STG_VAR!$A$1:$I$82</definedName>
    <definedName name="_xlnm.Print_Area" localSheetId="5">'TIE-OUT'!$A$1:$Y$95</definedName>
    <definedName name="_xlnm.Print_Area" localSheetId="3">TOTAL!$A$1:$I$82</definedName>
    <definedName name="_xlnm.Print_Area" localSheetId="13">'TX-CON-FLSH'!$A$1:$M$82</definedName>
    <definedName name="_xlnm.Print_Area" localSheetId="37">'TX-CON-VAR'!$A$1:$I$82</definedName>
    <definedName name="_xlnm.Print_Area" localSheetId="11">'TX-EGM-FLSH'!$A$1:$M$82</definedName>
    <definedName name="_xlnm.Print_Area" localSheetId="35">'TX-EGM-VAR'!$A$1:$I$82</definedName>
    <definedName name="_xlnm.Print_Area" localSheetId="12">'TX-HPL-FLSH'!$A$1:$M$82</definedName>
    <definedName name="_xlnm.Print_Area" localSheetId="36">'TX-HPL-VAR '!$A$1:$I$82</definedName>
    <definedName name="_xlnm.Print_Area" localSheetId="14">'WE-FLSH'!$A$1:$M$82</definedName>
    <definedName name="_xlnm.Print_Area" localSheetId="38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/>
  <c r="M1" i="44" s="1"/>
  <c r="O1" i="44" s="1"/>
  <c r="Q1" i="44" s="1"/>
  <c r="S1" i="44" s="1"/>
  <c r="U1" i="44" s="1"/>
  <c r="W1" i="44" s="1"/>
  <c r="Y1" i="44" s="1"/>
  <c r="AA1" i="44" s="1"/>
  <c r="AC1" i="44" s="1"/>
  <c r="AE1" i="44" s="1"/>
  <c r="H638" i="44"/>
  <c r="J638" i="44"/>
  <c r="L638" i="44"/>
  <c r="N638" i="44" s="1"/>
  <c r="P638" i="44" s="1"/>
  <c r="R638" i="44"/>
  <c r="T638" i="44" s="1"/>
  <c r="V638" i="44" s="1"/>
  <c r="X638" i="44" s="1"/>
  <c r="Z638" i="44" s="1"/>
  <c r="AB638" i="44" s="1"/>
  <c r="A4" i="10"/>
  <c r="A5" i="10"/>
  <c r="F11" i="10"/>
  <c r="H11" i="10"/>
  <c r="I11" i="10"/>
  <c r="L11" i="10"/>
  <c r="M11" i="10"/>
  <c r="G12" i="10"/>
  <c r="H12" i="10"/>
  <c r="I12" i="10"/>
  <c r="M12" i="10"/>
  <c r="F13" i="10"/>
  <c r="H13" i="10"/>
  <c r="I13" i="10"/>
  <c r="L13" i="10"/>
  <c r="H14" i="10"/>
  <c r="I14" i="10"/>
  <c r="G14" i="10" s="1"/>
  <c r="F15" i="10"/>
  <c r="H15" i="10"/>
  <c r="I15" i="10"/>
  <c r="L15" i="10"/>
  <c r="H16" i="10"/>
  <c r="J16" i="10"/>
  <c r="K16" i="10"/>
  <c r="H18" i="10"/>
  <c r="I18" i="10"/>
  <c r="F19" i="10"/>
  <c r="H19" i="10"/>
  <c r="I19" i="10"/>
  <c r="L19" i="10"/>
  <c r="G20" i="10"/>
  <c r="H20" i="10"/>
  <c r="I20" i="10"/>
  <c r="M20" i="10"/>
  <c r="F21" i="10"/>
  <c r="G21" i="10"/>
  <c r="H21" i="10"/>
  <c r="I21" i="10"/>
  <c r="M21" i="10" s="1"/>
  <c r="L21" i="10"/>
  <c r="D21" i="34" s="1"/>
  <c r="H22" i="10"/>
  <c r="I22" i="10"/>
  <c r="G22" i="10" s="1"/>
  <c r="M22" i="10"/>
  <c r="E22" i="34" s="1"/>
  <c r="F23" i="10"/>
  <c r="H23" i="10"/>
  <c r="I23" i="10"/>
  <c r="G23" i="10" s="1"/>
  <c r="L23" i="10"/>
  <c r="H24" i="10"/>
  <c r="J24" i="10"/>
  <c r="K24" i="10"/>
  <c r="G27" i="10"/>
  <c r="H27" i="10"/>
  <c r="I27" i="10"/>
  <c r="M27" i="10"/>
  <c r="M29" i="10" s="1"/>
  <c r="F28" i="10"/>
  <c r="G28" i="10"/>
  <c r="H28" i="10"/>
  <c r="I28" i="10"/>
  <c r="M28" i="10" s="1"/>
  <c r="L28" i="10"/>
  <c r="D28" i="34" s="1"/>
  <c r="H29" i="10"/>
  <c r="I29" i="10"/>
  <c r="J29" i="10"/>
  <c r="K29" i="10"/>
  <c r="G32" i="10"/>
  <c r="H32" i="10"/>
  <c r="I32" i="10"/>
  <c r="M32" i="10"/>
  <c r="F33" i="10"/>
  <c r="H33" i="10"/>
  <c r="I33" i="10"/>
  <c r="L33" i="10"/>
  <c r="G34" i="10"/>
  <c r="H34" i="10"/>
  <c r="I34" i="10"/>
  <c r="M34" i="10"/>
  <c r="F35" i="10"/>
  <c r="G35" i="10"/>
  <c r="H35" i="10"/>
  <c r="I35" i="10"/>
  <c r="M35" i="10" s="1"/>
  <c r="L35" i="10"/>
  <c r="H36" i="10"/>
  <c r="J36" i="10"/>
  <c r="K36" i="10"/>
  <c r="L37" i="10"/>
  <c r="M37" i="10"/>
  <c r="H38" i="10"/>
  <c r="I38" i="10"/>
  <c r="G39" i="10"/>
  <c r="H39" i="10"/>
  <c r="I39" i="10"/>
  <c r="M39" i="10"/>
  <c r="F40" i="10"/>
  <c r="G40" i="10"/>
  <c r="G42" i="10" s="1"/>
  <c r="G43" i="10" s="1"/>
  <c r="H40" i="10"/>
  <c r="I40" i="10"/>
  <c r="L40" i="10"/>
  <c r="G41" i="10"/>
  <c r="H41" i="10"/>
  <c r="I41" i="10"/>
  <c r="M41" i="10"/>
  <c r="J42" i="10"/>
  <c r="J43" i="10" s="1"/>
  <c r="J82" i="10" s="1"/>
  <c r="K42" i="10"/>
  <c r="K43" i="10" s="1"/>
  <c r="F45" i="10"/>
  <c r="H45" i="10"/>
  <c r="I45" i="10"/>
  <c r="L45" i="10"/>
  <c r="G47" i="10"/>
  <c r="H47" i="10"/>
  <c r="I47" i="10"/>
  <c r="M47" i="10"/>
  <c r="F49" i="10"/>
  <c r="G49" i="10"/>
  <c r="H49" i="10"/>
  <c r="I49" i="10"/>
  <c r="M49" i="10" s="1"/>
  <c r="L49" i="10"/>
  <c r="G51" i="10"/>
  <c r="H51" i="10"/>
  <c r="I51" i="10"/>
  <c r="M51" i="10"/>
  <c r="E51" i="34" s="1"/>
  <c r="F54" i="10"/>
  <c r="H54" i="10"/>
  <c r="I54" i="10"/>
  <c r="G54" i="10" s="1"/>
  <c r="L54" i="10"/>
  <c r="M54" i="10"/>
  <c r="G55" i="10"/>
  <c r="H55" i="10"/>
  <c r="I55" i="10"/>
  <c r="M55" i="10"/>
  <c r="E55" i="34" s="1"/>
  <c r="G56" i="10"/>
  <c r="I56" i="10"/>
  <c r="J56" i="10"/>
  <c r="K56" i="10"/>
  <c r="F59" i="10"/>
  <c r="G59" i="10"/>
  <c r="G61" i="10" s="1"/>
  <c r="H59" i="10"/>
  <c r="H61" i="10" s="1"/>
  <c r="I59" i="10"/>
  <c r="M59" i="10" s="1"/>
  <c r="L59" i="10"/>
  <c r="G60" i="10"/>
  <c r="H60" i="10"/>
  <c r="I60" i="10"/>
  <c r="M60" i="10"/>
  <c r="I61" i="10"/>
  <c r="J61" i="10"/>
  <c r="K61" i="10"/>
  <c r="M61" i="10"/>
  <c r="F64" i="10"/>
  <c r="H64" i="10"/>
  <c r="I64" i="10"/>
  <c r="G64" i="10" s="1"/>
  <c r="L64" i="10"/>
  <c r="M64" i="10"/>
  <c r="G65" i="10"/>
  <c r="H65" i="10"/>
  <c r="I65" i="10"/>
  <c r="M65" i="10"/>
  <c r="G66" i="10"/>
  <c r="I66" i="10"/>
  <c r="J66" i="10"/>
  <c r="K66" i="10"/>
  <c r="L69" i="10"/>
  <c r="M69" i="10"/>
  <c r="G70" i="10"/>
  <c r="G72" i="10" s="1"/>
  <c r="H70" i="10"/>
  <c r="I70" i="10"/>
  <c r="M70" i="10"/>
  <c r="F71" i="10"/>
  <c r="G71" i="10"/>
  <c r="H71" i="10"/>
  <c r="I71" i="10"/>
  <c r="M71" i="10" s="1"/>
  <c r="L71" i="10"/>
  <c r="H72" i="10"/>
  <c r="I72" i="10"/>
  <c r="J72" i="10"/>
  <c r="K72" i="10"/>
  <c r="H73" i="10"/>
  <c r="I73" i="10"/>
  <c r="F74" i="10"/>
  <c r="H74" i="10"/>
  <c r="I74" i="10"/>
  <c r="G74" i="10" s="1"/>
  <c r="L74" i="10"/>
  <c r="G75" i="10"/>
  <c r="H75" i="10"/>
  <c r="I75" i="10"/>
  <c r="M75" i="10"/>
  <c r="F76" i="10"/>
  <c r="G76" i="10"/>
  <c r="H76" i="10"/>
  <c r="I76" i="10"/>
  <c r="M76" i="10" s="1"/>
  <c r="L76" i="10"/>
  <c r="D76" i="34" s="1"/>
  <c r="G77" i="10"/>
  <c r="H77" i="10"/>
  <c r="I77" i="10"/>
  <c r="M77" i="10" s="1"/>
  <c r="F78" i="10"/>
  <c r="H78" i="10"/>
  <c r="I78" i="10"/>
  <c r="G78" i="10" s="1"/>
  <c r="L78" i="10"/>
  <c r="M78" i="10"/>
  <c r="G79" i="10"/>
  <c r="H79" i="10"/>
  <c r="I79" i="10"/>
  <c r="M79" i="10"/>
  <c r="F80" i="10"/>
  <c r="H80" i="10"/>
  <c r="I80" i="10"/>
  <c r="L80" i="10"/>
  <c r="D80" i="34" s="1"/>
  <c r="G81" i="10"/>
  <c r="H81" i="10"/>
  <c r="I81" i="10"/>
  <c r="M81" i="10"/>
  <c r="E81" i="34" s="1"/>
  <c r="D82" i="10"/>
  <c r="E82" i="10"/>
  <c r="A5" i="22"/>
  <c r="H8" i="22"/>
  <c r="J8" i="22"/>
  <c r="L8" i="22"/>
  <c r="N8" i="22"/>
  <c r="F11" i="22"/>
  <c r="G11" i="22"/>
  <c r="H11" i="22"/>
  <c r="I11" i="22"/>
  <c r="J11" i="22"/>
  <c r="K11" i="22"/>
  <c r="L11" i="22"/>
  <c r="L16" i="22" s="1"/>
  <c r="L82" i="22" s="1"/>
  <c r="J644" i="44" s="1"/>
  <c r="M11" i="22"/>
  <c r="N11" i="22"/>
  <c r="O11" i="22"/>
  <c r="P11" i="22"/>
  <c r="Q11" i="22"/>
  <c r="R11" i="22"/>
  <c r="R16" i="22" s="1"/>
  <c r="S11" i="22"/>
  <c r="T11" i="22"/>
  <c r="T16" i="22" s="1"/>
  <c r="T82" i="22" s="1"/>
  <c r="R644" i="44" s="1"/>
  <c r="U11" i="22"/>
  <c r="V11" i="22"/>
  <c r="W11" i="22"/>
  <c r="X11" i="22"/>
  <c r="Y11" i="22"/>
  <c r="Z11" i="22"/>
  <c r="Z16" i="22" s="1"/>
  <c r="AA11" i="22"/>
  <c r="AB11" i="22"/>
  <c r="AB16" i="22" s="1"/>
  <c r="AB82" i="22" s="1"/>
  <c r="Z644" i="44" s="1"/>
  <c r="AC11" i="22"/>
  <c r="AD11" i="22"/>
  <c r="AE11" i="22"/>
  <c r="F12" i="22"/>
  <c r="G12" i="22"/>
  <c r="H12" i="22"/>
  <c r="I12" i="22"/>
  <c r="J12" i="22"/>
  <c r="K12" i="22"/>
  <c r="L12" i="22"/>
  <c r="M12" i="22"/>
  <c r="E12" i="22" s="1"/>
  <c r="N12" i="22"/>
  <c r="O12" i="22"/>
  <c r="P12" i="22"/>
  <c r="P16" i="22" s="1"/>
  <c r="Q12" i="22"/>
  <c r="R12" i="22"/>
  <c r="S12" i="22"/>
  <c r="T12" i="22"/>
  <c r="U12" i="22"/>
  <c r="V12" i="22"/>
  <c r="W12" i="22"/>
  <c r="X12" i="22"/>
  <c r="X16" i="22" s="1"/>
  <c r="Y12" i="22"/>
  <c r="Z12" i="22"/>
  <c r="AA12" i="22"/>
  <c r="AB12" i="22"/>
  <c r="AC12" i="22"/>
  <c r="AC16" i="22" s="1"/>
  <c r="AD12" i="22"/>
  <c r="AE12" i="22"/>
  <c r="F13" i="22"/>
  <c r="G13" i="22"/>
  <c r="H13" i="22"/>
  <c r="I13" i="22"/>
  <c r="J13" i="22"/>
  <c r="K13" i="22"/>
  <c r="L13" i="22"/>
  <c r="D13" i="22" s="1"/>
  <c r="F13" i="34" s="1"/>
  <c r="H13" i="34" s="1"/>
  <c r="M13" i="22"/>
  <c r="N13" i="22"/>
  <c r="O13" i="22"/>
  <c r="P13" i="22"/>
  <c r="Q13" i="22"/>
  <c r="Q16" i="22" s="1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F14" i="22"/>
  <c r="G14" i="22"/>
  <c r="H14" i="22"/>
  <c r="I14" i="22"/>
  <c r="J14" i="22"/>
  <c r="K14" i="22"/>
  <c r="L14" i="22"/>
  <c r="M14" i="22"/>
  <c r="E14" i="22" s="1"/>
  <c r="G14" i="34" s="1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F15" i="22"/>
  <c r="G15" i="22"/>
  <c r="H15" i="22"/>
  <c r="I15" i="22"/>
  <c r="J15" i="22"/>
  <c r="D15" i="22" s="1"/>
  <c r="F15" i="34" s="1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G16" i="22"/>
  <c r="H16" i="22"/>
  <c r="K16" i="22"/>
  <c r="N16" i="22"/>
  <c r="O16" i="22"/>
  <c r="S16" i="22"/>
  <c r="U16" i="22"/>
  <c r="W16" i="22"/>
  <c r="Y16" i="22"/>
  <c r="AA16" i="22"/>
  <c r="AD16" i="22"/>
  <c r="AE16" i="22"/>
  <c r="F19" i="22"/>
  <c r="G19" i="22"/>
  <c r="H19" i="22"/>
  <c r="I19" i="22"/>
  <c r="J19" i="22"/>
  <c r="K19" i="22"/>
  <c r="L19" i="22"/>
  <c r="M19" i="22"/>
  <c r="N19" i="22"/>
  <c r="O19" i="22"/>
  <c r="P19" i="22"/>
  <c r="P24" i="22" s="1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F20" i="22"/>
  <c r="G20" i="22"/>
  <c r="H20" i="22"/>
  <c r="I20" i="22"/>
  <c r="J20" i="22"/>
  <c r="K20" i="22"/>
  <c r="L20" i="22"/>
  <c r="M20" i="22"/>
  <c r="N20" i="22"/>
  <c r="N24" i="22" s="1"/>
  <c r="O20" i="22"/>
  <c r="P20" i="22"/>
  <c r="Q20" i="22"/>
  <c r="R20" i="22"/>
  <c r="S20" i="22"/>
  <c r="T20" i="22"/>
  <c r="U20" i="22"/>
  <c r="V20" i="22"/>
  <c r="V24" i="22" s="1"/>
  <c r="W20" i="22"/>
  <c r="X20" i="22"/>
  <c r="Y20" i="22"/>
  <c r="Z20" i="22"/>
  <c r="AA20" i="22"/>
  <c r="AB20" i="22"/>
  <c r="AC20" i="22"/>
  <c r="AD20" i="22"/>
  <c r="AD24" i="22" s="1"/>
  <c r="AE20" i="22"/>
  <c r="F21" i="22"/>
  <c r="G21" i="22"/>
  <c r="H21" i="22"/>
  <c r="I21" i="22"/>
  <c r="J21" i="22"/>
  <c r="D21" i="22" s="1"/>
  <c r="F21" i="34" s="1"/>
  <c r="H21" i="34" s="1"/>
  <c r="K21" i="22"/>
  <c r="L21" i="22"/>
  <c r="L24" i="22" s="1"/>
  <c r="M21" i="22"/>
  <c r="E21" i="22" s="1"/>
  <c r="G21" i="34" s="1"/>
  <c r="N21" i="22"/>
  <c r="O21" i="22"/>
  <c r="P21" i="22"/>
  <c r="Q21" i="22"/>
  <c r="R21" i="22"/>
  <c r="S21" i="22"/>
  <c r="T21" i="22"/>
  <c r="T24" i="22" s="1"/>
  <c r="U21" i="22"/>
  <c r="V21" i="22"/>
  <c r="W21" i="22"/>
  <c r="X21" i="22"/>
  <c r="Y21" i="22"/>
  <c r="Z21" i="22"/>
  <c r="AA21" i="22"/>
  <c r="AB21" i="22"/>
  <c r="AB24" i="22" s="1"/>
  <c r="AC21" i="22"/>
  <c r="AD21" i="22"/>
  <c r="AE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Q24" i="22" s="1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F23" i="22"/>
  <c r="G23" i="22"/>
  <c r="H23" i="22"/>
  <c r="I23" i="22"/>
  <c r="J23" i="22"/>
  <c r="K23" i="22"/>
  <c r="L23" i="22"/>
  <c r="D23" i="22" s="1"/>
  <c r="F23" i="34" s="1"/>
  <c r="M23" i="22"/>
  <c r="E23" i="22" s="1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G24" i="22"/>
  <c r="K24" i="22"/>
  <c r="O24" i="22"/>
  <c r="S24" i="22"/>
  <c r="U24" i="22"/>
  <c r="W24" i="22"/>
  <c r="AA24" i="22"/>
  <c r="AE24" i="22"/>
  <c r="F27" i="22"/>
  <c r="G27" i="22"/>
  <c r="H27" i="22"/>
  <c r="I27" i="22"/>
  <c r="J27" i="22"/>
  <c r="K27" i="22"/>
  <c r="L27" i="22"/>
  <c r="L29" i="22" s="1"/>
  <c r="M27" i="22"/>
  <c r="M29" i="22" s="1"/>
  <c r="N27" i="22"/>
  <c r="O27" i="22"/>
  <c r="P27" i="22"/>
  <c r="P29" i="22" s="1"/>
  <c r="Q27" i="22"/>
  <c r="R27" i="22"/>
  <c r="S27" i="22"/>
  <c r="T27" i="22"/>
  <c r="U27" i="22"/>
  <c r="U29" i="22" s="1"/>
  <c r="V27" i="22"/>
  <c r="W27" i="22"/>
  <c r="X27" i="22"/>
  <c r="Y27" i="22"/>
  <c r="Z27" i="22"/>
  <c r="AA27" i="22"/>
  <c r="AB27" i="22"/>
  <c r="AC27" i="22"/>
  <c r="AC29" i="22" s="1"/>
  <c r="AD27" i="22"/>
  <c r="AE27" i="22"/>
  <c r="F28" i="22"/>
  <c r="F29" i="22" s="1"/>
  <c r="G28" i="22"/>
  <c r="H28" i="22"/>
  <c r="I28" i="22"/>
  <c r="J28" i="22"/>
  <c r="K28" i="22"/>
  <c r="L28" i="22"/>
  <c r="D28" i="22" s="1"/>
  <c r="F28" i="34" s="1"/>
  <c r="H28" i="34" s="1"/>
  <c r="M28" i="22"/>
  <c r="N28" i="22"/>
  <c r="N29" i="22" s="1"/>
  <c r="O28" i="22"/>
  <c r="P28" i="22"/>
  <c r="Q28" i="22"/>
  <c r="R28" i="22"/>
  <c r="S28" i="22"/>
  <c r="T28" i="22"/>
  <c r="T29" i="22" s="1"/>
  <c r="U28" i="22"/>
  <c r="V28" i="22"/>
  <c r="V29" i="22" s="1"/>
  <c r="W28" i="22"/>
  <c r="X28" i="22"/>
  <c r="Y28" i="22"/>
  <c r="Z28" i="22"/>
  <c r="AA28" i="22"/>
  <c r="AB28" i="22"/>
  <c r="AB29" i="22" s="1"/>
  <c r="AC28" i="22"/>
  <c r="AD28" i="22"/>
  <c r="AD29" i="22" s="1"/>
  <c r="AE28" i="22"/>
  <c r="G29" i="22"/>
  <c r="I29" i="22"/>
  <c r="J29" i="22"/>
  <c r="K29" i="22"/>
  <c r="O29" i="22"/>
  <c r="R29" i="22"/>
  <c r="S29" i="22"/>
  <c r="W29" i="22"/>
  <c r="X29" i="22"/>
  <c r="Z29" i="22"/>
  <c r="AA29" i="22"/>
  <c r="AE29" i="22"/>
  <c r="F32" i="22"/>
  <c r="G32" i="22"/>
  <c r="H32" i="22"/>
  <c r="I32" i="22"/>
  <c r="E32" i="22" s="1"/>
  <c r="G32" i="34" s="1"/>
  <c r="J32" i="22"/>
  <c r="K32" i="22"/>
  <c r="L32" i="22"/>
  <c r="L36" i="22" s="1"/>
  <c r="M32" i="22"/>
  <c r="N32" i="22"/>
  <c r="O32" i="22"/>
  <c r="P32" i="22"/>
  <c r="Q32" i="22"/>
  <c r="R32" i="22"/>
  <c r="S32" i="22"/>
  <c r="T32" i="22"/>
  <c r="U32" i="22"/>
  <c r="V32" i="22"/>
  <c r="W32" i="22"/>
  <c r="X32" i="22"/>
  <c r="X36" i="22" s="1"/>
  <c r="Y32" i="22"/>
  <c r="Z32" i="22"/>
  <c r="AA32" i="22"/>
  <c r="AB32" i="22"/>
  <c r="AC32" i="22"/>
  <c r="AD32" i="22"/>
  <c r="AE32" i="22"/>
  <c r="D33" i="22"/>
  <c r="F33" i="34" s="1"/>
  <c r="H33" i="34" s="1"/>
  <c r="F33" i="22"/>
  <c r="G33" i="22"/>
  <c r="H33" i="22"/>
  <c r="I33" i="22"/>
  <c r="J33" i="22"/>
  <c r="K33" i="22"/>
  <c r="L33" i="22"/>
  <c r="M33" i="22"/>
  <c r="E33" i="22" s="1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F34" i="22"/>
  <c r="G34" i="22"/>
  <c r="H34" i="22"/>
  <c r="I34" i="22"/>
  <c r="J34" i="22"/>
  <c r="K34" i="22"/>
  <c r="L34" i="22"/>
  <c r="M34" i="22"/>
  <c r="E34" i="22" s="1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C36" i="22" s="1"/>
  <c r="AD34" i="22"/>
  <c r="AE34" i="22"/>
  <c r="F35" i="22"/>
  <c r="G35" i="22"/>
  <c r="H35" i="22"/>
  <c r="I35" i="22"/>
  <c r="J35" i="22"/>
  <c r="K35" i="22"/>
  <c r="L35" i="22"/>
  <c r="D35" i="22" s="1"/>
  <c r="F35" i="34" s="1"/>
  <c r="H35" i="34" s="1"/>
  <c r="M35" i="22"/>
  <c r="N35" i="22"/>
  <c r="O35" i="22"/>
  <c r="P35" i="22"/>
  <c r="Q35" i="22"/>
  <c r="Q36" i="22" s="1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F36" i="22"/>
  <c r="G36" i="22"/>
  <c r="K36" i="22"/>
  <c r="N36" i="22"/>
  <c r="O36" i="22"/>
  <c r="P36" i="22"/>
  <c r="S36" i="22"/>
  <c r="T36" i="22"/>
  <c r="V36" i="22"/>
  <c r="W36" i="22"/>
  <c r="Y36" i="22"/>
  <c r="AA36" i="22"/>
  <c r="AB36" i="22"/>
  <c r="AD36" i="22"/>
  <c r="AE36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F40" i="22"/>
  <c r="G40" i="22"/>
  <c r="H40" i="22"/>
  <c r="I40" i="22"/>
  <c r="J40" i="22"/>
  <c r="K40" i="22"/>
  <c r="L40" i="22"/>
  <c r="L42" i="22" s="1"/>
  <c r="L43" i="22" s="1"/>
  <c r="M40" i="22"/>
  <c r="M42" i="22" s="1"/>
  <c r="M43" i="22" s="1"/>
  <c r="N40" i="22"/>
  <c r="O40" i="22"/>
  <c r="P40" i="22"/>
  <c r="Q40" i="22"/>
  <c r="R40" i="22"/>
  <c r="S40" i="22"/>
  <c r="T40" i="22"/>
  <c r="T42" i="22" s="1"/>
  <c r="T43" i="22" s="1"/>
  <c r="U40" i="22"/>
  <c r="U42" i="22" s="1"/>
  <c r="U43" i="22" s="1"/>
  <c r="V40" i="22"/>
  <c r="W40" i="22"/>
  <c r="X40" i="22"/>
  <c r="Y40" i="22"/>
  <c r="Z40" i="22"/>
  <c r="AA40" i="22"/>
  <c r="AB40" i="22"/>
  <c r="AB42" i="22" s="1"/>
  <c r="AB43" i="22" s="1"/>
  <c r="AC40" i="22"/>
  <c r="AC42" i="22" s="1"/>
  <c r="AC43" i="22" s="1"/>
  <c r="AD40" i="22"/>
  <c r="AE40" i="22"/>
  <c r="F41" i="22"/>
  <c r="G41" i="22"/>
  <c r="H41" i="22"/>
  <c r="I41" i="22"/>
  <c r="J41" i="22"/>
  <c r="J42" i="22" s="1"/>
  <c r="K41" i="22"/>
  <c r="L41" i="22"/>
  <c r="M41" i="22"/>
  <c r="N41" i="22"/>
  <c r="O41" i="22"/>
  <c r="P41" i="22"/>
  <c r="Q41" i="22"/>
  <c r="Q42" i="22" s="1"/>
  <c r="R41" i="22"/>
  <c r="R42" i="22" s="1"/>
  <c r="S41" i="22"/>
  <c r="T41" i="22"/>
  <c r="U41" i="22"/>
  <c r="V41" i="22"/>
  <c r="W41" i="22"/>
  <c r="X41" i="22"/>
  <c r="Y41" i="22"/>
  <c r="Y42" i="22" s="1"/>
  <c r="Z41" i="22"/>
  <c r="Z42" i="22" s="1"/>
  <c r="AA41" i="22"/>
  <c r="AB41" i="22"/>
  <c r="AC41" i="22"/>
  <c r="AD41" i="22"/>
  <c r="AE41" i="22"/>
  <c r="F42" i="22"/>
  <c r="F43" i="22" s="1"/>
  <c r="G42" i="22"/>
  <c r="K42" i="22"/>
  <c r="N42" i="22"/>
  <c r="N43" i="22" s="1"/>
  <c r="O42" i="22"/>
  <c r="S42" i="22"/>
  <c r="V42" i="22"/>
  <c r="V43" i="22" s="1"/>
  <c r="W42" i="22"/>
  <c r="AA42" i="22"/>
  <c r="AD42" i="22"/>
  <c r="AD43" i="22" s="1"/>
  <c r="AE42" i="22"/>
  <c r="G43" i="22"/>
  <c r="J43" i="22"/>
  <c r="K43" i="22"/>
  <c r="O43" i="22"/>
  <c r="R43" i="22"/>
  <c r="S43" i="22"/>
  <c r="W43" i="22"/>
  <c r="Z43" i="22"/>
  <c r="AA43" i="22"/>
  <c r="AE43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F49" i="22"/>
  <c r="D49" i="22" s="1"/>
  <c r="F49" i="34" s="1"/>
  <c r="H49" i="34" s="1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F51" i="22"/>
  <c r="G51" i="22"/>
  <c r="H51" i="22"/>
  <c r="I51" i="22"/>
  <c r="J51" i="22"/>
  <c r="K51" i="22"/>
  <c r="E51" i="22" s="1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F54" i="22"/>
  <c r="F56" i="22" s="1"/>
  <c r="G54" i="22"/>
  <c r="H54" i="22"/>
  <c r="I54" i="22"/>
  <c r="J54" i="22"/>
  <c r="K54" i="22"/>
  <c r="L54" i="22"/>
  <c r="L56" i="22" s="1"/>
  <c r="M54" i="22"/>
  <c r="N54" i="22"/>
  <c r="N56" i="22" s="1"/>
  <c r="O54" i="22"/>
  <c r="O56" i="22" s="1"/>
  <c r="P54" i="22"/>
  <c r="Q54" i="22"/>
  <c r="R54" i="22"/>
  <c r="S54" i="22"/>
  <c r="T54" i="22"/>
  <c r="U54" i="22"/>
  <c r="V54" i="22"/>
  <c r="W54" i="22"/>
  <c r="X54" i="22"/>
  <c r="X56" i="22" s="1"/>
  <c r="Y54" i="22"/>
  <c r="Z54" i="22"/>
  <c r="AA54" i="22"/>
  <c r="AB54" i="22"/>
  <c r="AB56" i="22" s="1"/>
  <c r="AC54" i="22"/>
  <c r="AD54" i="22"/>
  <c r="AD56" i="22" s="1"/>
  <c r="AE54" i="22"/>
  <c r="AE56" i="22" s="1"/>
  <c r="D55" i="22"/>
  <c r="F55" i="34" s="1"/>
  <c r="F55" i="22"/>
  <c r="G55" i="22"/>
  <c r="H55" i="22"/>
  <c r="H56" i="22" s="1"/>
  <c r="I55" i="22"/>
  <c r="J55" i="22"/>
  <c r="J56" i="22" s="1"/>
  <c r="K55" i="22"/>
  <c r="L55" i="22"/>
  <c r="M55" i="22"/>
  <c r="M56" i="22" s="1"/>
  <c r="N55" i="22"/>
  <c r="O55" i="22"/>
  <c r="P55" i="22"/>
  <c r="Q55" i="22"/>
  <c r="R55" i="22"/>
  <c r="R56" i="22" s="1"/>
  <c r="S55" i="22"/>
  <c r="S56" i="22" s="1"/>
  <c r="T55" i="22"/>
  <c r="U55" i="22"/>
  <c r="U56" i="22" s="1"/>
  <c r="V55" i="22"/>
  <c r="W55" i="22"/>
  <c r="X55" i="22"/>
  <c r="Y55" i="22"/>
  <c r="Z55" i="22"/>
  <c r="Z56" i="22" s="1"/>
  <c r="AA55" i="22"/>
  <c r="AA56" i="22" s="1"/>
  <c r="AB55" i="22"/>
  <c r="AC55" i="22"/>
  <c r="AC56" i="22" s="1"/>
  <c r="AD55" i="22"/>
  <c r="AE55" i="22"/>
  <c r="G56" i="22"/>
  <c r="I56" i="22"/>
  <c r="Q56" i="22"/>
  <c r="T56" i="22"/>
  <c r="V56" i="22"/>
  <c r="W56" i="22"/>
  <c r="Y56" i="22"/>
  <c r="F59" i="22"/>
  <c r="G59" i="22"/>
  <c r="H59" i="22"/>
  <c r="I59" i="22"/>
  <c r="J59" i="22"/>
  <c r="K59" i="22"/>
  <c r="L59" i="22"/>
  <c r="M59" i="22"/>
  <c r="M61" i="22" s="1"/>
  <c r="N59" i="22"/>
  <c r="O59" i="22"/>
  <c r="P59" i="22"/>
  <c r="P61" i="22" s="1"/>
  <c r="Q59" i="22"/>
  <c r="R59" i="22"/>
  <c r="S59" i="22"/>
  <c r="T59" i="22"/>
  <c r="T61" i="22" s="1"/>
  <c r="U59" i="22"/>
  <c r="V59" i="22"/>
  <c r="W59" i="22"/>
  <c r="X59" i="22"/>
  <c r="X61" i="22" s="1"/>
  <c r="Y59" i="22"/>
  <c r="Z59" i="22"/>
  <c r="AA59" i="22"/>
  <c r="AA61" i="22" s="1"/>
  <c r="AB59" i="22"/>
  <c r="AC59" i="22"/>
  <c r="AC61" i="22" s="1"/>
  <c r="AD59" i="22"/>
  <c r="AE59" i="22"/>
  <c r="D60" i="22"/>
  <c r="F60" i="34" s="1"/>
  <c r="F60" i="22"/>
  <c r="F61" i="22" s="1"/>
  <c r="G60" i="22"/>
  <c r="H60" i="22"/>
  <c r="I60" i="22"/>
  <c r="I61" i="22" s="1"/>
  <c r="J60" i="22"/>
  <c r="K60" i="22"/>
  <c r="L60" i="22"/>
  <c r="M60" i="22"/>
  <c r="N60" i="22"/>
  <c r="N61" i="22" s="1"/>
  <c r="O60" i="22"/>
  <c r="O61" i="22" s="1"/>
  <c r="P60" i="22"/>
  <c r="Q60" i="22"/>
  <c r="Q61" i="22" s="1"/>
  <c r="R60" i="22"/>
  <c r="S60" i="22"/>
  <c r="T60" i="22"/>
  <c r="U60" i="22"/>
  <c r="V60" i="22"/>
  <c r="V61" i="22" s="1"/>
  <c r="W60" i="22"/>
  <c r="W61" i="22" s="1"/>
  <c r="X60" i="22"/>
  <c r="Y60" i="22"/>
  <c r="Y61" i="22" s="1"/>
  <c r="Z60" i="22"/>
  <c r="AA60" i="22"/>
  <c r="AB60" i="22"/>
  <c r="AC60" i="22"/>
  <c r="AD60" i="22"/>
  <c r="AD61" i="22" s="1"/>
  <c r="AE60" i="22"/>
  <c r="AE61" i="22" s="1"/>
  <c r="J61" i="22"/>
  <c r="K61" i="22"/>
  <c r="L61" i="22"/>
  <c r="R61" i="22"/>
  <c r="S61" i="22"/>
  <c r="U61" i="22"/>
  <c r="Z61" i="22"/>
  <c r="AB61" i="22"/>
  <c r="F64" i="22"/>
  <c r="G64" i="22"/>
  <c r="H64" i="22"/>
  <c r="I64" i="22"/>
  <c r="J64" i="22"/>
  <c r="K64" i="22"/>
  <c r="L64" i="22"/>
  <c r="M64" i="22"/>
  <c r="N64" i="22"/>
  <c r="N66" i="22" s="1"/>
  <c r="O64" i="22"/>
  <c r="P64" i="22"/>
  <c r="P66" i="22" s="1"/>
  <c r="Q64" i="22"/>
  <c r="Q66" i="22" s="1"/>
  <c r="R64" i="22"/>
  <c r="S64" i="22"/>
  <c r="T64" i="22"/>
  <c r="U64" i="22"/>
  <c r="V64" i="22"/>
  <c r="W64" i="22"/>
  <c r="W66" i="22" s="1"/>
  <c r="X64" i="22"/>
  <c r="X66" i="22" s="1"/>
  <c r="Y64" i="22"/>
  <c r="Y66" i="22" s="1"/>
  <c r="Z64" i="22"/>
  <c r="AA64" i="22"/>
  <c r="AB64" i="22"/>
  <c r="AC64" i="22"/>
  <c r="AD64" i="22"/>
  <c r="AE64" i="22"/>
  <c r="D65" i="22"/>
  <c r="F65" i="22"/>
  <c r="G65" i="22"/>
  <c r="H65" i="22"/>
  <c r="I65" i="22"/>
  <c r="J65" i="22"/>
  <c r="J66" i="22" s="1"/>
  <c r="K65" i="22"/>
  <c r="L65" i="22"/>
  <c r="M65" i="22"/>
  <c r="M66" i="22" s="1"/>
  <c r="N65" i="22"/>
  <c r="O65" i="22"/>
  <c r="P65" i="22"/>
  <c r="Q65" i="22"/>
  <c r="R65" i="22"/>
  <c r="R66" i="22" s="1"/>
  <c r="S65" i="22"/>
  <c r="S66" i="22" s="1"/>
  <c r="T65" i="22"/>
  <c r="T66" i="22" s="1"/>
  <c r="U65" i="22"/>
  <c r="U66" i="22" s="1"/>
  <c r="V65" i="22"/>
  <c r="W65" i="22"/>
  <c r="X65" i="22"/>
  <c r="Y65" i="22"/>
  <c r="Z65" i="22"/>
  <c r="Z66" i="22" s="1"/>
  <c r="AA65" i="22"/>
  <c r="AA66" i="22" s="1"/>
  <c r="AA82" i="22" s="1"/>
  <c r="Y644" i="44" s="1"/>
  <c r="AB65" i="22"/>
  <c r="AC65" i="22"/>
  <c r="AC66" i="22" s="1"/>
  <c r="AD65" i="22"/>
  <c r="AE65" i="22"/>
  <c r="F66" i="22"/>
  <c r="H66" i="22"/>
  <c r="I66" i="22"/>
  <c r="L66" i="22"/>
  <c r="O66" i="22"/>
  <c r="V66" i="22"/>
  <c r="AB66" i="22"/>
  <c r="AD66" i="22"/>
  <c r="AE66" i="22"/>
  <c r="F70" i="22"/>
  <c r="G70" i="22"/>
  <c r="H70" i="22"/>
  <c r="I70" i="22"/>
  <c r="J70" i="22"/>
  <c r="K70" i="22"/>
  <c r="L70" i="22"/>
  <c r="L72" i="22" s="1"/>
  <c r="M70" i="22"/>
  <c r="N70" i="22"/>
  <c r="O70" i="22"/>
  <c r="P70" i="22"/>
  <c r="Q70" i="22"/>
  <c r="R70" i="22"/>
  <c r="S70" i="22"/>
  <c r="S72" i="22" s="1"/>
  <c r="T70" i="22"/>
  <c r="U70" i="22"/>
  <c r="V70" i="22"/>
  <c r="W70" i="22"/>
  <c r="X70" i="22"/>
  <c r="Y70" i="22"/>
  <c r="Z70" i="22"/>
  <c r="Z72" i="22" s="1"/>
  <c r="AA70" i="22"/>
  <c r="AA72" i="22" s="1"/>
  <c r="AB70" i="22"/>
  <c r="AC70" i="22"/>
  <c r="AD70" i="22"/>
  <c r="AE70" i="22"/>
  <c r="F71" i="22"/>
  <c r="G71" i="22"/>
  <c r="H71" i="22"/>
  <c r="H72" i="22" s="1"/>
  <c r="I71" i="22"/>
  <c r="I72" i="22" s="1"/>
  <c r="J71" i="22"/>
  <c r="K71" i="22"/>
  <c r="L71" i="22"/>
  <c r="M71" i="22"/>
  <c r="N71" i="22"/>
  <c r="N72" i="22" s="1"/>
  <c r="O71" i="22"/>
  <c r="O72" i="22" s="1"/>
  <c r="P71" i="22"/>
  <c r="Q71" i="22"/>
  <c r="Q72" i="22" s="1"/>
  <c r="R71" i="22"/>
  <c r="S71" i="22"/>
  <c r="T71" i="22"/>
  <c r="U71" i="22"/>
  <c r="V71" i="22"/>
  <c r="V72" i="22" s="1"/>
  <c r="W71" i="22"/>
  <c r="W72" i="22" s="1"/>
  <c r="X71" i="22"/>
  <c r="X72" i="22" s="1"/>
  <c r="Y71" i="22"/>
  <c r="Y72" i="22" s="1"/>
  <c r="Z71" i="22"/>
  <c r="AA71" i="22"/>
  <c r="AB71" i="22"/>
  <c r="AC71" i="22"/>
  <c r="AD71" i="22"/>
  <c r="AD72" i="22" s="1"/>
  <c r="AE71" i="22"/>
  <c r="AE72" i="22" s="1"/>
  <c r="M72" i="22"/>
  <c r="P72" i="22"/>
  <c r="R72" i="22"/>
  <c r="T72" i="22"/>
  <c r="U72" i="22"/>
  <c r="AB72" i="22"/>
  <c r="AC72" i="22"/>
  <c r="F73" i="22"/>
  <c r="D73" i="22" s="1"/>
  <c r="F73" i="34" s="1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F76" i="22"/>
  <c r="G76" i="22"/>
  <c r="H76" i="22"/>
  <c r="I76" i="22"/>
  <c r="J76" i="22"/>
  <c r="K76" i="22"/>
  <c r="L76" i="22"/>
  <c r="D76" i="22" s="1"/>
  <c r="F76" i="34" s="1"/>
  <c r="H76" i="34" s="1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F78" i="22"/>
  <c r="G78" i="22"/>
  <c r="H78" i="22"/>
  <c r="I78" i="22"/>
  <c r="J78" i="22"/>
  <c r="D78" i="22" s="1"/>
  <c r="F78" i="34" s="1"/>
  <c r="H78" i="34" s="1"/>
  <c r="K78" i="22"/>
  <c r="L78" i="22"/>
  <c r="M78" i="22"/>
  <c r="E78" i="22" s="1"/>
  <c r="G78" i="34" s="1"/>
  <c r="I78" i="34" s="1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F80" i="22"/>
  <c r="G80" i="22"/>
  <c r="H80" i="22"/>
  <c r="I80" i="22"/>
  <c r="J80" i="22"/>
  <c r="K80" i="22"/>
  <c r="L80" i="22"/>
  <c r="D80" i="22" s="1"/>
  <c r="M80" i="22"/>
  <c r="E80" i="22" s="1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5" i="34"/>
  <c r="D11" i="34"/>
  <c r="E11" i="34"/>
  <c r="E12" i="34"/>
  <c r="G12" i="34"/>
  <c r="D13" i="34"/>
  <c r="D15" i="34"/>
  <c r="H15" i="34"/>
  <c r="D19" i="34"/>
  <c r="E20" i="34"/>
  <c r="E21" i="34"/>
  <c r="D23" i="34"/>
  <c r="G23" i="34"/>
  <c r="E27" i="34"/>
  <c r="E29" i="34" s="1"/>
  <c r="E28" i="34"/>
  <c r="E32" i="34"/>
  <c r="D33" i="34"/>
  <c r="G33" i="34"/>
  <c r="E34" i="34"/>
  <c r="D35" i="34"/>
  <c r="E35" i="34"/>
  <c r="E39" i="34"/>
  <c r="E41" i="34"/>
  <c r="D45" i="34"/>
  <c r="E47" i="34"/>
  <c r="D49" i="34"/>
  <c r="E49" i="34"/>
  <c r="G51" i="34"/>
  <c r="D54" i="34"/>
  <c r="D59" i="34"/>
  <c r="E59" i="34"/>
  <c r="E60" i="34"/>
  <c r="E61" i="34" s="1"/>
  <c r="D64" i="34"/>
  <c r="E65" i="34"/>
  <c r="F65" i="34"/>
  <c r="D71" i="34"/>
  <c r="E71" i="34"/>
  <c r="D74" i="34"/>
  <c r="E75" i="34"/>
  <c r="E76" i="34"/>
  <c r="E77" i="34"/>
  <c r="D78" i="34"/>
  <c r="E78" i="34"/>
  <c r="E79" i="34"/>
  <c r="F80" i="34"/>
  <c r="H80" i="34" s="1"/>
  <c r="G80" i="34"/>
  <c r="A5" i="17"/>
  <c r="F11" i="17"/>
  <c r="H11" i="17"/>
  <c r="L11" i="17" s="1"/>
  <c r="I11" i="17"/>
  <c r="H12" i="17"/>
  <c r="I12" i="17"/>
  <c r="M12" i="17" s="1"/>
  <c r="H13" i="17"/>
  <c r="I13" i="17"/>
  <c r="G13" i="17" s="1"/>
  <c r="M13" i="17"/>
  <c r="F14" i="17"/>
  <c r="G14" i="17"/>
  <c r="H14" i="17"/>
  <c r="I14" i="17"/>
  <c r="L14" i="17"/>
  <c r="M14" i="17"/>
  <c r="F15" i="17"/>
  <c r="G15" i="17"/>
  <c r="H15" i="17"/>
  <c r="L15" i="17" s="1"/>
  <c r="I15" i="17"/>
  <c r="M15" i="17" s="1"/>
  <c r="H16" i="17"/>
  <c r="I16" i="17"/>
  <c r="J16" i="17"/>
  <c r="K16" i="17"/>
  <c r="H18" i="17"/>
  <c r="I18" i="17"/>
  <c r="F19" i="17"/>
  <c r="H19" i="17"/>
  <c r="L19" i="17" s="1"/>
  <c r="I19" i="17"/>
  <c r="M19" i="17" s="1"/>
  <c r="H20" i="17"/>
  <c r="F20" i="17" s="1"/>
  <c r="I20" i="17"/>
  <c r="G20" i="17" s="1"/>
  <c r="M20" i="17"/>
  <c r="F21" i="17"/>
  <c r="G21" i="17"/>
  <c r="H21" i="17"/>
  <c r="I21" i="17"/>
  <c r="L21" i="17"/>
  <c r="M21" i="17"/>
  <c r="G22" i="17"/>
  <c r="H22" i="17"/>
  <c r="I22" i="17"/>
  <c r="M22" i="17" s="1"/>
  <c r="F23" i="17"/>
  <c r="H23" i="17"/>
  <c r="L23" i="17" s="1"/>
  <c r="I23" i="17"/>
  <c r="M23" i="17" s="1"/>
  <c r="J24" i="17"/>
  <c r="K24" i="17"/>
  <c r="H27" i="17"/>
  <c r="F27" i="17" s="1"/>
  <c r="F29" i="17" s="1"/>
  <c r="I27" i="17"/>
  <c r="M27" i="17"/>
  <c r="M29" i="17" s="1"/>
  <c r="F28" i="17"/>
  <c r="G28" i="17"/>
  <c r="H28" i="17"/>
  <c r="I28" i="17"/>
  <c r="L28" i="17"/>
  <c r="M28" i="17"/>
  <c r="H29" i="17"/>
  <c r="J29" i="17"/>
  <c r="K29" i="17"/>
  <c r="G32" i="17"/>
  <c r="H32" i="17"/>
  <c r="I32" i="17"/>
  <c r="M32" i="17" s="1"/>
  <c r="F33" i="17"/>
  <c r="G33" i="17"/>
  <c r="G36" i="17" s="1"/>
  <c r="H33" i="17"/>
  <c r="I33" i="17"/>
  <c r="L33" i="17"/>
  <c r="H34" i="17"/>
  <c r="F34" i="17" s="1"/>
  <c r="I34" i="17"/>
  <c r="G34" i="17" s="1"/>
  <c r="L34" i="17"/>
  <c r="F35" i="17"/>
  <c r="G35" i="17"/>
  <c r="H35" i="17"/>
  <c r="I35" i="17"/>
  <c r="L35" i="17"/>
  <c r="M35" i="17"/>
  <c r="H36" i="17"/>
  <c r="J36" i="17"/>
  <c r="K36" i="17"/>
  <c r="L37" i="17"/>
  <c r="M37" i="17"/>
  <c r="H38" i="17"/>
  <c r="I38" i="17"/>
  <c r="H39" i="17"/>
  <c r="F39" i="17" s="1"/>
  <c r="I39" i="17"/>
  <c r="G39" i="17" s="1"/>
  <c r="L39" i="17"/>
  <c r="F40" i="17"/>
  <c r="G40" i="17"/>
  <c r="H40" i="17"/>
  <c r="I40" i="17"/>
  <c r="L40" i="17"/>
  <c r="M40" i="17"/>
  <c r="G41" i="17"/>
  <c r="H41" i="17"/>
  <c r="I41" i="17"/>
  <c r="M41" i="17" s="1"/>
  <c r="G42" i="17"/>
  <c r="I42" i="17"/>
  <c r="J42" i="17"/>
  <c r="J43" i="17" s="1"/>
  <c r="K42" i="17"/>
  <c r="G43" i="17"/>
  <c r="I43" i="17"/>
  <c r="K43" i="17"/>
  <c r="H45" i="17"/>
  <c r="I45" i="17"/>
  <c r="H47" i="17"/>
  <c r="I47" i="17"/>
  <c r="G47" i="17" s="1"/>
  <c r="M47" i="17"/>
  <c r="F49" i="17"/>
  <c r="G49" i="17"/>
  <c r="H49" i="17"/>
  <c r="I49" i="17"/>
  <c r="L49" i="17"/>
  <c r="M49" i="17"/>
  <c r="F51" i="17"/>
  <c r="G51" i="17"/>
  <c r="H51" i="17"/>
  <c r="L51" i="17" s="1"/>
  <c r="I51" i="17"/>
  <c r="M51" i="17" s="1"/>
  <c r="F54" i="17"/>
  <c r="G54" i="17"/>
  <c r="G56" i="17" s="1"/>
  <c r="H54" i="17"/>
  <c r="I54" i="17"/>
  <c r="H55" i="17"/>
  <c r="F55" i="17" s="1"/>
  <c r="I55" i="17"/>
  <c r="G55" i="17" s="1"/>
  <c r="L55" i="17"/>
  <c r="M55" i="17"/>
  <c r="F56" i="17"/>
  <c r="J56" i="17"/>
  <c r="K56" i="17"/>
  <c r="F59" i="17"/>
  <c r="G59" i="17"/>
  <c r="H59" i="17"/>
  <c r="I59" i="17"/>
  <c r="L59" i="17"/>
  <c r="L61" i="17" s="1"/>
  <c r="M59" i="17"/>
  <c r="F60" i="17"/>
  <c r="G60" i="17"/>
  <c r="H60" i="17"/>
  <c r="L60" i="17" s="1"/>
  <c r="I60" i="17"/>
  <c r="M60" i="17" s="1"/>
  <c r="F61" i="17"/>
  <c r="G61" i="17"/>
  <c r="H61" i="17"/>
  <c r="I61" i="17"/>
  <c r="J61" i="17"/>
  <c r="K61" i="17"/>
  <c r="G64" i="17"/>
  <c r="G66" i="17" s="1"/>
  <c r="H64" i="17"/>
  <c r="I64" i="17"/>
  <c r="L64" i="17"/>
  <c r="L66" i="17" s="1"/>
  <c r="H65" i="17"/>
  <c r="F65" i="17" s="1"/>
  <c r="I65" i="17"/>
  <c r="G65" i="17" s="1"/>
  <c r="L65" i="17"/>
  <c r="J66" i="17"/>
  <c r="K66" i="17"/>
  <c r="L69" i="17"/>
  <c r="M69" i="17"/>
  <c r="H70" i="17"/>
  <c r="F70" i="17" s="1"/>
  <c r="I70" i="17"/>
  <c r="L70" i="17"/>
  <c r="L72" i="17" s="1"/>
  <c r="F71" i="17"/>
  <c r="G71" i="17"/>
  <c r="H71" i="17"/>
  <c r="L71" i="17" s="1"/>
  <c r="I71" i="17"/>
  <c r="M71" i="17"/>
  <c r="F72" i="17"/>
  <c r="H72" i="17"/>
  <c r="J72" i="17"/>
  <c r="K72" i="17"/>
  <c r="G73" i="17"/>
  <c r="H73" i="17"/>
  <c r="I73" i="17"/>
  <c r="M73" i="17" s="1"/>
  <c r="H74" i="17"/>
  <c r="I74" i="17"/>
  <c r="G74" i="17" s="1"/>
  <c r="M74" i="17"/>
  <c r="H75" i="17"/>
  <c r="F75" i="17" s="1"/>
  <c r="I75" i="17"/>
  <c r="G75" i="17" s="1"/>
  <c r="M75" i="17"/>
  <c r="F76" i="17"/>
  <c r="G76" i="17"/>
  <c r="H76" i="17"/>
  <c r="L76" i="17" s="1"/>
  <c r="I76" i="17"/>
  <c r="M76" i="17"/>
  <c r="H77" i="17"/>
  <c r="F77" i="17" s="1"/>
  <c r="I77" i="17"/>
  <c r="L77" i="17"/>
  <c r="G78" i="17"/>
  <c r="H78" i="17"/>
  <c r="F78" i="17" s="1"/>
  <c r="I78" i="17"/>
  <c r="L78" i="17"/>
  <c r="M78" i="17"/>
  <c r="F79" i="17"/>
  <c r="H79" i="17"/>
  <c r="L79" i="17" s="1"/>
  <c r="I79" i="17"/>
  <c r="G79" i="17" s="1"/>
  <c r="M79" i="17"/>
  <c r="G80" i="17"/>
  <c r="H80" i="17"/>
  <c r="F80" i="17" s="1"/>
  <c r="I80" i="17"/>
  <c r="M80" i="17"/>
  <c r="F81" i="17"/>
  <c r="H81" i="17"/>
  <c r="I81" i="17"/>
  <c r="L81" i="17"/>
  <c r="D82" i="17"/>
  <c r="E82" i="17"/>
  <c r="A5" i="29"/>
  <c r="H8" i="29"/>
  <c r="J8" i="29"/>
  <c r="L8" i="29"/>
  <c r="N8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X11" i="29"/>
  <c r="Y11" i="29"/>
  <c r="Y16" i="29" s="1"/>
  <c r="Z11" i="29"/>
  <c r="Z16" i="29" s="1"/>
  <c r="AA11" i="29"/>
  <c r="AB11" i="29"/>
  <c r="AC11" i="29"/>
  <c r="AD11" i="29"/>
  <c r="AE11" i="29"/>
  <c r="F12" i="29"/>
  <c r="G12" i="29"/>
  <c r="H12" i="29"/>
  <c r="I12" i="29"/>
  <c r="J12" i="29"/>
  <c r="K12" i="29"/>
  <c r="L12" i="29"/>
  <c r="M12" i="29"/>
  <c r="M16" i="29" s="1"/>
  <c r="N12" i="29"/>
  <c r="O12" i="29"/>
  <c r="P12" i="29"/>
  <c r="Q12" i="29"/>
  <c r="R12" i="29"/>
  <c r="S12" i="29"/>
  <c r="T12" i="29"/>
  <c r="U12" i="29"/>
  <c r="V12" i="29"/>
  <c r="V16" i="29" s="1"/>
  <c r="W12" i="29"/>
  <c r="X12" i="29"/>
  <c r="Y12" i="29"/>
  <c r="Z12" i="29"/>
  <c r="AA12" i="29"/>
  <c r="AB12" i="29"/>
  <c r="AC12" i="29"/>
  <c r="AC16" i="29" s="1"/>
  <c r="AD12" i="29"/>
  <c r="AE12" i="29"/>
  <c r="F13" i="29"/>
  <c r="D13" i="29" s="1"/>
  <c r="F13" i="41" s="1"/>
  <c r="H13" i="41" s="1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S16" i="29" s="1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F14" i="29"/>
  <c r="G14" i="29"/>
  <c r="H14" i="29"/>
  <c r="I14" i="29"/>
  <c r="J14" i="29"/>
  <c r="K14" i="29"/>
  <c r="L14" i="29"/>
  <c r="D14" i="29" s="1"/>
  <c r="F14" i="41" s="1"/>
  <c r="M14" i="29"/>
  <c r="N14" i="29"/>
  <c r="O14" i="29"/>
  <c r="O16" i="29" s="1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F15" i="29"/>
  <c r="D15" i="29" s="1"/>
  <c r="F15" i="41" s="1"/>
  <c r="H15" i="41" s="1"/>
  <c r="G15" i="29"/>
  <c r="H15" i="29"/>
  <c r="I15" i="29"/>
  <c r="J15" i="29"/>
  <c r="K15" i="29"/>
  <c r="L15" i="29"/>
  <c r="M15" i="29"/>
  <c r="N15" i="29"/>
  <c r="O15" i="29"/>
  <c r="P15" i="29"/>
  <c r="P16" i="29" s="1"/>
  <c r="Q15" i="29"/>
  <c r="R15" i="29"/>
  <c r="S15" i="29"/>
  <c r="T15" i="29"/>
  <c r="U15" i="29"/>
  <c r="V15" i="29"/>
  <c r="W15" i="29"/>
  <c r="X15" i="29"/>
  <c r="X16" i="29" s="1"/>
  <c r="Y15" i="29"/>
  <c r="Z15" i="29"/>
  <c r="AA15" i="29"/>
  <c r="AB15" i="29"/>
  <c r="AC15" i="29"/>
  <c r="AD15" i="29"/>
  <c r="AE15" i="29"/>
  <c r="F19" i="29"/>
  <c r="F24" i="29" s="1"/>
  <c r="G19" i="29"/>
  <c r="H19" i="29"/>
  <c r="I19" i="29"/>
  <c r="J19" i="29"/>
  <c r="K19" i="29"/>
  <c r="L19" i="29"/>
  <c r="L24" i="29" s="1"/>
  <c r="M19" i="29"/>
  <c r="M24" i="29" s="1"/>
  <c r="N19" i="29"/>
  <c r="N24" i="29" s="1"/>
  <c r="O19" i="29"/>
  <c r="P19" i="29"/>
  <c r="Q19" i="29"/>
  <c r="Q24" i="29" s="1"/>
  <c r="T19" i="29"/>
  <c r="U19" i="29"/>
  <c r="U24" i="29" s="1"/>
  <c r="V19" i="29"/>
  <c r="V24" i="29" s="1"/>
  <c r="W19" i="29"/>
  <c r="W24" i="29" s="1"/>
  <c r="X19" i="29"/>
  <c r="X24" i="29" s="1"/>
  <c r="Y19" i="29"/>
  <c r="Z19" i="29"/>
  <c r="AA19" i="29"/>
  <c r="AB19" i="29"/>
  <c r="AC19" i="29"/>
  <c r="AC24" i="29" s="1"/>
  <c r="AD19" i="29"/>
  <c r="AD24" i="29" s="1"/>
  <c r="AE19" i="29"/>
  <c r="F20" i="29"/>
  <c r="G20" i="29"/>
  <c r="H20" i="29"/>
  <c r="I20" i="29"/>
  <c r="J20" i="29"/>
  <c r="K20" i="29"/>
  <c r="L20" i="29"/>
  <c r="D20" i="29" s="1"/>
  <c r="F20" i="41" s="1"/>
  <c r="H20" i="41" s="1"/>
  <c r="M20" i="29"/>
  <c r="N20" i="29"/>
  <c r="O20" i="29"/>
  <c r="P20" i="29"/>
  <c r="Q20" i="29"/>
  <c r="R20" i="29"/>
  <c r="S20" i="29"/>
  <c r="S24" i="29" s="1"/>
  <c r="T20" i="29"/>
  <c r="T24" i="29" s="1"/>
  <c r="U20" i="29"/>
  <c r="V20" i="29"/>
  <c r="W20" i="29"/>
  <c r="X20" i="29"/>
  <c r="Y20" i="29"/>
  <c r="Z20" i="29"/>
  <c r="AA20" i="29"/>
  <c r="AA24" i="29" s="1"/>
  <c r="AB20" i="29"/>
  <c r="AB24" i="29" s="1"/>
  <c r="AC20" i="29"/>
  <c r="AD20" i="29"/>
  <c r="AE20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F23" i="29"/>
  <c r="G23" i="29"/>
  <c r="H23" i="29"/>
  <c r="I23" i="29"/>
  <c r="J23" i="29"/>
  <c r="K23" i="29"/>
  <c r="L23" i="29"/>
  <c r="M23" i="29"/>
  <c r="N23" i="29"/>
  <c r="O23" i="29"/>
  <c r="O24" i="29" s="1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I24" i="29"/>
  <c r="P24" i="29"/>
  <c r="Y24" i="29"/>
  <c r="AE24" i="29"/>
  <c r="F27" i="29"/>
  <c r="G27" i="29"/>
  <c r="H27" i="29"/>
  <c r="H29" i="29" s="1"/>
  <c r="I27" i="29"/>
  <c r="J27" i="29"/>
  <c r="K27" i="29"/>
  <c r="L27" i="29"/>
  <c r="L29" i="29" s="1"/>
  <c r="M27" i="29"/>
  <c r="N27" i="29"/>
  <c r="N29" i="29" s="1"/>
  <c r="O27" i="29"/>
  <c r="P27" i="29"/>
  <c r="Q27" i="29"/>
  <c r="R27" i="29"/>
  <c r="S27" i="29"/>
  <c r="S29" i="29" s="1"/>
  <c r="T27" i="29"/>
  <c r="T29" i="29" s="1"/>
  <c r="U27" i="29"/>
  <c r="U29" i="29" s="1"/>
  <c r="V27" i="29"/>
  <c r="V29" i="29" s="1"/>
  <c r="W27" i="29"/>
  <c r="X27" i="29"/>
  <c r="Y27" i="29"/>
  <c r="Z27" i="29"/>
  <c r="AA27" i="29"/>
  <c r="AA29" i="29" s="1"/>
  <c r="AB27" i="29"/>
  <c r="AB29" i="29" s="1"/>
  <c r="AC27" i="29"/>
  <c r="AC29" i="29" s="1"/>
  <c r="AD27" i="29"/>
  <c r="AD29" i="29" s="1"/>
  <c r="AE27" i="29"/>
  <c r="F28" i="29"/>
  <c r="G28" i="29"/>
  <c r="H28" i="29"/>
  <c r="I28" i="29"/>
  <c r="I29" i="29" s="1"/>
  <c r="J28" i="29"/>
  <c r="J29" i="29" s="1"/>
  <c r="K28" i="29"/>
  <c r="L28" i="29"/>
  <c r="M28" i="29"/>
  <c r="N28" i="29"/>
  <c r="O28" i="29"/>
  <c r="P28" i="29"/>
  <c r="Q28" i="29"/>
  <c r="Q29" i="29" s="1"/>
  <c r="R28" i="29"/>
  <c r="R29" i="29" s="1"/>
  <c r="S28" i="29"/>
  <c r="T28" i="29"/>
  <c r="U28" i="29"/>
  <c r="V28" i="29"/>
  <c r="W28" i="29"/>
  <c r="X28" i="29"/>
  <c r="Y28" i="29"/>
  <c r="Y29" i="29" s="1"/>
  <c r="Z28" i="29"/>
  <c r="AA28" i="29"/>
  <c r="AB28" i="29"/>
  <c r="AC28" i="29"/>
  <c r="AD28" i="29"/>
  <c r="AE28" i="29"/>
  <c r="F29" i="29"/>
  <c r="G29" i="29"/>
  <c r="M29" i="29"/>
  <c r="O29" i="29"/>
  <c r="P29" i="29"/>
  <c r="W29" i="29"/>
  <c r="X29" i="29"/>
  <c r="Z29" i="29"/>
  <c r="AE29" i="29"/>
  <c r="F32" i="29"/>
  <c r="G32" i="29"/>
  <c r="H32" i="29"/>
  <c r="I32" i="29"/>
  <c r="J32" i="29"/>
  <c r="K32" i="29"/>
  <c r="L32" i="29"/>
  <c r="L36" i="29" s="1"/>
  <c r="M32" i="29"/>
  <c r="N32" i="29"/>
  <c r="P32" i="29"/>
  <c r="P36" i="29" s="1"/>
  <c r="R32" i="29"/>
  <c r="T32" i="29"/>
  <c r="U32" i="29"/>
  <c r="V32" i="29"/>
  <c r="W32" i="29"/>
  <c r="W36" i="29" s="1"/>
  <c r="X32" i="29"/>
  <c r="Y32" i="29"/>
  <c r="Z32" i="29"/>
  <c r="AA32" i="29"/>
  <c r="AB32" i="29"/>
  <c r="AC32" i="29"/>
  <c r="AD32" i="29"/>
  <c r="AE32" i="29"/>
  <c r="AE36" i="29" s="1"/>
  <c r="F33" i="29"/>
  <c r="G33" i="29"/>
  <c r="E33" i="29" s="1"/>
  <c r="G33" i="41" s="1"/>
  <c r="I33" i="41" s="1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V36" i="29" s="1"/>
  <c r="W33" i="29"/>
  <c r="X33" i="29"/>
  <c r="Y33" i="29"/>
  <c r="Z33" i="29"/>
  <c r="AA33" i="29"/>
  <c r="AB33" i="29"/>
  <c r="AC33" i="29"/>
  <c r="AD33" i="29"/>
  <c r="AD36" i="29" s="1"/>
  <c r="AE33" i="29"/>
  <c r="F34" i="29"/>
  <c r="G34" i="29"/>
  <c r="H34" i="29"/>
  <c r="I34" i="29"/>
  <c r="J34" i="29"/>
  <c r="J36" i="29" s="1"/>
  <c r="K34" i="29"/>
  <c r="L34" i="29"/>
  <c r="M34" i="29"/>
  <c r="N34" i="29"/>
  <c r="O34" i="29"/>
  <c r="P34" i="29"/>
  <c r="Q34" i="29"/>
  <c r="Q36" i="29" s="1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F35" i="29"/>
  <c r="G35" i="29"/>
  <c r="H35" i="29"/>
  <c r="I35" i="29"/>
  <c r="J35" i="29"/>
  <c r="K35" i="29"/>
  <c r="L35" i="29"/>
  <c r="M35" i="29"/>
  <c r="E35" i="29" s="1"/>
  <c r="G35" i="41" s="1"/>
  <c r="N35" i="29"/>
  <c r="O35" i="29"/>
  <c r="P35" i="29"/>
  <c r="Q35" i="29"/>
  <c r="R35" i="29"/>
  <c r="S35" i="29"/>
  <c r="T35" i="29"/>
  <c r="U35" i="29"/>
  <c r="U36" i="29" s="1"/>
  <c r="V35" i="29"/>
  <c r="W35" i="29"/>
  <c r="X35" i="29"/>
  <c r="Y35" i="29"/>
  <c r="Z35" i="29"/>
  <c r="AA35" i="29"/>
  <c r="AB35" i="29"/>
  <c r="AC35" i="29"/>
  <c r="AC36" i="29" s="1"/>
  <c r="AD35" i="29"/>
  <c r="AE35" i="29"/>
  <c r="K36" i="29"/>
  <c r="M36" i="29"/>
  <c r="S36" i="29"/>
  <c r="T36" i="29"/>
  <c r="AB36" i="29"/>
  <c r="F39" i="29"/>
  <c r="G39" i="29"/>
  <c r="E39" i="29" s="1"/>
  <c r="G39" i="41" s="1"/>
  <c r="H39" i="29"/>
  <c r="I39" i="29"/>
  <c r="J39" i="29"/>
  <c r="K39" i="29"/>
  <c r="L39" i="29"/>
  <c r="M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F40" i="29"/>
  <c r="G40" i="29"/>
  <c r="H40" i="29"/>
  <c r="I40" i="29"/>
  <c r="J40" i="29"/>
  <c r="K40" i="29"/>
  <c r="L40" i="29"/>
  <c r="M40" i="29"/>
  <c r="N40" i="29"/>
  <c r="O40" i="29"/>
  <c r="O42" i="29" s="1"/>
  <c r="O43" i="29" s="1"/>
  <c r="P40" i="29"/>
  <c r="P42" i="29" s="1"/>
  <c r="Q40" i="29"/>
  <c r="R40" i="29"/>
  <c r="S40" i="29"/>
  <c r="T40" i="29"/>
  <c r="U40" i="29"/>
  <c r="U42" i="29" s="1"/>
  <c r="U43" i="29" s="1"/>
  <c r="V40" i="29"/>
  <c r="W40" i="29"/>
  <c r="W42" i="29" s="1"/>
  <c r="W43" i="29" s="1"/>
  <c r="X40" i="29"/>
  <c r="X42" i="29" s="1"/>
  <c r="X43" i="29" s="1"/>
  <c r="Y40" i="29"/>
  <c r="Z40" i="29"/>
  <c r="AA40" i="29"/>
  <c r="AB40" i="29"/>
  <c r="AC40" i="29"/>
  <c r="AD40" i="29"/>
  <c r="AE40" i="29"/>
  <c r="AE42" i="29" s="1"/>
  <c r="AE43" i="29" s="1"/>
  <c r="D41" i="29"/>
  <c r="F41" i="41" s="1"/>
  <c r="H41" i="41" s="1"/>
  <c r="F41" i="29"/>
  <c r="G41" i="29"/>
  <c r="H41" i="29"/>
  <c r="I41" i="29"/>
  <c r="J41" i="29"/>
  <c r="J42" i="29" s="1"/>
  <c r="K41" i="29"/>
  <c r="L41" i="29"/>
  <c r="M41" i="29"/>
  <c r="M42" i="29" s="1"/>
  <c r="M43" i="29" s="1"/>
  <c r="N41" i="29"/>
  <c r="O41" i="29"/>
  <c r="P41" i="29"/>
  <c r="Q41" i="29"/>
  <c r="R41" i="29"/>
  <c r="R42" i="29" s="1"/>
  <c r="S41" i="29"/>
  <c r="S42" i="29" s="1"/>
  <c r="S43" i="29" s="1"/>
  <c r="T41" i="29"/>
  <c r="U41" i="29"/>
  <c r="V41" i="29"/>
  <c r="W41" i="29"/>
  <c r="X41" i="29"/>
  <c r="Y41" i="29"/>
  <c r="Z41" i="29"/>
  <c r="Z42" i="29" s="1"/>
  <c r="AA41" i="29"/>
  <c r="AB41" i="29"/>
  <c r="AB42" i="29" s="1"/>
  <c r="AC41" i="29"/>
  <c r="AC42" i="29" s="1"/>
  <c r="AC43" i="29" s="1"/>
  <c r="AD41" i="29"/>
  <c r="AE41" i="29"/>
  <c r="F42" i="29"/>
  <c r="I42" i="29"/>
  <c r="K42" i="29"/>
  <c r="K43" i="29" s="1"/>
  <c r="N42" i="29"/>
  <c r="N43" i="29" s="1"/>
  <c r="Q42" i="29"/>
  <c r="T42" i="29"/>
  <c r="T43" i="29" s="1"/>
  <c r="V42" i="29"/>
  <c r="V43" i="29" s="1"/>
  <c r="Y42" i="29"/>
  <c r="Y43" i="29" s="1"/>
  <c r="AA42" i="29"/>
  <c r="AA43" i="29" s="1"/>
  <c r="AD42" i="29"/>
  <c r="AD43" i="29" s="1"/>
  <c r="I43" i="29"/>
  <c r="J43" i="29"/>
  <c r="P43" i="29"/>
  <c r="Q43" i="29"/>
  <c r="R43" i="29"/>
  <c r="Z43" i="29"/>
  <c r="AB43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F47" i="29"/>
  <c r="G47" i="29"/>
  <c r="H47" i="29"/>
  <c r="I47" i="29"/>
  <c r="J47" i="29"/>
  <c r="K47" i="29"/>
  <c r="E47" i="29" s="1"/>
  <c r="G47" i="41" s="1"/>
  <c r="I47" i="41" s="1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F49" i="29"/>
  <c r="G49" i="29"/>
  <c r="H49" i="29"/>
  <c r="I49" i="29"/>
  <c r="J49" i="29"/>
  <c r="K49" i="29"/>
  <c r="L49" i="29"/>
  <c r="M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F54" i="29"/>
  <c r="F56" i="29" s="1"/>
  <c r="G54" i="29"/>
  <c r="H54" i="29"/>
  <c r="I54" i="29"/>
  <c r="I56" i="29" s="1"/>
  <c r="J54" i="29"/>
  <c r="K54" i="29"/>
  <c r="K56" i="29" s="1"/>
  <c r="L54" i="29"/>
  <c r="L56" i="29" s="1"/>
  <c r="M54" i="29"/>
  <c r="E54" i="29" s="1"/>
  <c r="N54" i="29"/>
  <c r="O54" i="29"/>
  <c r="P54" i="29"/>
  <c r="Q54" i="29"/>
  <c r="R54" i="29"/>
  <c r="S54" i="29"/>
  <c r="T54" i="29"/>
  <c r="T56" i="29" s="1"/>
  <c r="U54" i="29"/>
  <c r="U56" i="29" s="1"/>
  <c r="V54" i="29"/>
  <c r="V56" i="29" s="1"/>
  <c r="W54" i="29"/>
  <c r="X54" i="29"/>
  <c r="Y54" i="29"/>
  <c r="Z54" i="29"/>
  <c r="AA54" i="29"/>
  <c r="AB54" i="29"/>
  <c r="AB56" i="29" s="1"/>
  <c r="AC54" i="29"/>
  <c r="AC56" i="29" s="1"/>
  <c r="AD54" i="29"/>
  <c r="AE54" i="29"/>
  <c r="F55" i="29"/>
  <c r="G55" i="29"/>
  <c r="H55" i="29"/>
  <c r="I55" i="29"/>
  <c r="J55" i="29"/>
  <c r="J56" i="29" s="1"/>
  <c r="K55" i="29"/>
  <c r="L55" i="29"/>
  <c r="M55" i="29"/>
  <c r="N55" i="29"/>
  <c r="O55" i="29"/>
  <c r="P55" i="29"/>
  <c r="R55" i="29"/>
  <c r="R56" i="29" s="1"/>
  <c r="S55" i="29"/>
  <c r="T55" i="29"/>
  <c r="U55" i="29"/>
  <c r="V55" i="29"/>
  <c r="W55" i="29"/>
  <c r="X55" i="29"/>
  <c r="X56" i="29" s="1"/>
  <c r="Y55" i="29"/>
  <c r="Z55" i="29"/>
  <c r="Z56" i="29" s="1"/>
  <c r="AA55" i="29"/>
  <c r="AB55" i="29"/>
  <c r="AC55" i="29"/>
  <c r="AD55" i="29"/>
  <c r="AE55" i="29"/>
  <c r="G56" i="29"/>
  <c r="M56" i="29"/>
  <c r="N56" i="29"/>
  <c r="O56" i="29"/>
  <c r="Q56" i="29"/>
  <c r="W56" i="29"/>
  <c r="Y56" i="29"/>
  <c r="AD56" i="29"/>
  <c r="AE56" i="29"/>
  <c r="F59" i="29"/>
  <c r="G59" i="29"/>
  <c r="H59" i="29"/>
  <c r="I59" i="29"/>
  <c r="J59" i="29"/>
  <c r="K59" i="29"/>
  <c r="L59" i="29"/>
  <c r="M59" i="29"/>
  <c r="M61" i="29" s="1"/>
  <c r="N59" i="29"/>
  <c r="O59" i="29"/>
  <c r="P59" i="29"/>
  <c r="Q59" i="29"/>
  <c r="R59" i="29"/>
  <c r="R61" i="29" s="1"/>
  <c r="S59" i="29"/>
  <c r="T59" i="29"/>
  <c r="T61" i="29" s="1"/>
  <c r="U59" i="29"/>
  <c r="V59" i="29"/>
  <c r="W59" i="29"/>
  <c r="X59" i="29"/>
  <c r="Y59" i="29"/>
  <c r="Z59" i="29"/>
  <c r="AA59" i="29"/>
  <c r="AA61" i="29" s="1"/>
  <c r="AB59" i="29"/>
  <c r="AB61" i="29" s="1"/>
  <c r="AC59" i="29"/>
  <c r="AC61" i="29" s="1"/>
  <c r="AD59" i="29"/>
  <c r="AE59" i="29"/>
  <c r="F60" i="29"/>
  <c r="G60" i="29"/>
  <c r="H60" i="29"/>
  <c r="H61" i="29" s="1"/>
  <c r="I60" i="29"/>
  <c r="I61" i="29" s="1"/>
  <c r="J60" i="29"/>
  <c r="K60" i="29"/>
  <c r="L60" i="29"/>
  <c r="M60" i="29"/>
  <c r="N60" i="29"/>
  <c r="N61" i="29" s="1"/>
  <c r="O60" i="29"/>
  <c r="O61" i="29" s="1"/>
  <c r="P60" i="29"/>
  <c r="P61" i="29" s="1"/>
  <c r="Q60" i="29"/>
  <c r="Q61" i="29" s="1"/>
  <c r="R60" i="29"/>
  <c r="S60" i="29"/>
  <c r="T60" i="29"/>
  <c r="U60" i="29"/>
  <c r="V60" i="29"/>
  <c r="V61" i="29" s="1"/>
  <c r="W60" i="29"/>
  <c r="W61" i="29" s="1"/>
  <c r="X60" i="29"/>
  <c r="X61" i="29" s="1"/>
  <c r="Y60" i="29"/>
  <c r="Y61" i="29" s="1"/>
  <c r="Z60" i="29"/>
  <c r="AA60" i="29"/>
  <c r="AB60" i="29"/>
  <c r="AC60" i="29"/>
  <c r="AD60" i="29"/>
  <c r="AD61" i="29" s="1"/>
  <c r="AE60" i="29"/>
  <c r="AE61" i="29" s="1"/>
  <c r="J61" i="29"/>
  <c r="S61" i="29"/>
  <c r="U61" i="29"/>
  <c r="Z61" i="29"/>
  <c r="F64" i="29"/>
  <c r="G64" i="29"/>
  <c r="H64" i="29"/>
  <c r="H66" i="29" s="1"/>
  <c r="I64" i="29"/>
  <c r="I66" i="29" s="1"/>
  <c r="J64" i="29"/>
  <c r="K64" i="29"/>
  <c r="L64" i="29"/>
  <c r="M64" i="29"/>
  <c r="N64" i="29"/>
  <c r="O64" i="29"/>
  <c r="P64" i="29"/>
  <c r="P66" i="29" s="1"/>
  <c r="Q64" i="29"/>
  <c r="Q66" i="29" s="1"/>
  <c r="R64" i="29"/>
  <c r="S64" i="29"/>
  <c r="T64" i="29"/>
  <c r="U64" i="29"/>
  <c r="V64" i="29"/>
  <c r="W64" i="29"/>
  <c r="W66" i="29" s="1"/>
  <c r="X64" i="29"/>
  <c r="X66" i="29" s="1"/>
  <c r="Y64" i="29"/>
  <c r="Z64" i="29"/>
  <c r="AA64" i="29"/>
  <c r="AB64" i="29"/>
  <c r="AC64" i="29"/>
  <c r="AD64" i="29"/>
  <c r="AE64" i="29"/>
  <c r="F65" i="29"/>
  <c r="G65" i="29"/>
  <c r="H65" i="29"/>
  <c r="I65" i="29"/>
  <c r="J65" i="29"/>
  <c r="J66" i="29" s="1"/>
  <c r="K65" i="29"/>
  <c r="K66" i="29" s="1"/>
  <c r="L65" i="29"/>
  <c r="L66" i="29" s="1"/>
  <c r="M65" i="29"/>
  <c r="M66" i="29" s="1"/>
  <c r="N65" i="29"/>
  <c r="O65" i="29"/>
  <c r="P65" i="29"/>
  <c r="Q65" i="29"/>
  <c r="R65" i="29"/>
  <c r="R66" i="29" s="1"/>
  <c r="S65" i="29"/>
  <c r="S66" i="29" s="1"/>
  <c r="T65" i="29"/>
  <c r="T66" i="29" s="1"/>
  <c r="U65" i="29"/>
  <c r="U66" i="29" s="1"/>
  <c r="V65" i="29"/>
  <c r="W65" i="29"/>
  <c r="X65" i="29"/>
  <c r="Y65" i="29"/>
  <c r="Z65" i="29"/>
  <c r="Z66" i="29" s="1"/>
  <c r="AA65" i="29"/>
  <c r="AA66" i="29" s="1"/>
  <c r="AB65" i="29"/>
  <c r="AB66" i="29" s="1"/>
  <c r="AC65" i="29"/>
  <c r="AC66" i="29" s="1"/>
  <c r="AD65" i="29"/>
  <c r="AE65" i="29"/>
  <c r="F66" i="29"/>
  <c r="N66" i="29"/>
  <c r="O66" i="29"/>
  <c r="V66" i="29"/>
  <c r="Y66" i="29"/>
  <c r="AD66" i="29"/>
  <c r="AE66" i="29"/>
  <c r="F70" i="29"/>
  <c r="G70" i="29"/>
  <c r="G72" i="29" s="1"/>
  <c r="H70" i="29"/>
  <c r="I70" i="29"/>
  <c r="J70" i="29"/>
  <c r="L70" i="29"/>
  <c r="L72" i="29" s="1"/>
  <c r="M70" i="29"/>
  <c r="N70" i="29"/>
  <c r="N72" i="29" s="1"/>
  <c r="O70" i="29"/>
  <c r="P70" i="29"/>
  <c r="Q70" i="29"/>
  <c r="R70" i="29"/>
  <c r="S70" i="29"/>
  <c r="S72" i="29" s="1"/>
  <c r="T70" i="29"/>
  <c r="T72" i="29" s="1"/>
  <c r="U70" i="29"/>
  <c r="V70" i="29"/>
  <c r="W70" i="29"/>
  <c r="X70" i="29"/>
  <c r="Y70" i="29"/>
  <c r="Z70" i="29"/>
  <c r="AA70" i="29"/>
  <c r="AA72" i="29" s="1"/>
  <c r="AB70" i="29"/>
  <c r="AB72" i="29" s="1"/>
  <c r="AC70" i="29"/>
  <c r="AC72" i="29" s="1"/>
  <c r="AD70" i="29"/>
  <c r="AD72" i="29" s="1"/>
  <c r="AE70" i="29"/>
  <c r="F71" i="29"/>
  <c r="G71" i="29"/>
  <c r="H71" i="29"/>
  <c r="I71" i="29"/>
  <c r="I72" i="29" s="1"/>
  <c r="J71" i="29"/>
  <c r="K71" i="29"/>
  <c r="L71" i="29"/>
  <c r="M71" i="29"/>
  <c r="N71" i="29"/>
  <c r="O71" i="29"/>
  <c r="O72" i="29" s="1"/>
  <c r="P71" i="29"/>
  <c r="P72" i="29" s="1"/>
  <c r="Q71" i="29"/>
  <c r="Q72" i="29" s="1"/>
  <c r="R71" i="29"/>
  <c r="R72" i="29" s="1"/>
  <c r="S71" i="29"/>
  <c r="T71" i="29"/>
  <c r="U71" i="29"/>
  <c r="V71" i="29"/>
  <c r="W71" i="29"/>
  <c r="W72" i="29" s="1"/>
  <c r="X71" i="29"/>
  <c r="X72" i="29" s="1"/>
  <c r="Y71" i="29"/>
  <c r="Y72" i="29" s="1"/>
  <c r="Z71" i="29"/>
  <c r="Z72" i="29" s="1"/>
  <c r="AA71" i="29"/>
  <c r="AB71" i="29"/>
  <c r="AC71" i="29"/>
  <c r="AD71" i="29"/>
  <c r="AE71" i="29"/>
  <c r="AE72" i="29" s="1"/>
  <c r="F72" i="29"/>
  <c r="K72" i="29"/>
  <c r="U72" i="29"/>
  <c r="V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F74" i="41" s="1"/>
  <c r="H74" i="41" s="1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F76" i="29"/>
  <c r="G76" i="29"/>
  <c r="H76" i="29"/>
  <c r="I76" i="29"/>
  <c r="J76" i="29"/>
  <c r="K76" i="29"/>
  <c r="L76" i="29"/>
  <c r="D76" i="29" s="1"/>
  <c r="F76" i="41" s="1"/>
  <c r="H76" i="41" s="1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F79" i="29"/>
  <c r="G79" i="29"/>
  <c r="H79" i="29"/>
  <c r="I79" i="29"/>
  <c r="J79" i="29"/>
  <c r="K79" i="29"/>
  <c r="L79" i="29"/>
  <c r="M79" i="29"/>
  <c r="E79" i="29" s="1"/>
  <c r="G79" i="41" s="1"/>
  <c r="I79" i="41" s="1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F81" i="29"/>
  <c r="G81" i="29"/>
  <c r="H81" i="29"/>
  <c r="I81" i="29"/>
  <c r="J81" i="29"/>
  <c r="K81" i="29"/>
  <c r="L81" i="29"/>
  <c r="M81" i="29"/>
  <c r="E81" i="29" s="1"/>
  <c r="G81" i="41" s="1"/>
  <c r="I81" i="41" s="1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4" i="41"/>
  <c r="A5" i="41"/>
  <c r="D11" i="41"/>
  <c r="E11" i="41"/>
  <c r="D12" i="41"/>
  <c r="D16" i="41" s="1"/>
  <c r="E12" i="41"/>
  <c r="D13" i="41"/>
  <c r="E13" i="41"/>
  <c r="D14" i="41"/>
  <c r="E14" i="41"/>
  <c r="H14" i="41"/>
  <c r="D15" i="41"/>
  <c r="E15" i="41"/>
  <c r="E16" i="41"/>
  <c r="D19" i="41"/>
  <c r="E19" i="41"/>
  <c r="D20" i="41"/>
  <c r="D24" i="41" s="1"/>
  <c r="E20" i="41"/>
  <c r="D21" i="41"/>
  <c r="E21" i="41"/>
  <c r="D22" i="41"/>
  <c r="E22" i="41"/>
  <c r="E24" i="41" s="1"/>
  <c r="D23" i="41"/>
  <c r="E23" i="41"/>
  <c r="D27" i="41"/>
  <c r="E27" i="41"/>
  <c r="D28" i="41"/>
  <c r="E28" i="41"/>
  <c r="D29" i="41"/>
  <c r="E29" i="41"/>
  <c r="D32" i="41"/>
  <c r="E32" i="41"/>
  <c r="D33" i="41"/>
  <c r="E33" i="41"/>
  <c r="D34" i="41"/>
  <c r="E34" i="41"/>
  <c r="D35" i="41"/>
  <c r="E35" i="41"/>
  <c r="D39" i="41"/>
  <c r="E39" i="41"/>
  <c r="I39" i="41"/>
  <c r="D40" i="41"/>
  <c r="D42" i="41" s="1"/>
  <c r="D43" i="41" s="1"/>
  <c r="E40" i="41"/>
  <c r="E42" i="41" s="1"/>
  <c r="E43" i="41" s="1"/>
  <c r="D41" i="41"/>
  <c r="E41" i="41"/>
  <c r="D45" i="41"/>
  <c r="E45" i="41"/>
  <c r="D47" i="41"/>
  <c r="E47" i="41"/>
  <c r="D49" i="41"/>
  <c r="E49" i="41"/>
  <c r="D51" i="41"/>
  <c r="E51" i="41"/>
  <c r="D54" i="41"/>
  <c r="D56" i="41" s="1"/>
  <c r="E54" i="41"/>
  <c r="E56" i="41" s="1"/>
  <c r="D55" i="41"/>
  <c r="E55" i="41"/>
  <c r="D59" i="41"/>
  <c r="D61" i="41" s="1"/>
  <c r="E59" i="41"/>
  <c r="D60" i="41"/>
  <c r="E60" i="41"/>
  <c r="E61" i="41" s="1"/>
  <c r="D64" i="41"/>
  <c r="E64" i="41"/>
  <c r="D65" i="41"/>
  <c r="E65" i="41"/>
  <c r="D66" i="41"/>
  <c r="E66" i="41"/>
  <c r="D70" i="41"/>
  <c r="E70" i="41"/>
  <c r="D71" i="41"/>
  <c r="D72" i="41" s="1"/>
  <c r="E71" i="4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H11" i="20"/>
  <c r="I11" i="20"/>
  <c r="J11" i="20"/>
  <c r="K11" i="20"/>
  <c r="L11" i="20"/>
  <c r="L16" i="20" s="1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F12" i="20"/>
  <c r="H12" i="20"/>
  <c r="I12" i="20"/>
  <c r="J12" i="20"/>
  <c r="K12" i="20"/>
  <c r="L12" i="20"/>
  <c r="D12" i="20" s="1"/>
  <c r="F12" i="32" s="1"/>
  <c r="H12" i="32" s="1"/>
  <c r="M12" i="20"/>
  <c r="M16" i="20" s="1"/>
  <c r="N12" i="20"/>
  <c r="O12" i="20"/>
  <c r="O16" i="20" s="1"/>
  <c r="P12" i="20"/>
  <c r="Q12" i="20"/>
  <c r="R12" i="20"/>
  <c r="S12" i="20"/>
  <c r="T12" i="20"/>
  <c r="U12" i="20"/>
  <c r="V12" i="20"/>
  <c r="W12" i="20"/>
  <c r="W16" i="20" s="1"/>
  <c r="X12" i="20"/>
  <c r="Y12" i="20"/>
  <c r="Z12" i="20"/>
  <c r="AA12" i="20"/>
  <c r="AB12" i="20"/>
  <c r="AC12" i="20"/>
  <c r="AC16" i="20" s="1"/>
  <c r="AD12" i="20"/>
  <c r="AE12" i="20"/>
  <c r="AE16" i="20" s="1"/>
  <c r="AE82" i="20" s="1"/>
  <c r="AC641" i="44" s="1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F14" i="20"/>
  <c r="G14" i="20"/>
  <c r="H14" i="20"/>
  <c r="I14" i="20"/>
  <c r="J14" i="20"/>
  <c r="K14" i="20"/>
  <c r="L14" i="20"/>
  <c r="D14" i="20" s="1"/>
  <c r="F14" i="32" s="1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F15" i="20"/>
  <c r="H15" i="20"/>
  <c r="I15" i="20"/>
  <c r="J15" i="20"/>
  <c r="K15" i="20"/>
  <c r="L15" i="20"/>
  <c r="M15" i="20"/>
  <c r="N15" i="20"/>
  <c r="O15" i="20"/>
  <c r="P15" i="20"/>
  <c r="P16" i="20" s="1"/>
  <c r="Q15" i="20"/>
  <c r="R15" i="20"/>
  <c r="S15" i="20"/>
  <c r="T15" i="20"/>
  <c r="U15" i="20"/>
  <c r="V15" i="20"/>
  <c r="W15" i="20"/>
  <c r="X15" i="20"/>
  <c r="X16" i="20" s="1"/>
  <c r="Y15" i="20"/>
  <c r="Z15" i="20"/>
  <c r="AA15" i="20"/>
  <c r="AB15" i="20"/>
  <c r="AC15" i="20"/>
  <c r="AD15" i="20"/>
  <c r="AE15" i="20"/>
  <c r="J16" i="20"/>
  <c r="R16" i="20"/>
  <c r="Z16" i="20"/>
  <c r="F19" i="20"/>
  <c r="F24" i="20" s="1"/>
  <c r="G19" i="20"/>
  <c r="H19" i="20"/>
  <c r="I19" i="20"/>
  <c r="J19" i="20"/>
  <c r="K19" i="20"/>
  <c r="L19" i="20"/>
  <c r="M19" i="20"/>
  <c r="M24" i="20" s="1"/>
  <c r="N19" i="20"/>
  <c r="N24" i="20" s="1"/>
  <c r="O19" i="20"/>
  <c r="O24" i="20" s="1"/>
  <c r="P19" i="20"/>
  <c r="Q19" i="20"/>
  <c r="R19" i="20"/>
  <c r="S19" i="20"/>
  <c r="T19" i="20"/>
  <c r="U19" i="20"/>
  <c r="U24" i="20" s="1"/>
  <c r="V19" i="20"/>
  <c r="V24" i="20" s="1"/>
  <c r="W19" i="20"/>
  <c r="W24" i="20" s="1"/>
  <c r="X19" i="20"/>
  <c r="Y19" i="20"/>
  <c r="Z19" i="20"/>
  <c r="AA19" i="20"/>
  <c r="AB19" i="20"/>
  <c r="AC19" i="20"/>
  <c r="AC24" i="20" s="1"/>
  <c r="AD19" i="20"/>
  <c r="AD24" i="20" s="1"/>
  <c r="AE19" i="20"/>
  <c r="AE24" i="20" s="1"/>
  <c r="F20" i="20"/>
  <c r="H20" i="20"/>
  <c r="I20" i="20"/>
  <c r="J20" i="20"/>
  <c r="K20" i="20"/>
  <c r="K24" i="20" s="1"/>
  <c r="L20" i="20"/>
  <c r="M20" i="20"/>
  <c r="N20" i="20"/>
  <c r="O20" i="20"/>
  <c r="P20" i="20"/>
  <c r="Q20" i="20"/>
  <c r="Q24" i="20" s="1"/>
  <c r="R20" i="20"/>
  <c r="S20" i="20"/>
  <c r="S24" i="20" s="1"/>
  <c r="T20" i="20"/>
  <c r="U20" i="20"/>
  <c r="V20" i="20"/>
  <c r="W20" i="20"/>
  <c r="X20" i="20"/>
  <c r="Y20" i="20"/>
  <c r="Z20" i="20"/>
  <c r="AA20" i="20"/>
  <c r="AA24" i="20" s="1"/>
  <c r="AB20" i="20"/>
  <c r="AC20" i="20"/>
  <c r="AD20" i="20"/>
  <c r="AE20" i="20"/>
  <c r="F21" i="20"/>
  <c r="G21" i="20"/>
  <c r="H21" i="20"/>
  <c r="I21" i="20"/>
  <c r="J21" i="20"/>
  <c r="K21" i="20"/>
  <c r="L21" i="20"/>
  <c r="D21" i="20" s="1"/>
  <c r="F21" i="32" s="1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F22" i="20"/>
  <c r="D22" i="20" s="1"/>
  <c r="F22" i="32" s="1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F23" i="32" s="1"/>
  <c r="F23" i="20"/>
  <c r="G23" i="20"/>
  <c r="E23" i="20" s="1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I24" i="20"/>
  <c r="J24" i="20"/>
  <c r="P24" i="20"/>
  <c r="R24" i="20"/>
  <c r="Y24" i="20"/>
  <c r="Z24" i="20"/>
  <c r="F27" i="20"/>
  <c r="G27" i="20"/>
  <c r="E27" i="20" s="1"/>
  <c r="G27" i="32" s="1"/>
  <c r="H27" i="20"/>
  <c r="I27" i="20"/>
  <c r="J27" i="20"/>
  <c r="K27" i="20"/>
  <c r="L27" i="20"/>
  <c r="L29" i="20" s="1"/>
  <c r="M27" i="20"/>
  <c r="N27" i="20"/>
  <c r="N29" i="20" s="1"/>
  <c r="O27" i="20"/>
  <c r="P27" i="20"/>
  <c r="Q27" i="20"/>
  <c r="R27" i="20"/>
  <c r="S27" i="20"/>
  <c r="T27" i="20"/>
  <c r="T29" i="20" s="1"/>
  <c r="U27" i="20"/>
  <c r="V27" i="20"/>
  <c r="W27" i="20"/>
  <c r="W29" i="20" s="1"/>
  <c r="X27" i="20"/>
  <c r="Y27" i="20"/>
  <c r="Z27" i="20"/>
  <c r="AA27" i="20"/>
  <c r="AB27" i="20"/>
  <c r="AB29" i="20" s="1"/>
  <c r="AC27" i="20"/>
  <c r="AD27" i="20"/>
  <c r="AD29" i="20" s="1"/>
  <c r="AE27" i="20"/>
  <c r="F28" i="20"/>
  <c r="G28" i="20"/>
  <c r="H28" i="20"/>
  <c r="H29" i="20" s="1"/>
  <c r="I28" i="20"/>
  <c r="J28" i="20"/>
  <c r="J29" i="20" s="1"/>
  <c r="K28" i="20"/>
  <c r="K29" i="20" s="1"/>
  <c r="L28" i="20"/>
  <c r="M28" i="20"/>
  <c r="N28" i="20"/>
  <c r="O28" i="20"/>
  <c r="P28" i="20"/>
  <c r="P29" i="20" s="1"/>
  <c r="Q28" i="20"/>
  <c r="Q29" i="20" s="1"/>
  <c r="R28" i="20"/>
  <c r="R29" i="20" s="1"/>
  <c r="S28" i="20"/>
  <c r="S29" i="20" s="1"/>
  <c r="T28" i="20"/>
  <c r="U28" i="20"/>
  <c r="V28" i="20"/>
  <c r="W28" i="20"/>
  <c r="X28" i="20"/>
  <c r="X29" i="20" s="1"/>
  <c r="Y28" i="20"/>
  <c r="Y29" i="20" s="1"/>
  <c r="Z28" i="20"/>
  <c r="Z29" i="20" s="1"/>
  <c r="AA28" i="20"/>
  <c r="AA29" i="20" s="1"/>
  <c r="AB28" i="20"/>
  <c r="AC28" i="20"/>
  <c r="AD28" i="20"/>
  <c r="AE28" i="20"/>
  <c r="F29" i="20"/>
  <c r="M29" i="20"/>
  <c r="O29" i="20"/>
  <c r="U29" i="20"/>
  <c r="V29" i="20"/>
  <c r="AC29" i="20"/>
  <c r="AE29" i="20"/>
  <c r="F32" i="20"/>
  <c r="D32" i="20" s="1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F33" i="20"/>
  <c r="G33" i="20"/>
  <c r="G36" i="20" s="1"/>
  <c r="H33" i="20"/>
  <c r="I33" i="20"/>
  <c r="J33" i="20"/>
  <c r="K33" i="20"/>
  <c r="L33" i="20"/>
  <c r="D33" i="20" s="1"/>
  <c r="F33" i="32" s="1"/>
  <c r="H33" i="32" s="1"/>
  <c r="M33" i="20"/>
  <c r="N33" i="20"/>
  <c r="O33" i="20"/>
  <c r="O36" i="20" s="1"/>
  <c r="P33" i="20"/>
  <c r="Q33" i="20"/>
  <c r="R33" i="20"/>
  <c r="S33" i="20"/>
  <c r="T33" i="20"/>
  <c r="U33" i="20"/>
  <c r="V33" i="20"/>
  <c r="W33" i="20"/>
  <c r="W36" i="20" s="1"/>
  <c r="X33" i="20"/>
  <c r="Y33" i="20"/>
  <c r="Z33" i="20"/>
  <c r="AA33" i="20"/>
  <c r="AB33" i="20"/>
  <c r="AC33" i="20"/>
  <c r="AD33" i="20"/>
  <c r="AE33" i="20"/>
  <c r="AE36" i="20" s="1"/>
  <c r="F34" i="20"/>
  <c r="G34" i="20"/>
  <c r="H34" i="20"/>
  <c r="I34" i="20"/>
  <c r="J34" i="20"/>
  <c r="J36" i="20" s="1"/>
  <c r="K34" i="20"/>
  <c r="L34" i="20"/>
  <c r="M34" i="20"/>
  <c r="N34" i="20"/>
  <c r="O34" i="20"/>
  <c r="P34" i="20"/>
  <c r="P36" i="20" s="1"/>
  <c r="Q34" i="20"/>
  <c r="Q36" i="20" s="1"/>
  <c r="R34" i="20"/>
  <c r="R36" i="20" s="1"/>
  <c r="S34" i="20"/>
  <c r="T34" i="20"/>
  <c r="U34" i="20"/>
  <c r="V34" i="20"/>
  <c r="W34" i="20"/>
  <c r="X34" i="20"/>
  <c r="X36" i="20" s="1"/>
  <c r="Y34" i="20"/>
  <c r="Y36" i="20" s="1"/>
  <c r="Z34" i="20"/>
  <c r="Z36" i="20" s="1"/>
  <c r="AA34" i="20"/>
  <c r="AB34" i="20"/>
  <c r="AC34" i="20"/>
  <c r="AD34" i="20"/>
  <c r="AE34" i="20"/>
  <c r="D35" i="20"/>
  <c r="F35" i="32" s="1"/>
  <c r="H35" i="32" s="1"/>
  <c r="F35" i="20"/>
  <c r="F36" i="20" s="1"/>
  <c r="G35" i="20"/>
  <c r="H35" i="20"/>
  <c r="I35" i="20"/>
  <c r="J35" i="20"/>
  <c r="K35" i="20"/>
  <c r="L35" i="20"/>
  <c r="M35" i="20"/>
  <c r="E35" i="20" s="1"/>
  <c r="G35" i="32" s="1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K36" i="20"/>
  <c r="N36" i="20"/>
  <c r="S36" i="20"/>
  <c r="AA36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E43" i="20" s="1"/>
  <c r="F40" i="20"/>
  <c r="G40" i="20"/>
  <c r="H40" i="20"/>
  <c r="H42" i="20" s="1"/>
  <c r="H43" i="20" s="1"/>
  <c r="I40" i="20"/>
  <c r="J40" i="20"/>
  <c r="K40" i="20"/>
  <c r="L40" i="20"/>
  <c r="M40" i="20"/>
  <c r="N40" i="20"/>
  <c r="N42" i="20" s="1"/>
  <c r="N43" i="20" s="1"/>
  <c r="O40" i="20"/>
  <c r="P40" i="20"/>
  <c r="P42" i="20" s="1"/>
  <c r="P43" i="20" s="1"/>
  <c r="Q40" i="20"/>
  <c r="R40" i="20"/>
  <c r="S40" i="20"/>
  <c r="T40" i="20"/>
  <c r="U40" i="20"/>
  <c r="V40" i="20"/>
  <c r="V42" i="20" s="1"/>
  <c r="W40" i="20"/>
  <c r="X40" i="20"/>
  <c r="X42" i="20" s="1"/>
  <c r="X43" i="20" s="1"/>
  <c r="Y40" i="20"/>
  <c r="Z40" i="20"/>
  <c r="AA40" i="20"/>
  <c r="AA42" i="20" s="1"/>
  <c r="AA43" i="20" s="1"/>
  <c r="AB40" i="20"/>
  <c r="AC40" i="20"/>
  <c r="AD40" i="20"/>
  <c r="AD42" i="20" s="1"/>
  <c r="AD43" i="20" s="1"/>
  <c r="AE40" i="20"/>
  <c r="F41" i="20"/>
  <c r="G41" i="20"/>
  <c r="G42" i="20" s="1"/>
  <c r="H41" i="20"/>
  <c r="I41" i="20"/>
  <c r="J41" i="20"/>
  <c r="K41" i="20"/>
  <c r="L41" i="20"/>
  <c r="L42" i="20" s="1"/>
  <c r="L43" i="20" s="1"/>
  <c r="M41" i="20"/>
  <c r="M42" i="20" s="1"/>
  <c r="N41" i="20"/>
  <c r="O41" i="20"/>
  <c r="O42" i="20" s="1"/>
  <c r="P41" i="20"/>
  <c r="Q41" i="20"/>
  <c r="R41" i="20"/>
  <c r="S41" i="20"/>
  <c r="T41" i="20"/>
  <c r="T42" i="20" s="1"/>
  <c r="T43" i="20" s="1"/>
  <c r="U41" i="20"/>
  <c r="U42" i="20" s="1"/>
  <c r="V41" i="20"/>
  <c r="W41" i="20"/>
  <c r="W42" i="20" s="1"/>
  <c r="X41" i="20"/>
  <c r="Y41" i="20"/>
  <c r="Z41" i="20"/>
  <c r="AA41" i="20"/>
  <c r="AB41" i="20"/>
  <c r="AB42" i="20" s="1"/>
  <c r="AB43" i="20" s="1"/>
  <c r="AC41" i="20"/>
  <c r="AC42" i="20" s="1"/>
  <c r="AC43" i="20" s="1"/>
  <c r="AD41" i="20"/>
  <c r="AE41" i="20"/>
  <c r="AE42" i="20" s="1"/>
  <c r="I42" i="20"/>
  <c r="I43" i="20" s="1"/>
  <c r="J42" i="20"/>
  <c r="K42" i="20"/>
  <c r="K43" i="20" s="1"/>
  <c r="Q42" i="20"/>
  <c r="Q43" i="20" s="1"/>
  <c r="S42" i="20"/>
  <c r="S43" i="20" s="1"/>
  <c r="Y42" i="20"/>
  <c r="Y43" i="20" s="1"/>
  <c r="J43" i="20"/>
  <c r="M43" i="20"/>
  <c r="U43" i="20"/>
  <c r="V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F47" i="20"/>
  <c r="G47" i="20"/>
  <c r="H47" i="20"/>
  <c r="I47" i="20"/>
  <c r="J47" i="20"/>
  <c r="K47" i="20"/>
  <c r="L47" i="20"/>
  <c r="M47" i="20"/>
  <c r="E47" i="20" s="1"/>
  <c r="G47" i="32" s="1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F51" i="20"/>
  <c r="G51" i="20"/>
  <c r="H51" i="20"/>
  <c r="I51" i="20"/>
  <c r="J51" i="20"/>
  <c r="K51" i="20"/>
  <c r="L51" i="20"/>
  <c r="D51" i="20" s="1"/>
  <c r="F51" i="32" s="1"/>
  <c r="M51" i="20"/>
  <c r="E51" i="20" s="1"/>
  <c r="G51" i="32" s="1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F54" i="20"/>
  <c r="G54" i="20"/>
  <c r="H54" i="20"/>
  <c r="H56" i="20" s="1"/>
  <c r="I54" i="20"/>
  <c r="J54" i="20"/>
  <c r="J56" i="20" s="1"/>
  <c r="K54" i="20"/>
  <c r="L54" i="20"/>
  <c r="M54" i="20"/>
  <c r="N54" i="20"/>
  <c r="O54" i="20"/>
  <c r="P54" i="20"/>
  <c r="Q54" i="20"/>
  <c r="Q56" i="20" s="1"/>
  <c r="R54" i="20"/>
  <c r="R56" i="20" s="1"/>
  <c r="S54" i="20"/>
  <c r="S56" i="20" s="1"/>
  <c r="T54" i="20"/>
  <c r="U54" i="20"/>
  <c r="V54" i="20"/>
  <c r="W54" i="20"/>
  <c r="X54" i="20"/>
  <c r="X56" i="20" s="1"/>
  <c r="Y54" i="20"/>
  <c r="Y56" i="20" s="1"/>
  <c r="Z54" i="20"/>
  <c r="Z56" i="20" s="1"/>
  <c r="AA54" i="20"/>
  <c r="AB54" i="20"/>
  <c r="AC54" i="20"/>
  <c r="AD54" i="20"/>
  <c r="AE54" i="20"/>
  <c r="F55" i="20"/>
  <c r="D55" i="20" s="1"/>
  <c r="F55" i="32" s="1"/>
  <c r="H55" i="20"/>
  <c r="I55" i="20"/>
  <c r="J55" i="20"/>
  <c r="K55" i="20"/>
  <c r="L55" i="20"/>
  <c r="L56" i="20" s="1"/>
  <c r="M55" i="20"/>
  <c r="M56" i="20" s="1"/>
  <c r="N55" i="20"/>
  <c r="N56" i="20" s="1"/>
  <c r="O55" i="20"/>
  <c r="O56" i="20" s="1"/>
  <c r="P55" i="20"/>
  <c r="Q55" i="20"/>
  <c r="R55" i="20"/>
  <c r="S55" i="20"/>
  <c r="T55" i="20"/>
  <c r="T56" i="20" s="1"/>
  <c r="U55" i="20"/>
  <c r="U56" i="20" s="1"/>
  <c r="V55" i="20"/>
  <c r="V56" i="20" s="1"/>
  <c r="W55" i="20"/>
  <c r="W56" i="20" s="1"/>
  <c r="X55" i="20"/>
  <c r="Y55" i="20"/>
  <c r="Z55" i="20"/>
  <c r="AA55" i="20"/>
  <c r="AB55" i="20"/>
  <c r="AB56" i="20" s="1"/>
  <c r="AC55" i="20"/>
  <c r="AC56" i="20" s="1"/>
  <c r="AD55" i="20"/>
  <c r="AE55" i="20"/>
  <c r="AE56" i="20" s="1"/>
  <c r="K56" i="20"/>
  <c r="P56" i="20"/>
  <c r="AA56" i="20"/>
  <c r="AD56" i="20"/>
  <c r="F59" i="20"/>
  <c r="D59" i="20" s="1"/>
  <c r="G59" i="20"/>
  <c r="H59" i="20"/>
  <c r="I59" i="20"/>
  <c r="J59" i="20"/>
  <c r="K59" i="20"/>
  <c r="L59" i="20"/>
  <c r="M59" i="20"/>
  <c r="M61" i="20" s="1"/>
  <c r="N59" i="20"/>
  <c r="N61" i="20" s="1"/>
  <c r="O59" i="20"/>
  <c r="P59" i="20"/>
  <c r="P61" i="20" s="1"/>
  <c r="Q59" i="20"/>
  <c r="Q61" i="20" s="1"/>
  <c r="R59" i="20"/>
  <c r="S59" i="20"/>
  <c r="T59" i="20"/>
  <c r="U59" i="20"/>
  <c r="V59" i="20"/>
  <c r="V61" i="20" s="1"/>
  <c r="W59" i="20"/>
  <c r="X59" i="20"/>
  <c r="X61" i="20" s="1"/>
  <c r="Y59" i="20"/>
  <c r="Y61" i="20" s="1"/>
  <c r="Z59" i="20"/>
  <c r="AA59" i="20"/>
  <c r="AB59" i="20"/>
  <c r="AC59" i="20"/>
  <c r="AD59" i="20"/>
  <c r="AE59" i="20"/>
  <c r="F60" i="20"/>
  <c r="F61" i="20" s="1"/>
  <c r="G60" i="20"/>
  <c r="H60" i="20"/>
  <c r="I60" i="20"/>
  <c r="J60" i="20"/>
  <c r="K60" i="20"/>
  <c r="K61" i="20" s="1"/>
  <c r="L60" i="20"/>
  <c r="D60" i="20" s="1"/>
  <c r="F60" i="32" s="1"/>
  <c r="M60" i="20"/>
  <c r="E60" i="20" s="1"/>
  <c r="G60" i="32" s="1"/>
  <c r="N60" i="20"/>
  <c r="O60" i="20"/>
  <c r="P60" i="20"/>
  <c r="Q60" i="20"/>
  <c r="R60" i="20"/>
  <c r="S60" i="20"/>
  <c r="S61" i="20" s="1"/>
  <c r="T60" i="20"/>
  <c r="U60" i="20"/>
  <c r="V60" i="20"/>
  <c r="W60" i="20"/>
  <c r="X60" i="20"/>
  <c r="Y60" i="20"/>
  <c r="Z60" i="20"/>
  <c r="AA60" i="20"/>
  <c r="AA61" i="20" s="1"/>
  <c r="AB60" i="20"/>
  <c r="AC60" i="20"/>
  <c r="AD60" i="20"/>
  <c r="AE60" i="20"/>
  <c r="G61" i="20"/>
  <c r="H61" i="20"/>
  <c r="I61" i="20"/>
  <c r="J61" i="20"/>
  <c r="L61" i="20"/>
  <c r="O61" i="20"/>
  <c r="R61" i="20"/>
  <c r="T61" i="20"/>
  <c r="U61" i="20"/>
  <c r="W61" i="20"/>
  <c r="Z61" i="20"/>
  <c r="AB61" i="20"/>
  <c r="AC61" i="20"/>
  <c r="AD61" i="20"/>
  <c r="AE61" i="20"/>
  <c r="F64" i="20"/>
  <c r="G64" i="20"/>
  <c r="H64" i="20"/>
  <c r="I64" i="20"/>
  <c r="J64" i="20"/>
  <c r="K64" i="20"/>
  <c r="L64" i="20"/>
  <c r="M64" i="20"/>
  <c r="M66" i="20" s="1"/>
  <c r="N64" i="20"/>
  <c r="O64" i="20"/>
  <c r="P64" i="20"/>
  <c r="P66" i="20" s="1"/>
  <c r="Q64" i="20"/>
  <c r="R64" i="20"/>
  <c r="S64" i="20"/>
  <c r="T64" i="20"/>
  <c r="U64" i="20"/>
  <c r="U66" i="20" s="1"/>
  <c r="V64" i="20"/>
  <c r="W64" i="20"/>
  <c r="X64" i="20"/>
  <c r="X66" i="20" s="1"/>
  <c r="Y64" i="20"/>
  <c r="Y66" i="20" s="1"/>
  <c r="Z64" i="20"/>
  <c r="Z66" i="20" s="1"/>
  <c r="AA64" i="20"/>
  <c r="AB64" i="20"/>
  <c r="AC64" i="20"/>
  <c r="AD64" i="20"/>
  <c r="AE64" i="20"/>
  <c r="F65" i="20"/>
  <c r="F66" i="20" s="1"/>
  <c r="G65" i="20"/>
  <c r="G66" i="20" s="1"/>
  <c r="H65" i="20"/>
  <c r="I65" i="20"/>
  <c r="J65" i="20"/>
  <c r="K65" i="20"/>
  <c r="L65" i="20"/>
  <c r="D65" i="20" s="1"/>
  <c r="F65" i="32" s="1"/>
  <c r="H65" i="32" s="1"/>
  <c r="M65" i="20"/>
  <c r="E65" i="20" s="1"/>
  <c r="N65" i="20"/>
  <c r="N66" i="20" s="1"/>
  <c r="O65" i="20"/>
  <c r="O66" i="20" s="1"/>
  <c r="P65" i="20"/>
  <c r="Q65" i="20"/>
  <c r="R65" i="20"/>
  <c r="S65" i="20"/>
  <c r="T65" i="20"/>
  <c r="T66" i="20" s="1"/>
  <c r="U65" i="20"/>
  <c r="V65" i="20"/>
  <c r="V66" i="20" s="1"/>
  <c r="W65" i="20"/>
  <c r="W66" i="20" s="1"/>
  <c r="X65" i="20"/>
  <c r="Y65" i="20"/>
  <c r="Z65" i="20"/>
  <c r="AA65" i="20"/>
  <c r="AB65" i="20"/>
  <c r="AC65" i="20"/>
  <c r="AD65" i="20"/>
  <c r="AD66" i="20" s="1"/>
  <c r="AE65" i="20"/>
  <c r="AE66" i="20" s="1"/>
  <c r="I66" i="20"/>
  <c r="J66" i="20"/>
  <c r="K66" i="20"/>
  <c r="Q66" i="20"/>
  <c r="R66" i="20"/>
  <c r="S66" i="20"/>
  <c r="AA66" i="20"/>
  <c r="AB66" i="20"/>
  <c r="AC66" i="20"/>
  <c r="F70" i="20"/>
  <c r="G70" i="20"/>
  <c r="H70" i="20"/>
  <c r="I70" i="20"/>
  <c r="J70" i="20"/>
  <c r="K70" i="20"/>
  <c r="L70" i="20"/>
  <c r="L72" i="20" s="1"/>
  <c r="M70" i="20"/>
  <c r="M72" i="20" s="1"/>
  <c r="N70" i="20"/>
  <c r="O70" i="20"/>
  <c r="O72" i="20" s="1"/>
  <c r="P70" i="20"/>
  <c r="Q70" i="20"/>
  <c r="R70" i="20"/>
  <c r="S70" i="20"/>
  <c r="T70" i="20"/>
  <c r="U70" i="20"/>
  <c r="U72" i="20" s="1"/>
  <c r="V70" i="20"/>
  <c r="W70" i="20"/>
  <c r="W72" i="20" s="1"/>
  <c r="X70" i="20"/>
  <c r="X72" i="20" s="1"/>
  <c r="Y70" i="20"/>
  <c r="Z70" i="20"/>
  <c r="AA70" i="20"/>
  <c r="AB70" i="20"/>
  <c r="AC70" i="20"/>
  <c r="AD70" i="20"/>
  <c r="AE70" i="20"/>
  <c r="AE72" i="20" s="1"/>
  <c r="F71" i="20"/>
  <c r="F72" i="20" s="1"/>
  <c r="G71" i="20"/>
  <c r="H71" i="20"/>
  <c r="I71" i="20"/>
  <c r="J71" i="20"/>
  <c r="K71" i="20"/>
  <c r="K72" i="20" s="1"/>
  <c r="L71" i="20"/>
  <c r="D71" i="20" s="1"/>
  <c r="M71" i="20"/>
  <c r="N71" i="20"/>
  <c r="N72" i="20" s="1"/>
  <c r="O71" i="20"/>
  <c r="P71" i="20"/>
  <c r="Q71" i="20"/>
  <c r="R71" i="20"/>
  <c r="S71" i="20"/>
  <c r="S72" i="20" s="1"/>
  <c r="T71" i="20"/>
  <c r="U71" i="20"/>
  <c r="V71" i="20"/>
  <c r="V72" i="20" s="1"/>
  <c r="W71" i="20"/>
  <c r="X71" i="20"/>
  <c r="Y71" i="20"/>
  <c r="Z71" i="20"/>
  <c r="AA71" i="20"/>
  <c r="AA72" i="20" s="1"/>
  <c r="AB71" i="20"/>
  <c r="AC71" i="20"/>
  <c r="AD71" i="20"/>
  <c r="AD72" i="20" s="1"/>
  <c r="AE71" i="20"/>
  <c r="G72" i="20"/>
  <c r="H72" i="20"/>
  <c r="I72" i="20"/>
  <c r="J72" i="20"/>
  <c r="P72" i="20"/>
  <c r="Q72" i="20"/>
  <c r="R72" i="20"/>
  <c r="T72" i="20"/>
  <c r="Y72" i="20"/>
  <c r="Z72" i="20"/>
  <c r="AB72" i="20"/>
  <c r="AC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F74" i="20"/>
  <c r="H74" i="20"/>
  <c r="I74" i="20"/>
  <c r="J74" i="20"/>
  <c r="D74" i="20" s="1"/>
  <c r="F74" i="32" s="1"/>
  <c r="H74" i="32" s="1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F76" i="20"/>
  <c r="G76" i="20"/>
  <c r="H76" i="20"/>
  <c r="I76" i="20"/>
  <c r="J76" i="20"/>
  <c r="K76" i="20"/>
  <c r="L76" i="20"/>
  <c r="M76" i="20"/>
  <c r="E76" i="20" s="1"/>
  <c r="G76" i="32" s="1"/>
  <c r="I76" i="32" s="1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F78" i="20"/>
  <c r="G78" i="20"/>
  <c r="H78" i="20"/>
  <c r="I78" i="20"/>
  <c r="J78" i="20"/>
  <c r="K78" i="20"/>
  <c r="L78" i="20"/>
  <c r="M78" i="20"/>
  <c r="E78" i="20" s="1"/>
  <c r="G78" i="32" s="1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F80" i="32" s="1"/>
  <c r="F80" i="20"/>
  <c r="G80" i="20"/>
  <c r="H80" i="20"/>
  <c r="I80" i="20"/>
  <c r="J80" i="20"/>
  <c r="K80" i="20"/>
  <c r="L80" i="20"/>
  <c r="M80" i="20"/>
  <c r="E80" i="20" s="1"/>
  <c r="G80" i="32" s="1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4" i="8"/>
  <c r="A5" i="8"/>
  <c r="H11" i="8"/>
  <c r="F11" i="8" s="1"/>
  <c r="I11" i="8"/>
  <c r="L11" i="8"/>
  <c r="M11" i="8"/>
  <c r="F12" i="8"/>
  <c r="G12" i="8"/>
  <c r="H12" i="8"/>
  <c r="I12" i="8"/>
  <c r="L12" i="8"/>
  <c r="D12" i="32" s="1"/>
  <c r="M12" i="8"/>
  <c r="H13" i="8"/>
  <c r="I13" i="8"/>
  <c r="M13" i="8" s="1"/>
  <c r="E13" i="32" s="1"/>
  <c r="F14" i="8"/>
  <c r="H14" i="8"/>
  <c r="I14" i="8"/>
  <c r="G14" i="8" s="1"/>
  <c r="L14" i="8"/>
  <c r="F15" i="8"/>
  <c r="H15" i="8"/>
  <c r="I15" i="8"/>
  <c r="G15" i="8" s="1"/>
  <c r="L15" i="8"/>
  <c r="J16" i="8"/>
  <c r="K16" i="8"/>
  <c r="H18" i="8"/>
  <c r="I18" i="8"/>
  <c r="F19" i="8"/>
  <c r="H19" i="8"/>
  <c r="I19" i="8"/>
  <c r="G20" i="8"/>
  <c r="H20" i="8"/>
  <c r="F20" i="8" s="1"/>
  <c r="I20" i="8"/>
  <c r="L20" i="8"/>
  <c r="D20" i="32" s="1"/>
  <c r="M20" i="8"/>
  <c r="E20" i="32" s="1"/>
  <c r="G21" i="8"/>
  <c r="H21" i="8"/>
  <c r="F21" i="8" s="1"/>
  <c r="I21" i="8"/>
  <c r="M21" i="8" s="1"/>
  <c r="L21" i="8"/>
  <c r="D21" i="32" s="1"/>
  <c r="G22" i="8"/>
  <c r="H22" i="8"/>
  <c r="I22" i="8"/>
  <c r="M22" i="8"/>
  <c r="H23" i="8"/>
  <c r="F23" i="8" s="1"/>
  <c r="I23" i="8"/>
  <c r="G23" i="8" s="1"/>
  <c r="J24" i="8"/>
  <c r="K24" i="8"/>
  <c r="K82" i="8" s="1"/>
  <c r="F27" i="8"/>
  <c r="G27" i="8"/>
  <c r="H27" i="8"/>
  <c r="L27" i="8" s="1"/>
  <c r="I27" i="8"/>
  <c r="M27" i="8"/>
  <c r="M29" i="8" s="1"/>
  <c r="G28" i="8"/>
  <c r="H28" i="8"/>
  <c r="I28" i="8"/>
  <c r="M28" i="8" s="1"/>
  <c r="I29" i="8"/>
  <c r="J29" i="8"/>
  <c r="K29" i="8"/>
  <c r="F32" i="8"/>
  <c r="H32" i="8"/>
  <c r="I32" i="8"/>
  <c r="L32" i="8"/>
  <c r="F33" i="8"/>
  <c r="H33" i="8"/>
  <c r="I33" i="8"/>
  <c r="G33" i="8" s="1"/>
  <c r="L33" i="8"/>
  <c r="D33" i="32" s="1"/>
  <c r="F34" i="8"/>
  <c r="G34" i="8"/>
  <c r="H34" i="8"/>
  <c r="I34" i="8"/>
  <c r="M34" i="8"/>
  <c r="H35" i="8"/>
  <c r="F35" i="8" s="1"/>
  <c r="I35" i="8"/>
  <c r="L35" i="8"/>
  <c r="F36" i="8"/>
  <c r="J36" i="8"/>
  <c r="K36" i="8"/>
  <c r="L37" i="8"/>
  <c r="M37" i="8"/>
  <c r="H38" i="8"/>
  <c r="I38" i="8"/>
  <c r="G39" i="8"/>
  <c r="H39" i="8"/>
  <c r="I39" i="8"/>
  <c r="M39" i="8"/>
  <c r="E39" i="32" s="1"/>
  <c r="G40" i="8"/>
  <c r="H40" i="8"/>
  <c r="F40" i="8" s="1"/>
  <c r="F42" i="8" s="1"/>
  <c r="I40" i="8"/>
  <c r="M40" i="8" s="1"/>
  <c r="L40" i="8"/>
  <c r="F41" i="8"/>
  <c r="G41" i="8"/>
  <c r="H41" i="8"/>
  <c r="L41" i="8" s="1"/>
  <c r="D41" i="32" s="1"/>
  <c r="I41" i="8"/>
  <c r="M41" i="8"/>
  <c r="M42" i="8" s="1"/>
  <c r="H42" i="8"/>
  <c r="H43" i="8" s="1"/>
  <c r="I42" i="8"/>
  <c r="I43" i="8" s="1"/>
  <c r="J42" i="8"/>
  <c r="J43" i="8" s="1"/>
  <c r="K42" i="8"/>
  <c r="K43" i="8" s="1"/>
  <c r="H45" i="8"/>
  <c r="F45" i="8" s="1"/>
  <c r="I45" i="8"/>
  <c r="G45" i="8" s="1"/>
  <c r="L45" i="8"/>
  <c r="M45" i="8"/>
  <c r="E45" i="32" s="1"/>
  <c r="F47" i="8"/>
  <c r="G47" i="8"/>
  <c r="H47" i="8"/>
  <c r="I47" i="8"/>
  <c r="L47" i="8"/>
  <c r="M47" i="8"/>
  <c r="F49" i="8"/>
  <c r="G49" i="8"/>
  <c r="H49" i="8"/>
  <c r="L49" i="8" s="1"/>
  <c r="D49" i="32" s="1"/>
  <c r="I49" i="8"/>
  <c r="M49" i="8" s="1"/>
  <c r="F51" i="8"/>
  <c r="H51" i="8"/>
  <c r="I51" i="8"/>
  <c r="G51" i="8" s="1"/>
  <c r="L51" i="8"/>
  <c r="D51" i="32" s="1"/>
  <c r="F54" i="8"/>
  <c r="H54" i="8"/>
  <c r="I54" i="8"/>
  <c r="G54" i="8" s="1"/>
  <c r="L54" i="8"/>
  <c r="G55" i="8"/>
  <c r="H55" i="8"/>
  <c r="I55" i="8"/>
  <c r="M55" i="8"/>
  <c r="I56" i="8"/>
  <c r="J56" i="8"/>
  <c r="K56" i="8"/>
  <c r="H59" i="8"/>
  <c r="I59" i="8"/>
  <c r="F60" i="8"/>
  <c r="H60" i="8"/>
  <c r="L60" i="8" s="1"/>
  <c r="I60" i="8"/>
  <c r="G60" i="8" s="1"/>
  <c r="M60" i="8"/>
  <c r="E60" i="32" s="1"/>
  <c r="I61" i="8"/>
  <c r="J61" i="8"/>
  <c r="K61" i="8"/>
  <c r="F64" i="8"/>
  <c r="F66" i="8" s="1"/>
  <c r="H64" i="8"/>
  <c r="H66" i="8" s="1"/>
  <c r="I64" i="8"/>
  <c r="F65" i="8"/>
  <c r="G65" i="8"/>
  <c r="H65" i="8"/>
  <c r="I65" i="8"/>
  <c r="L65" i="8"/>
  <c r="D65" i="32" s="1"/>
  <c r="M65" i="8"/>
  <c r="E65" i="32" s="1"/>
  <c r="J66" i="8"/>
  <c r="K66" i="8"/>
  <c r="L69" i="8"/>
  <c r="M69" i="8"/>
  <c r="F70" i="8"/>
  <c r="G70" i="8"/>
  <c r="H70" i="8"/>
  <c r="I70" i="8"/>
  <c r="L70" i="8"/>
  <c r="M70" i="8"/>
  <c r="F71" i="8"/>
  <c r="F72" i="8" s="1"/>
  <c r="H71" i="8"/>
  <c r="L71" i="8" s="1"/>
  <c r="D71" i="32" s="1"/>
  <c r="I71" i="8"/>
  <c r="M71" i="8" s="1"/>
  <c r="H72" i="8"/>
  <c r="I72" i="8"/>
  <c r="J72" i="8"/>
  <c r="K72" i="8"/>
  <c r="G73" i="8"/>
  <c r="H73" i="8"/>
  <c r="F73" i="8" s="1"/>
  <c r="I73" i="8"/>
  <c r="M73" i="8" s="1"/>
  <c r="E73" i="32" s="1"/>
  <c r="H74" i="8"/>
  <c r="F74" i="8" s="1"/>
  <c r="I74" i="8"/>
  <c r="G74" i="8" s="1"/>
  <c r="L74" i="8"/>
  <c r="M74" i="8"/>
  <c r="E74" i="32" s="1"/>
  <c r="F75" i="8"/>
  <c r="G75" i="8"/>
  <c r="H75" i="8"/>
  <c r="I75" i="8"/>
  <c r="L75" i="8"/>
  <c r="D75" i="32" s="1"/>
  <c r="M75" i="8"/>
  <c r="F76" i="8"/>
  <c r="G76" i="8"/>
  <c r="H76" i="8"/>
  <c r="L76" i="8" s="1"/>
  <c r="D76" i="32" s="1"/>
  <c r="I76" i="8"/>
  <c r="M76" i="8" s="1"/>
  <c r="E76" i="32" s="1"/>
  <c r="F77" i="8"/>
  <c r="H77" i="8"/>
  <c r="I77" i="8"/>
  <c r="G77" i="8" s="1"/>
  <c r="L77" i="8"/>
  <c r="D77" i="32" s="1"/>
  <c r="F78" i="8"/>
  <c r="H78" i="8"/>
  <c r="I78" i="8"/>
  <c r="G78" i="8" s="1"/>
  <c r="L78" i="8"/>
  <c r="G79" i="8"/>
  <c r="H79" i="8"/>
  <c r="I79" i="8"/>
  <c r="M79" i="8"/>
  <c r="H80" i="8"/>
  <c r="F80" i="8" s="1"/>
  <c r="I80" i="8"/>
  <c r="F81" i="8"/>
  <c r="H81" i="8"/>
  <c r="L81" i="8" s="1"/>
  <c r="I81" i="8"/>
  <c r="G81" i="8" s="1"/>
  <c r="M81" i="8"/>
  <c r="E81" i="32" s="1"/>
  <c r="D82" i="8"/>
  <c r="E82" i="8"/>
  <c r="A5" i="32"/>
  <c r="D11" i="32"/>
  <c r="E12" i="32"/>
  <c r="D14" i="32"/>
  <c r="D15" i="32"/>
  <c r="E21" i="32"/>
  <c r="H21" i="32"/>
  <c r="E22" i="32"/>
  <c r="G23" i="32"/>
  <c r="D27" i="32"/>
  <c r="E28" i="32"/>
  <c r="D32" i="32"/>
  <c r="E34" i="32"/>
  <c r="D35" i="32"/>
  <c r="E40" i="32"/>
  <c r="E41" i="32"/>
  <c r="E42" i="32"/>
  <c r="E43" i="32" s="1"/>
  <c r="D45" i="32"/>
  <c r="D47" i="32"/>
  <c r="E47" i="32"/>
  <c r="E49" i="32"/>
  <c r="H51" i="32"/>
  <c r="D54" i="32"/>
  <c r="E55" i="32"/>
  <c r="D60" i="32"/>
  <c r="I60" i="32"/>
  <c r="G65" i="32"/>
  <c r="I65" i="32" s="1"/>
  <c r="E71" i="32"/>
  <c r="F71" i="32"/>
  <c r="H71" i="32" s="1"/>
  <c r="D74" i="32"/>
  <c r="E75" i="32"/>
  <c r="D78" i="32"/>
  <c r="E79" i="32"/>
  <c r="D81" i="32"/>
  <c r="I11" i="4"/>
  <c r="D12" i="4"/>
  <c r="H12" i="4"/>
  <c r="F15" i="4"/>
  <c r="F22" i="4"/>
  <c r="G24" i="4"/>
  <c r="B30" i="4"/>
  <c r="C31" i="4"/>
  <c r="D31" i="4"/>
  <c r="B32" i="4"/>
  <c r="B33" i="4"/>
  <c r="B34" i="4"/>
  <c r="B35" i="4"/>
  <c r="B36" i="4"/>
  <c r="B37" i="4"/>
  <c r="B38" i="4"/>
  <c r="B39" i="4" s="1"/>
  <c r="A5" i="12"/>
  <c r="D11" i="12"/>
  <c r="E11" i="12"/>
  <c r="J11" i="12"/>
  <c r="J16" i="12" s="1"/>
  <c r="J82" i="12" s="1"/>
  <c r="J91" i="12" s="1"/>
  <c r="K11" i="12"/>
  <c r="K16" i="12" s="1"/>
  <c r="D12" i="12"/>
  <c r="E12" i="12"/>
  <c r="J12" i="12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D19" i="12"/>
  <c r="E19" i="12"/>
  <c r="J19" i="12"/>
  <c r="K19" i="12"/>
  <c r="D20" i="12"/>
  <c r="E20" i="12"/>
  <c r="J20" i="12"/>
  <c r="K20" i="12"/>
  <c r="D21" i="12"/>
  <c r="E21" i="12"/>
  <c r="J21" i="12"/>
  <c r="K21" i="12"/>
  <c r="D22" i="12"/>
  <c r="E22" i="12"/>
  <c r="J22" i="12"/>
  <c r="K22" i="12"/>
  <c r="D23" i="12"/>
  <c r="E23" i="12"/>
  <c r="J23" i="12"/>
  <c r="K23" i="12"/>
  <c r="D24" i="12"/>
  <c r="E24" i="12"/>
  <c r="J24" i="12"/>
  <c r="K24" i="12"/>
  <c r="D27" i="12"/>
  <c r="E27" i="12"/>
  <c r="J27" i="12"/>
  <c r="J29" i="12" s="1"/>
  <c r="K27" i="12"/>
  <c r="K29" i="12" s="1"/>
  <c r="D28" i="12"/>
  <c r="E28" i="12"/>
  <c r="J28" i="12"/>
  <c r="K28" i="12"/>
  <c r="D29" i="12"/>
  <c r="E29" i="12"/>
  <c r="D32" i="12"/>
  <c r="D36" i="12" s="1"/>
  <c r="E32" i="12"/>
  <c r="E36" i="12" s="1"/>
  <c r="J32" i="12"/>
  <c r="K32" i="12"/>
  <c r="D33" i="12"/>
  <c r="E33" i="12"/>
  <c r="J33" i="12"/>
  <c r="K33" i="12"/>
  <c r="D34" i="12"/>
  <c r="E34" i="12"/>
  <c r="J34" i="12"/>
  <c r="K34" i="12"/>
  <c r="D35" i="12"/>
  <c r="E35" i="12"/>
  <c r="J35" i="12"/>
  <c r="K35" i="12"/>
  <c r="J36" i="12"/>
  <c r="K36" i="12"/>
  <c r="L37" i="12"/>
  <c r="M37" i="12"/>
  <c r="D39" i="12"/>
  <c r="E39" i="12"/>
  <c r="H39" i="12"/>
  <c r="J39" i="12"/>
  <c r="K39" i="12"/>
  <c r="D40" i="12"/>
  <c r="E40" i="12"/>
  <c r="J40" i="12"/>
  <c r="K40" i="12"/>
  <c r="D41" i="12"/>
  <c r="E41" i="12"/>
  <c r="J41" i="12"/>
  <c r="J42" i="12" s="1"/>
  <c r="J43" i="12" s="1"/>
  <c r="K41" i="12"/>
  <c r="K42" i="12" s="1"/>
  <c r="K43" i="12" s="1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J54" i="12"/>
  <c r="K54" i="12"/>
  <c r="D55" i="12"/>
  <c r="E55" i="12"/>
  <c r="J55" i="12"/>
  <c r="J56" i="12" s="1"/>
  <c r="K55" i="12"/>
  <c r="K56" i="12" s="1"/>
  <c r="D59" i="12"/>
  <c r="E59" i="12"/>
  <c r="J59" i="12"/>
  <c r="K59" i="12"/>
  <c r="D60" i="12"/>
  <c r="D61" i="12" s="1"/>
  <c r="E60" i="12"/>
  <c r="E61" i="12" s="1"/>
  <c r="J60" i="12"/>
  <c r="K60" i="12"/>
  <c r="J61" i="12"/>
  <c r="K61" i="12"/>
  <c r="D64" i="12"/>
  <c r="E64" i="12"/>
  <c r="J64" i="12"/>
  <c r="J66" i="12" s="1"/>
  <c r="K64" i="12"/>
  <c r="K66" i="12" s="1"/>
  <c r="D65" i="12"/>
  <c r="E65" i="12"/>
  <c r="J65" i="12"/>
  <c r="K65" i="12"/>
  <c r="D66" i="12"/>
  <c r="E66" i="12"/>
  <c r="D70" i="12"/>
  <c r="E70" i="12"/>
  <c r="J70" i="12"/>
  <c r="K70" i="12"/>
  <c r="D71" i="12"/>
  <c r="E71" i="12"/>
  <c r="J71" i="12"/>
  <c r="K71" i="12"/>
  <c r="D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D86" i="12"/>
  <c r="E86" i="12"/>
  <c r="J86" i="12"/>
  <c r="J89" i="12" s="1"/>
  <c r="K86" i="12"/>
  <c r="K89" i="12" s="1"/>
  <c r="D87" i="12"/>
  <c r="E87" i="12"/>
  <c r="J87" i="12"/>
  <c r="K87" i="12"/>
  <c r="D88" i="12"/>
  <c r="E88" i="12"/>
  <c r="E89" i="12" s="1"/>
  <c r="J88" i="12"/>
  <c r="K88" i="12"/>
  <c r="D89" i="12"/>
  <c r="A5" i="24"/>
  <c r="H8" i="24"/>
  <c r="J8" i="24"/>
  <c r="L8" i="24"/>
  <c r="N8" i="24"/>
  <c r="F11" i="24"/>
  <c r="G11" i="24"/>
  <c r="Y11" i="24"/>
  <c r="Z11" i="24"/>
  <c r="F12" i="24"/>
  <c r="F13" i="24"/>
  <c r="G13" i="24"/>
  <c r="W13" i="24"/>
  <c r="F14" i="24"/>
  <c r="G14" i="24"/>
  <c r="K14" i="24"/>
  <c r="F15" i="24"/>
  <c r="G15" i="24"/>
  <c r="AE15" i="24"/>
  <c r="F19" i="24"/>
  <c r="G19" i="24"/>
  <c r="F20" i="24"/>
  <c r="K20" i="24"/>
  <c r="F21" i="24"/>
  <c r="G21" i="24"/>
  <c r="R21" i="24"/>
  <c r="F22" i="24"/>
  <c r="G22" i="24"/>
  <c r="S22" i="24"/>
  <c r="F23" i="24"/>
  <c r="G23" i="24"/>
  <c r="F27" i="24"/>
  <c r="G27" i="24"/>
  <c r="F28" i="24"/>
  <c r="G28" i="24"/>
  <c r="K28" i="24"/>
  <c r="F29" i="24"/>
  <c r="F32" i="24"/>
  <c r="G32" i="24"/>
  <c r="S32" i="24"/>
  <c r="F33" i="24"/>
  <c r="G33" i="24"/>
  <c r="F34" i="24"/>
  <c r="G34" i="24"/>
  <c r="S34" i="24"/>
  <c r="F35" i="24"/>
  <c r="G35" i="24"/>
  <c r="W35" i="24"/>
  <c r="AB35" i="24"/>
  <c r="F39" i="24"/>
  <c r="G39" i="24"/>
  <c r="F40" i="24"/>
  <c r="G40" i="24"/>
  <c r="S40" i="24"/>
  <c r="F41" i="24"/>
  <c r="G41" i="24"/>
  <c r="G42" i="24" s="1"/>
  <c r="G43" i="24"/>
  <c r="F45" i="24"/>
  <c r="G45" i="24"/>
  <c r="AA45" i="24"/>
  <c r="AC45" i="24"/>
  <c r="F47" i="24"/>
  <c r="G47" i="24"/>
  <c r="F49" i="24"/>
  <c r="G49" i="24"/>
  <c r="F51" i="24"/>
  <c r="G51" i="24"/>
  <c r="F54" i="24"/>
  <c r="G54" i="24"/>
  <c r="H54" i="24"/>
  <c r="F55" i="24"/>
  <c r="G55" i="24"/>
  <c r="G56" i="24" s="1"/>
  <c r="F56" i="24"/>
  <c r="F59" i="24"/>
  <c r="G59" i="24"/>
  <c r="H59" i="24"/>
  <c r="J59" i="24"/>
  <c r="F60" i="24"/>
  <c r="G60" i="24"/>
  <c r="F61" i="24"/>
  <c r="G61" i="24"/>
  <c r="F64" i="24"/>
  <c r="G64" i="24"/>
  <c r="F65" i="24"/>
  <c r="G65" i="24"/>
  <c r="G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F70" i="24"/>
  <c r="F72" i="24" s="1"/>
  <c r="G70" i="24"/>
  <c r="F71" i="24"/>
  <c r="G71" i="24"/>
  <c r="AA71" i="24"/>
  <c r="AB71" i="24"/>
  <c r="G72" i="24"/>
  <c r="F73" i="24"/>
  <c r="G73" i="24"/>
  <c r="F74" i="24"/>
  <c r="F75" i="24"/>
  <c r="G75" i="24"/>
  <c r="L75" i="24"/>
  <c r="V75" i="24"/>
  <c r="F76" i="24"/>
  <c r="G76" i="24"/>
  <c r="F77" i="24"/>
  <c r="G77" i="24"/>
  <c r="F78" i="24"/>
  <c r="G78" i="24"/>
  <c r="R78" i="24"/>
  <c r="F79" i="24"/>
  <c r="G79" i="24"/>
  <c r="F80" i="24"/>
  <c r="G80" i="24"/>
  <c r="H80" i="24"/>
  <c r="I80" i="24"/>
  <c r="J80" i="24"/>
  <c r="F81" i="24"/>
  <c r="G81" i="24"/>
  <c r="I81" i="24"/>
  <c r="D86" i="24"/>
  <c r="G86" i="24"/>
  <c r="H86" i="24"/>
  <c r="I86" i="24"/>
  <c r="I89" i="24" s="1"/>
  <c r="J86" i="24"/>
  <c r="K86" i="24"/>
  <c r="L86" i="24"/>
  <c r="M86" i="24"/>
  <c r="N86" i="24"/>
  <c r="O86" i="24"/>
  <c r="O89" i="24" s="1"/>
  <c r="P86" i="24"/>
  <c r="Q86" i="24"/>
  <c r="Q89" i="24" s="1"/>
  <c r="R86" i="24"/>
  <c r="S86" i="24"/>
  <c r="T86" i="24"/>
  <c r="U86" i="24"/>
  <c r="V86" i="24"/>
  <c r="W86" i="24"/>
  <c r="W89" i="24" s="1"/>
  <c r="X86" i="24"/>
  <c r="Y86" i="24"/>
  <c r="Y89" i="24" s="1"/>
  <c r="Z86" i="24"/>
  <c r="AA86" i="24"/>
  <c r="AB86" i="24"/>
  <c r="AC86" i="24"/>
  <c r="AD86" i="24"/>
  <c r="AE86" i="24"/>
  <c r="AE89" i="24" s="1"/>
  <c r="H87" i="24"/>
  <c r="I87" i="24"/>
  <c r="J87" i="24"/>
  <c r="K87" i="24"/>
  <c r="L87" i="24"/>
  <c r="M87" i="24"/>
  <c r="N87" i="24"/>
  <c r="N89" i="24" s="1"/>
  <c r="O87" i="24"/>
  <c r="P87" i="24"/>
  <c r="Q87" i="24"/>
  <c r="R87" i="24"/>
  <c r="S87" i="24"/>
  <c r="T87" i="24"/>
  <c r="U87" i="24"/>
  <c r="V87" i="24"/>
  <c r="V89" i="24" s="1"/>
  <c r="W87" i="24"/>
  <c r="X87" i="24"/>
  <c r="Y87" i="24"/>
  <c r="Z87" i="24"/>
  <c r="AA87" i="24"/>
  <c r="AB87" i="24"/>
  <c r="AC87" i="24"/>
  <c r="AD87" i="24"/>
  <c r="AD89" i="24" s="1"/>
  <c r="AE87" i="24"/>
  <c r="H88" i="24"/>
  <c r="I88" i="24"/>
  <c r="J88" i="24"/>
  <c r="K88" i="24"/>
  <c r="K89" i="24" s="1"/>
  <c r="L88" i="24"/>
  <c r="M88" i="24"/>
  <c r="N88" i="24"/>
  <c r="O88" i="24"/>
  <c r="P88" i="24"/>
  <c r="Q88" i="24"/>
  <c r="R88" i="24"/>
  <c r="S88" i="24"/>
  <c r="S89" i="24" s="1"/>
  <c r="T88" i="24"/>
  <c r="U88" i="24"/>
  <c r="V88" i="24"/>
  <c r="W88" i="24"/>
  <c r="X88" i="24"/>
  <c r="Y88" i="24"/>
  <c r="Z88" i="24"/>
  <c r="AA88" i="24"/>
  <c r="AA89" i="24" s="1"/>
  <c r="AB88" i="24"/>
  <c r="AC88" i="24"/>
  <c r="AD88" i="24"/>
  <c r="AE88" i="24"/>
  <c r="H89" i="24"/>
  <c r="L89" i="24"/>
  <c r="P89" i="24"/>
  <c r="T89" i="24"/>
  <c r="X89" i="24"/>
  <c r="A4" i="36"/>
  <c r="A5" i="36"/>
  <c r="F86" i="36"/>
  <c r="A4" i="9"/>
  <c r="A5" i="9"/>
  <c r="F11" i="9"/>
  <c r="H11" i="9"/>
  <c r="I11" i="9"/>
  <c r="L11" i="9"/>
  <c r="M11" i="9"/>
  <c r="G12" i="9"/>
  <c r="H12" i="9"/>
  <c r="I12" i="9"/>
  <c r="M12" i="9"/>
  <c r="E12" i="33" s="1"/>
  <c r="F13" i="9"/>
  <c r="G13" i="9"/>
  <c r="H13" i="9"/>
  <c r="I13" i="9"/>
  <c r="M13" i="9"/>
  <c r="H14" i="9"/>
  <c r="I14" i="9"/>
  <c r="F15" i="9"/>
  <c r="G15" i="9"/>
  <c r="H15" i="9"/>
  <c r="I15" i="9"/>
  <c r="L15" i="9"/>
  <c r="D15" i="33" s="1"/>
  <c r="M15" i="9"/>
  <c r="J16" i="9"/>
  <c r="K16" i="9"/>
  <c r="H18" i="9"/>
  <c r="I18" i="9"/>
  <c r="F19" i="9"/>
  <c r="G19" i="9"/>
  <c r="H19" i="9"/>
  <c r="I19" i="9"/>
  <c r="L19" i="9"/>
  <c r="M19" i="9"/>
  <c r="F20" i="9"/>
  <c r="G20" i="9"/>
  <c r="H20" i="9"/>
  <c r="I20" i="9"/>
  <c r="M20" i="9"/>
  <c r="H21" i="9"/>
  <c r="I21" i="9"/>
  <c r="G22" i="9"/>
  <c r="H22" i="9"/>
  <c r="I22" i="9"/>
  <c r="L22" i="9"/>
  <c r="M22" i="9"/>
  <c r="E22" i="33" s="1"/>
  <c r="F23" i="9"/>
  <c r="G23" i="9"/>
  <c r="H23" i="9"/>
  <c r="I23" i="9"/>
  <c r="M23" i="9" s="1"/>
  <c r="E23" i="33" s="1"/>
  <c r="L23" i="9"/>
  <c r="J24" i="9"/>
  <c r="K24" i="9"/>
  <c r="F27" i="9"/>
  <c r="F29" i="9" s="1"/>
  <c r="H27" i="9"/>
  <c r="I27" i="9"/>
  <c r="F28" i="9"/>
  <c r="H28" i="9"/>
  <c r="I28" i="9"/>
  <c r="L28" i="9"/>
  <c r="D28" i="33" s="1"/>
  <c r="M28" i="9"/>
  <c r="E28" i="33" s="1"/>
  <c r="J29" i="9"/>
  <c r="K29" i="9"/>
  <c r="G32" i="9"/>
  <c r="H32" i="9"/>
  <c r="I32" i="9"/>
  <c r="M32" i="9"/>
  <c r="F33" i="9"/>
  <c r="H33" i="9"/>
  <c r="I33" i="9"/>
  <c r="L33" i="9"/>
  <c r="D33" i="33" s="1"/>
  <c r="F34" i="9"/>
  <c r="H34" i="9"/>
  <c r="I34" i="9"/>
  <c r="M34" i="9"/>
  <c r="E34" i="33" s="1"/>
  <c r="F35" i="9"/>
  <c r="G35" i="9"/>
  <c r="H35" i="9"/>
  <c r="I35" i="9"/>
  <c r="M35" i="9" s="1"/>
  <c r="L35" i="9"/>
  <c r="J36" i="9"/>
  <c r="K36" i="9"/>
  <c r="H38" i="9"/>
  <c r="I38" i="9"/>
  <c r="F39" i="9"/>
  <c r="G39" i="9"/>
  <c r="H39" i="9"/>
  <c r="L39" i="9" s="1"/>
  <c r="I39" i="9"/>
  <c r="M39" i="9"/>
  <c r="H40" i="9"/>
  <c r="I40" i="9"/>
  <c r="L40" i="9"/>
  <c r="F41" i="9"/>
  <c r="G41" i="9"/>
  <c r="H41" i="9"/>
  <c r="I41" i="9"/>
  <c r="L41" i="9"/>
  <c r="M41" i="9"/>
  <c r="J42" i="9"/>
  <c r="K42" i="9"/>
  <c r="J43" i="9"/>
  <c r="K43" i="9"/>
  <c r="F45" i="9"/>
  <c r="G45" i="9"/>
  <c r="H45" i="9"/>
  <c r="I45" i="9"/>
  <c r="M45" i="9"/>
  <c r="G47" i="9"/>
  <c r="H47" i="9"/>
  <c r="I47" i="9"/>
  <c r="G49" i="9"/>
  <c r="H49" i="9"/>
  <c r="I49" i="9"/>
  <c r="L49" i="9"/>
  <c r="D49" i="33" s="1"/>
  <c r="M49" i="9"/>
  <c r="E49" i="33" s="1"/>
  <c r="F51" i="9"/>
  <c r="G51" i="9"/>
  <c r="H51" i="9"/>
  <c r="I51" i="9"/>
  <c r="M51" i="9" s="1"/>
  <c r="L51" i="9"/>
  <c r="G54" i="9"/>
  <c r="H54" i="9"/>
  <c r="I54" i="9"/>
  <c r="F55" i="9"/>
  <c r="H55" i="9"/>
  <c r="I55" i="9"/>
  <c r="L55" i="9"/>
  <c r="M55" i="9"/>
  <c r="J56" i="9"/>
  <c r="K56" i="9"/>
  <c r="G59" i="9"/>
  <c r="H59" i="9"/>
  <c r="I59" i="9"/>
  <c r="M59" i="9"/>
  <c r="F60" i="9"/>
  <c r="G60" i="9"/>
  <c r="H60" i="9"/>
  <c r="I60" i="9"/>
  <c r="I61" i="9" s="1"/>
  <c r="L60" i="9"/>
  <c r="D60" i="33" s="1"/>
  <c r="J61" i="9"/>
  <c r="K61" i="9"/>
  <c r="F64" i="9"/>
  <c r="H64" i="9"/>
  <c r="I64" i="9"/>
  <c r="M64" i="9"/>
  <c r="F65" i="9"/>
  <c r="G65" i="9"/>
  <c r="H65" i="9"/>
  <c r="L65" i="9" s="1"/>
  <c r="D65" i="33" s="1"/>
  <c r="I65" i="9"/>
  <c r="M65" i="9" s="1"/>
  <c r="E65" i="33" s="1"/>
  <c r="H66" i="9"/>
  <c r="I66" i="9"/>
  <c r="J66" i="9"/>
  <c r="K66" i="9"/>
  <c r="H70" i="9"/>
  <c r="I70" i="9"/>
  <c r="F71" i="9"/>
  <c r="G71" i="9"/>
  <c r="H71" i="9"/>
  <c r="I71" i="9"/>
  <c r="L71" i="9"/>
  <c r="D71" i="33" s="1"/>
  <c r="M71" i="9"/>
  <c r="E71" i="33" s="1"/>
  <c r="J72" i="9"/>
  <c r="K72" i="9"/>
  <c r="F73" i="9"/>
  <c r="G73" i="9"/>
  <c r="H73" i="9"/>
  <c r="I73" i="9"/>
  <c r="M73" i="9" s="1"/>
  <c r="E73" i="33" s="1"/>
  <c r="H74" i="9"/>
  <c r="L74" i="9" s="1"/>
  <c r="D74" i="33" s="1"/>
  <c r="I74" i="9"/>
  <c r="G75" i="9"/>
  <c r="H75" i="9"/>
  <c r="I75" i="9"/>
  <c r="L75" i="9"/>
  <c r="M75" i="9"/>
  <c r="F76" i="9"/>
  <c r="G76" i="9"/>
  <c r="H76" i="9"/>
  <c r="I76" i="9"/>
  <c r="M76" i="9" s="1"/>
  <c r="E76" i="33" s="1"/>
  <c r="L76" i="9"/>
  <c r="F77" i="9"/>
  <c r="G77" i="9"/>
  <c r="H77" i="9"/>
  <c r="I77" i="9"/>
  <c r="F78" i="9"/>
  <c r="H78" i="9"/>
  <c r="I78" i="9"/>
  <c r="L78" i="9"/>
  <c r="G79" i="9"/>
  <c r="H79" i="9"/>
  <c r="L79" i="9" s="1"/>
  <c r="I79" i="9"/>
  <c r="M79" i="9" s="1"/>
  <c r="F80" i="9"/>
  <c r="H80" i="9"/>
  <c r="I80" i="9"/>
  <c r="L80" i="9"/>
  <c r="H81" i="9"/>
  <c r="I81" i="9"/>
  <c r="M81" i="9"/>
  <c r="E81" i="33" s="1"/>
  <c r="D82" i="9"/>
  <c r="D91" i="9" s="1"/>
  <c r="E82" i="9"/>
  <c r="K82" i="9"/>
  <c r="K91" i="9" s="1"/>
  <c r="F86" i="9"/>
  <c r="G86" i="9"/>
  <c r="G86" i="12" s="1"/>
  <c r="H86" i="9"/>
  <c r="I86" i="9"/>
  <c r="I86" i="12" s="1"/>
  <c r="M86" i="9"/>
  <c r="F87" i="9"/>
  <c r="F87" i="12" s="1"/>
  <c r="G87" i="9"/>
  <c r="G87" i="12" s="1"/>
  <c r="H87" i="9"/>
  <c r="I87" i="9"/>
  <c r="I87" i="12" s="1"/>
  <c r="H88" i="9"/>
  <c r="L88" i="9" s="1"/>
  <c r="L88" i="12" s="1"/>
  <c r="D88" i="36" s="1"/>
  <c r="I88" i="9"/>
  <c r="M88" i="9"/>
  <c r="M88" i="12" s="1"/>
  <c r="E88" i="36" s="1"/>
  <c r="D89" i="9"/>
  <c r="E89" i="9"/>
  <c r="I89" i="9"/>
  <c r="J89" i="9"/>
  <c r="K89" i="9"/>
  <c r="E91" i="9"/>
  <c r="A5" i="21"/>
  <c r="H8" i="21"/>
  <c r="J8" i="21"/>
  <c r="L8" i="21"/>
  <c r="N8" i="21"/>
  <c r="F11" i="21"/>
  <c r="G11" i="21"/>
  <c r="H11" i="21"/>
  <c r="I11" i="21"/>
  <c r="J11" i="21"/>
  <c r="K11" i="21"/>
  <c r="L11" i="21"/>
  <c r="D11" i="21" s="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F12" i="21"/>
  <c r="H12" i="21"/>
  <c r="I12" i="21"/>
  <c r="J12" i="21"/>
  <c r="K12" i="21"/>
  <c r="L12" i="21"/>
  <c r="M12" i="21"/>
  <c r="M12" i="24" s="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F13" i="21"/>
  <c r="G13" i="21"/>
  <c r="H13" i="21"/>
  <c r="I13" i="21"/>
  <c r="J13" i="21"/>
  <c r="K13" i="21"/>
  <c r="E13" i="21" s="1"/>
  <c r="G13" i="33" s="1"/>
  <c r="I13" i="33" s="1"/>
  <c r="L13" i="21"/>
  <c r="M13" i="21"/>
  <c r="N13" i="21"/>
  <c r="O13" i="21"/>
  <c r="O13" i="24" s="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F14" i="21"/>
  <c r="G14" i="21"/>
  <c r="H14" i="21"/>
  <c r="I14" i="21"/>
  <c r="J14" i="21"/>
  <c r="K14" i="21"/>
  <c r="L14" i="21"/>
  <c r="M14" i="21"/>
  <c r="M14" i="24" s="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D14" i="24" s="1"/>
  <c r="AE14" i="21"/>
  <c r="F15" i="21"/>
  <c r="D15" i="21" s="1"/>
  <c r="F15" i="33" s="1"/>
  <c r="H15" i="33" s="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H16" i="21"/>
  <c r="I16" i="21"/>
  <c r="Q16" i="21"/>
  <c r="W16" i="21"/>
  <c r="X16" i="21"/>
  <c r="Y16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C20" i="24" s="1"/>
  <c r="AD20" i="21"/>
  <c r="AD20" i="24" s="1"/>
  <c r="AE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F22" i="21"/>
  <c r="G22" i="21"/>
  <c r="H22" i="21"/>
  <c r="I22" i="21"/>
  <c r="J22" i="21"/>
  <c r="K22" i="21"/>
  <c r="L22" i="21"/>
  <c r="M22" i="21"/>
  <c r="N22" i="21"/>
  <c r="O22" i="21"/>
  <c r="O22" i="24" s="1"/>
  <c r="P22" i="21"/>
  <c r="Q22" i="21"/>
  <c r="R22" i="21"/>
  <c r="S22" i="21"/>
  <c r="T22" i="21"/>
  <c r="U22" i="21"/>
  <c r="V22" i="21"/>
  <c r="W22" i="21"/>
  <c r="W22" i="24" s="1"/>
  <c r="X22" i="21"/>
  <c r="Y22" i="21"/>
  <c r="Z22" i="21"/>
  <c r="AA22" i="21"/>
  <c r="AB22" i="21"/>
  <c r="AC22" i="21"/>
  <c r="AD22" i="21"/>
  <c r="AE22" i="21"/>
  <c r="AE22" i="24" s="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7" i="21"/>
  <c r="F27" i="21"/>
  <c r="G27" i="21"/>
  <c r="H27" i="21"/>
  <c r="I27" i="21"/>
  <c r="J27" i="21"/>
  <c r="K27" i="21"/>
  <c r="L27" i="21"/>
  <c r="M27" i="21"/>
  <c r="N27" i="21"/>
  <c r="N27" i="24" s="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C29" i="21" s="1"/>
  <c r="AD27" i="21"/>
  <c r="AE27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A28" i="24" s="1"/>
  <c r="AB28" i="21"/>
  <c r="AC28" i="21"/>
  <c r="AD28" i="21"/>
  <c r="AE28" i="21"/>
  <c r="F29" i="21"/>
  <c r="K29" i="21"/>
  <c r="N29" i="21"/>
  <c r="U29" i="21"/>
  <c r="V29" i="21"/>
  <c r="AD29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X34" i="24" s="1"/>
  <c r="Y34" i="21"/>
  <c r="Z34" i="21"/>
  <c r="AA34" i="21"/>
  <c r="AB34" i="21"/>
  <c r="AC34" i="21"/>
  <c r="AD34" i="21"/>
  <c r="AE34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P36" i="21"/>
  <c r="Q36" i="21"/>
  <c r="W36" i="21"/>
  <c r="D39" i="21"/>
  <c r="F39" i="33" s="1"/>
  <c r="H39" i="33" s="1"/>
  <c r="F39" i="21"/>
  <c r="G39" i="21"/>
  <c r="H39" i="21"/>
  <c r="I39" i="21"/>
  <c r="J39" i="21"/>
  <c r="K39" i="21"/>
  <c r="L39" i="21"/>
  <c r="L39" i="24" s="1"/>
  <c r="M39" i="21"/>
  <c r="M39" i="24" s="1"/>
  <c r="N39" i="21"/>
  <c r="O39" i="21"/>
  <c r="O39" i="24" s="1"/>
  <c r="P39" i="21"/>
  <c r="Q39" i="21"/>
  <c r="R39" i="21"/>
  <c r="S39" i="21"/>
  <c r="T39" i="21"/>
  <c r="T39" i="24" s="1"/>
  <c r="U39" i="21"/>
  <c r="U39" i="24" s="1"/>
  <c r="V39" i="21"/>
  <c r="W39" i="21"/>
  <c r="X39" i="21"/>
  <c r="Y39" i="21"/>
  <c r="Z39" i="21"/>
  <c r="AA39" i="21"/>
  <c r="AB39" i="21"/>
  <c r="AC39" i="21"/>
  <c r="AC39" i="24" s="1"/>
  <c r="AD39" i="21"/>
  <c r="AE39" i="21"/>
  <c r="F40" i="21"/>
  <c r="G40" i="21"/>
  <c r="H40" i="21"/>
  <c r="I40" i="21"/>
  <c r="J40" i="21"/>
  <c r="K40" i="21"/>
  <c r="L40" i="21"/>
  <c r="M40" i="21"/>
  <c r="N40" i="21"/>
  <c r="O40" i="21"/>
  <c r="P40" i="21"/>
  <c r="P42" i="21" s="1"/>
  <c r="P43" i="21" s="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F41" i="21"/>
  <c r="G41" i="21"/>
  <c r="H41" i="21"/>
  <c r="I41" i="21"/>
  <c r="J41" i="21"/>
  <c r="K41" i="21"/>
  <c r="E41" i="21" s="1"/>
  <c r="G41" i="33" s="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B42" i="21" s="1"/>
  <c r="AC41" i="21"/>
  <c r="AD41" i="21"/>
  <c r="AE41" i="21"/>
  <c r="G42" i="21"/>
  <c r="G43" i="21" s="1"/>
  <c r="H42" i="21"/>
  <c r="H43" i="21" s="1"/>
  <c r="I42" i="21"/>
  <c r="I43" i="21" s="1"/>
  <c r="O42" i="21"/>
  <c r="O43" i="21" s="1"/>
  <c r="Q42" i="21"/>
  <c r="Q43" i="21" s="1"/>
  <c r="W42" i="21"/>
  <c r="W43" i="21" s="1"/>
  <c r="X42" i="21"/>
  <c r="X43" i="21" s="1"/>
  <c r="Y42" i="21"/>
  <c r="Y43" i="21" s="1"/>
  <c r="AE42" i="21"/>
  <c r="AE43" i="21" s="1"/>
  <c r="F45" i="21"/>
  <c r="G45" i="21"/>
  <c r="H45" i="21"/>
  <c r="I45" i="21"/>
  <c r="J45" i="21"/>
  <c r="K45" i="21"/>
  <c r="L45" i="21"/>
  <c r="M45" i="21"/>
  <c r="N45" i="21"/>
  <c r="O45" i="21"/>
  <c r="P45" i="21"/>
  <c r="P45" i="24" s="1"/>
  <c r="Q45" i="21"/>
  <c r="R45" i="21"/>
  <c r="S45" i="21"/>
  <c r="S45" i="24" s="1"/>
  <c r="T45" i="21"/>
  <c r="U45" i="21"/>
  <c r="V45" i="21"/>
  <c r="W45" i="21"/>
  <c r="X45" i="21"/>
  <c r="X45" i="24" s="1"/>
  <c r="Y45" i="21"/>
  <c r="Z45" i="21"/>
  <c r="AA45" i="21"/>
  <c r="AB45" i="21"/>
  <c r="AC45" i="21"/>
  <c r="AD45" i="21"/>
  <c r="AE45" i="21"/>
  <c r="D47" i="21"/>
  <c r="F47" i="33" s="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W47" i="24" s="1"/>
  <c r="X47" i="21"/>
  <c r="Y47" i="21"/>
  <c r="Z47" i="21"/>
  <c r="AA47" i="21"/>
  <c r="AB47" i="21"/>
  <c r="AC47" i="21"/>
  <c r="AD47" i="21"/>
  <c r="AE47" i="21"/>
  <c r="AE47" i="24" s="1"/>
  <c r="F49" i="21"/>
  <c r="G49" i="21"/>
  <c r="H49" i="21"/>
  <c r="I49" i="21"/>
  <c r="J49" i="21"/>
  <c r="K49" i="21"/>
  <c r="L49" i="21"/>
  <c r="M49" i="21"/>
  <c r="M49" i="24" s="1"/>
  <c r="N49" i="21"/>
  <c r="O49" i="21"/>
  <c r="P49" i="21"/>
  <c r="Q49" i="21"/>
  <c r="R49" i="21"/>
  <c r="S49" i="21"/>
  <c r="T49" i="21"/>
  <c r="U49" i="21"/>
  <c r="U49" i="24" s="1"/>
  <c r="V49" i="21"/>
  <c r="W49" i="21"/>
  <c r="X49" i="21"/>
  <c r="X49" i="24" s="1"/>
  <c r="Y49" i="21"/>
  <c r="Z49" i="21"/>
  <c r="AA49" i="21"/>
  <c r="AB49" i="21"/>
  <c r="AC49" i="21"/>
  <c r="AD49" i="21"/>
  <c r="AE49" i="21"/>
  <c r="F51" i="21"/>
  <c r="G51" i="21"/>
  <c r="H51" i="21"/>
  <c r="I51" i="21"/>
  <c r="J51" i="21"/>
  <c r="K51" i="21"/>
  <c r="E51" i="21" s="1"/>
  <c r="G51" i="33" s="1"/>
  <c r="L51" i="21"/>
  <c r="M51" i="21"/>
  <c r="N51" i="21"/>
  <c r="O51" i="21"/>
  <c r="O51" i="24" s="1"/>
  <c r="P51" i="21"/>
  <c r="Q51" i="21"/>
  <c r="R51" i="21"/>
  <c r="S51" i="21"/>
  <c r="T51" i="21"/>
  <c r="T51" i="24" s="1"/>
  <c r="U51" i="21"/>
  <c r="U51" i="24" s="1"/>
  <c r="V51" i="21"/>
  <c r="W51" i="21"/>
  <c r="X51" i="21"/>
  <c r="Y51" i="21"/>
  <c r="Z51" i="21"/>
  <c r="AA51" i="21"/>
  <c r="AB51" i="21"/>
  <c r="AC51" i="21"/>
  <c r="AD51" i="21"/>
  <c r="AE51" i="21"/>
  <c r="F54" i="21"/>
  <c r="G54" i="21"/>
  <c r="H54" i="21"/>
  <c r="H56" i="21" s="1"/>
  <c r="I54" i="21"/>
  <c r="J54" i="21"/>
  <c r="J54" i="24" s="1"/>
  <c r="K54" i="21"/>
  <c r="L54" i="21"/>
  <c r="M54" i="21"/>
  <c r="N54" i="21"/>
  <c r="O54" i="21"/>
  <c r="P54" i="21"/>
  <c r="Q54" i="21"/>
  <c r="R54" i="21"/>
  <c r="S54" i="21"/>
  <c r="T54" i="21"/>
  <c r="T56" i="21" s="1"/>
  <c r="U54" i="21"/>
  <c r="V54" i="21"/>
  <c r="W54" i="21"/>
  <c r="X54" i="21"/>
  <c r="X56" i="21" s="1"/>
  <c r="Y54" i="21"/>
  <c r="Z54" i="21"/>
  <c r="AB54" i="21"/>
  <c r="AC54" i="21"/>
  <c r="AD54" i="21"/>
  <c r="AE54" i="21"/>
  <c r="F55" i="21"/>
  <c r="F56" i="21" s="1"/>
  <c r="G55" i="21"/>
  <c r="E55" i="21" s="1"/>
  <c r="G55" i="33" s="1"/>
  <c r="H55" i="21"/>
  <c r="I55" i="21"/>
  <c r="J55" i="21"/>
  <c r="J55" i="24" s="1"/>
  <c r="K55" i="21"/>
  <c r="L55" i="21"/>
  <c r="M55" i="21"/>
  <c r="M56" i="21" s="1"/>
  <c r="N55" i="21"/>
  <c r="O55" i="21"/>
  <c r="P55" i="21"/>
  <c r="Q55" i="21"/>
  <c r="R55" i="21"/>
  <c r="S55" i="21"/>
  <c r="T55" i="21"/>
  <c r="T55" i="24" s="1"/>
  <c r="U55" i="21"/>
  <c r="V55" i="21"/>
  <c r="W55" i="21"/>
  <c r="X55" i="21"/>
  <c r="Y55" i="21"/>
  <c r="Z55" i="21"/>
  <c r="AA55" i="21"/>
  <c r="AB55" i="21"/>
  <c r="AC55" i="21"/>
  <c r="AD55" i="21"/>
  <c r="AD56" i="21" s="1"/>
  <c r="AE55" i="21"/>
  <c r="AE56" i="21" s="1"/>
  <c r="I56" i="21"/>
  <c r="J56" i="21"/>
  <c r="K56" i="21"/>
  <c r="P56" i="21"/>
  <c r="S56" i="21"/>
  <c r="Y56" i="21"/>
  <c r="Z56" i="21"/>
  <c r="AA56" i="21"/>
  <c r="D59" i="21"/>
  <c r="F59" i="21"/>
  <c r="G59" i="21"/>
  <c r="E59" i="21" s="1"/>
  <c r="H59" i="21"/>
  <c r="I59" i="21"/>
  <c r="J59" i="21"/>
  <c r="K59" i="21"/>
  <c r="L59" i="21"/>
  <c r="M59" i="21"/>
  <c r="N59" i="21"/>
  <c r="N61" i="21" s="1"/>
  <c r="O59" i="21"/>
  <c r="P59" i="21"/>
  <c r="Q59" i="21"/>
  <c r="Q59" i="24" s="1"/>
  <c r="R59" i="21"/>
  <c r="R59" i="24" s="1"/>
  <c r="S59" i="21"/>
  <c r="T59" i="21"/>
  <c r="U59" i="21"/>
  <c r="U59" i="24" s="1"/>
  <c r="V59" i="21"/>
  <c r="W59" i="21"/>
  <c r="X59" i="21"/>
  <c r="Y59" i="21"/>
  <c r="Z59" i="21"/>
  <c r="AA59" i="21"/>
  <c r="AB59" i="21"/>
  <c r="AC59" i="21"/>
  <c r="AC59" i="24" s="1"/>
  <c r="AD59" i="21"/>
  <c r="AD61" i="21" s="1"/>
  <c r="AE59" i="21"/>
  <c r="F60" i="21"/>
  <c r="G60" i="21"/>
  <c r="H60" i="21"/>
  <c r="I60" i="21"/>
  <c r="J60" i="21"/>
  <c r="J61" i="21" s="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A61" i="21" s="1"/>
  <c r="AB60" i="21"/>
  <c r="AC60" i="21"/>
  <c r="AD60" i="21"/>
  <c r="AE60" i="21"/>
  <c r="F61" i="21"/>
  <c r="M61" i="21"/>
  <c r="O61" i="21"/>
  <c r="T61" i="21"/>
  <c r="U61" i="21"/>
  <c r="V61" i="21"/>
  <c r="AC61" i="21"/>
  <c r="AE61" i="21"/>
  <c r="F64" i="21"/>
  <c r="G64" i="21"/>
  <c r="H64" i="21"/>
  <c r="I64" i="21"/>
  <c r="J64" i="21"/>
  <c r="K64" i="21"/>
  <c r="L64" i="21"/>
  <c r="M64" i="21"/>
  <c r="N64" i="21"/>
  <c r="O64" i="21"/>
  <c r="P64" i="21"/>
  <c r="P66" i="21" s="1"/>
  <c r="Q64" i="21"/>
  <c r="R64" i="21"/>
  <c r="S64" i="21"/>
  <c r="T64" i="21"/>
  <c r="U64" i="21"/>
  <c r="V64" i="21"/>
  <c r="W64" i="21"/>
  <c r="X64" i="21"/>
  <c r="X66" i="21" s="1"/>
  <c r="Y64" i="21"/>
  <c r="Z64" i="21"/>
  <c r="AA64" i="21"/>
  <c r="AB64" i="21"/>
  <c r="AC64" i="21"/>
  <c r="AD64" i="21"/>
  <c r="AE64" i="21"/>
  <c r="F65" i="21"/>
  <c r="F66" i="21" s="1"/>
  <c r="G65" i="21"/>
  <c r="G66" i="21" s="1"/>
  <c r="H65" i="21"/>
  <c r="I65" i="21"/>
  <c r="J65" i="21"/>
  <c r="K65" i="21"/>
  <c r="L65" i="21"/>
  <c r="M65" i="21"/>
  <c r="M66" i="21" s="1"/>
  <c r="N65" i="21"/>
  <c r="N66" i="21" s="1"/>
  <c r="O65" i="21"/>
  <c r="O66" i="21" s="1"/>
  <c r="P65" i="21"/>
  <c r="Q65" i="21"/>
  <c r="R65" i="21"/>
  <c r="S65" i="21"/>
  <c r="T65" i="21"/>
  <c r="T66" i="21" s="1"/>
  <c r="U65" i="21"/>
  <c r="U66" i="21" s="1"/>
  <c r="V65" i="21"/>
  <c r="V66" i="21" s="1"/>
  <c r="W65" i="21"/>
  <c r="W66" i="21" s="1"/>
  <c r="X65" i="21"/>
  <c r="Y65" i="21"/>
  <c r="Z65" i="21"/>
  <c r="AA65" i="21"/>
  <c r="AB65" i="21"/>
  <c r="AB66" i="21" s="1"/>
  <c r="AC65" i="21"/>
  <c r="AC66" i="21" s="1"/>
  <c r="AD65" i="21"/>
  <c r="AD66" i="21" s="1"/>
  <c r="AE65" i="21"/>
  <c r="AE66" i="21" s="1"/>
  <c r="I66" i="21"/>
  <c r="J66" i="21"/>
  <c r="K66" i="21"/>
  <c r="Q66" i="21"/>
  <c r="R66" i="21"/>
  <c r="S66" i="21"/>
  <c r="Y66" i="21"/>
  <c r="Z66" i="21"/>
  <c r="AA66" i="21"/>
  <c r="D70" i="21"/>
  <c r="F70" i="21"/>
  <c r="G70" i="21"/>
  <c r="E70" i="21" s="1"/>
  <c r="G70" i="33" s="1"/>
  <c r="H70" i="21"/>
  <c r="I70" i="21"/>
  <c r="I72" i="21" s="1"/>
  <c r="J70" i="21"/>
  <c r="L70" i="21"/>
  <c r="M70" i="21"/>
  <c r="N70" i="21"/>
  <c r="O70" i="21"/>
  <c r="O72" i="21" s="1"/>
  <c r="P70" i="21"/>
  <c r="Q70" i="21"/>
  <c r="R70" i="21"/>
  <c r="R70" i="24" s="1"/>
  <c r="S70" i="21"/>
  <c r="T70" i="21"/>
  <c r="T70" i="24" s="1"/>
  <c r="U70" i="21"/>
  <c r="V70" i="21"/>
  <c r="W70" i="21"/>
  <c r="X70" i="21"/>
  <c r="Y70" i="21"/>
  <c r="Z70" i="21"/>
  <c r="AA70" i="21"/>
  <c r="AB70" i="21"/>
  <c r="AC70" i="21"/>
  <c r="AD70" i="21"/>
  <c r="AE70" i="21"/>
  <c r="AE72" i="21" s="1"/>
  <c r="F71" i="21"/>
  <c r="G71" i="21"/>
  <c r="E71" i="21" s="1"/>
  <c r="G71" i="33" s="1"/>
  <c r="H71" i="21"/>
  <c r="I71" i="21"/>
  <c r="J71" i="21"/>
  <c r="K71" i="21"/>
  <c r="K72" i="21" s="1"/>
  <c r="L71" i="21"/>
  <c r="M71" i="21"/>
  <c r="N71" i="21"/>
  <c r="O71" i="21"/>
  <c r="P71" i="21"/>
  <c r="Q71" i="21"/>
  <c r="Q72" i="21" s="1"/>
  <c r="R71" i="21"/>
  <c r="S71" i="21"/>
  <c r="T71" i="21"/>
  <c r="U71" i="21"/>
  <c r="V71" i="21"/>
  <c r="W71" i="21"/>
  <c r="X71" i="21"/>
  <c r="Y71" i="21"/>
  <c r="Z71" i="21"/>
  <c r="AA71" i="21"/>
  <c r="AA72" i="21" s="1"/>
  <c r="AB71" i="21"/>
  <c r="AB72" i="21" s="1"/>
  <c r="AC71" i="21"/>
  <c r="AD71" i="21"/>
  <c r="AE71" i="21"/>
  <c r="F72" i="21"/>
  <c r="G72" i="21"/>
  <c r="H72" i="21"/>
  <c r="N72" i="21"/>
  <c r="P72" i="21"/>
  <c r="U72" i="21"/>
  <c r="V72" i="21"/>
  <c r="W72" i="21"/>
  <c r="AD72" i="21"/>
  <c r="D73" i="21"/>
  <c r="F73" i="33" s="1"/>
  <c r="F73" i="21"/>
  <c r="G73" i="21"/>
  <c r="E73" i="21" s="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Z73" i="24" s="1"/>
  <c r="AA73" i="21"/>
  <c r="AB73" i="21"/>
  <c r="AC73" i="21"/>
  <c r="AD73" i="21"/>
  <c r="AE73" i="21"/>
  <c r="F74" i="21"/>
  <c r="H74" i="21"/>
  <c r="I74" i="21"/>
  <c r="J74" i="21"/>
  <c r="K74" i="21"/>
  <c r="L74" i="21"/>
  <c r="M74" i="21"/>
  <c r="N74" i="21"/>
  <c r="O74" i="21"/>
  <c r="P74" i="21"/>
  <c r="P74" i="24" s="1"/>
  <c r="Q74" i="21"/>
  <c r="R74" i="21"/>
  <c r="S74" i="21"/>
  <c r="T74" i="21"/>
  <c r="U74" i="21"/>
  <c r="V74" i="21"/>
  <c r="W74" i="21"/>
  <c r="X74" i="21"/>
  <c r="Y74" i="21"/>
  <c r="Z74" i="21"/>
  <c r="Z74" i="24" s="1"/>
  <c r="AA74" i="21"/>
  <c r="AB74" i="21"/>
  <c r="AC74" i="21"/>
  <c r="AD74" i="21"/>
  <c r="AE74" i="21"/>
  <c r="F75" i="21"/>
  <c r="G75" i="21"/>
  <c r="E75" i="21" s="1"/>
  <c r="G75" i="33" s="1"/>
  <c r="I75" i="33" s="1"/>
  <c r="H75" i="21"/>
  <c r="I75" i="21"/>
  <c r="I75" i="24" s="1"/>
  <c r="J75" i="21"/>
  <c r="K75" i="21"/>
  <c r="L75" i="21"/>
  <c r="M75" i="21"/>
  <c r="N75" i="21"/>
  <c r="O75" i="21"/>
  <c r="P75" i="21"/>
  <c r="Q75" i="21"/>
  <c r="Q75" i="24" s="1"/>
  <c r="R75" i="21"/>
  <c r="S75" i="21"/>
  <c r="T75" i="21"/>
  <c r="U75" i="21"/>
  <c r="V75" i="21"/>
  <c r="W75" i="21"/>
  <c r="X75" i="21"/>
  <c r="Y75" i="21"/>
  <c r="Y75" i="24" s="1"/>
  <c r="Z75" i="21"/>
  <c r="AA75" i="21"/>
  <c r="AB75" i="21"/>
  <c r="AC75" i="21"/>
  <c r="AD75" i="21"/>
  <c r="AE75" i="21"/>
  <c r="F76" i="21"/>
  <c r="G76" i="21"/>
  <c r="H76" i="21"/>
  <c r="I76" i="21"/>
  <c r="J76" i="21"/>
  <c r="K76" i="21"/>
  <c r="L76" i="21"/>
  <c r="M76" i="21"/>
  <c r="M76" i="24" s="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F77" i="21"/>
  <c r="G77" i="21"/>
  <c r="H77" i="21"/>
  <c r="I77" i="21"/>
  <c r="I77" i="24" s="1"/>
  <c r="J77" i="21"/>
  <c r="K77" i="21"/>
  <c r="L77" i="21"/>
  <c r="L77" i="24" s="1"/>
  <c r="M77" i="21"/>
  <c r="N77" i="21"/>
  <c r="O77" i="21"/>
  <c r="P77" i="21"/>
  <c r="Q77" i="21"/>
  <c r="Q77" i="24" s="1"/>
  <c r="R77" i="21"/>
  <c r="R77" i="24" s="1"/>
  <c r="S77" i="21"/>
  <c r="T77" i="21"/>
  <c r="T77" i="24" s="1"/>
  <c r="U77" i="21"/>
  <c r="V77" i="21"/>
  <c r="W77" i="21"/>
  <c r="X77" i="21"/>
  <c r="Y77" i="21"/>
  <c r="Y77" i="24" s="1"/>
  <c r="Z77" i="21"/>
  <c r="Z77" i="24" s="1"/>
  <c r="AA77" i="21"/>
  <c r="AB77" i="21"/>
  <c r="AB77" i="24" s="1"/>
  <c r="AC77" i="21"/>
  <c r="AD77" i="21"/>
  <c r="AE77" i="21"/>
  <c r="F78" i="21"/>
  <c r="G78" i="21"/>
  <c r="H78" i="21"/>
  <c r="H78" i="24" s="1"/>
  <c r="I78" i="21"/>
  <c r="J78" i="21"/>
  <c r="K78" i="21"/>
  <c r="L78" i="21"/>
  <c r="M78" i="21"/>
  <c r="N78" i="21"/>
  <c r="O78" i="21"/>
  <c r="P78" i="21"/>
  <c r="P78" i="24" s="1"/>
  <c r="Q78" i="21"/>
  <c r="R78" i="21"/>
  <c r="S78" i="21"/>
  <c r="T78" i="21"/>
  <c r="U78" i="21"/>
  <c r="V78" i="21"/>
  <c r="W78" i="21"/>
  <c r="X78" i="21"/>
  <c r="X78" i="24" s="1"/>
  <c r="Y78" i="21"/>
  <c r="Z78" i="21"/>
  <c r="AA78" i="21"/>
  <c r="AB78" i="21"/>
  <c r="AC78" i="21"/>
  <c r="AD78" i="21"/>
  <c r="AE78" i="21"/>
  <c r="D79" i="21"/>
  <c r="F79" i="33" s="1"/>
  <c r="H79" i="33" s="1"/>
  <c r="F79" i="21"/>
  <c r="G79" i="21"/>
  <c r="H79" i="21"/>
  <c r="I79" i="21"/>
  <c r="J79" i="21"/>
  <c r="K79" i="21"/>
  <c r="L79" i="21"/>
  <c r="L79" i="24" s="1"/>
  <c r="M79" i="21"/>
  <c r="N79" i="21"/>
  <c r="O79" i="21"/>
  <c r="P79" i="21"/>
  <c r="Q79" i="21"/>
  <c r="R79" i="21"/>
  <c r="S79" i="21"/>
  <c r="S79" i="24" s="1"/>
  <c r="T79" i="21"/>
  <c r="T79" i="24" s="1"/>
  <c r="U79" i="21"/>
  <c r="V79" i="21"/>
  <c r="W79" i="21"/>
  <c r="X79" i="21"/>
  <c r="Y79" i="21"/>
  <c r="Z79" i="21"/>
  <c r="AA79" i="21"/>
  <c r="AB79" i="21"/>
  <c r="AB79" i="24" s="1"/>
  <c r="AC79" i="21"/>
  <c r="AD79" i="21"/>
  <c r="AE79" i="21"/>
  <c r="F80" i="21"/>
  <c r="G80" i="21"/>
  <c r="H80" i="21"/>
  <c r="I80" i="21"/>
  <c r="J80" i="21"/>
  <c r="K80" i="21"/>
  <c r="K80" i="24" s="1"/>
  <c r="L80" i="21"/>
  <c r="M80" i="21"/>
  <c r="M80" i="24" s="1"/>
  <c r="N80" i="21"/>
  <c r="O80" i="21"/>
  <c r="P80" i="21"/>
  <c r="P80" i="24" s="1"/>
  <c r="Q80" i="21"/>
  <c r="R80" i="21"/>
  <c r="R80" i="24" s="1"/>
  <c r="S80" i="21"/>
  <c r="S80" i="24" s="1"/>
  <c r="T80" i="21"/>
  <c r="U80" i="21"/>
  <c r="U80" i="24" s="1"/>
  <c r="V80" i="21"/>
  <c r="W80" i="21"/>
  <c r="X80" i="21"/>
  <c r="X80" i="24" s="1"/>
  <c r="Y80" i="21"/>
  <c r="Z80" i="21"/>
  <c r="Z80" i="24" s="1"/>
  <c r="AA80" i="21"/>
  <c r="AA80" i="24" s="1"/>
  <c r="AB80" i="21"/>
  <c r="AC80" i="21"/>
  <c r="AC80" i="24" s="1"/>
  <c r="AD80" i="21"/>
  <c r="AE80" i="21"/>
  <c r="F81" i="21"/>
  <c r="G81" i="21"/>
  <c r="H81" i="21"/>
  <c r="I81" i="21"/>
  <c r="J81" i="21"/>
  <c r="K81" i="21"/>
  <c r="K81" i="24" s="1"/>
  <c r="L81" i="21"/>
  <c r="M81" i="21"/>
  <c r="N81" i="21"/>
  <c r="N81" i="24" s="1"/>
  <c r="O81" i="21"/>
  <c r="P81" i="21"/>
  <c r="P81" i="24" s="1"/>
  <c r="Q81" i="21"/>
  <c r="R81" i="21"/>
  <c r="S81" i="21"/>
  <c r="T81" i="21"/>
  <c r="U81" i="21"/>
  <c r="V81" i="21"/>
  <c r="V81" i="24" s="1"/>
  <c r="W81" i="21"/>
  <c r="X81" i="21"/>
  <c r="Y81" i="21"/>
  <c r="Y81" i="24" s="1"/>
  <c r="Z81" i="21"/>
  <c r="AA81" i="21"/>
  <c r="AB81" i="21"/>
  <c r="AC81" i="21"/>
  <c r="AD81" i="21"/>
  <c r="AD81" i="24" s="1"/>
  <c r="AE81" i="21"/>
  <c r="D86" i="21"/>
  <c r="F86" i="21"/>
  <c r="F86" i="24" s="1"/>
  <c r="G86" i="21"/>
  <c r="E86" i="21" s="1"/>
  <c r="F87" i="21"/>
  <c r="D87" i="21" s="1"/>
  <c r="G87" i="21"/>
  <c r="D88" i="21"/>
  <c r="F88" i="21"/>
  <c r="F88" i="24" s="1"/>
  <c r="G88" i="21"/>
  <c r="F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5" i="33"/>
  <c r="D11" i="33"/>
  <c r="E11" i="33"/>
  <c r="E13" i="33"/>
  <c r="E15" i="33"/>
  <c r="E20" i="33"/>
  <c r="D22" i="33"/>
  <c r="D23" i="33"/>
  <c r="E32" i="33"/>
  <c r="D35" i="33"/>
  <c r="E35" i="33"/>
  <c r="D39" i="33"/>
  <c r="E39" i="33"/>
  <c r="D41" i="33"/>
  <c r="E41" i="33"/>
  <c r="I41" i="33" s="1"/>
  <c r="E45" i="33"/>
  <c r="D51" i="33"/>
  <c r="E51" i="33"/>
  <c r="I51" i="33"/>
  <c r="D55" i="33"/>
  <c r="E55" i="33"/>
  <c r="I55" i="33" s="1"/>
  <c r="E59" i="33"/>
  <c r="E64" i="33"/>
  <c r="F70" i="33"/>
  <c r="G73" i="33"/>
  <c r="D75" i="33"/>
  <c r="E75" i="33"/>
  <c r="D76" i="33"/>
  <c r="D78" i="33"/>
  <c r="D79" i="33"/>
  <c r="E79" i="33"/>
  <c r="D80" i="33"/>
  <c r="G86" i="33"/>
  <c r="F87" i="33"/>
  <c r="D88" i="33"/>
  <c r="E88" i="33"/>
  <c r="F88" i="33"/>
  <c r="H88" i="33" s="1"/>
  <c r="A4" i="11"/>
  <c r="A5" i="11"/>
  <c r="G11" i="11"/>
  <c r="H11" i="11"/>
  <c r="H11" i="12" s="1"/>
  <c r="I11" i="11"/>
  <c r="L11" i="11"/>
  <c r="M11" i="11"/>
  <c r="F12" i="11"/>
  <c r="H12" i="11"/>
  <c r="I12" i="11"/>
  <c r="L12" i="11"/>
  <c r="H13" i="11"/>
  <c r="I13" i="11"/>
  <c r="H14" i="11"/>
  <c r="I14" i="11"/>
  <c r="G15" i="11"/>
  <c r="H15" i="11"/>
  <c r="F15" i="11" s="1"/>
  <c r="I15" i="11"/>
  <c r="L15" i="11"/>
  <c r="D15" i="35" s="1"/>
  <c r="M15" i="11"/>
  <c r="J16" i="11"/>
  <c r="K16" i="11"/>
  <c r="H18" i="11"/>
  <c r="I18" i="11"/>
  <c r="G19" i="11"/>
  <c r="H19" i="11"/>
  <c r="F19" i="11" s="1"/>
  <c r="I19" i="11"/>
  <c r="L19" i="11"/>
  <c r="M19" i="11"/>
  <c r="F20" i="11"/>
  <c r="G20" i="11"/>
  <c r="H20" i="11"/>
  <c r="I20" i="11"/>
  <c r="L20" i="11"/>
  <c r="F21" i="11"/>
  <c r="G21" i="11"/>
  <c r="H21" i="11"/>
  <c r="L21" i="11" s="1"/>
  <c r="D21" i="35" s="1"/>
  <c r="I21" i="11"/>
  <c r="M21" i="11"/>
  <c r="H22" i="11"/>
  <c r="I22" i="11"/>
  <c r="G23" i="11"/>
  <c r="H23" i="11"/>
  <c r="F23" i="11" s="1"/>
  <c r="I23" i="11"/>
  <c r="L23" i="11"/>
  <c r="M23" i="11"/>
  <c r="E23" i="35" s="1"/>
  <c r="J24" i="11"/>
  <c r="K24" i="11"/>
  <c r="F27" i="11"/>
  <c r="F29" i="11" s="1"/>
  <c r="H27" i="11"/>
  <c r="I27" i="11"/>
  <c r="L27" i="11"/>
  <c r="L29" i="11" s="1"/>
  <c r="F28" i="11"/>
  <c r="H28" i="11"/>
  <c r="L28" i="11" s="1"/>
  <c r="I28" i="11"/>
  <c r="G28" i="11" s="1"/>
  <c r="M28" i="11"/>
  <c r="E28" i="35" s="1"/>
  <c r="H29" i="11"/>
  <c r="J29" i="11"/>
  <c r="J82" i="11" s="1"/>
  <c r="K29" i="11"/>
  <c r="H32" i="11"/>
  <c r="F32" i="11" s="1"/>
  <c r="I32" i="11"/>
  <c r="G32" i="11" s="1"/>
  <c r="L32" i="11"/>
  <c r="M32" i="11"/>
  <c r="G33" i="11"/>
  <c r="H33" i="11"/>
  <c r="F33" i="11" s="1"/>
  <c r="I33" i="11"/>
  <c r="L33" i="11"/>
  <c r="D33" i="35" s="1"/>
  <c r="M33" i="11"/>
  <c r="F34" i="11"/>
  <c r="G34" i="11"/>
  <c r="H34" i="11"/>
  <c r="I34" i="11"/>
  <c r="M34" i="11" s="1"/>
  <c r="E34" i="35" s="1"/>
  <c r="L34" i="11"/>
  <c r="F35" i="11"/>
  <c r="H35" i="11"/>
  <c r="L35" i="11" s="1"/>
  <c r="I35" i="11"/>
  <c r="H36" i="11"/>
  <c r="J36" i="11"/>
  <c r="K36" i="11"/>
  <c r="L37" i="11"/>
  <c r="M37" i="11"/>
  <c r="H38" i="11"/>
  <c r="I38" i="11"/>
  <c r="F39" i="11"/>
  <c r="G39" i="11"/>
  <c r="H39" i="11"/>
  <c r="I39" i="11"/>
  <c r="M39" i="11" s="1"/>
  <c r="L39" i="11"/>
  <c r="F40" i="11"/>
  <c r="F42" i="11" s="1"/>
  <c r="F43" i="11" s="1"/>
  <c r="G40" i="11"/>
  <c r="G42" i="11" s="1"/>
  <c r="G43" i="11" s="1"/>
  <c r="H40" i="11"/>
  <c r="I40" i="11"/>
  <c r="I42" i="11" s="1"/>
  <c r="I43" i="11" s="1"/>
  <c r="M40" i="11"/>
  <c r="H41" i="11"/>
  <c r="F41" i="11" s="1"/>
  <c r="I41" i="11"/>
  <c r="G41" i="11" s="1"/>
  <c r="M41" i="11"/>
  <c r="E41" i="35" s="1"/>
  <c r="J42" i="11"/>
  <c r="J43" i="11" s="1"/>
  <c r="K42" i="11"/>
  <c r="K43" i="11"/>
  <c r="G45" i="11"/>
  <c r="H45" i="11"/>
  <c r="F45" i="11" s="1"/>
  <c r="I45" i="11"/>
  <c r="L45" i="11"/>
  <c r="M45" i="11"/>
  <c r="F47" i="11"/>
  <c r="H47" i="11"/>
  <c r="I47" i="11"/>
  <c r="L47" i="11"/>
  <c r="F49" i="11"/>
  <c r="H49" i="11"/>
  <c r="L49" i="11" s="1"/>
  <c r="D49" i="35" s="1"/>
  <c r="I49" i="11"/>
  <c r="G49" i="11" s="1"/>
  <c r="M49" i="11"/>
  <c r="E49" i="35" s="1"/>
  <c r="H51" i="11"/>
  <c r="F51" i="11" s="1"/>
  <c r="I51" i="11"/>
  <c r="L51" i="11"/>
  <c r="D51" i="35" s="1"/>
  <c r="G54" i="11"/>
  <c r="H54" i="11"/>
  <c r="F54" i="11" s="1"/>
  <c r="I54" i="11"/>
  <c r="L54" i="11"/>
  <c r="L56" i="11" s="1"/>
  <c r="M54" i="11"/>
  <c r="M56" i="11" s="1"/>
  <c r="F55" i="11"/>
  <c r="G55" i="11"/>
  <c r="G56" i="11" s="1"/>
  <c r="H55" i="11"/>
  <c r="I55" i="11"/>
  <c r="M55" i="11" s="1"/>
  <c r="L55" i="11"/>
  <c r="F56" i="11"/>
  <c r="H56" i="11"/>
  <c r="I56" i="11"/>
  <c r="J56" i="11"/>
  <c r="K56" i="11"/>
  <c r="H59" i="11"/>
  <c r="I59" i="11"/>
  <c r="H60" i="11"/>
  <c r="I60" i="11"/>
  <c r="J61" i="11"/>
  <c r="K61" i="11"/>
  <c r="G64" i="11"/>
  <c r="H64" i="11"/>
  <c r="F64" i="11" s="1"/>
  <c r="I64" i="11"/>
  <c r="L64" i="11"/>
  <c r="M64" i="11"/>
  <c r="F65" i="11"/>
  <c r="F66" i="11" s="1"/>
  <c r="G65" i="11"/>
  <c r="H65" i="11"/>
  <c r="I65" i="11"/>
  <c r="M65" i="11" s="1"/>
  <c r="E65" i="35" s="1"/>
  <c r="L65" i="11"/>
  <c r="H66" i="11"/>
  <c r="I66" i="11"/>
  <c r="J66" i="11"/>
  <c r="K66" i="11"/>
  <c r="F70" i="11"/>
  <c r="F72" i="11" s="1"/>
  <c r="G70" i="11"/>
  <c r="H70" i="11"/>
  <c r="I70" i="11"/>
  <c r="M70" i="11"/>
  <c r="E70" i="35" s="1"/>
  <c r="H71" i="11"/>
  <c r="F71" i="11" s="1"/>
  <c r="I71" i="11"/>
  <c r="G71" i="11" s="1"/>
  <c r="G72" i="11" s="1"/>
  <c r="M71" i="11"/>
  <c r="J72" i="11"/>
  <c r="K72" i="11"/>
  <c r="G73" i="11"/>
  <c r="H73" i="11"/>
  <c r="F73" i="11" s="1"/>
  <c r="I73" i="11"/>
  <c r="L73" i="11"/>
  <c r="M73" i="11"/>
  <c r="F74" i="11"/>
  <c r="H74" i="11"/>
  <c r="I74" i="11"/>
  <c r="L74" i="11"/>
  <c r="F75" i="11"/>
  <c r="G75" i="11"/>
  <c r="H75" i="11"/>
  <c r="L75" i="11" s="1"/>
  <c r="D75" i="35" s="1"/>
  <c r="I75" i="11"/>
  <c r="M75" i="11"/>
  <c r="E75" i="35" s="1"/>
  <c r="H76" i="11"/>
  <c r="L76" i="11" s="1"/>
  <c r="D76" i="35" s="1"/>
  <c r="I76" i="11"/>
  <c r="G76" i="11" s="1"/>
  <c r="G77" i="11"/>
  <c r="H77" i="11"/>
  <c r="F77" i="11" s="1"/>
  <c r="I77" i="11"/>
  <c r="L77" i="11"/>
  <c r="M77" i="11"/>
  <c r="F78" i="11"/>
  <c r="G78" i="11"/>
  <c r="H78" i="11"/>
  <c r="I78" i="11"/>
  <c r="M78" i="11" s="1"/>
  <c r="L78" i="11"/>
  <c r="G79" i="11"/>
  <c r="H79" i="11"/>
  <c r="I79" i="11"/>
  <c r="M79" i="11"/>
  <c r="E79" i="35" s="1"/>
  <c r="H80" i="11"/>
  <c r="I80" i="11"/>
  <c r="G80" i="11" s="1"/>
  <c r="G81" i="11"/>
  <c r="H81" i="11"/>
  <c r="F81" i="11" s="1"/>
  <c r="I81" i="11"/>
  <c r="L81" i="11"/>
  <c r="D81" i="35" s="1"/>
  <c r="M81" i="11"/>
  <c r="D82" i="11"/>
  <c r="E82" i="11"/>
  <c r="E84" i="12" s="1"/>
  <c r="K82" i="11"/>
  <c r="A5" i="23"/>
  <c r="H8" i="23"/>
  <c r="J8" i="23"/>
  <c r="L8" i="23"/>
  <c r="N8" i="23"/>
  <c r="F11" i="23"/>
  <c r="G11" i="23"/>
  <c r="H11" i="23"/>
  <c r="I11" i="23"/>
  <c r="J11" i="23"/>
  <c r="K11" i="23"/>
  <c r="K16" i="23" s="1"/>
  <c r="L11" i="23"/>
  <c r="L16" i="23" s="1"/>
  <c r="M11" i="23"/>
  <c r="M16" i="23" s="1"/>
  <c r="N11" i="23"/>
  <c r="O11" i="23"/>
  <c r="P11" i="23"/>
  <c r="Q11" i="23"/>
  <c r="R11" i="23"/>
  <c r="S11" i="23"/>
  <c r="S16" i="23" s="1"/>
  <c r="T11" i="23"/>
  <c r="T16" i="23" s="1"/>
  <c r="U11" i="23"/>
  <c r="U16" i="23" s="1"/>
  <c r="V11" i="23"/>
  <c r="W11" i="23"/>
  <c r="W11" i="24" s="1"/>
  <c r="X11" i="23"/>
  <c r="Y11" i="23"/>
  <c r="Z11" i="23"/>
  <c r="AA11" i="23"/>
  <c r="AA16" i="23" s="1"/>
  <c r="AB11" i="23"/>
  <c r="AB16" i="23" s="1"/>
  <c r="AC11" i="23"/>
  <c r="AC16" i="23" s="1"/>
  <c r="AD11" i="23"/>
  <c r="AE11" i="23"/>
  <c r="F12" i="23"/>
  <c r="H12" i="23"/>
  <c r="I12" i="23"/>
  <c r="J12" i="23"/>
  <c r="J16" i="23" s="1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E12" i="24" s="1"/>
  <c r="F13" i="23"/>
  <c r="G13" i="23"/>
  <c r="H13" i="23"/>
  <c r="I13" i="23"/>
  <c r="J13" i="23"/>
  <c r="K13" i="23"/>
  <c r="L13" i="23"/>
  <c r="M13" i="23"/>
  <c r="E13" i="23" s="1"/>
  <c r="G13" i="35" s="1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F14" i="35" s="1"/>
  <c r="F14" i="23"/>
  <c r="G14" i="23"/>
  <c r="H14" i="23"/>
  <c r="I14" i="23"/>
  <c r="J14" i="23"/>
  <c r="K14" i="23"/>
  <c r="L14" i="23"/>
  <c r="M14" i="23"/>
  <c r="N14" i="23"/>
  <c r="O14" i="23"/>
  <c r="P14" i="23"/>
  <c r="Q14" i="23"/>
  <c r="Q16" i="23" s="1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F15" i="23"/>
  <c r="G15" i="23"/>
  <c r="H15" i="23"/>
  <c r="I15" i="23"/>
  <c r="J15" i="23"/>
  <c r="K15" i="23"/>
  <c r="L15" i="23"/>
  <c r="M15" i="23"/>
  <c r="E15" i="23" s="1"/>
  <c r="G15" i="35" s="1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D15" i="24" s="1"/>
  <c r="AE15" i="23"/>
  <c r="O16" i="23"/>
  <c r="R16" i="23"/>
  <c r="W16" i="23"/>
  <c r="Y16" i="23"/>
  <c r="Z16" i="23"/>
  <c r="AE16" i="23"/>
  <c r="F19" i="23"/>
  <c r="G19" i="23"/>
  <c r="H19" i="23"/>
  <c r="I19" i="23"/>
  <c r="J19" i="23"/>
  <c r="J19" i="24" s="1"/>
  <c r="K19" i="23"/>
  <c r="L19" i="23"/>
  <c r="M19" i="23"/>
  <c r="N19" i="23"/>
  <c r="O19" i="23"/>
  <c r="P19" i="23"/>
  <c r="Q19" i="23"/>
  <c r="R19" i="23"/>
  <c r="S19" i="23"/>
  <c r="S24" i="23" s="1"/>
  <c r="T19" i="23"/>
  <c r="T24" i="23" s="1"/>
  <c r="U19" i="23"/>
  <c r="V19" i="23"/>
  <c r="W19" i="23"/>
  <c r="X19" i="23"/>
  <c r="Y19" i="23"/>
  <c r="Z19" i="23"/>
  <c r="AA19" i="23"/>
  <c r="AA24" i="23" s="1"/>
  <c r="AB19" i="23"/>
  <c r="AC19" i="23"/>
  <c r="AD19" i="23"/>
  <c r="AE19" i="23"/>
  <c r="F20" i="23"/>
  <c r="G20" i="23"/>
  <c r="H20" i="23"/>
  <c r="I20" i="23"/>
  <c r="I24" i="23" s="1"/>
  <c r="J20" i="23"/>
  <c r="J20" i="24" s="1"/>
  <c r="K20" i="23"/>
  <c r="L20" i="23"/>
  <c r="M20" i="23"/>
  <c r="M20" i="24" s="1"/>
  <c r="N20" i="23"/>
  <c r="O20" i="23"/>
  <c r="O24" i="23" s="1"/>
  <c r="P20" i="23"/>
  <c r="Q20" i="23"/>
  <c r="Q24" i="23" s="1"/>
  <c r="R20" i="23"/>
  <c r="S20" i="23"/>
  <c r="T20" i="23"/>
  <c r="U20" i="23"/>
  <c r="V20" i="23"/>
  <c r="W20" i="23"/>
  <c r="X20" i="23"/>
  <c r="Y20" i="23"/>
  <c r="Y24" i="23" s="1"/>
  <c r="Z20" i="23"/>
  <c r="AA20" i="23"/>
  <c r="AB20" i="23"/>
  <c r="AC20" i="23"/>
  <c r="AD20" i="23"/>
  <c r="AE20" i="23"/>
  <c r="AE24" i="23" s="1"/>
  <c r="F21" i="23"/>
  <c r="G21" i="23"/>
  <c r="H21" i="23"/>
  <c r="I21" i="23"/>
  <c r="J21" i="23"/>
  <c r="K21" i="23"/>
  <c r="L21" i="23"/>
  <c r="D21" i="23" s="1"/>
  <c r="F21" i="35" s="1"/>
  <c r="M21" i="23"/>
  <c r="E21" i="23" s="1"/>
  <c r="G21" i="35" s="1"/>
  <c r="I21" i="35" s="1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F22" i="23"/>
  <c r="G22" i="23"/>
  <c r="H22" i="23"/>
  <c r="I22" i="23"/>
  <c r="J22" i="23"/>
  <c r="J24" i="23" s="1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Z24" i="23" s="1"/>
  <c r="AA22" i="23"/>
  <c r="AB22" i="23"/>
  <c r="AC22" i="23"/>
  <c r="AD22" i="23"/>
  <c r="AE22" i="23"/>
  <c r="F23" i="23"/>
  <c r="G23" i="23"/>
  <c r="H23" i="23"/>
  <c r="I23" i="23"/>
  <c r="J23" i="23"/>
  <c r="K23" i="23"/>
  <c r="L23" i="23"/>
  <c r="L23" i="24" s="1"/>
  <c r="M23" i="23"/>
  <c r="E23" i="23" s="1"/>
  <c r="G23" i="35" s="1"/>
  <c r="N23" i="23"/>
  <c r="O23" i="23"/>
  <c r="P23" i="23"/>
  <c r="Q23" i="23"/>
  <c r="R23" i="23"/>
  <c r="S23" i="23"/>
  <c r="T23" i="23"/>
  <c r="U23" i="23"/>
  <c r="V23" i="23"/>
  <c r="W23" i="23"/>
  <c r="W23" i="24" s="1"/>
  <c r="X23" i="23"/>
  <c r="Y23" i="23"/>
  <c r="Z23" i="23"/>
  <c r="AA23" i="23"/>
  <c r="AB23" i="23"/>
  <c r="AC23" i="23"/>
  <c r="AD23" i="23"/>
  <c r="AE23" i="23"/>
  <c r="W24" i="23"/>
  <c r="X24" i="23"/>
  <c r="F27" i="23"/>
  <c r="G27" i="23"/>
  <c r="H27" i="23"/>
  <c r="H29" i="23" s="1"/>
  <c r="I27" i="23"/>
  <c r="J27" i="23"/>
  <c r="K27" i="23"/>
  <c r="L27" i="23"/>
  <c r="M27" i="23"/>
  <c r="E27" i="23" s="1"/>
  <c r="N27" i="23"/>
  <c r="N29" i="23" s="1"/>
  <c r="O27" i="23"/>
  <c r="O27" i="24" s="1"/>
  <c r="P27" i="23"/>
  <c r="P29" i="23" s="1"/>
  <c r="Q27" i="23"/>
  <c r="R27" i="23"/>
  <c r="S27" i="23"/>
  <c r="S29" i="23" s="1"/>
  <c r="T27" i="23"/>
  <c r="U27" i="23"/>
  <c r="V27" i="23"/>
  <c r="W27" i="23"/>
  <c r="X27" i="23"/>
  <c r="X29" i="23" s="1"/>
  <c r="Y27" i="23"/>
  <c r="Z27" i="23"/>
  <c r="AA27" i="23"/>
  <c r="AB27" i="23"/>
  <c r="AC27" i="23"/>
  <c r="AC29" i="23" s="1"/>
  <c r="AD27" i="23"/>
  <c r="AD29" i="23" s="1"/>
  <c r="AE27" i="23"/>
  <c r="F28" i="23"/>
  <c r="G28" i="23"/>
  <c r="H28" i="23"/>
  <c r="I28" i="23"/>
  <c r="I29" i="23" s="1"/>
  <c r="J28" i="23"/>
  <c r="K28" i="23"/>
  <c r="L28" i="23"/>
  <c r="L29" i="23" s="1"/>
  <c r="M28" i="23"/>
  <c r="N28" i="23"/>
  <c r="O28" i="23"/>
  <c r="O29" i="23" s="1"/>
  <c r="P28" i="23"/>
  <c r="Q28" i="23"/>
  <c r="Q29" i="23" s="1"/>
  <c r="R28" i="23"/>
  <c r="R29" i="23" s="1"/>
  <c r="S28" i="23"/>
  <c r="T28" i="23"/>
  <c r="T29" i="23" s="1"/>
  <c r="U28" i="23"/>
  <c r="V28" i="23"/>
  <c r="W28" i="23"/>
  <c r="W29" i="23" s="1"/>
  <c r="X28" i="23"/>
  <c r="Y28" i="23"/>
  <c r="Y29" i="23" s="1"/>
  <c r="Z28" i="23"/>
  <c r="Z29" i="23" s="1"/>
  <c r="AA28" i="23"/>
  <c r="AB28" i="23"/>
  <c r="AB29" i="23" s="1"/>
  <c r="AC28" i="23"/>
  <c r="AD28" i="23"/>
  <c r="AE28" i="23"/>
  <c r="AE29" i="23" s="1"/>
  <c r="F29" i="23"/>
  <c r="K29" i="23"/>
  <c r="M29" i="23"/>
  <c r="U29" i="23"/>
  <c r="V29" i="23"/>
  <c r="AA29" i="23"/>
  <c r="F32" i="23"/>
  <c r="G32" i="23"/>
  <c r="H32" i="23"/>
  <c r="I32" i="23"/>
  <c r="J32" i="23"/>
  <c r="K32" i="23"/>
  <c r="L32" i="23"/>
  <c r="M32" i="23"/>
  <c r="N32" i="23"/>
  <c r="O32" i="23"/>
  <c r="O36" i="23" s="1"/>
  <c r="P32" i="23"/>
  <c r="P36" i="23" s="1"/>
  <c r="Q32" i="23"/>
  <c r="R32" i="23"/>
  <c r="S32" i="23"/>
  <c r="T32" i="23"/>
  <c r="U32" i="23"/>
  <c r="V32" i="23"/>
  <c r="W32" i="23"/>
  <c r="W36" i="23" s="1"/>
  <c r="X32" i="23"/>
  <c r="X36" i="23" s="1"/>
  <c r="Y32" i="23"/>
  <c r="Z32" i="23"/>
  <c r="AA32" i="23"/>
  <c r="AB32" i="23"/>
  <c r="AC32" i="23"/>
  <c r="AD32" i="23"/>
  <c r="AE32" i="23"/>
  <c r="AE36" i="23" s="1"/>
  <c r="F33" i="23"/>
  <c r="G33" i="23"/>
  <c r="H33" i="23"/>
  <c r="I33" i="23"/>
  <c r="J33" i="23"/>
  <c r="K33" i="23"/>
  <c r="K36" i="23" s="1"/>
  <c r="L33" i="23"/>
  <c r="L36" i="23" s="1"/>
  <c r="M33" i="23"/>
  <c r="M36" i="23" s="1"/>
  <c r="N33" i="23"/>
  <c r="O33" i="23"/>
  <c r="P33" i="23"/>
  <c r="Q33" i="23"/>
  <c r="R33" i="23"/>
  <c r="S33" i="23"/>
  <c r="S36" i="23" s="1"/>
  <c r="T33" i="23"/>
  <c r="T36" i="23" s="1"/>
  <c r="U33" i="23"/>
  <c r="U36" i="23" s="1"/>
  <c r="V33" i="23"/>
  <c r="W33" i="23"/>
  <c r="W33" i="24" s="1"/>
  <c r="X33" i="23"/>
  <c r="Y33" i="23"/>
  <c r="Z33" i="23"/>
  <c r="AA33" i="23"/>
  <c r="AA36" i="23" s="1"/>
  <c r="AB33" i="23"/>
  <c r="AB36" i="23" s="1"/>
  <c r="AC33" i="23"/>
  <c r="AC36" i="23" s="1"/>
  <c r="AD33" i="23"/>
  <c r="AE33" i="23"/>
  <c r="F34" i="23"/>
  <c r="G34" i="23"/>
  <c r="H34" i="23"/>
  <c r="I34" i="23"/>
  <c r="J34" i="23"/>
  <c r="J36" i="23" s="1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Z36" i="23" s="1"/>
  <c r="AA34" i="23"/>
  <c r="AB34" i="23"/>
  <c r="AC34" i="23"/>
  <c r="AD34" i="23"/>
  <c r="AE34" i="23"/>
  <c r="F35" i="23"/>
  <c r="G35" i="23"/>
  <c r="H35" i="23"/>
  <c r="I35" i="23"/>
  <c r="J35" i="23"/>
  <c r="K35" i="23"/>
  <c r="L35" i="23"/>
  <c r="M35" i="23"/>
  <c r="E35" i="23" s="1"/>
  <c r="G35" i="35" s="1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H36" i="23"/>
  <c r="F39" i="23"/>
  <c r="G39" i="23"/>
  <c r="H39" i="23"/>
  <c r="I39" i="23"/>
  <c r="J39" i="23"/>
  <c r="K39" i="23"/>
  <c r="L39" i="23"/>
  <c r="M39" i="23"/>
  <c r="E39" i="23" s="1"/>
  <c r="G39" i="35" s="1"/>
  <c r="N39" i="23"/>
  <c r="O39" i="23"/>
  <c r="P39" i="23"/>
  <c r="Q39" i="23"/>
  <c r="R39" i="23"/>
  <c r="S39" i="23"/>
  <c r="T39" i="23"/>
  <c r="U39" i="23"/>
  <c r="U43" i="23" s="1"/>
  <c r="V39" i="23"/>
  <c r="W39" i="23"/>
  <c r="X39" i="23"/>
  <c r="X43" i="23" s="1"/>
  <c r="Y39" i="23"/>
  <c r="Z39" i="23"/>
  <c r="AA39" i="23"/>
  <c r="AB39" i="23"/>
  <c r="AC39" i="23"/>
  <c r="AD39" i="23"/>
  <c r="AD43" i="23" s="1"/>
  <c r="AE39" i="23"/>
  <c r="AE39" i="24" s="1"/>
  <c r="D40" i="23"/>
  <c r="F40" i="23"/>
  <c r="G40" i="23"/>
  <c r="H40" i="23"/>
  <c r="I40" i="23"/>
  <c r="J40" i="23"/>
  <c r="J42" i="23" s="1"/>
  <c r="J43" i="23" s="1"/>
  <c r="K40" i="23"/>
  <c r="L40" i="23"/>
  <c r="L42" i="23" s="1"/>
  <c r="M40" i="23"/>
  <c r="N40" i="23"/>
  <c r="O40" i="23"/>
  <c r="P40" i="23"/>
  <c r="Q40" i="23"/>
  <c r="R40" i="23"/>
  <c r="R42" i="23" s="1"/>
  <c r="R43" i="23" s="1"/>
  <c r="S40" i="23"/>
  <c r="T40" i="23"/>
  <c r="U40" i="23"/>
  <c r="V40" i="23"/>
  <c r="W40" i="23"/>
  <c r="X40" i="23"/>
  <c r="X40" i="24" s="1"/>
  <c r="Y40" i="23"/>
  <c r="Z40" i="23"/>
  <c r="AA40" i="23"/>
  <c r="AB40" i="23"/>
  <c r="AC40" i="23"/>
  <c r="AD40" i="23"/>
  <c r="AE40" i="23"/>
  <c r="F41" i="23"/>
  <c r="G41" i="23"/>
  <c r="H41" i="23"/>
  <c r="H42" i="23" s="1"/>
  <c r="I41" i="23"/>
  <c r="J41" i="23"/>
  <c r="K41" i="23"/>
  <c r="K42" i="23" s="1"/>
  <c r="K43" i="23" s="1"/>
  <c r="L41" i="23"/>
  <c r="M41" i="23"/>
  <c r="M42" i="23" s="1"/>
  <c r="N41" i="23"/>
  <c r="N42" i="23" s="1"/>
  <c r="O41" i="23"/>
  <c r="P41" i="23"/>
  <c r="Q41" i="23"/>
  <c r="R41" i="23"/>
  <c r="S41" i="23"/>
  <c r="S42" i="23" s="1"/>
  <c r="T41" i="23"/>
  <c r="U41" i="23"/>
  <c r="U42" i="23" s="1"/>
  <c r="V41" i="23"/>
  <c r="V42" i="23" s="1"/>
  <c r="W41" i="23"/>
  <c r="W41" i="24" s="1"/>
  <c r="X41" i="23"/>
  <c r="X42" i="23" s="1"/>
  <c r="Y41" i="23"/>
  <c r="Z41" i="23"/>
  <c r="AA41" i="23"/>
  <c r="AA42" i="23" s="1"/>
  <c r="AB41" i="23"/>
  <c r="AB41" i="24" s="1"/>
  <c r="AC41" i="23"/>
  <c r="AC42" i="23" s="1"/>
  <c r="AD41" i="23"/>
  <c r="AD42" i="23" s="1"/>
  <c r="AE41" i="23"/>
  <c r="G42" i="23"/>
  <c r="G43" i="23" s="1"/>
  <c r="I42" i="23"/>
  <c r="I43" i="23" s="1"/>
  <c r="O42" i="23"/>
  <c r="O43" i="23" s="1"/>
  <c r="P42" i="23"/>
  <c r="P43" i="23" s="1"/>
  <c r="Q42" i="23"/>
  <c r="Q43" i="23" s="1"/>
  <c r="T42" i="23"/>
  <c r="T43" i="23" s="1"/>
  <c r="W42" i="23"/>
  <c r="W43" i="23" s="1"/>
  <c r="Y42" i="23"/>
  <c r="Y43" i="23" s="1"/>
  <c r="Z42" i="23"/>
  <c r="Z43" i="23" s="1"/>
  <c r="AB42" i="23"/>
  <c r="AB43" i="23" s="1"/>
  <c r="AE42" i="23"/>
  <c r="AE43" i="23" s="1"/>
  <c r="L43" i="23"/>
  <c r="M43" i="23"/>
  <c r="S43" i="23"/>
  <c r="AA43" i="23"/>
  <c r="AC43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B45" i="24" s="1"/>
  <c r="AC45" i="23"/>
  <c r="AD45" i="23"/>
  <c r="AE45" i="23"/>
  <c r="F47" i="23"/>
  <c r="D47" i="23" s="1"/>
  <c r="G47" i="23"/>
  <c r="H47" i="23"/>
  <c r="I47" i="23"/>
  <c r="J47" i="23"/>
  <c r="K47" i="23"/>
  <c r="L47" i="23"/>
  <c r="M47" i="23"/>
  <c r="E47" i="23" s="1"/>
  <c r="G47" i="35" s="1"/>
  <c r="N47" i="23"/>
  <c r="O47" i="23"/>
  <c r="P47" i="23"/>
  <c r="Q47" i="23"/>
  <c r="R47" i="23"/>
  <c r="S47" i="23"/>
  <c r="T47" i="23"/>
  <c r="U47" i="23"/>
  <c r="V47" i="23"/>
  <c r="V47" i="24" s="1"/>
  <c r="W47" i="23"/>
  <c r="X47" i="23"/>
  <c r="Y47" i="23"/>
  <c r="Z47" i="23"/>
  <c r="AA47" i="23"/>
  <c r="AB47" i="23"/>
  <c r="AC47" i="23"/>
  <c r="AD47" i="23"/>
  <c r="AE47" i="23"/>
  <c r="F49" i="23"/>
  <c r="G49" i="23"/>
  <c r="H49" i="23"/>
  <c r="I49" i="23"/>
  <c r="J49" i="23"/>
  <c r="K49" i="23"/>
  <c r="K49" i="24" s="1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F51" i="23"/>
  <c r="G51" i="23"/>
  <c r="H51" i="23"/>
  <c r="I51" i="23"/>
  <c r="J51" i="23"/>
  <c r="K51" i="23"/>
  <c r="L51" i="23"/>
  <c r="M51" i="23"/>
  <c r="E51" i="23" s="1"/>
  <c r="G51" i="35" s="1"/>
  <c r="N51" i="23"/>
  <c r="O51" i="23"/>
  <c r="P51" i="23"/>
  <c r="P51" i="24" s="1"/>
  <c r="Q51" i="23"/>
  <c r="Q51" i="24" s="1"/>
  <c r="R51" i="23"/>
  <c r="S51" i="23"/>
  <c r="T51" i="23"/>
  <c r="V51" i="23"/>
  <c r="W51" i="23"/>
  <c r="X51" i="23"/>
  <c r="Y51" i="23"/>
  <c r="Y51" i="24" s="1"/>
  <c r="Z51" i="23"/>
  <c r="AA51" i="23"/>
  <c r="AB51" i="23"/>
  <c r="AC51" i="23"/>
  <c r="AD51" i="23"/>
  <c r="AE51" i="23"/>
  <c r="F54" i="23"/>
  <c r="D54" i="23" s="1"/>
  <c r="G54" i="23"/>
  <c r="H54" i="23"/>
  <c r="I54" i="23"/>
  <c r="I54" i="24" s="1"/>
  <c r="J54" i="23"/>
  <c r="K54" i="23"/>
  <c r="L54" i="23"/>
  <c r="M54" i="23"/>
  <c r="M56" i="23" s="1"/>
  <c r="N54" i="23"/>
  <c r="O54" i="23"/>
  <c r="P54" i="23"/>
  <c r="P56" i="23" s="1"/>
  <c r="Q54" i="23"/>
  <c r="R54" i="23"/>
  <c r="S54" i="23"/>
  <c r="S56" i="23" s="1"/>
  <c r="T54" i="23"/>
  <c r="U54" i="23"/>
  <c r="V54" i="23"/>
  <c r="W54" i="23"/>
  <c r="X54" i="23"/>
  <c r="Y54" i="23"/>
  <c r="Z54" i="23"/>
  <c r="AA54" i="23"/>
  <c r="AB54" i="23"/>
  <c r="AB54" i="24" s="1"/>
  <c r="AC54" i="23"/>
  <c r="AC54" i="24" s="1"/>
  <c r="AD54" i="23"/>
  <c r="AE54" i="23"/>
  <c r="F55" i="23"/>
  <c r="F56" i="23" s="1"/>
  <c r="G55" i="23"/>
  <c r="H55" i="23"/>
  <c r="I55" i="23"/>
  <c r="J55" i="23"/>
  <c r="K55" i="23"/>
  <c r="L55" i="23"/>
  <c r="L56" i="23" s="1"/>
  <c r="M55" i="23"/>
  <c r="N55" i="23"/>
  <c r="N56" i="23" s="1"/>
  <c r="O55" i="23"/>
  <c r="O56" i="23" s="1"/>
  <c r="P55" i="23"/>
  <c r="Q55" i="23"/>
  <c r="Q56" i="23" s="1"/>
  <c r="R55" i="23"/>
  <c r="R55" i="24" s="1"/>
  <c r="S55" i="23"/>
  <c r="T55" i="23"/>
  <c r="T56" i="23" s="1"/>
  <c r="U55" i="23"/>
  <c r="V55" i="23"/>
  <c r="V56" i="23" s="1"/>
  <c r="W55" i="23"/>
  <c r="W56" i="23" s="1"/>
  <c r="X55" i="23"/>
  <c r="Y55" i="23"/>
  <c r="Y56" i="23" s="1"/>
  <c r="Z55" i="23"/>
  <c r="AA55" i="23"/>
  <c r="AB55" i="23"/>
  <c r="AB56" i="23" s="1"/>
  <c r="AC55" i="23"/>
  <c r="AD55" i="23"/>
  <c r="AD56" i="23" s="1"/>
  <c r="AE55" i="23"/>
  <c r="H56" i="23"/>
  <c r="I56" i="23"/>
  <c r="J56" i="23"/>
  <c r="R56" i="23"/>
  <c r="U56" i="23"/>
  <c r="X56" i="23"/>
  <c r="Z56" i="23"/>
  <c r="AC56" i="23"/>
  <c r="F59" i="23"/>
  <c r="G59" i="23"/>
  <c r="H59" i="23"/>
  <c r="I59" i="23"/>
  <c r="I59" i="24" s="1"/>
  <c r="J59" i="23"/>
  <c r="K59" i="23"/>
  <c r="L59" i="23"/>
  <c r="M59" i="23"/>
  <c r="M61" i="23" s="1"/>
  <c r="N59" i="23"/>
  <c r="N61" i="23" s="1"/>
  <c r="O59" i="23"/>
  <c r="P59" i="23"/>
  <c r="Q59" i="23"/>
  <c r="R59" i="23"/>
  <c r="S59" i="23"/>
  <c r="T59" i="23"/>
  <c r="T61" i="23" s="1"/>
  <c r="U59" i="23"/>
  <c r="V59" i="23"/>
  <c r="W59" i="23"/>
  <c r="W61" i="23" s="1"/>
  <c r="X59" i="23"/>
  <c r="Y59" i="23"/>
  <c r="Z59" i="23"/>
  <c r="Z59" i="24" s="1"/>
  <c r="AA59" i="23"/>
  <c r="AB59" i="23"/>
  <c r="AB61" i="23" s="1"/>
  <c r="AC59" i="23"/>
  <c r="AD59" i="23"/>
  <c r="AE59" i="23"/>
  <c r="AE61" i="23" s="1"/>
  <c r="F60" i="23"/>
  <c r="G60" i="23"/>
  <c r="H60" i="23"/>
  <c r="H61" i="23" s="1"/>
  <c r="I60" i="23"/>
  <c r="J60" i="23"/>
  <c r="K60" i="23"/>
  <c r="K61" i="23" s="1"/>
  <c r="L60" i="23"/>
  <c r="M60" i="23"/>
  <c r="N60" i="23"/>
  <c r="O60" i="23"/>
  <c r="P60" i="23"/>
  <c r="P61" i="23" s="1"/>
  <c r="Q60" i="23"/>
  <c r="Q61" i="23" s="1"/>
  <c r="R60" i="23"/>
  <c r="R61" i="23" s="1"/>
  <c r="S60" i="23"/>
  <c r="S61" i="23" s="1"/>
  <c r="T60" i="23"/>
  <c r="U60" i="23"/>
  <c r="V60" i="23"/>
  <c r="W60" i="23"/>
  <c r="X60" i="23"/>
  <c r="X61" i="23" s="1"/>
  <c r="Y60" i="23"/>
  <c r="Y61" i="23" s="1"/>
  <c r="Z60" i="23"/>
  <c r="Z61" i="23" s="1"/>
  <c r="AA60" i="23"/>
  <c r="AA61" i="23" s="1"/>
  <c r="AB60" i="23"/>
  <c r="AB60" i="24" s="1"/>
  <c r="AC60" i="23"/>
  <c r="AD60" i="23"/>
  <c r="AE60" i="23"/>
  <c r="F61" i="23"/>
  <c r="G61" i="23"/>
  <c r="O61" i="23"/>
  <c r="U61" i="23"/>
  <c r="V61" i="23"/>
  <c r="AC61" i="23"/>
  <c r="AD61" i="23"/>
  <c r="F64" i="23"/>
  <c r="D64" i="23" s="1"/>
  <c r="G64" i="23"/>
  <c r="H64" i="23"/>
  <c r="I64" i="23"/>
  <c r="J64" i="23"/>
  <c r="J66" i="23" s="1"/>
  <c r="K64" i="23"/>
  <c r="L64" i="23"/>
  <c r="M64" i="23"/>
  <c r="M66" i="23" s="1"/>
  <c r="N64" i="23"/>
  <c r="O64" i="23"/>
  <c r="P64" i="23"/>
  <c r="Q64" i="23"/>
  <c r="R64" i="23"/>
  <c r="R66" i="23" s="1"/>
  <c r="S64" i="23"/>
  <c r="T64" i="23"/>
  <c r="U64" i="23"/>
  <c r="V64" i="23"/>
  <c r="W64" i="23"/>
  <c r="X64" i="23"/>
  <c r="X66" i="23" s="1"/>
  <c r="Y64" i="23"/>
  <c r="Z64" i="23"/>
  <c r="Z66" i="23" s="1"/>
  <c r="AA64" i="23"/>
  <c r="AA66" i="23" s="1"/>
  <c r="AB64" i="23"/>
  <c r="AC64" i="23"/>
  <c r="AD64" i="23"/>
  <c r="AE64" i="23"/>
  <c r="F65" i="23"/>
  <c r="G65" i="23"/>
  <c r="H65" i="23"/>
  <c r="I65" i="23"/>
  <c r="I66" i="23" s="1"/>
  <c r="J65" i="23"/>
  <c r="K65" i="23"/>
  <c r="L65" i="23"/>
  <c r="L66" i="23" s="1"/>
  <c r="M65" i="23"/>
  <c r="N65" i="23"/>
  <c r="N66" i="23" s="1"/>
  <c r="O65" i="23"/>
  <c r="O66" i="23" s="1"/>
  <c r="P65" i="23"/>
  <c r="Q65" i="23"/>
  <c r="R65" i="23"/>
  <c r="S65" i="23"/>
  <c r="T65" i="23"/>
  <c r="T66" i="23" s="1"/>
  <c r="U65" i="23"/>
  <c r="V65" i="23"/>
  <c r="V66" i="23" s="1"/>
  <c r="W65" i="23"/>
  <c r="W66" i="23" s="1"/>
  <c r="X65" i="23"/>
  <c r="Y65" i="23"/>
  <c r="Y66" i="23" s="1"/>
  <c r="Z65" i="23"/>
  <c r="AA65" i="23"/>
  <c r="AB65" i="23"/>
  <c r="AB66" i="23" s="1"/>
  <c r="AC65" i="23"/>
  <c r="AD65" i="23"/>
  <c r="AD66" i="23" s="1"/>
  <c r="AE65" i="23"/>
  <c r="AE66" i="23" s="1"/>
  <c r="H66" i="23"/>
  <c r="P66" i="23"/>
  <c r="Q66" i="23"/>
  <c r="S66" i="23"/>
  <c r="U66" i="23"/>
  <c r="AC66" i="23"/>
  <c r="F70" i="23"/>
  <c r="G70" i="23"/>
  <c r="H70" i="23"/>
  <c r="I70" i="23"/>
  <c r="I70" i="24" s="1"/>
  <c r="J70" i="23"/>
  <c r="J70" i="24" s="1"/>
  <c r="K70" i="23"/>
  <c r="K70" i="24" s="1"/>
  <c r="L70" i="23"/>
  <c r="M70" i="23"/>
  <c r="M72" i="23" s="1"/>
  <c r="N70" i="23"/>
  <c r="N72" i="23" s="1"/>
  <c r="O70" i="23"/>
  <c r="P70" i="23"/>
  <c r="Q70" i="23"/>
  <c r="R70" i="23"/>
  <c r="S70" i="23"/>
  <c r="T70" i="23"/>
  <c r="U70" i="23"/>
  <c r="V70" i="23"/>
  <c r="V72" i="23" s="1"/>
  <c r="W70" i="23"/>
  <c r="X70" i="23"/>
  <c r="Y70" i="23"/>
  <c r="Z70" i="23"/>
  <c r="AA70" i="23"/>
  <c r="AB70" i="23"/>
  <c r="AB70" i="24" s="1"/>
  <c r="AB72" i="24" s="1"/>
  <c r="AC70" i="23"/>
  <c r="AD70" i="23"/>
  <c r="AE70" i="23"/>
  <c r="F71" i="23"/>
  <c r="G71" i="23"/>
  <c r="H71" i="23"/>
  <c r="H72" i="23" s="1"/>
  <c r="I71" i="23"/>
  <c r="J71" i="23"/>
  <c r="J72" i="23" s="1"/>
  <c r="K71" i="23"/>
  <c r="K72" i="23" s="1"/>
  <c r="L71" i="23"/>
  <c r="M71" i="23"/>
  <c r="N71" i="23"/>
  <c r="O71" i="23"/>
  <c r="P71" i="23"/>
  <c r="P72" i="23" s="1"/>
  <c r="Q71" i="23"/>
  <c r="R71" i="23"/>
  <c r="R72" i="23" s="1"/>
  <c r="S71" i="23"/>
  <c r="S72" i="23" s="1"/>
  <c r="T71" i="23"/>
  <c r="U71" i="23"/>
  <c r="V71" i="23"/>
  <c r="W71" i="23"/>
  <c r="X71" i="23"/>
  <c r="X72" i="23" s="1"/>
  <c r="Y71" i="23"/>
  <c r="Y72" i="23" s="1"/>
  <c r="Z71" i="23"/>
  <c r="Z72" i="23" s="1"/>
  <c r="AA71" i="23"/>
  <c r="AA72" i="23" s="1"/>
  <c r="AB71" i="23"/>
  <c r="AC71" i="23"/>
  <c r="AC71" i="24" s="1"/>
  <c r="AD71" i="23"/>
  <c r="AE71" i="23"/>
  <c r="G72" i="23"/>
  <c r="O72" i="23"/>
  <c r="Q72" i="23"/>
  <c r="T72" i="23"/>
  <c r="U72" i="23"/>
  <c r="W72" i="23"/>
  <c r="AB72" i="23"/>
  <c r="AC72" i="23"/>
  <c r="AE72" i="23"/>
  <c r="F73" i="23"/>
  <c r="G73" i="23"/>
  <c r="H73" i="23"/>
  <c r="H73" i="24" s="1"/>
  <c r="I73" i="23"/>
  <c r="J73" i="23"/>
  <c r="K73" i="23"/>
  <c r="L73" i="23"/>
  <c r="M73" i="23"/>
  <c r="E73" i="23" s="1"/>
  <c r="G73" i="35" s="1"/>
  <c r="I73" i="35" s="1"/>
  <c r="N73" i="23"/>
  <c r="N73" i="24" s="1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A73" i="24" s="1"/>
  <c r="AB73" i="23"/>
  <c r="AC73" i="23"/>
  <c r="AD73" i="23"/>
  <c r="AE73" i="23"/>
  <c r="F74" i="23"/>
  <c r="G74" i="23"/>
  <c r="H74" i="23"/>
  <c r="I74" i="23"/>
  <c r="J74" i="23"/>
  <c r="K74" i="23"/>
  <c r="L74" i="23"/>
  <c r="M74" i="23"/>
  <c r="E74" i="23" s="1"/>
  <c r="G74" i="35" s="1"/>
  <c r="N74" i="23"/>
  <c r="O74" i="23"/>
  <c r="O74" i="24" s="1"/>
  <c r="P74" i="23"/>
  <c r="Q74" i="23"/>
  <c r="Q74" i="24" s="1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F75" i="23"/>
  <c r="G75" i="23"/>
  <c r="H75" i="23"/>
  <c r="I75" i="23"/>
  <c r="J75" i="23"/>
  <c r="K75" i="23"/>
  <c r="L75" i="23"/>
  <c r="M75" i="23"/>
  <c r="E75" i="23" s="1"/>
  <c r="G75" i="35" s="1"/>
  <c r="N75" i="23"/>
  <c r="O75" i="23"/>
  <c r="P75" i="23"/>
  <c r="Q75" i="23"/>
  <c r="R75" i="23"/>
  <c r="S75" i="23"/>
  <c r="T75" i="23"/>
  <c r="U75" i="23"/>
  <c r="V75" i="23"/>
  <c r="W75" i="23"/>
  <c r="X75" i="23"/>
  <c r="X75" i="24" s="1"/>
  <c r="Y75" i="23"/>
  <c r="Z75" i="23"/>
  <c r="AA75" i="23"/>
  <c r="AB75" i="23"/>
  <c r="AC75" i="23"/>
  <c r="AD75" i="23"/>
  <c r="AD75" i="24" s="1"/>
  <c r="AE75" i="23"/>
  <c r="F76" i="23"/>
  <c r="G76" i="23"/>
  <c r="H76" i="23"/>
  <c r="I76" i="23"/>
  <c r="J76" i="23"/>
  <c r="K76" i="23"/>
  <c r="L76" i="23"/>
  <c r="L76" i="24" s="1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F77" i="23"/>
  <c r="D77" i="23" s="1"/>
  <c r="F77" i="35" s="1"/>
  <c r="H77" i="35" s="1"/>
  <c r="G77" i="23"/>
  <c r="H77" i="23"/>
  <c r="I77" i="23"/>
  <c r="J77" i="23"/>
  <c r="K77" i="23"/>
  <c r="L77" i="23"/>
  <c r="M77" i="23"/>
  <c r="M77" i="24" s="1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D77" i="24" s="1"/>
  <c r="AE77" i="23"/>
  <c r="F78" i="23"/>
  <c r="G78" i="23"/>
  <c r="H78" i="23"/>
  <c r="I78" i="23"/>
  <c r="J78" i="23"/>
  <c r="K78" i="23"/>
  <c r="L78" i="23"/>
  <c r="D78" i="23" s="1"/>
  <c r="F78" i="35" s="1"/>
  <c r="M78" i="23"/>
  <c r="N78" i="23"/>
  <c r="O78" i="23"/>
  <c r="P78" i="23"/>
  <c r="Q78" i="23"/>
  <c r="R78" i="23"/>
  <c r="S78" i="23"/>
  <c r="T78" i="23"/>
  <c r="T78" i="24" s="1"/>
  <c r="U78" i="23"/>
  <c r="V78" i="23"/>
  <c r="W78" i="23"/>
  <c r="X78" i="23"/>
  <c r="Y78" i="23"/>
  <c r="Z78" i="23"/>
  <c r="AA78" i="23"/>
  <c r="AB78" i="23"/>
  <c r="AC78" i="23"/>
  <c r="AD78" i="23"/>
  <c r="AE78" i="23"/>
  <c r="F79" i="23"/>
  <c r="D79" i="23" s="1"/>
  <c r="F79" i="35" s="1"/>
  <c r="G79" i="23"/>
  <c r="H79" i="23"/>
  <c r="H79" i="24" s="1"/>
  <c r="I79" i="23"/>
  <c r="I79" i="24" s="1"/>
  <c r="J79" i="23"/>
  <c r="K79" i="23"/>
  <c r="L79" i="23"/>
  <c r="M79" i="23"/>
  <c r="E79" i="23" s="1"/>
  <c r="G79" i="35" s="1"/>
  <c r="I79" i="35" s="1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F80" i="35" s="1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T80" i="24" s="1"/>
  <c r="U80" i="23"/>
  <c r="V80" i="23"/>
  <c r="W80" i="23"/>
  <c r="X80" i="23"/>
  <c r="Y80" i="23"/>
  <c r="Y80" i="24" s="1"/>
  <c r="Z80" i="23"/>
  <c r="AA80" i="23"/>
  <c r="AB80" i="23"/>
  <c r="AC80" i="23"/>
  <c r="AD80" i="23"/>
  <c r="AE80" i="23"/>
  <c r="F81" i="23"/>
  <c r="G81" i="23"/>
  <c r="H81" i="23"/>
  <c r="H81" i="24" s="1"/>
  <c r="J81" i="23"/>
  <c r="L81" i="23"/>
  <c r="M81" i="23"/>
  <c r="N81" i="23"/>
  <c r="O81" i="23"/>
  <c r="P81" i="23"/>
  <c r="Q81" i="23"/>
  <c r="R81" i="23"/>
  <c r="S81" i="23"/>
  <c r="T81" i="23"/>
  <c r="U81" i="23"/>
  <c r="U81" i="24" s="1"/>
  <c r="V81" i="23"/>
  <c r="W81" i="23"/>
  <c r="X81" i="23"/>
  <c r="X81" i="24" s="1"/>
  <c r="Y81" i="23"/>
  <c r="Z81" i="23"/>
  <c r="AA81" i="23"/>
  <c r="AB81" i="23"/>
  <c r="AC81" i="23"/>
  <c r="AD81" i="23"/>
  <c r="AE81" i="23"/>
  <c r="A4" i="35"/>
  <c r="A5" i="35"/>
  <c r="E11" i="35"/>
  <c r="D12" i="35"/>
  <c r="E15" i="35"/>
  <c r="D19" i="35"/>
  <c r="E19" i="35"/>
  <c r="D20" i="35"/>
  <c r="E21" i="35"/>
  <c r="H21" i="35"/>
  <c r="D23" i="35"/>
  <c r="D27" i="35"/>
  <c r="D28" i="35"/>
  <c r="D29" i="35"/>
  <c r="E33" i="35"/>
  <c r="D34" i="35"/>
  <c r="D35" i="35"/>
  <c r="D39" i="35"/>
  <c r="E39" i="35"/>
  <c r="D45" i="35"/>
  <c r="E45" i="35"/>
  <c r="D47" i="35"/>
  <c r="F47" i="35"/>
  <c r="H47" i="35" s="1"/>
  <c r="D55" i="35"/>
  <c r="E55" i="35"/>
  <c r="D65" i="35"/>
  <c r="D73" i="35"/>
  <c r="E73" i="35"/>
  <c r="D74" i="35"/>
  <c r="I75" i="35"/>
  <c r="D77" i="35"/>
  <c r="E77" i="35"/>
  <c r="D78" i="35"/>
  <c r="E78" i="35"/>
  <c r="E81" i="35"/>
  <c r="A5" i="19"/>
  <c r="H11" i="19"/>
  <c r="I11" i="19"/>
  <c r="L11" i="19"/>
  <c r="F12" i="19"/>
  <c r="H12" i="19"/>
  <c r="I12" i="19"/>
  <c r="G12" i="19" s="1"/>
  <c r="L12" i="19"/>
  <c r="M12" i="19"/>
  <c r="E12" i="43" s="1"/>
  <c r="F13" i="19"/>
  <c r="H13" i="19"/>
  <c r="L13" i="19" s="1"/>
  <c r="I13" i="19"/>
  <c r="G13" i="19" s="1"/>
  <c r="M13" i="19"/>
  <c r="E13" i="43" s="1"/>
  <c r="F14" i="19"/>
  <c r="G14" i="19"/>
  <c r="H14" i="19"/>
  <c r="I14" i="19"/>
  <c r="L14" i="19"/>
  <c r="D14" i="43" s="1"/>
  <c r="M14" i="19"/>
  <c r="G15" i="19"/>
  <c r="H15" i="19"/>
  <c r="I15" i="19"/>
  <c r="M15" i="19" s="1"/>
  <c r="J16" i="19"/>
  <c r="J82" i="19" s="1"/>
  <c r="J91" i="19" s="1"/>
  <c r="K16" i="19"/>
  <c r="H18" i="19"/>
  <c r="I18" i="19"/>
  <c r="H19" i="19"/>
  <c r="I19" i="19"/>
  <c r="L19" i="19"/>
  <c r="D19" i="43" s="1"/>
  <c r="F20" i="19"/>
  <c r="H20" i="19"/>
  <c r="I20" i="19"/>
  <c r="L20" i="19"/>
  <c r="H21" i="19"/>
  <c r="I21" i="19"/>
  <c r="G21" i="19" s="1"/>
  <c r="M21" i="19"/>
  <c r="F22" i="19"/>
  <c r="G22" i="19"/>
  <c r="H22" i="19"/>
  <c r="L22" i="19" s="1"/>
  <c r="D22" i="43" s="1"/>
  <c r="I22" i="19"/>
  <c r="M22" i="19"/>
  <c r="G23" i="19"/>
  <c r="H23" i="19"/>
  <c r="I23" i="19"/>
  <c r="M23" i="19" s="1"/>
  <c r="E23" i="43" s="1"/>
  <c r="J24" i="19"/>
  <c r="K24" i="19"/>
  <c r="F27" i="19"/>
  <c r="H27" i="19"/>
  <c r="I27" i="19"/>
  <c r="L27" i="19"/>
  <c r="H28" i="19"/>
  <c r="I28" i="19"/>
  <c r="G28" i="19" s="1"/>
  <c r="M28" i="19"/>
  <c r="E28" i="43" s="1"/>
  <c r="J29" i="19"/>
  <c r="K29" i="19"/>
  <c r="F32" i="19"/>
  <c r="G32" i="19"/>
  <c r="H32" i="19"/>
  <c r="I32" i="19"/>
  <c r="M32" i="19"/>
  <c r="H33" i="19"/>
  <c r="I33" i="19"/>
  <c r="F34" i="19"/>
  <c r="H34" i="19"/>
  <c r="I34" i="19"/>
  <c r="G34" i="19" s="1"/>
  <c r="L34" i="19"/>
  <c r="F35" i="19"/>
  <c r="H35" i="19"/>
  <c r="L35" i="19" s="1"/>
  <c r="D35" i="43" s="1"/>
  <c r="I35" i="19"/>
  <c r="G35" i="19" s="1"/>
  <c r="M35" i="19"/>
  <c r="E35" i="43" s="1"/>
  <c r="J36" i="19"/>
  <c r="K36" i="19"/>
  <c r="L37" i="19"/>
  <c r="M37" i="19"/>
  <c r="H38" i="19"/>
  <c r="I38" i="19"/>
  <c r="F39" i="19"/>
  <c r="H39" i="19"/>
  <c r="I39" i="19"/>
  <c r="L39" i="19"/>
  <c r="D39" i="43" s="1"/>
  <c r="M39" i="19"/>
  <c r="F40" i="19"/>
  <c r="F42" i="19" s="1"/>
  <c r="F43" i="19" s="1"/>
  <c r="H40" i="19"/>
  <c r="I40" i="19"/>
  <c r="G40" i="19" s="1"/>
  <c r="M40" i="19"/>
  <c r="M42" i="19" s="1"/>
  <c r="G41" i="19"/>
  <c r="G42" i="19" s="1"/>
  <c r="H41" i="19"/>
  <c r="F41" i="19" s="1"/>
  <c r="I41" i="19"/>
  <c r="L41" i="19"/>
  <c r="D41" i="43" s="1"/>
  <c r="M41" i="19"/>
  <c r="I42" i="19"/>
  <c r="J42" i="19"/>
  <c r="J43" i="19" s="1"/>
  <c r="K42" i="19"/>
  <c r="K43" i="19"/>
  <c r="G45" i="19"/>
  <c r="H45" i="19"/>
  <c r="F45" i="19" s="1"/>
  <c r="I45" i="19"/>
  <c r="M45" i="19" s="1"/>
  <c r="E45" i="43" s="1"/>
  <c r="L45" i="19"/>
  <c r="D45" i="43" s="1"/>
  <c r="F47" i="19"/>
  <c r="H47" i="19"/>
  <c r="I47" i="19"/>
  <c r="G47" i="19" s="1"/>
  <c r="L47" i="19"/>
  <c r="D47" i="43" s="1"/>
  <c r="M47" i="19"/>
  <c r="E47" i="43" s="1"/>
  <c r="H49" i="19"/>
  <c r="L49" i="19" s="1"/>
  <c r="D49" i="43" s="1"/>
  <c r="I49" i="19"/>
  <c r="G49" i="19" s="1"/>
  <c r="M49" i="19"/>
  <c r="G51" i="19"/>
  <c r="H51" i="19"/>
  <c r="I51" i="19"/>
  <c r="M51" i="19"/>
  <c r="G54" i="19"/>
  <c r="H54" i="19"/>
  <c r="F54" i="19" s="1"/>
  <c r="I54" i="19"/>
  <c r="F55" i="19"/>
  <c r="F56" i="19" s="1"/>
  <c r="H55" i="19"/>
  <c r="I55" i="19"/>
  <c r="L55" i="19"/>
  <c r="D55" i="43" s="1"/>
  <c r="H56" i="19"/>
  <c r="J56" i="19"/>
  <c r="K56" i="19"/>
  <c r="H59" i="19"/>
  <c r="I59" i="19"/>
  <c r="G59" i="19" s="1"/>
  <c r="M59" i="19"/>
  <c r="M61" i="19" s="1"/>
  <c r="G60" i="19"/>
  <c r="G61" i="19" s="1"/>
  <c r="H60" i="19"/>
  <c r="F60" i="19" s="1"/>
  <c r="I60" i="19"/>
  <c r="L60" i="19"/>
  <c r="D60" i="43" s="1"/>
  <c r="M60" i="19"/>
  <c r="I61" i="19"/>
  <c r="J61" i="19"/>
  <c r="K61" i="19"/>
  <c r="G64" i="19"/>
  <c r="H64" i="19"/>
  <c r="I64" i="19"/>
  <c r="F65" i="19"/>
  <c r="H65" i="19"/>
  <c r="I65" i="19"/>
  <c r="G65" i="19" s="1"/>
  <c r="L65" i="19"/>
  <c r="M65" i="19"/>
  <c r="E65" i="43" s="1"/>
  <c r="J66" i="19"/>
  <c r="K66" i="19"/>
  <c r="L69" i="19"/>
  <c r="M69" i="19"/>
  <c r="F70" i="19"/>
  <c r="F72" i="19" s="1"/>
  <c r="H70" i="19"/>
  <c r="I70" i="19"/>
  <c r="L70" i="19"/>
  <c r="M70" i="19"/>
  <c r="E70" i="43" s="1"/>
  <c r="F71" i="19"/>
  <c r="H71" i="19"/>
  <c r="I71" i="19"/>
  <c r="G71" i="19" s="1"/>
  <c r="M71" i="19"/>
  <c r="M72" i="19" s="1"/>
  <c r="J72" i="19"/>
  <c r="K72" i="19"/>
  <c r="F73" i="19"/>
  <c r="G73" i="19"/>
  <c r="H73" i="19"/>
  <c r="L73" i="19" s="1"/>
  <c r="D73" i="43" s="1"/>
  <c r="I73" i="19"/>
  <c r="M73" i="19"/>
  <c r="H74" i="19"/>
  <c r="I74" i="19"/>
  <c r="F75" i="19"/>
  <c r="H75" i="19"/>
  <c r="I75" i="19"/>
  <c r="G75" i="19" s="1"/>
  <c r="L75" i="19"/>
  <c r="D75" i="43" s="1"/>
  <c r="M75" i="19"/>
  <c r="F76" i="19"/>
  <c r="H76" i="19"/>
  <c r="L76" i="19" s="1"/>
  <c r="I76" i="19"/>
  <c r="G76" i="19" s="1"/>
  <c r="M76" i="19"/>
  <c r="G77" i="19"/>
  <c r="H77" i="19"/>
  <c r="F77" i="19" s="1"/>
  <c r="I77" i="19"/>
  <c r="M77" i="19"/>
  <c r="G78" i="19"/>
  <c r="H78" i="19"/>
  <c r="F78" i="19" s="1"/>
  <c r="I78" i="19"/>
  <c r="M78" i="19" s="1"/>
  <c r="F79" i="19"/>
  <c r="H79" i="19"/>
  <c r="I79" i="19"/>
  <c r="G79" i="19" s="1"/>
  <c r="L79" i="19"/>
  <c r="H80" i="19"/>
  <c r="L80" i="19" s="1"/>
  <c r="I80" i="19"/>
  <c r="G80" i="19" s="1"/>
  <c r="M80" i="19"/>
  <c r="G81" i="19"/>
  <c r="H81" i="19"/>
  <c r="I81" i="19"/>
  <c r="M81" i="19"/>
  <c r="D82" i="19"/>
  <c r="E82" i="19"/>
  <c r="E91" i="19" s="1"/>
  <c r="G86" i="19"/>
  <c r="H86" i="19"/>
  <c r="I86" i="19"/>
  <c r="M86" i="19"/>
  <c r="G87" i="19"/>
  <c r="H87" i="19"/>
  <c r="F87" i="19" s="1"/>
  <c r="I87" i="19"/>
  <c r="M87" i="19" s="1"/>
  <c r="F88" i="19"/>
  <c r="H88" i="19"/>
  <c r="I88" i="19"/>
  <c r="L88" i="19"/>
  <c r="D88" i="43" s="1"/>
  <c r="M88" i="19"/>
  <c r="E88" i="43" s="1"/>
  <c r="D89" i="19"/>
  <c r="E89" i="19"/>
  <c r="J89" i="19"/>
  <c r="K89" i="19"/>
  <c r="D91" i="19"/>
  <c r="A5" i="31"/>
  <c r="H8" i="31"/>
  <c r="J8" i="31"/>
  <c r="L8" i="31"/>
  <c r="N8" i="31"/>
  <c r="F11" i="31"/>
  <c r="G11" i="31"/>
  <c r="N11" i="31"/>
  <c r="N16" i="31" s="1"/>
  <c r="O11" i="31"/>
  <c r="X11" i="31"/>
  <c r="Y11" i="31"/>
  <c r="Z11" i="31"/>
  <c r="AA11" i="31"/>
  <c r="AB11" i="31"/>
  <c r="AB16" i="31" s="1"/>
  <c r="AB82" i="31" s="1"/>
  <c r="AC11" i="31"/>
  <c r="AD11" i="31"/>
  <c r="AE11" i="31"/>
  <c r="F12" i="31"/>
  <c r="G12" i="31"/>
  <c r="X12" i="31"/>
  <c r="Y12" i="31"/>
  <c r="Z12" i="31"/>
  <c r="Z16" i="31" s="1"/>
  <c r="AA12" i="31"/>
  <c r="AB12" i="31"/>
  <c r="AC12" i="31"/>
  <c r="AD12" i="31"/>
  <c r="AE12" i="31"/>
  <c r="F13" i="31"/>
  <c r="G13" i="31"/>
  <c r="X13" i="31"/>
  <c r="Y13" i="31"/>
  <c r="Z13" i="31"/>
  <c r="AA13" i="31"/>
  <c r="AB13" i="31"/>
  <c r="AC13" i="31"/>
  <c r="AD13" i="31"/>
  <c r="AE13" i="31"/>
  <c r="AE16" i="31" s="1"/>
  <c r="F14" i="31"/>
  <c r="G14" i="31"/>
  <c r="X14" i="31"/>
  <c r="Y14" i="31"/>
  <c r="Z14" i="31"/>
  <c r="D14" i="31" s="1"/>
  <c r="AA14" i="31"/>
  <c r="E14" i="31" s="1"/>
  <c r="G14" i="43" s="1"/>
  <c r="I14" i="43" s="1"/>
  <c r="AB14" i="31"/>
  <c r="AC14" i="31"/>
  <c r="AD14" i="31"/>
  <c r="AE14" i="31"/>
  <c r="F15" i="31"/>
  <c r="G15" i="31"/>
  <c r="X15" i="31"/>
  <c r="Y15" i="31"/>
  <c r="Z15" i="31"/>
  <c r="AA15" i="31"/>
  <c r="AB15" i="31"/>
  <c r="AC15" i="31"/>
  <c r="AD15" i="31"/>
  <c r="AE15" i="31"/>
  <c r="H16" i="31"/>
  <c r="I16" i="31"/>
  <c r="J16" i="31"/>
  <c r="K16" i="31"/>
  <c r="L16" i="31"/>
  <c r="M16" i="31"/>
  <c r="O16" i="31"/>
  <c r="P16" i="31"/>
  <c r="Q16" i="31"/>
  <c r="R16" i="31"/>
  <c r="S16" i="31"/>
  <c r="T16" i="31"/>
  <c r="U16" i="31"/>
  <c r="V16" i="31"/>
  <c r="W16" i="31"/>
  <c r="AC16" i="31"/>
  <c r="F19" i="31"/>
  <c r="G19" i="31"/>
  <c r="H19" i="31"/>
  <c r="H24" i="31" s="1"/>
  <c r="I19" i="31"/>
  <c r="X19" i="31"/>
  <c r="Y19" i="31"/>
  <c r="Y24" i="31" s="1"/>
  <c r="Z19" i="31"/>
  <c r="AA19" i="31"/>
  <c r="AB19" i="31"/>
  <c r="AB24" i="31" s="1"/>
  <c r="AC19" i="31"/>
  <c r="AC24" i="31" s="1"/>
  <c r="AD19" i="31"/>
  <c r="AE19" i="31"/>
  <c r="F20" i="31"/>
  <c r="G20" i="31"/>
  <c r="X20" i="31"/>
  <c r="X24" i="31" s="1"/>
  <c r="Y20" i="31"/>
  <c r="E20" i="31" s="1"/>
  <c r="G20" i="43" s="1"/>
  <c r="Z20" i="31"/>
  <c r="AA20" i="31"/>
  <c r="AB20" i="31"/>
  <c r="AC20" i="31"/>
  <c r="AD20" i="31"/>
  <c r="AE20" i="31"/>
  <c r="F21" i="31"/>
  <c r="G21" i="31"/>
  <c r="X21" i="31"/>
  <c r="Y21" i="31"/>
  <c r="Z21" i="31"/>
  <c r="AA21" i="31"/>
  <c r="AB21" i="31"/>
  <c r="AC21" i="31"/>
  <c r="E21" i="31" s="1"/>
  <c r="G21" i="43" s="1"/>
  <c r="I21" i="43" s="1"/>
  <c r="AD21" i="31"/>
  <c r="AD24" i="31" s="1"/>
  <c r="AE21" i="31"/>
  <c r="F22" i="31"/>
  <c r="G22" i="31"/>
  <c r="X22" i="31"/>
  <c r="Y22" i="31"/>
  <c r="E22" i="31" s="1"/>
  <c r="G22" i="43" s="1"/>
  <c r="Z22" i="31"/>
  <c r="AA22" i="31"/>
  <c r="AB22" i="31"/>
  <c r="AC22" i="31"/>
  <c r="AD22" i="31"/>
  <c r="AE22" i="31"/>
  <c r="F23" i="31"/>
  <c r="G23" i="31"/>
  <c r="X23" i="31"/>
  <c r="Y23" i="31"/>
  <c r="Z23" i="31"/>
  <c r="AA23" i="31"/>
  <c r="AB23" i="31"/>
  <c r="AC23" i="31"/>
  <c r="E23" i="31" s="1"/>
  <c r="G23" i="43" s="1"/>
  <c r="I23" i="43" s="1"/>
  <c r="AD23" i="31"/>
  <c r="AE23" i="31"/>
  <c r="I24" i="31"/>
  <c r="J24" i="31"/>
  <c r="K24" i="31"/>
  <c r="L24" i="31"/>
  <c r="M24" i="31"/>
  <c r="N24" i="31"/>
  <c r="O24" i="31"/>
  <c r="P24" i="31"/>
  <c r="Q24" i="31"/>
  <c r="R24" i="31"/>
  <c r="R82" i="31" s="1"/>
  <c r="S24" i="31"/>
  <c r="S82" i="31" s="1"/>
  <c r="T24" i="31"/>
  <c r="U24" i="31"/>
  <c r="V24" i="31"/>
  <c r="W24" i="31"/>
  <c r="AA24" i="31"/>
  <c r="F27" i="31"/>
  <c r="G27" i="31"/>
  <c r="X27" i="31"/>
  <c r="Y27" i="31"/>
  <c r="Z27" i="31"/>
  <c r="D27" i="31" s="1"/>
  <c r="AA27" i="31"/>
  <c r="AB27" i="31"/>
  <c r="AC27" i="31"/>
  <c r="AD27" i="31"/>
  <c r="AE27" i="31"/>
  <c r="AE29" i="31" s="1"/>
  <c r="F28" i="31"/>
  <c r="G28" i="31"/>
  <c r="X28" i="31"/>
  <c r="X29" i="31" s="1"/>
  <c r="Y28" i="31"/>
  <c r="Z28" i="31"/>
  <c r="AA28" i="31"/>
  <c r="AA29" i="31" s="1"/>
  <c r="AB28" i="31"/>
  <c r="AC28" i="31"/>
  <c r="AC29" i="31" s="1"/>
  <c r="AD28" i="31"/>
  <c r="AE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Y29" i="31"/>
  <c r="Z29" i="31"/>
  <c r="AB29" i="31"/>
  <c r="AD29" i="31"/>
  <c r="F32" i="31"/>
  <c r="G32" i="31"/>
  <c r="X32" i="31"/>
  <c r="X36" i="31" s="1"/>
  <c r="Y32" i="31"/>
  <c r="Z32" i="31"/>
  <c r="Z36" i="31" s="1"/>
  <c r="AA32" i="31"/>
  <c r="AB32" i="31"/>
  <c r="AC32" i="31"/>
  <c r="AD32" i="31"/>
  <c r="AE32" i="31"/>
  <c r="F33" i="31"/>
  <c r="G33" i="31"/>
  <c r="X33" i="31"/>
  <c r="Y33" i="31"/>
  <c r="Z33" i="31"/>
  <c r="AA33" i="31"/>
  <c r="AB33" i="31"/>
  <c r="AB36" i="31" s="1"/>
  <c r="AC33" i="31"/>
  <c r="E33" i="31" s="1"/>
  <c r="G33" i="43" s="1"/>
  <c r="AD33" i="31"/>
  <c r="AD36" i="31" s="1"/>
  <c r="AE33" i="31"/>
  <c r="F34" i="31"/>
  <c r="G34" i="31"/>
  <c r="X34" i="31"/>
  <c r="Y34" i="31"/>
  <c r="E34" i="31" s="1"/>
  <c r="Z34" i="31"/>
  <c r="AA34" i="31"/>
  <c r="AA36" i="31" s="1"/>
  <c r="AB34" i="31"/>
  <c r="AC34" i="31"/>
  <c r="AD34" i="31"/>
  <c r="AE34" i="31"/>
  <c r="F35" i="31"/>
  <c r="G35" i="31"/>
  <c r="X35" i="31"/>
  <c r="Y35" i="31"/>
  <c r="Z35" i="31"/>
  <c r="AA35" i="31"/>
  <c r="AB35" i="31"/>
  <c r="AC35" i="31"/>
  <c r="E35" i="31" s="1"/>
  <c r="G35" i="43" s="1"/>
  <c r="I35" i="43" s="1"/>
  <c r="AD35" i="31"/>
  <c r="AE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AC36" i="31"/>
  <c r="D39" i="31"/>
  <c r="F39" i="43" s="1"/>
  <c r="H39" i="43" s="1"/>
  <c r="F39" i="31"/>
  <c r="G39" i="31"/>
  <c r="X39" i="31"/>
  <c r="Y39" i="31"/>
  <c r="E39" i="31" s="1"/>
  <c r="Z39" i="31"/>
  <c r="AA39" i="31"/>
  <c r="AB39" i="31"/>
  <c r="AC39" i="31"/>
  <c r="AD39" i="31"/>
  <c r="AE39" i="31"/>
  <c r="F40" i="31"/>
  <c r="G40" i="31"/>
  <c r="X40" i="31"/>
  <c r="Y40" i="31"/>
  <c r="Z40" i="31"/>
  <c r="AA40" i="31"/>
  <c r="AB40" i="31"/>
  <c r="AC40" i="31"/>
  <c r="AC42" i="31" s="1"/>
  <c r="AC43" i="31" s="1"/>
  <c r="AD40" i="31"/>
  <c r="AD42" i="31" s="1"/>
  <c r="AE40" i="31"/>
  <c r="F41" i="31"/>
  <c r="G41" i="31"/>
  <c r="G42" i="31" s="1"/>
  <c r="X41" i="31"/>
  <c r="Y41" i="31"/>
  <c r="Z41" i="31"/>
  <c r="AA41" i="31"/>
  <c r="AB41" i="31"/>
  <c r="AB42" i="31" s="1"/>
  <c r="AB43" i="31" s="1"/>
  <c r="AC41" i="31"/>
  <c r="AD41" i="31"/>
  <c r="AE41" i="31"/>
  <c r="AE42" i="31" s="1"/>
  <c r="F42" i="31"/>
  <c r="F43" i="31" s="1"/>
  <c r="H42" i="31"/>
  <c r="H43" i="31" s="1"/>
  <c r="I42" i="31"/>
  <c r="J42" i="31"/>
  <c r="K42" i="31"/>
  <c r="K43" i="31" s="1"/>
  <c r="L42" i="31"/>
  <c r="M42" i="31"/>
  <c r="N42" i="31"/>
  <c r="O42" i="31"/>
  <c r="P42" i="31"/>
  <c r="P43" i="31" s="1"/>
  <c r="P82" i="31" s="1"/>
  <c r="Q42" i="31"/>
  <c r="R42" i="31"/>
  <c r="S42" i="31"/>
  <c r="S43" i="31" s="1"/>
  <c r="T42" i="31"/>
  <c r="U42" i="31"/>
  <c r="V42" i="31"/>
  <c r="W42" i="31"/>
  <c r="X42" i="31"/>
  <c r="X43" i="31" s="1"/>
  <c r="Z42" i="31"/>
  <c r="AA42" i="31"/>
  <c r="AA43" i="31" s="1"/>
  <c r="G43" i="31"/>
  <c r="I43" i="31"/>
  <c r="J43" i="31"/>
  <c r="L43" i="31"/>
  <c r="M43" i="31"/>
  <c r="N43" i="31"/>
  <c r="O43" i="31"/>
  <c r="Q43" i="31"/>
  <c r="R43" i="31"/>
  <c r="T43" i="31"/>
  <c r="U43" i="31"/>
  <c r="V43" i="31"/>
  <c r="W43" i="31"/>
  <c r="Z43" i="31"/>
  <c r="AD43" i="31"/>
  <c r="AE43" i="31"/>
  <c r="F45" i="31"/>
  <c r="G45" i="31"/>
  <c r="X45" i="31"/>
  <c r="Y45" i="31"/>
  <c r="E45" i="31" s="1"/>
  <c r="Z45" i="31"/>
  <c r="AA45" i="31"/>
  <c r="AB45" i="31"/>
  <c r="AC45" i="31"/>
  <c r="AD45" i="31"/>
  <c r="AE45" i="31"/>
  <c r="F47" i="31"/>
  <c r="G47" i="31"/>
  <c r="X47" i="31"/>
  <c r="Y47" i="31"/>
  <c r="Z47" i="31"/>
  <c r="AA47" i="31"/>
  <c r="AB47" i="31"/>
  <c r="D47" i="31" s="1"/>
  <c r="F47" i="43" s="1"/>
  <c r="H47" i="43" s="1"/>
  <c r="AC47" i="31"/>
  <c r="E47" i="31" s="1"/>
  <c r="G47" i="43" s="1"/>
  <c r="I47" i="43" s="1"/>
  <c r="AD47" i="31"/>
  <c r="AE47" i="31"/>
  <c r="F49" i="31"/>
  <c r="G49" i="31"/>
  <c r="X49" i="31"/>
  <c r="Y49" i="31"/>
  <c r="Z49" i="31"/>
  <c r="AA49" i="31"/>
  <c r="AB49" i="31"/>
  <c r="AC49" i="31"/>
  <c r="E49" i="31" s="1"/>
  <c r="G49" i="43" s="1"/>
  <c r="I49" i="43" s="1"/>
  <c r="AD49" i="31"/>
  <c r="AE49" i="31"/>
  <c r="F51" i="31"/>
  <c r="G51" i="31"/>
  <c r="X51" i="31"/>
  <c r="Y51" i="31"/>
  <c r="Z51" i="31"/>
  <c r="AA51" i="31"/>
  <c r="AB51" i="31"/>
  <c r="AC51" i="31"/>
  <c r="AD51" i="31"/>
  <c r="AE51" i="31"/>
  <c r="F54" i="31"/>
  <c r="G54" i="31"/>
  <c r="X54" i="31"/>
  <c r="Y54" i="31"/>
  <c r="Z54" i="31"/>
  <c r="AA54" i="31"/>
  <c r="AA56" i="31" s="1"/>
  <c r="AB54" i="31"/>
  <c r="AC54" i="31"/>
  <c r="AD54" i="31"/>
  <c r="AD56" i="31" s="1"/>
  <c r="AE54" i="31"/>
  <c r="F55" i="31"/>
  <c r="G55" i="31"/>
  <c r="X55" i="31"/>
  <c r="Y55" i="31"/>
  <c r="Y56" i="31" s="1"/>
  <c r="Z55" i="31"/>
  <c r="AA55" i="31"/>
  <c r="AB55" i="31"/>
  <c r="AB56" i="31" s="1"/>
  <c r="AC55" i="31"/>
  <c r="AD55" i="31"/>
  <c r="AE55" i="31"/>
  <c r="AE56" i="31" s="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AC56" i="31"/>
  <c r="F59" i="31"/>
  <c r="G59" i="31"/>
  <c r="X59" i="31"/>
  <c r="Y59" i="31"/>
  <c r="Z59" i="31"/>
  <c r="AA59" i="31"/>
  <c r="AB59" i="31"/>
  <c r="AB61" i="31" s="1"/>
  <c r="AC59" i="31"/>
  <c r="AC61" i="31" s="1"/>
  <c r="AD59" i="31"/>
  <c r="AD61" i="31" s="1"/>
  <c r="AE59" i="31"/>
  <c r="F60" i="31"/>
  <c r="G60" i="31"/>
  <c r="X60" i="31"/>
  <c r="X61" i="31" s="1"/>
  <c r="Y60" i="31"/>
  <c r="Z60" i="31"/>
  <c r="AA60" i="31"/>
  <c r="AA61" i="31" s="1"/>
  <c r="AB60" i="31"/>
  <c r="AC60" i="31"/>
  <c r="AD60" i="31"/>
  <c r="AE60" i="31"/>
  <c r="G61" i="31"/>
  <c r="H61" i="31"/>
  <c r="I61" i="31"/>
  <c r="J61" i="31"/>
  <c r="K61" i="31"/>
  <c r="L61" i="31"/>
  <c r="M61" i="31"/>
  <c r="N61" i="31"/>
  <c r="O61" i="31"/>
  <c r="O82" i="31" s="1"/>
  <c r="M651" i="44" s="1"/>
  <c r="P61" i="31"/>
  <c r="Q61" i="31"/>
  <c r="R61" i="31"/>
  <c r="S61" i="31"/>
  <c r="T61" i="31"/>
  <c r="U61" i="31"/>
  <c r="V61" i="31"/>
  <c r="W61" i="31"/>
  <c r="AE61" i="31"/>
  <c r="F64" i="31"/>
  <c r="G64" i="31"/>
  <c r="X64" i="31"/>
  <c r="Y64" i="31"/>
  <c r="Z64" i="31"/>
  <c r="Z66" i="31" s="1"/>
  <c r="AA64" i="31"/>
  <c r="AA66" i="31" s="1"/>
  <c r="AB64" i="31"/>
  <c r="AC64" i="31"/>
  <c r="E64" i="31" s="1"/>
  <c r="AD64" i="31"/>
  <c r="AE64" i="31"/>
  <c r="F65" i="31"/>
  <c r="G65" i="31"/>
  <c r="X65" i="31"/>
  <c r="Y65" i="31"/>
  <c r="Y66" i="31" s="1"/>
  <c r="Z65" i="31"/>
  <c r="AA65" i="31"/>
  <c r="AB65" i="31"/>
  <c r="AB66" i="31" s="1"/>
  <c r="AC65" i="31"/>
  <c r="AD65" i="31"/>
  <c r="AD66" i="31" s="1"/>
  <c r="AE65" i="31"/>
  <c r="AE66" i="31" s="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AC66" i="31"/>
  <c r="E70" i="31"/>
  <c r="F70" i="31"/>
  <c r="G70" i="31"/>
  <c r="X70" i="31"/>
  <c r="Y70" i="31"/>
  <c r="Z70" i="31"/>
  <c r="Z72" i="31" s="1"/>
  <c r="AA70" i="31"/>
  <c r="AB70" i="31"/>
  <c r="AB72" i="31" s="1"/>
  <c r="AD70" i="31"/>
  <c r="AD72" i="31" s="1"/>
  <c r="D71" i="31"/>
  <c r="F71" i="43" s="1"/>
  <c r="F71" i="31"/>
  <c r="G71" i="31"/>
  <c r="X71" i="31"/>
  <c r="Y71" i="31"/>
  <c r="Z71" i="31"/>
  <c r="AA71" i="31"/>
  <c r="AB71" i="31"/>
  <c r="AC71" i="31"/>
  <c r="AC72" i="31" s="1"/>
  <c r="AD71" i="31"/>
  <c r="AE71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AE72" i="31"/>
  <c r="D73" i="31"/>
  <c r="F73" i="31"/>
  <c r="G73" i="31"/>
  <c r="X73" i="31"/>
  <c r="Y73" i="31"/>
  <c r="Z73" i="31"/>
  <c r="AA73" i="31"/>
  <c r="AB73" i="31"/>
  <c r="AC73" i="31"/>
  <c r="AD73" i="31"/>
  <c r="AE73" i="31"/>
  <c r="F74" i="31"/>
  <c r="X74" i="31"/>
  <c r="Y74" i="31"/>
  <c r="Z74" i="31"/>
  <c r="AA74" i="31"/>
  <c r="AB74" i="31"/>
  <c r="AC74" i="31"/>
  <c r="AD74" i="31"/>
  <c r="AE74" i="31"/>
  <c r="F75" i="31"/>
  <c r="G75" i="31"/>
  <c r="X75" i="31"/>
  <c r="Y75" i="31"/>
  <c r="Z75" i="31"/>
  <c r="AA75" i="31"/>
  <c r="AB75" i="31"/>
  <c r="D75" i="31" s="1"/>
  <c r="F75" i="43" s="1"/>
  <c r="H75" i="43" s="1"/>
  <c r="AC75" i="31"/>
  <c r="E75" i="31" s="1"/>
  <c r="G75" i="43" s="1"/>
  <c r="I75" i="43" s="1"/>
  <c r="AD75" i="31"/>
  <c r="AE75" i="31"/>
  <c r="F76" i="31"/>
  <c r="G76" i="31"/>
  <c r="X76" i="31"/>
  <c r="Y76" i="31"/>
  <c r="Z76" i="31"/>
  <c r="AA76" i="31"/>
  <c r="AB76" i="31"/>
  <c r="D76" i="31" s="1"/>
  <c r="AC76" i="31"/>
  <c r="AD76" i="31"/>
  <c r="AE76" i="31"/>
  <c r="F77" i="31"/>
  <c r="G77" i="31"/>
  <c r="X77" i="31"/>
  <c r="D77" i="31" s="1"/>
  <c r="F77" i="43" s="1"/>
  <c r="Y77" i="31"/>
  <c r="Z77" i="31"/>
  <c r="AA77" i="31"/>
  <c r="AB77" i="31"/>
  <c r="AC77" i="31"/>
  <c r="AD77" i="31"/>
  <c r="AE77" i="31"/>
  <c r="F78" i="31"/>
  <c r="G78" i="31"/>
  <c r="X78" i="31"/>
  <c r="Y78" i="31"/>
  <c r="Z78" i="31"/>
  <c r="AA78" i="31"/>
  <c r="AB78" i="31"/>
  <c r="AC78" i="31"/>
  <c r="AD78" i="31"/>
  <c r="AE78" i="31"/>
  <c r="F79" i="31"/>
  <c r="G79" i="31"/>
  <c r="X79" i="31"/>
  <c r="Y79" i="31"/>
  <c r="Z79" i="31"/>
  <c r="AA79" i="31"/>
  <c r="AB79" i="31"/>
  <c r="AC79" i="31"/>
  <c r="AD79" i="31"/>
  <c r="AE79" i="31"/>
  <c r="F80" i="31"/>
  <c r="G80" i="31"/>
  <c r="X80" i="31"/>
  <c r="Y80" i="31"/>
  <c r="Z80" i="31"/>
  <c r="AA80" i="31"/>
  <c r="AB80" i="31"/>
  <c r="AC80" i="31"/>
  <c r="AD80" i="31"/>
  <c r="AE80" i="31"/>
  <c r="F81" i="31"/>
  <c r="G81" i="31"/>
  <c r="X81" i="31"/>
  <c r="Y81" i="31"/>
  <c r="Z81" i="31"/>
  <c r="AA81" i="31"/>
  <c r="AB81" i="31"/>
  <c r="AC81" i="31"/>
  <c r="AD81" i="31"/>
  <c r="AE81" i="31"/>
  <c r="N82" i="31"/>
  <c r="D86" i="31"/>
  <c r="F86" i="31"/>
  <c r="D87" i="31"/>
  <c r="F87" i="31"/>
  <c r="G87" i="31"/>
  <c r="E87" i="31" s="1"/>
  <c r="F88" i="31"/>
  <c r="G88" i="31"/>
  <c r="E88" i="31" s="1"/>
  <c r="G88" i="43" s="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O91" i="31"/>
  <c r="A5" i="43"/>
  <c r="D12" i="43"/>
  <c r="D13" i="43"/>
  <c r="E14" i="43"/>
  <c r="F14" i="43"/>
  <c r="E15" i="43"/>
  <c r="D20" i="43"/>
  <c r="E21" i="43"/>
  <c r="E22" i="43"/>
  <c r="F27" i="43"/>
  <c r="E32" i="43"/>
  <c r="D34" i="43"/>
  <c r="G34" i="43"/>
  <c r="E39" i="43"/>
  <c r="G39" i="43"/>
  <c r="E40" i="43"/>
  <c r="E41" i="43"/>
  <c r="E42" i="43"/>
  <c r="G45" i="43"/>
  <c r="I45" i="43" s="1"/>
  <c r="E49" i="43"/>
  <c r="E51" i="43"/>
  <c r="E59" i="43"/>
  <c r="E61" i="43" s="1"/>
  <c r="E60" i="43"/>
  <c r="D65" i="43"/>
  <c r="D70" i="43"/>
  <c r="E71" i="43"/>
  <c r="E73" i="43"/>
  <c r="F73" i="43"/>
  <c r="H73" i="43"/>
  <c r="E75" i="43"/>
  <c r="D76" i="43"/>
  <c r="E76" i="43"/>
  <c r="F76" i="43"/>
  <c r="E77" i="43"/>
  <c r="E78" i="43"/>
  <c r="D79" i="43"/>
  <c r="D80" i="43"/>
  <c r="E80" i="43"/>
  <c r="E81" i="43"/>
  <c r="E86" i="43"/>
  <c r="E87" i="43"/>
  <c r="F87" i="43"/>
  <c r="G87" i="43"/>
  <c r="A5" i="6"/>
  <c r="D11" i="6"/>
  <c r="G11" i="6"/>
  <c r="D12" i="6"/>
  <c r="U12" i="6"/>
  <c r="E12" i="6" s="1"/>
  <c r="D13" i="6"/>
  <c r="E13" i="6"/>
  <c r="D14" i="6"/>
  <c r="E14" i="6"/>
  <c r="D15" i="6"/>
  <c r="E15" i="6"/>
  <c r="G15" i="6"/>
  <c r="G15" i="20" s="1"/>
  <c r="E15" i="20" s="1"/>
  <c r="G15" i="32" s="1"/>
  <c r="F16" i="6"/>
  <c r="H16" i="6"/>
  <c r="I16" i="6"/>
  <c r="J16" i="6"/>
  <c r="J82" i="6" s="1"/>
  <c r="K16" i="6"/>
  <c r="L16" i="6"/>
  <c r="M16" i="6"/>
  <c r="N16" i="6"/>
  <c r="O16" i="6"/>
  <c r="P16" i="6"/>
  <c r="Q16" i="6"/>
  <c r="R16" i="6"/>
  <c r="R82" i="6" s="1"/>
  <c r="S16" i="6"/>
  <c r="T16" i="6"/>
  <c r="V16" i="6"/>
  <c r="W16" i="6"/>
  <c r="X16" i="6"/>
  <c r="Y16" i="6"/>
  <c r="D19" i="6"/>
  <c r="E19" i="6"/>
  <c r="E24" i="6" s="1"/>
  <c r="D20" i="6"/>
  <c r="E20" i="6"/>
  <c r="D21" i="6"/>
  <c r="E21" i="6"/>
  <c r="D22" i="6"/>
  <c r="E22" i="6"/>
  <c r="D23" i="6"/>
  <c r="E23" i="6"/>
  <c r="F24" i="6"/>
  <c r="G24" i="6"/>
  <c r="H24" i="6"/>
  <c r="I24" i="6"/>
  <c r="J24" i="6"/>
  <c r="K24" i="6"/>
  <c r="L24" i="6"/>
  <c r="M24" i="6"/>
  <c r="N24" i="6"/>
  <c r="N82" i="6" s="1"/>
  <c r="O24" i="6"/>
  <c r="O82" i="6" s="1"/>
  <c r="P24" i="6"/>
  <c r="Q24" i="6"/>
  <c r="R24" i="6"/>
  <c r="S24" i="6"/>
  <c r="T24" i="6"/>
  <c r="U24" i="6"/>
  <c r="V24" i="6"/>
  <c r="W24" i="6"/>
  <c r="W82" i="6" s="1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D36" i="6" s="1"/>
  <c r="E33" i="6"/>
  <c r="E36" i="6" s="1"/>
  <c r="D34" i="6"/>
  <c r="E34" i="6"/>
  <c r="D35" i="6"/>
  <c r="E35" i="6"/>
  <c r="F36" i="6"/>
  <c r="G36" i="6"/>
  <c r="H36" i="6"/>
  <c r="I36" i="6"/>
  <c r="I82" i="6" s="1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D43" i="6" s="1"/>
  <c r="E42" i="6"/>
  <c r="E43" i="6" s="1"/>
  <c r="F42" i="6"/>
  <c r="G42" i="6"/>
  <c r="H42" i="6"/>
  <c r="I42" i="6"/>
  <c r="J42" i="6"/>
  <c r="J43" i="6" s="1"/>
  <c r="K42" i="6"/>
  <c r="K43" i="6" s="1"/>
  <c r="L42" i="6"/>
  <c r="L43" i="6" s="1"/>
  <c r="M42" i="6"/>
  <c r="M43" i="6" s="1"/>
  <c r="N42" i="6"/>
  <c r="O42" i="6"/>
  <c r="P42" i="6"/>
  <c r="Q42" i="6"/>
  <c r="R42" i="6"/>
  <c r="R43" i="6" s="1"/>
  <c r="S42" i="6"/>
  <c r="S43" i="6" s="1"/>
  <c r="T42" i="6"/>
  <c r="T43" i="6" s="1"/>
  <c r="U42" i="6"/>
  <c r="U43" i="6" s="1"/>
  <c r="V42" i="6"/>
  <c r="W42" i="6"/>
  <c r="X42" i="6"/>
  <c r="Y42" i="6"/>
  <c r="F43" i="6"/>
  <c r="G43" i="6"/>
  <c r="H43" i="6"/>
  <c r="I43" i="6"/>
  <c r="N43" i="6"/>
  <c r="O43" i="6"/>
  <c r="P43" i="6"/>
  <c r="Q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G55" i="6"/>
  <c r="W55" i="6"/>
  <c r="W56" i="6" s="1"/>
  <c r="D56" i="6"/>
  <c r="F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X56" i="6"/>
  <c r="Y56" i="6"/>
  <c r="D59" i="6"/>
  <c r="D61" i="6" s="1"/>
  <c r="E59" i="6"/>
  <c r="E61" i="6" s="1"/>
  <c r="D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D66" i="6" s="1"/>
  <c r="E64" i="6"/>
  <c r="D65" i="6"/>
  <c r="E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E72" i="6" s="1"/>
  <c r="D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G74" i="20" s="1"/>
  <c r="E74" i="20" s="1"/>
  <c r="G74" i="32" s="1"/>
  <c r="I74" i="32" s="1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X82" i="6"/>
  <c r="Y82" i="6"/>
  <c r="A5" i="18"/>
  <c r="F11" i="18"/>
  <c r="H11" i="18"/>
  <c r="I11" i="18"/>
  <c r="G11" i="18" s="1"/>
  <c r="L11" i="18"/>
  <c r="F12" i="18"/>
  <c r="G12" i="18"/>
  <c r="H12" i="18"/>
  <c r="L12" i="18" s="1"/>
  <c r="I12" i="18"/>
  <c r="M12" i="18"/>
  <c r="E12" i="42" s="1"/>
  <c r="H13" i="18"/>
  <c r="L13" i="18" s="1"/>
  <c r="I13" i="18"/>
  <c r="G14" i="18"/>
  <c r="H14" i="18"/>
  <c r="I14" i="18"/>
  <c r="M14" i="18"/>
  <c r="E14" i="42" s="1"/>
  <c r="F15" i="18"/>
  <c r="H15" i="18"/>
  <c r="I15" i="18"/>
  <c r="G15" i="18" s="1"/>
  <c r="L15" i="18"/>
  <c r="D15" i="42" s="1"/>
  <c r="M15" i="18"/>
  <c r="E15" i="42" s="1"/>
  <c r="D16" i="18"/>
  <c r="E16" i="18"/>
  <c r="I16" i="18"/>
  <c r="J16" i="18"/>
  <c r="K16" i="18"/>
  <c r="H18" i="18"/>
  <c r="I18" i="18"/>
  <c r="G19" i="18"/>
  <c r="H19" i="18"/>
  <c r="I19" i="18"/>
  <c r="M19" i="18"/>
  <c r="F20" i="18"/>
  <c r="H20" i="18"/>
  <c r="I20" i="18"/>
  <c r="G20" i="18" s="1"/>
  <c r="L20" i="18"/>
  <c r="M20" i="18"/>
  <c r="E20" i="42" s="1"/>
  <c r="F21" i="18"/>
  <c r="G21" i="18"/>
  <c r="H21" i="18"/>
  <c r="L21" i="18" s="1"/>
  <c r="I21" i="18"/>
  <c r="M21" i="18"/>
  <c r="E21" i="42" s="1"/>
  <c r="G22" i="18"/>
  <c r="H22" i="18"/>
  <c r="I22" i="18"/>
  <c r="M22" i="18" s="1"/>
  <c r="E22" i="42" s="1"/>
  <c r="G23" i="18"/>
  <c r="H23" i="18"/>
  <c r="F23" i="18" s="1"/>
  <c r="I23" i="18"/>
  <c r="M23" i="18" s="1"/>
  <c r="E23" i="42" s="1"/>
  <c r="D24" i="18"/>
  <c r="E24" i="18"/>
  <c r="I24" i="18"/>
  <c r="J24" i="18"/>
  <c r="K24" i="18"/>
  <c r="H27" i="18"/>
  <c r="L27" i="18" s="1"/>
  <c r="D27" i="42" s="1"/>
  <c r="I27" i="18"/>
  <c r="G27" i="18" s="1"/>
  <c r="M27" i="18"/>
  <c r="F28" i="18"/>
  <c r="H28" i="18"/>
  <c r="I28" i="18"/>
  <c r="L28" i="18"/>
  <c r="D28" i="42" s="1"/>
  <c r="D29" i="18"/>
  <c r="E29" i="18"/>
  <c r="J29" i="18"/>
  <c r="J82" i="18" s="1"/>
  <c r="K29" i="18"/>
  <c r="K82" i="18" s="1"/>
  <c r="L29" i="18"/>
  <c r="F32" i="18"/>
  <c r="H32" i="18"/>
  <c r="I32" i="18"/>
  <c r="G32" i="18" s="1"/>
  <c r="L32" i="18"/>
  <c r="M32" i="18"/>
  <c r="F33" i="18"/>
  <c r="G33" i="18"/>
  <c r="G36" i="18" s="1"/>
  <c r="H33" i="18"/>
  <c r="L33" i="18" s="1"/>
  <c r="I33" i="18"/>
  <c r="M33" i="18"/>
  <c r="E33" i="42" s="1"/>
  <c r="G34" i="18"/>
  <c r="H34" i="18"/>
  <c r="H36" i="18" s="1"/>
  <c r="I34" i="18"/>
  <c r="G35" i="18"/>
  <c r="H35" i="18"/>
  <c r="F35" i="18" s="1"/>
  <c r="I35" i="18"/>
  <c r="M35" i="18" s="1"/>
  <c r="E35" i="42" s="1"/>
  <c r="L35" i="18"/>
  <c r="D35" i="42" s="1"/>
  <c r="D36" i="18"/>
  <c r="E36" i="18"/>
  <c r="J36" i="18"/>
  <c r="K36" i="18"/>
  <c r="L37" i="18"/>
  <c r="M37" i="18"/>
  <c r="H38" i="18"/>
  <c r="I38" i="18"/>
  <c r="F39" i="18"/>
  <c r="G39" i="18"/>
  <c r="H39" i="18"/>
  <c r="L39" i="18" s="1"/>
  <c r="I39" i="18"/>
  <c r="M39" i="18"/>
  <c r="F40" i="18"/>
  <c r="F42" i="18" s="1"/>
  <c r="F43" i="18" s="1"/>
  <c r="G40" i="18"/>
  <c r="H40" i="18"/>
  <c r="I40" i="18"/>
  <c r="H41" i="18"/>
  <c r="F41" i="18" s="1"/>
  <c r="I41" i="18"/>
  <c r="G41" i="18" s="1"/>
  <c r="G42" i="18" s="1"/>
  <c r="M41" i="18"/>
  <c r="E41" i="42" s="1"/>
  <c r="D42" i="18"/>
  <c r="D43" i="18" s="1"/>
  <c r="E42" i="18"/>
  <c r="J42" i="18"/>
  <c r="J43" i="18" s="1"/>
  <c r="K42" i="18"/>
  <c r="K43" i="18" s="1"/>
  <c r="E43" i="18"/>
  <c r="G43" i="18"/>
  <c r="F45" i="18"/>
  <c r="H45" i="18"/>
  <c r="L45" i="18" s="1"/>
  <c r="D45" i="42" s="1"/>
  <c r="H45" i="42" s="1"/>
  <c r="I45" i="18"/>
  <c r="G47" i="18"/>
  <c r="H47" i="18"/>
  <c r="I47" i="18"/>
  <c r="M47" i="18"/>
  <c r="E47" i="42" s="1"/>
  <c r="F49" i="18"/>
  <c r="H49" i="18"/>
  <c r="I49" i="18"/>
  <c r="L49" i="18"/>
  <c r="F51" i="18"/>
  <c r="G51" i="18"/>
  <c r="H51" i="18"/>
  <c r="L51" i="18" s="1"/>
  <c r="D51" i="42" s="1"/>
  <c r="I51" i="18"/>
  <c r="M51" i="18"/>
  <c r="E51" i="42" s="1"/>
  <c r="F54" i="18"/>
  <c r="F56" i="18" s="1"/>
  <c r="G54" i="18"/>
  <c r="G56" i="18" s="1"/>
  <c r="H54" i="18"/>
  <c r="I54" i="18"/>
  <c r="M54" i="18" s="1"/>
  <c r="G55" i="18"/>
  <c r="H55" i="18"/>
  <c r="F55" i="18" s="1"/>
  <c r="I55" i="18"/>
  <c r="L55" i="18"/>
  <c r="D55" i="42" s="1"/>
  <c r="M55" i="18"/>
  <c r="E55" i="42" s="1"/>
  <c r="D56" i="18"/>
  <c r="E56" i="18"/>
  <c r="I56" i="18"/>
  <c r="J56" i="18"/>
  <c r="K56" i="18"/>
  <c r="G59" i="18"/>
  <c r="G61" i="18" s="1"/>
  <c r="H59" i="18"/>
  <c r="I59" i="18"/>
  <c r="F60" i="18"/>
  <c r="H60" i="18"/>
  <c r="I60" i="18"/>
  <c r="G60" i="18" s="1"/>
  <c r="L60" i="18"/>
  <c r="D60" i="42" s="1"/>
  <c r="M60" i="18"/>
  <c r="E60" i="42" s="1"/>
  <c r="D61" i="18"/>
  <c r="E61" i="18"/>
  <c r="J61" i="18"/>
  <c r="K61" i="18"/>
  <c r="F64" i="18"/>
  <c r="H64" i="18"/>
  <c r="I64" i="18"/>
  <c r="L64" i="18"/>
  <c r="M64" i="18"/>
  <c r="F65" i="18"/>
  <c r="G65" i="18"/>
  <c r="H65" i="18"/>
  <c r="L65" i="18" s="1"/>
  <c r="D65" i="42" s="1"/>
  <c r="I65" i="18"/>
  <c r="M65" i="18"/>
  <c r="E65" i="42" s="1"/>
  <c r="D66" i="18"/>
  <c r="E66" i="18"/>
  <c r="F66" i="18"/>
  <c r="H66" i="18"/>
  <c r="J66" i="18"/>
  <c r="K66" i="18"/>
  <c r="L66" i="18"/>
  <c r="L69" i="18"/>
  <c r="M69" i="18"/>
  <c r="F70" i="18"/>
  <c r="H70" i="18"/>
  <c r="I70" i="18"/>
  <c r="M70" i="18" s="1"/>
  <c r="L70" i="18"/>
  <c r="F71" i="18"/>
  <c r="G71" i="18"/>
  <c r="H71" i="18"/>
  <c r="L71" i="18" s="1"/>
  <c r="L72" i="18" s="1"/>
  <c r="I71" i="18"/>
  <c r="M71" i="18"/>
  <c r="E71" i="42" s="1"/>
  <c r="D72" i="18"/>
  <c r="E72" i="18"/>
  <c r="F72" i="18"/>
  <c r="H72" i="18"/>
  <c r="J72" i="18"/>
  <c r="K72" i="18"/>
  <c r="F73" i="18"/>
  <c r="G73" i="18"/>
  <c r="H73" i="18"/>
  <c r="L73" i="18" s="1"/>
  <c r="D73" i="42" s="1"/>
  <c r="I73" i="18"/>
  <c r="M73" i="18"/>
  <c r="E73" i="42" s="1"/>
  <c r="H74" i="18"/>
  <c r="I74" i="18"/>
  <c r="M74" i="18" s="1"/>
  <c r="E74" i="42" s="1"/>
  <c r="G75" i="18"/>
  <c r="H75" i="18"/>
  <c r="F75" i="18" s="1"/>
  <c r="I75" i="18"/>
  <c r="M75" i="18" s="1"/>
  <c r="L75" i="18"/>
  <c r="F76" i="18"/>
  <c r="H76" i="18"/>
  <c r="I76" i="18"/>
  <c r="L76" i="18"/>
  <c r="D76" i="42" s="1"/>
  <c r="H76" i="42" s="1"/>
  <c r="F77" i="18"/>
  <c r="G77" i="18"/>
  <c r="H77" i="18"/>
  <c r="L77" i="18" s="1"/>
  <c r="D77" i="42" s="1"/>
  <c r="I77" i="18"/>
  <c r="M77" i="18"/>
  <c r="E77" i="42" s="1"/>
  <c r="F78" i="18"/>
  <c r="G78" i="18"/>
  <c r="H78" i="18"/>
  <c r="L78" i="18" s="1"/>
  <c r="I78" i="18"/>
  <c r="M78" i="18" s="1"/>
  <c r="E78" i="42" s="1"/>
  <c r="H79" i="18"/>
  <c r="F79" i="18" s="1"/>
  <c r="I79" i="18"/>
  <c r="L79" i="18"/>
  <c r="F80" i="18"/>
  <c r="H80" i="18"/>
  <c r="I80" i="18"/>
  <c r="G80" i="18" s="1"/>
  <c r="L80" i="18"/>
  <c r="D80" i="42" s="1"/>
  <c r="E81" i="18"/>
  <c r="I81" i="18" s="1"/>
  <c r="F81" i="18"/>
  <c r="H81" i="18"/>
  <c r="L81" i="18"/>
  <c r="D81" i="42" s="1"/>
  <c r="E82" i="18"/>
  <c r="A5" i="30"/>
  <c r="H8" i="30"/>
  <c r="J8" i="30"/>
  <c r="L8" i="30"/>
  <c r="N8" i="30"/>
  <c r="D11" i="30"/>
  <c r="E11" i="30"/>
  <c r="G11" i="42" s="1"/>
  <c r="F11" i="30"/>
  <c r="G11" i="30"/>
  <c r="D12" i="30"/>
  <c r="F12" i="30"/>
  <c r="G12" i="30"/>
  <c r="E12" i="30" s="1"/>
  <c r="D13" i="30"/>
  <c r="F13" i="42" s="1"/>
  <c r="E13" i="30"/>
  <c r="G13" i="42" s="1"/>
  <c r="F13" i="30"/>
  <c r="G13" i="30"/>
  <c r="D14" i="30"/>
  <c r="F14" i="30"/>
  <c r="G14" i="30"/>
  <c r="E15" i="30"/>
  <c r="G15" i="42" s="1"/>
  <c r="F15" i="30"/>
  <c r="D15" i="30" s="1"/>
  <c r="F15" i="42" s="1"/>
  <c r="H15" i="42" s="1"/>
  <c r="G15" i="30"/>
  <c r="H16" i="30"/>
  <c r="I16" i="30"/>
  <c r="J16" i="30"/>
  <c r="J82" i="30" s="1"/>
  <c r="H650" i="44" s="1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E19" i="30"/>
  <c r="F19" i="30"/>
  <c r="G19" i="30"/>
  <c r="D20" i="30"/>
  <c r="F20" i="30"/>
  <c r="G20" i="30"/>
  <c r="D21" i="30"/>
  <c r="F21" i="30"/>
  <c r="G21" i="30"/>
  <c r="E21" i="30" s="1"/>
  <c r="D22" i="30"/>
  <c r="F22" i="30"/>
  <c r="G22" i="30"/>
  <c r="E22" i="30" s="1"/>
  <c r="G22" i="42" s="1"/>
  <c r="D23" i="30"/>
  <c r="F23" i="42" s="1"/>
  <c r="E23" i="30"/>
  <c r="G23" i="42" s="1"/>
  <c r="F23" i="30"/>
  <c r="G23" i="30"/>
  <c r="H24" i="30"/>
  <c r="I24" i="30"/>
  <c r="J24" i="30"/>
  <c r="K24" i="30"/>
  <c r="K82" i="30" s="1"/>
  <c r="I650" i="44" s="1"/>
  <c r="L24" i="30"/>
  <c r="M24" i="30"/>
  <c r="N24" i="30"/>
  <c r="O24" i="30"/>
  <c r="P24" i="30"/>
  <c r="Q24" i="30"/>
  <c r="R24" i="30"/>
  <c r="S24" i="30"/>
  <c r="S82" i="30" s="1"/>
  <c r="Q650" i="44" s="1"/>
  <c r="T24" i="30"/>
  <c r="U24" i="30"/>
  <c r="V24" i="30"/>
  <c r="W24" i="30"/>
  <c r="X24" i="30"/>
  <c r="Y24" i="30"/>
  <c r="Z24" i="30"/>
  <c r="AA24" i="30"/>
  <c r="AA82" i="30" s="1"/>
  <c r="Y650" i="44" s="1"/>
  <c r="AB24" i="30"/>
  <c r="AC24" i="30"/>
  <c r="AD24" i="30"/>
  <c r="AE24" i="30"/>
  <c r="F27" i="30"/>
  <c r="G27" i="30"/>
  <c r="G29" i="30" s="1"/>
  <c r="D28" i="30"/>
  <c r="F28" i="30"/>
  <c r="G28" i="30"/>
  <c r="E28" i="30" s="1"/>
  <c r="H29" i="30"/>
  <c r="I29" i="30"/>
  <c r="J29" i="30"/>
  <c r="K29" i="30"/>
  <c r="L29" i="30"/>
  <c r="M29" i="30"/>
  <c r="N29" i="30"/>
  <c r="N82" i="30" s="1"/>
  <c r="L650" i="44" s="1"/>
  <c r="O29" i="30"/>
  <c r="P29" i="30"/>
  <c r="Q29" i="30"/>
  <c r="R29" i="30"/>
  <c r="S29" i="30"/>
  <c r="T29" i="30"/>
  <c r="T82" i="30" s="1"/>
  <c r="R650" i="44" s="1"/>
  <c r="U29" i="30"/>
  <c r="V29" i="30"/>
  <c r="W29" i="30"/>
  <c r="X29" i="30"/>
  <c r="Y29" i="30"/>
  <c r="Z29" i="30"/>
  <c r="AA29" i="30"/>
  <c r="AB29" i="30"/>
  <c r="AB82" i="30" s="1"/>
  <c r="Z650" i="44" s="1"/>
  <c r="AC29" i="30"/>
  <c r="AD29" i="30"/>
  <c r="AE29" i="30"/>
  <c r="D32" i="30"/>
  <c r="F32" i="30"/>
  <c r="G32" i="30"/>
  <c r="E32" i="30" s="1"/>
  <c r="D33" i="30"/>
  <c r="E33" i="30"/>
  <c r="G33" i="42" s="1"/>
  <c r="F33" i="30"/>
  <c r="G33" i="30"/>
  <c r="D34" i="30"/>
  <c r="F34" i="30"/>
  <c r="G34" i="30"/>
  <c r="E35" i="30"/>
  <c r="G35" i="42" s="1"/>
  <c r="F35" i="30"/>
  <c r="D35" i="30" s="1"/>
  <c r="F35" i="42" s="1"/>
  <c r="H35" i="42" s="1"/>
  <c r="G35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E39" i="30"/>
  <c r="G39" i="42" s="1"/>
  <c r="F39" i="30"/>
  <c r="D39" i="30" s="1"/>
  <c r="F39" i="42" s="1"/>
  <c r="G39" i="30"/>
  <c r="D40" i="30"/>
  <c r="F40" i="30"/>
  <c r="G40" i="30"/>
  <c r="E40" i="30" s="1"/>
  <c r="F41" i="30"/>
  <c r="G41" i="30"/>
  <c r="H42" i="30"/>
  <c r="H43" i="30" s="1"/>
  <c r="I42" i="30"/>
  <c r="I43" i="30" s="1"/>
  <c r="J42" i="30"/>
  <c r="J43" i="30" s="1"/>
  <c r="K42" i="30"/>
  <c r="L42" i="30"/>
  <c r="M42" i="30"/>
  <c r="N42" i="30"/>
  <c r="O42" i="30"/>
  <c r="P42" i="30"/>
  <c r="P43" i="30" s="1"/>
  <c r="Q42" i="30"/>
  <c r="Q43" i="30" s="1"/>
  <c r="R42" i="30"/>
  <c r="R43" i="30" s="1"/>
  <c r="S42" i="30"/>
  <c r="T42" i="30"/>
  <c r="U42" i="30"/>
  <c r="V42" i="30"/>
  <c r="W42" i="30"/>
  <c r="X42" i="30"/>
  <c r="X43" i="30" s="1"/>
  <c r="Y42" i="30"/>
  <c r="Y43" i="30" s="1"/>
  <c r="Z42" i="30"/>
  <c r="Z43" i="30" s="1"/>
  <c r="AA42" i="30"/>
  <c r="AB42" i="30"/>
  <c r="AC42" i="30"/>
  <c r="AD42" i="30"/>
  <c r="AE42" i="30"/>
  <c r="AE43" i="30" s="1"/>
  <c r="K43" i="30"/>
  <c r="L43" i="30"/>
  <c r="M43" i="30"/>
  <c r="N43" i="30"/>
  <c r="O43" i="30"/>
  <c r="S43" i="30"/>
  <c r="T43" i="30"/>
  <c r="U43" i="30"/>
  <c r="U82" i="30" s="1"/>
  <c r="S650" i="44" s="1"/>
  <c r="V43" i="30"/>
  <c r="V82" i="30" s="1"/>
  <c r="T650" i="44" s="1"/>
  <c r="W43" i="30"/>
  <c r="AA43" i="30"/>
  <c r="AB43" i="30"/>
  <c r="AC43" i="30"/>
  <c r="AD43" i="30"/>
  <c r="AD82" i="30" s="1"/>
  <c r="AB650" i="44" s="1"/>
  <c r="D45" i="30"/>
  <c r="F45" i="30"/>
  <c r="G45" i="30"/>
  <c r="E45" i="30" s="1"/>
  <c r="G45" i="42" s="1"/>
  <c r="D47" i="30"/>
  <c r="F47" i="42" s="1"/>
  <c r="F47" i="30"/>
  <c r="G47" i="30"/>
  <c r="E47" i="30" s="1"/>
  <c r="G47" i="42" s="1"/>
  <c r="D49" i="30"/>
  <c r="F49" i="30"/>
  <c r="G49" i="30"/>
  <c r="E49" i="30" s="1"/>
  <c r="G49" i="42" s="1"/>
  <c r="D51" i="30"/>
  <c r="F51" i="42" s="1"/>
  <c r="E51" i="30"/>
  <c r="G51" i="42" s="1"/>
  <c r="F51" i="30"/>
  <c r="G51" i="30"/>
  <c r="D54" i="30"/>
  <c r="F54" i="30"/>
  <c r="G54" i="30"/>
  <c r="D55" i="30"/>
  <c r="E55" i="30"/>
  <c r="G55" i="42" s="1"/>
  <c r="F55" i="30"/>
  <c r="F56" i="30" s="1"/>
  <c r="G55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D61" i="30" s="1"/>
  <c r="F59" i="30"/>
  <c r="F61" i="30" s="1"/>
  <c r="G59" i="30"/>
  <c r="D60" i="30"/>
  <c r="F60" i="30"/>
  <c r="G60" i="30"/>
  <c r="E60" i="30" s="1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F64" i="30"/>
  <c r="G64" i="30"/>
  <c r="E64" i="30" s="1"/>
  <c r="E65" i="30"/>
  <c r="F65" i="30"/>
  <c r="G65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F70" i="42" s="1"/>
  <c r="E70" i="30"/>
  <c r="G70" i="42" s="1"/>
  <c r="F70" i="30"/>
  <c r="G70" i="30"/>
  <c r="G72" i="30" s="1"/>
  <c r="S70" i="30"/>
  <c r="F71" i="30"/>
  <c r="G71" i="30"/>
  <c r="E71" i="30" s="1"/>
  <c r="G71" i="42" s="1"/>
  <c r="E72" i="30"/>
  <c r="E84" i="30" s="1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F73" i="30"/>
  <c r="D73" i="30" s="1"/>
  <c r="G73" i="30"/>
  <c r="E73" i="30" s="1"/>
  <c r="D74" i="30"/>
  <c r="F74" i="42" s="1"/>
  <c r="E74" i="30"/>
  <c r="G74" i="42" s="1"/>
  <c r="F74" i="30"/>
  <c r="G74" i="30"/>
  <c r="F75" i="30"/>
  <c r="D75" i="30" s="1"/>
  <c r="F75" i="42" s="1"/>
  <c r="G75" i="30"/>
  <c r="E75" i="30" s="1"/>
  <c r="G75" i="42" s="1"/>
  <c r="D76" i="30"/>
  <c r="F76" i="42" s="1"/>
  <c r="E76" i="30"/>
  <c r="F76" i="30"/>
  <c r="G76" i="30"/>
  <c r="F77" i="30"/>
  <c r="D77" i="30" s="1"/>
  <c r="G77" i="30"/>
  <c r="E77" i="30" s="1"/>
  <c r="D78" i="30"/>
  <c r="F78" i="42" s="1"/>
  <c r="E78" i="30"/>
  <c r="G78" i="42" s="1"/>
  <c r="F78" i="30"/>
  <c r="G78" i="30"/>
  <c r="F79" i="30"/>
  <c r="D79" i="30" s="1"/>
  <c r="G79" i="30"/>
  <c r="E79" i="30" s="1"/>
  <c r="G79" i="42" s="1"/>
  <c r="E80" i="30"/>
  <c r="G80" i="42" s="1"/>
  <c r="F80" i="30"/>
  <c r="D80" i="30" s="1"/>
  <c r="F80" i="42" s="1"/>
  <c r="G80" i="30"/>
  <c r="F81" i="30"/>
  <c r="D81" i="30" s="1"/>
  <c r="G81" i="30"/>
  <c r="E81" i="30" s="1"/>
  <c r="L82" i="30"/>
  <c r="J650" i="44" s="1"/>
  <c r="M82" i="30"/>
  <c r="K650" i="44" s="1"/>
  <c r="Z82" i="30"/>
  <c r="X650" i="44" s="1"/>
  <c r="A5" i="42"/>
  <c r="D11" i="42"/>
  <c r="F11" i="42"/>
  <c r="F12" i="42"/>
  <c r="G12" i="42"/>
  <c r="D13" i="42"/>
  <c r="H13" i="42"/>
  <c r="F14" i="42"/>
  <c r="D20" i="42"/>
  <c r="F20" i="42"/>
  <c r="D21" i="42"/>
  <c r="F21" i="42"/>
  <c r="G21" i="42"/>
  <c r="H21" i="42"/>
  <c r="F22" i="42"/>
  <c r="I23" i="42"/>
  <c r="F28" i="42"/>
  <c r="H28" i="42" s="1"/>
  <c r="G28" i="42"/>
  <c r="D29" i="42"/>
  <c r="D32" i="42"/>
  <c r="E32" i="42"/>
  <c r="F32" i="42"/>
  <c r="D33" i="42"/>
  <c r="F33" i="42"/>
  <c r="H33" i="42" s="1"/>
  <c r="F34" i="42"/>
  <c r="D39" i="42"/>
  <c r="E39" i="42"/>
  <c r="F40" i="42"/>
  <c r="G40" i="42"/>
  <c r="F45" i="42"/>
  <c r="D49" i="42"/>
  <c r="F49" i="42"/>
  <c r="F54" i="42"/>
  <c r="F59" i="42"/>
  <c r="F60" i="42"/>
  <c r="H60" i="42" s="1"/>
  <c r="G60" i="42"/>
  <c r="I60" i="42" s="1"/>
  <c r="D64" i="42"/>
  <c r="F64" i="42"/>
  <c r="G65" i="42"/>
  <c r="D70" i="42"/>
  <c r="H70" i="42"/>
  <c r="D71" i="42"/>
  <c r="G72" i="42"/>
  <c r="F73" i="42"/>
  <c r="H73" i="42" s="1"/>
  <c r="G73" i="42"/>
  <c r="I74" i="42"/>
  <c r="D75" i="42"/>
  <c r="E75" i="42"/>
  <c r="G76" i="42"/>
  <c r="F77" i="42"/>
  <c r="H77" i="42" s="1"/>
  <c r="G77" i="42"/>
  <c r="D78" i="42"/>
  <c r="I78" i="42"/>
  <c r="D79" i="42"/>
  <c r="F79" i="42"/>
  <c r="F81" i="42"/>
  <c r="G81" i="42"/>
  <c r="H81" i="42"/>
  <c r="A5" i="7"/>
  <c r="D11" i="7"/>
  <c r="E11" i="7"/>
  <c r="D12" i="7"/>
  <c r="G12" i="7"/>
  <c r="G12" i="20" s="1"/>
  <c r="E12" i="20" s="1"/>
  <c r="G12" i="32" s="1"/>
  <c r="I12" i="32" s="1"/>
  <c r="I12" i="7"/>
  <c r="K12" i="7"/>
  <c r="O12" i="7"/>
  <c r="O16" i="7" s="1"/>
  <c r="Q12" i="7"/>
  <c r="S12" i="7"/>
  <c r="S94" i="7" s="1"/>
  <c r="D13" i="7"/>
  <c r="E13" i="7"/>
  <c r="D14" i="7"/>
  <c r="E14" i="7"/>
  <c r="D15" i="7"/>
  <c r="D16" i="7" s="1"/>
  <c r="E15" i="7"/>
  <c r="F16" i="7"/>
  <c r="G16" i="7"/>
  <c r="H16" i="7"/>
  <c r="I16" i="7"/>
  <c r="J16" i="7"/>
  <c r="J82" i="7" s="1"/>
  <c r="J91" i="7" s="1"/>
  <c r="L16" i="7"/>
  <c r="M16" i="7"/>
  <c r="M82" i="7" s="1"/>
  <c r="M91" i="7" s="1"/>
  <c r="N16" i="7"/>
  <c r="P16" i="7"/>
  <c r="R16" i="7"/>
  <c r="S16" i="7"/>
  <c r="T16" i="7"/>
  <c r="U16" i="7"/>
  <c r="V16" i="7"/>
  <c r="W16" i="7"/>
  <c r="W82" i="7" s="1"/>
  <c r="X16" i="7"/>
  <c r="Y16" i="7"/>
  <c r="D19" i="7"/>
  <c r="E19" i="7"/>
  <c r="D20" i="7"/>
  <c r="E20" i="7"/>
  <c r="G20" i="7"/>
  <c r="G20" i="20" s="1"/>
  <c r="E20" i="20" s="1"/>
  <c r="G20" i="32" s="1"/>
  <c r="I20" i="7"/>
  <c r="G20" i="24" s="1"/>
  <c r="Q20" i="7"/>
  <c r="S20" i="7"/>
  <c r="S24" i="7" s="1"/>
  <c r="D21" i="7"/>
  <c r="E21" i="7"/>
  <c r="D22" i="7"/>
  <c r="E22" i="7"/>
  <c r="D23" i="7"/>
  <c r="E23" i="7"/>
  <c r="F24" i="7"/>
  <c r="G24" i="7"/>
  <c r="H24" i="7"/>
  <c r="I24" i="7"/>
  <c r="J24" i="7"/>
  <c r="K24" i="7"/>
  <c r="L24" i="7"/>
  <c r="M24" i="7"/>
  <c r="N24" i="7"/>
  <c r="O24" i="7"/>
  <c r="P24" i="7"/>
  <c r="P82" i="7" s="1"/>
  <c r="Q24" i="7"/>
  <c r="R24" i="7"/>
  <c r="T24" i="7"/>
  <c r="U24" i="7"/>
  <c r="V24" i="7"/>
  <c r="W24" i="7"/>
  <c r="X24" i="7"/>
  <c r="Y24" i="7"/>
  <c r="D27" i="7"/>
  <c r="E27" i="7"/>
  <c r="D28" i="7"/>
  <c r="E28" i="7"/>
  <c r="D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E36" i="7" s="1"/>
  <c r="D33" i="7"/>
  <c r="D36" i="7" s="1"/>
  <c r="E33" i="7"/>
  <c r="D34" i="7"/>
  <c r="E34" i="7"/>
  <c r="D35" i="7"/>
  <c r="E35" i="7"/>
  <c r="F36" i="7"/>
  <c r="F82" i="7" s="1"/>
  <c r="G36" i="7"/>
  <c r="H36" i="7"/>
  <c r="I36" i="7"/>
  <c r="J36" i="7"/>
  <c r="K36" i="7"/>
  <c r="L36" i="7"/>
  <c r="M36" i="7"/>
  <c r="N36" i="7"/>
  <c r="N82" i="7" s="1"/>
  <c r="N91" i="7" s="1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D42" i="7" s="1"/>
  <c r="D43" i="7" s="1"/>
  <c r="E41" i="7"/>
  <c r="F42" i="7"/>
  <c r="F43" i="7" s="1"/>
  <c r="G42" i="7"/>
  <c r="H42" i="7"/>
  <c r="I42" i="7"/>
  <c r="I43" i="7" s="1"/>
  <c r="J42" i="7"/>
  <c r="J43" i="7" s="1"/>
  <c r="K42" i="7"/>
  <c r="K43" i="7" s="1"/>
  <c r="L42" i="7"/>
  <c r="M42" i="7"/>
  <c r="N42" i="7"/>
  <c r="O42" i="7"/>
  <c r="P42" i="7"/>
  <c r="Q42" i="7"/>
  <c r="Q43" i="7" s="1"/>
  <c r="R42" i="7"/>
  <c r="R43" i="7" s="1"/>
  <c r="S42" i="7"/>
  <c r="S43" i="7" s="1"/>
  <c r="T42" i="7"/>
  <c r="U42" i="7"/>
  <c r="V42" i="7"/>
  <c r="V43" i="7" s="1"/>
  <c r="W42" i="7"/>
  <c r="X42" i="7"/>
  <c r="Y42" i="7"/>
  <c r="Y43" i="7" s="1"/>
  <c r="G43" i="7"/>
  <c r="H43" i="7"/>
  <c r="H82" i="7" s="1"/>
  <c r="H91" i="7" s="1"/>
  <c r="L43" i="7"/>
  <c r="M43" i="7"/>
  <c r="N43" i="7"/>
  <c r="O43" i="7"/>
  <c r="P43" i="7"/>
  <c r="T43" i="7"/>
  <c r="U43" i="7"/>
  <c r="W43" i="7"/>
  <c r="X43" i="7"/>
  <c r="D45" i="7"/>
  <c r="E45" i="7"/>
  <c r="D47" i="7"/>
  <c r="E47" i="7"/>
  <c r="D49" i="7"/>
  <c r="E49" i="7"/>
  <c r="D51" i="7"/>
  <c r="E51" i="7"/>
  <c r="D54" i="7"/>
  <c r="E54" i="7"/>
  <c r="D55" i="7"/>
  <c r="D56" i="7" s="1"/>
  <c r="E55" i="7"/>
  <c r="E56" i="7" s="1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D61" i="7" s="1"/>
  <c r="E59" i="7"/>
  <c r="E61" i="7" s="1"/>
  <c r="D60" i="7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D66" i="7" s="1"/>
  <c r="E64" i="7"/>
  <c r="D65" i="7"/>
  <c r="E65" i="7"/>
  <c r="S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U82" i="7" s="1"/>
  <c r="U91" i="7" s="1"/>
  <c r="V66" i="7"/>
  <c r="W66" i="7"/>
  <c r="X66" i="7"/>
  <c r="Y66" i="7"/>
  <c r="D70" i="7"/>
  <c r="E70" i="7"/>
  <c r="D71" i="7"/>
  <c r="E71" i="7"/>
  <c r="E72" i="7" s="1"/>
  <c r="D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S82" i="7" s="1"/>
  <c r="S91" i="7" s="1"/>
  <c r="T72" i="7"/>
  <c r="U72" i="7"/>
  <c r="V72" i="7"/>
  <c r="W72" i="7"/>
  <c r="X72" i="7"/>
  <c r="Y72" i="7"/>
  <c r="D73" i="7"/>
  <c r="E73" i="7"/>
  <c r="D74" i="7"/>
  <c r="E74" i="7"/>
  <c r="I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T82" i="7"/>
  <c r="X82" i="7"/>
  <c r="D86" i="7"/>
  <c r="W86" i="7"/>
  <c r="E87" i="7"/>
  <c r="S87" i="7"/>
  <c r="S89" i="7" s="1"/>
  <c r="T87" i="7"/>
  <c r="E88" i="7"/>
  <c r="T88" i="7"/>
  <c r="D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T89" i="7"/>
  <c r="U89" i="7"/>
  <c r="V89" i="7"/>
  <c r="X89" i="7"/>
  <c r="Y89" i="7"/>
  <c r="F91" i="7"/>
  <c r="T91" i="7"/>
  <c r="X91" i="7"/>
  <c r="G94" i="7"/>
  <c r="M94" i="7"/>
  <c r="O94" i="7"/>
  <c r="Q94" i="7"/>
  <c r="U94" i="7"/>
  <c r="Y94" i="7"/>
  <c r="A5" i="5"/>
  <c r="A4" i="15"/>
  <c r="A5" i="15"/>
  <c r="J11" i="15"/>
  <c r="K11" i="15"/>
  <c r="J12" i="15"/>
  <c r="K12" i="15"/>
  <c r="J13" i="15"/>
  <c r="K13" i="15"/>
  <c r="J14" i="15"/>
  <c r="J16" i="15" s="1"/>
  <c r="J82" i="15" s="1"/>
  <c r="J91" i="15" s="1"/>
  <c r="K14" i="15"/>
  <c r="J15" i="15"/>
  <c r="K15" i="15"/>
  <c r="K16" i="15"/>
  <c r="J19" i="15"/>
  <c r="K19" i="15"/>
  <c r="J20" i="15"/>
  <c r="K20" i="15"/>
  <c r="J21" i="15"/>
  <c r="K21" i="15"/>
  <c r="J22" i="15"/>
  <c r="J24" i="15" s="1"/>
  <c r="K22" i="15"/>
  <c r="J23" i="15"/>
  <c r="K23" i="15"/>
  <c r="K24" i="15"/>
  <c r="J27" i="15"/>
  <c r="J29" i="15" s="1"/>
  <c r="K27" i="15"/>
  <c r="J28" i="15"/>
  <c r="K28" i="15"/>
  <c r="K29" i="15"/>
  <c r="J32" i="15"/>
  <c r="K32" i="15"/>
  <c r="J33" i="15"/>
  <c r="K33" i="15"/>
  <c r="J34" i="15"/>
  <c r="K34" i="15"/>
  <c r="J35" i="15"/>
  <c r="K35" i="15"/>
  <c r="J36" i="15"/>
  <c r="K36" i="15"/>
  <c r="L37" i="15"/>
  <c r="M37" i="15"/>
  <c r="J39" i="15"/>
  <c r="K39" i="15"/>
  <c r="J40" i="15"/>
  <c r="K40" i="15"/>
  <c r="K42" i="15" s="1"/>
  <c r="K43" i="15" s="1"/>
  <c r="K82" i="15" s="1"/>
  <c r="K91" i="15" s="1"/>
  <c r="J41" i="15"/>
  <c r="K41" i="15"/>
  <c r="J42" i="15"/>
  <c r="J43" i="15" s="1"/>
  <c r="J45" i="15"/>
  <c r="K45" i="15"/>
  <c r="J47" i="15"/>
  <c r="K47" i="15"/>
  <c r="J49" i="15"/>
  <c r="K49" i="15"/>
  <c r="H51" i="15"/>
  <c r="J51" i="15"/>
  <c r="K51" i="15"/>
  <c r="J54" i="15"/>
  <c r="J56" i="15" s="1"/>
  <c r="K54" i="15"/>
  <c r="J55" i="15"/>
  <c r="K55" i="15"/>
  <c r="K56" i="15"/>
  <c r="J59" i="15"/>
  <c r="K59" i="15"/>
  <c r="J60" i="15"/>
  <c r="K60" i="15"/>
  <c r="J61" i="15"/>
  <c r="K61" i="15"/>
  <c r="J64" i="15"/>
  <c r="K64" i="15"/>
  <c r="J65" i="15"/>
  <c r="J66" i="15" s="1"/>
  <c r="K65" i="15"/>
  <c r="K66" i="15"/>
  <c r="H70" i="15"/>
  <c r="J70" i="15"/>
  <c r="J72" i="15" s="1"/>
  <c r="K70" i="15"/>
  <c r="J71" i="15"/>
  <c r="K71" i="15"/>
  <c r="K72" i="15"/>
  <c r="J73" i="15"/>
  <c r="K73" i="15"/>
  <c r="J74" i="15"/>
  <c r="K74" i="15"/>
  <c r="J75" i="15"/>
  <c r="K75" i="15"/>
  <c r="L75" i="15"/>
  <c r="D75" i="39" s="1"/>
  <c r="H76" i="15"/>
  <c r="J76" i="15"/>
  <c r="K76" i="15"/>
  <c r="J77" i="15"/>
  <c r="K77" i="15"/>
  <c r="J78" i="15"/>
  <c r="K78" i="15"/>
  <c r="H79" i="15"/>
  <c r="J79" i="15"/>
  <c r="K79" i="15"/>
  <c r="J80" i="15"/>
  <c r="K80" i="15"/>
  <c r="J81" i="15"/>
  <c r="K81" i="15"/>
  <c r="D82" i="15"/>
  <c r="E82" i="15"/>
  <c r="D86" i="15"/>
  <c r="E86" i="15"/>
  <c r="J86" i="15"/>
  <c r="K86" i="15"/>
  <c r="K89" i="15" s="1"/>
  <c r="D87" i="15"/>
  <c r="D89" i="15" s="1"/>
  <c r="E87" i="15"/>
  <c r="J87" i="15"/>
  <c r="K87" i="15"/>
  <c r="D88" i="15"/>
  <c r="E88" i="15"/>
  <c r="G88" i="15"/>
  <c r="I88" i="15"/>
  <c r="J88" i="15"/>
  <c r="K88" i="15"/>
  <c r="J89" i="15"/>
  <c r="A5" i="27"/>
  <c r="H8" i="27"/>
  <c r="J8" i="27"/>
  <c r="L8" i="27"/>
  <c r="N8" i="27"/>
  <c r="F11" i="27"/>
  <c r="G11" i="27"/>
  <c r="T11" i="27"/>
  <c r="F12" i="27"/>
  <c r="F13" i="27"/>
  <c r="G13" i="27"/>
  <c r="N13" i="27"/>
  <c r="P13" i="27"/>
  <c r="W13" i="27"/>
  <c r="AB13" i="27"/>
  <c r="F14" i="27"/>
  <c r="G14" i="27"/>
  <c r="H14" i="27"/>
  <c r="J14" i="27"/>
  <c r="X14" i="27"/>
  <c r="F15" i="27"/>
  <c r="G15" i="27"/>
  <c r="H15" i="27"/>
  <c r="P15" i="27"/>
  <c r="T15" i="27"/>
  <c r="AE15" i="27"/>
  <c r="F19" i="27"/>
  <c r="G19" i="27"/>
  <c r="X19" i="27"/>
  <c r="AD19" i="27"/>
  <c r="F20" i="27"/>
  <c r="G20" i="27"/>
  <c r="H20" i="27"/>
  <c r="J20" i="27"/>
  <c r="AC20" i="27"/>
  <c r="F21" i="27"/>
  <c r="G21" i="27"/>
  <c r="T21" i="27"/>
  <c r="V21" i="27"/>
  <c r="AB21" i="27"/>
  <c r="F22" i="27"/>
  <c r="G22" i="27"/>
  <c r="P22" i="27"/>
  <c r="X22" i="27"/>
  <c r="Z22" i="27"/>
  <c r="F23" i="27"/>
  <c r="G23" i="27"/>
  <c r="H23" i="27"/>
  <c r="L23" i="27"/>
  <c r="N23" i="27"/>
  <c r="T23" i="27"/>
  <c r="F27" i="27"/>
  <c r="F29" i="27" s="1"/>
  <c r="G27" i="27"/>
  <c r="T27" i="27"/>
  <c r="V27" i="27"/>
  <c r="AB27" i="27"/>
  <c r="F28" i="27"/>
  <c r="G28" i="27"/>
  <c r="P28" i="27"/>
  <c r="X28" i="27"/>
  <c r="AA28" i="27"/>
  <c r="G29" i="27"/>
  <c r="F32" i="27"/>
  <c r="G32" i="27"/>
  <c r="H32" i="27"/>
  <c r="P32" i="27"/>
  <c r="F33" i="27"/>
  <c r="G33" i="27"/>
  <c r="L33" i="27"/>
  <c r="X33" i="27"/>
  <c r="AB33" i="27"/>
  <c r="F34" i="27"/>
  <c r="G34" i="27"/>
  <c r="H34" i="27"/>
  <c r="X34" i="27"/>
  <c r="F35" i="27"/>
  <c r="G35" i="27"/>
  <c r="S35" i="27"/>
  <c r="T35" i="27"/>
  <c r="AA35" i="27"/>
  <c r="AB35" i="27"/>
  <c r="G36" i="27"/>
  <c r="F39" i="27"/>
  <c r="G39" i="27"/>
  <c r="K39" i="27"/>
  <c r="Q39" i="27"/>
  <c r="S39" i="27"/>
  <c r="T39" i="27"/>
  <c r="AA39" i="27"/>
  <c r="AB39" i="27"/>
  <c r="F40" i="27"/>
  <c r="G40" i="27"/>
  <c r="H40" i="27"/>
  <c r="O40" i="27"/>
  <c r="P40" i="27"/>
  <c r="X40" i="27"/>
  <c r="F41" i="27"/>
  <c r="G41" i="27"/>
  <c r="H41" i="27"/>
  <c r="P41" i="27"/>
  <c r="P42" i="27" s="1"/>
  <c r="S41" i="27"/>
  <c r="X41" i="27"/>
  <c r="AA41" i="27"/>
  <c r="AB41" i="27"/>
  <c r="G42" i="27"/>
  <c r="F45" i="27"/>
  <c r="G45" i="27"/>
  <c r="H45" i="27"/>
  <c r="N45" i="27"/>
  <c r="O45" i="27"/>
  <c r="P45" i="27"/>
  <c r="W45" i="27"/>
  <c r="X45" i="27"/>
  <c r="AE45" i="27"/>
  <c r="F47" i="27"/>
  <c r="G47" i="27"/>
  <c r="H47" i="27"/>
  <c r="L47" i="27"/>
  <c r="V47" i="27"/>
  <c r="X47" i="27"/>
  <c r="Z47" i="27"/>
  <c r="F49" i="27"/>
  <c r="G49" i="27"/>
  <c r="L49" i="27"/>
  <c r="N49" i="27"/>
  <c r="O49" i="27"/>
  <c r="P49" i="27"/>
  <c r="V49" i="27"/>
  <c r="W49" i="27"/>
  <c r="X49" i="27"/>
  <c r="AD49" i="27"/>
  <c r="AE49" i="27"/>
  <c r="F51" i="27"/>
  <c r="G51" i="27"/>
  <c r="K51" i="27"/>
  <c r="L51" i="27"/>
  <c r="T51" i="27"/>
  <c r="Y51" i="27"/>
  <c r="F54" i="27"/>
  <c r="G54" i="27"/>
  <c r="G56" i="27" s="1"/>
  <c r="M54" i="27"/>
  <c r="N54" i="27"/>
  <c r="O54" i="27"/>
  <c r="V54" i="27"/>
  <c r="W54" i="27"/>
  <c r="X54" i="27"/>
  <c r="AC54" i="27"/>
  <c r="AC56" i="27" s="1"/>
  <c r="AD54" i="27"/>
  <c r="AE54" i="27"/>
  <c r="AE56" i="27" s="1"/>
  <c r="F55" i="27"/>
  <c r="G55" i="27"/>
  <c r="K55" i="27"/>
  <c r="L55" i="27"/>
  <c r="O55" i="27"/>
  <c r="S55" i="27"/>
  <c r="T55" i="27"/>
  <c r="AB55" i="27"/>
  <c r="AE55" i="27"/>
  <c r="M56" i="27"/>
  <c r="F59" i="27"/>
  <c r="F61" i="27" s="1"/>
  <c r="G59" i="27"/>
  <c r="G61" i="27" s="1"/>
  <c r="J59" i="27"/>
  <c r="K59" i="27"/>
  <c r="K61" i="27" s="1"/>
  <c r="L59" i="27"/>
  <c r="S59" i="27"/>
  <c r="T59" i="27"/>
  <c r="W59" i="27"/>
  <c r="AA59" i="27"/>
  <c r="AA61" i="27" s="1"/>
  <c r="AB59" i="27"/>
  <c r="F60" i="27"/>
  <c r="G60" i="27"/>
  <c r="H60" i="27"/>
  <c r="J60" i="27"/>
  <c r="J61" i="27" s="1"/>
  <c r="K60" i="27"/>
  <c r="S60" i="27"/>
  <c r="V60" i="27"/>
  <c r="AA60" i="27"/>
  <c r="AE60" i="27"/>
  <c r="S61" i="27"/>
  <c r="F64" i="27"/>
  <c r="G64" i="27"/>
  <c r="H64" i="27"/>
  <c r="P64" i="27"/>
  <c r="F65" i="27"/>
  <c r="G65" i="27"/>
  <c r="I65" i="27"/>
  <c r="K65" i="27"/>
  <c r="S65" i="27"/>
  <c r="T65" i="27"/>
  <c r="AB65" i="27"/>
  <c r="F66" i="27"/>
  <c r="G66" i="27"/>
  <c r="F70" i="27"/>
  <c r="F72" i="27" s="1"/>
  <c r="G70" i="27"/>
  <c r="K70" i="27"/>
  <c r="L70" i="27"/>
  <c r="T70" i="27"/>
  <c r="U70" i="27"/>
  <c r="V70" i="27"/>
  <c r="AB70" i="27"/>
  <c r="AC70" i="27"/>
  <c r="AC72" i="27" s="1"/>
  <c r="F71" i="27"/>
  <c r="G71" i="27"/>
  <c r="H71" i="27"/>
  <c r="P71" i="27"/>
  <c r="Q71" i="27"/>
  <c r="R71" i="27"/>
  <c r="X71" i="27"/>
  <c r="Y71" i="27"/>
  <c r="AE71" i="27"/>
  <c r="F73" i="27"/>
  <c r="G73" i="27"/>
  <c r="H73" i="27"/>
  <c r="J73" i="27"/>
  <c r="K73" i="27"/>
  <c r="P73" i="27"/>
  <c r="X73" i="27"/>
  <c r="Z73" i="27"/>
  <c r="F74" i="27"/>
  <c r="G74" i="27"/>
  <c r="L74" i="27"/>
  <c r="O74" i="27"/>
  <c r="T74" i="27"/>
  <c r="U74" i="27"/>
  <c r="V74" i="27"/>
  <c r="W74" i="27"/>
  <c r="AB74" i="27"/>
  <c r="AC74" i="27"/>
  <c r="F75" i="27"/>
  <c r="G75" i="27"/>
  <c r="H75" i="27"/>
  <c r="I75" i="27"/>
  <c r="P75" i="27"/>
  <c r="Q75" i="27"/>
  <c r="X75" i="27"/>
  <c r="Y75" i="27"/>
  <c r="F76" i="27"/>
  <c r="G76" i="27"/>
  <c r="K76" i="27"/>
  <c r="L76" i="27"/>
  <c r="M76" i="27"/>
  <c r="N76" i="27"/>
  <c r="O76" i="27"/>
  <c r="S76" i="27"/>
  <c r="T76" i="27"/>
  <c r="U76" i="27"/>
  <c r="V76" i="27"/>
  <c r="AA76" i="27"/>
  <c r="AB76" i="27"/>
  <c r="AC76" i="27"/>
  <c r="AD76" i="27"/>
  <c r="F77" i="27"/>
  <c r="G77" i="27"/>
  <c r="H77" i="27"/>
  <c r="I77" i="27"/>
  <c r="J77" i="27"/>
  <c r="O77" i="27"/>
  <c r="P77" i="27"/>
  <c r="Q77" i="27"/>
  <c r="R77" i="27"/>
  <c r="W77" i="27"/>
  <c r="X77" i="27"/>
  <c r="Y77" i="27"/>
  <c r="Z77" i="27"/>
  <c r="F78" i="27"/>
  <c r="G78" i="27"/>
  <c r="K78" i="27"/>
  <c r="L78" i="27"/>
  <c r="M78" i="27"/>
  <c r="T78" i="27"/>
  <c r="U78" i="27"/>
  <c r="V78" i="27"/>
  <c r="AB78" i="27"/>
  <c r="AC78" i="27"/>
  <c r="F79" i="27"/>
  <c r="G79" i="27"/>
  <c r="H79" i="27"/>
  <c r="I79" i="27"/>
  <c r="P79" i="27"/>
  <c r="Q79" i="27"/>
  <c r="R79" i="27"/>
  <c r="X79" i="27"/>
  <c r="Y79" i="27"/>
  <c r="AE79" i="27"/>
  <c r="F80" i="27"/>
  <c r="G80" i="27"/>
  <c r="L80" i="27"/>
  <c r="M80" i="27"/>
  <c r="O80" i="27"/>
  <c r="T80" i="27"/>
  <c r="U80" i="27"/>
  <c r="AB80" i="27"/>
  <c r="AC80" i="27"/>
  <c r="F81" i="27"/>
  <c r="G81" i="27"/>
  <c r="H81" i="27"/>
  <c r="I81" i="27"/>
  <c r="K81" i="27"/>
  <c r="P81" i="27"/>
  <c r="Q81" i="27"/>
  <c r="R81" i="27"/>
  <c r="X81" i="27"/>
  <c r="Y81" i="27"/>
  <c r="G86" i="27"/>
  <c r="H86" i="27"/>
  <c r="H89" i="27" s="1"/>
  <c r="I86" i="27"/>
  <c r="I89" i="27" s="1"/>
  <c r="J86" i="27"/>
  <c r="K86" i="27"/>
  <c r="L86" i="27"/>
  <c r="M86" i="27"/>
  <c r="N86" i="27"/>
  <c r="O86" i="27"/>
  <c r="P86" i="27"/>
  <c r="P89" i="27" s="1"/>
  <c r="Q86" i="27"/>
  <c r="Q89" i="27" s="1"/>
  <c r="R86" i="27"/>
  <c r="S86" i="27"/>
  <c r="T86" i="27"/>
  <c r="U86" i="27"/>
  <c r="V86" i="27"/>
  <c r="W86" i="27"/>
  <c r="X86" i="27"/>
  <c r="X89" i="27" s="1"/>
  <c r="Y86" i="27"/>
  <c r="Y89" i="27" s="1"/>
  <c r="Z86" i="27"/>
  <c r="AA86" i="27"/>
  <c r="AB86" i="27"/>
  <c r="AC86" i="27"/>
  <c r="AD86" i="27"/>
  <c r="AE86" i="27"/>
  <c r="H87" i="27"/>
  <c r="I87" i="27"/>
  <c r="J87" i="27"/>
  <c r="K87" i="27"/>
  <c r="L87" i="27"/>
  <c r="L89" i="27" s="1"/>
  <c r="M87" i="27"/>
  <c r="M89" i="27" s="1"/>
  <c r="N87" i="27"/>
  <c r="O87" i="27"/>
  <c r="P87" i="27"/>
  <c r="Q87" i="27"/>
  <c r="R87" i="27"/>
  <c r="S87" i="27"/>
  <c r="T87" i="27"/>
  <c r="T89" i="27" s="1"/>
  <c r="U87" i="27"/>
  <c r="V87" i="27"/>
  <c r="W87" i="27"/>
  <c r="X87" i="27"/>
  <c r="Y87" i="27"/>
  <c r="Z87" i="27"/>
  <c r="AA87" i="27"/>
  <c r="AB87" i="27"/>
  <c r="AC87" i="27"/>
  <c r="AC89" i="27" s="1"/>
  <c r="AD87" i="27"/>
  <c r="AE87" i="27"/>
  <c r="G88" i="27"/>
  <c r="H88" i="27"/>
  <c r="I88" i="27"/>
  <c r="J88" i="27"/>
  <c r="K88" i="27"/>
  <c r="K89" i="27" s="1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E89" i="27" s="1"/>
  <c r="N89" i="27"/>
  <c r="U89" i="27"/>
  <c r="V89" i="27"/>
  <c r="AB89" i="27"/>
  <c r="AD89" i="27"/>
  <c r="A4" i="39"/>
  <c r="A5" i="39"/>
  <c r="A4" i="13"/>
  <c r="A5" i="13"/>
  <c r="F11" i="13"/>
  <c r="H11" i="13"/>
  <c r="I11" i="13"/>
  <c r="L11" i="13"/>
  <c r="F12" i="13"/>
  <c r="G12" i="13"/>
  <c r="H12" i="13"/>
  <c r="L12" i="13" s="1"/>
  <c r="D12" i="37" s="1"/>
  <c r="I12" i="13"/>
  <c r="M12" i="13"/>
  <c r="E12" i="37" s="1"/>
  <c r="F13" i="13"/>
  <c r="G13" i="13"/>
  <c r="H13" i="13"/>
  <c r="I13" i="13"/>
  <c r="H14" i="13"/>
  <c r="I14" i="13"/>
  <c r="L14" i="13"/>
  <c r="D14" i="37" s="1"/>
  <c r="F15" i="13"/>
  <c r="H15" i="13"/>
  <c r="I15" i="13"/>
  <c r="M15" i="13" s="1"/>
  <c r="L15" i="13"/>
  <c r="D15" i="37" s="1"/>
  <c r="J16" i="13"/>
  <c r="K16" i="13"/>
  <c r="H18" i="13"/>
  <c r="I18" i="13"/>
  <c r="F19" i="13"/>
  <c r="H19" i="13"/>
  <c r="I19" i="13"/>
  <c r="L19" i="13"/>
  <c r="F20" i="13"/>
  <c r="G20" i="13"/>
  <c r="H20" i="13"/>
  <c r="L20" i="13" s="1"/>
  <c r="I20" i="13"/>
  <c r="M20" i="13"/>
  <c r="E20" i="37" s="1"/>
  <c r="F21" i="13"/>
  <c r="G21" i="13"/>
  <c r="H21" i="13"/>
  <c r="I21" i="13"/>
  <c r="H22" i="13"/>
  <c r="I22" i="13"/>
  <c r="L22" i="13"/>
  <c r="D22" i="37" s="1"/>
  <c r="F23" i="13"/>
  <c r="H23" i="13"/>
  <c r="I23" i="13"/>
  <c r="M23" i="13" s="1"/>
  <c r="L23" i="13"/>
  <c r="D23" i="37" s="1"/>
  <c r="J24" i="13"/>
  <c r="K24" i="13"/>
  <c r="F27" i="13"/>
  <c r="G27" i="13"/>
  <c r="H27" i="13"/>
  <c r="L27" i="13" s="1"/>
  <c r="I27" i="13"/>
  <c r="M27" i="13"/>
  <c r="F28" i="13"/>
  <c r="H28" i="13"/>
  <c r="I28" i="13"/>
  <c r="H29" i="13"/>
  <c r="I29" i="13"/>
  <c r="J29" i="13"/>
  <c r="K29" i="13"/>
  <c r="H32" i="13"/>
  <c r="L32" i="13" s="1"/>
  <c r="I32" i="13"/>
  <c r="F33" i="13"/>
  <c r="H33" i="13"/>
  <c r="I33" i="13"/>
  <c r="L33" i="13"/>
  <c r="D33" i="37" s="1"/>
  <c r="F34" i="13"/>
  <c r="G34" i="13"/>
  <c r="H34" i="13"/>
  <c r="L34" i="13" s="1"/>
  <c r="D34" i="37" s="1"/>
  <c r="I34" i="13"/>
  <c r="M34" i="13"/>
  <c r="E34" i="37" s="1"/>
  <c r="F35" i="13"/>
  <c r="H35" i="13"/>
  <c r="I35" i="13"/>
  <c r="H36" i="13"/>
  <c r="I36" i="13"/>
  <c r="J36" i="13"/>
  <c r="K36" i="13"/>
  <c r="L37" i="13"/>
  <c r="M37" i="13"/>
  <c r="H38" i="13"/>
  <c r="I38" i="13"/>
  <c r="F39" i="13"/>
  <c r="G39" i="13"/>
  <c r="H39" i="13"/>
  <c r="L39" i="13" s="1"/>
  <c r="D39" i="37" s="1"/>
  <c r="I39" i="13"/>
  <c r="M39" i="13"/>
  <c r="F40" i="13"/>
  <c r="H40" i="13"/>
  <c r="I40" i="13"/>
  <c r="G41" i="13"/>
  <c r="H41" i="13"/>
  <c r="I41" i="13"/>
  <c r="J42" i="13"/>
  <c r="K42" i="13"/>
  <c r="K43" i="13" s="1"/>
  <c r="J43" i="13"/>
  <c r="F45" i="13"/>
  <c r="H45" i="13"/>
  <c r="I45" i="13"/>
  <c r="L45" i="13"/>
  <c r="D45" i="37" s="1"/>
  <c r="F47" i="13"/>
  <c r="G47" i="13"/>
  <c r="H47" i="13"/>
  <c r="L47" i="13" s="1"/>
  <c r="I47" i="13"/>
  <c r="M47" i="13"/>
  <c r="E47" i="37" s="1"/>
  <c r="F49" i="13"/>
  <c r="G49" i="13"/>
  <c r="H49" i="13"/>
  <c r="I49" i="13"/>
  <c r="G51" i="13"/>
  <c r="H51" i="13"/>
  <c r="F51" i="13" s="1"/>
  <c r="I51" i="13"/>
  <c r="I51" i="15" s="1"/>
  <c r="L51" i="13"/>
  <c r="D51" i="37" s="1"/>
  <c r="M51" i="13"/>
  <c r="F54" i="13"/>
  <c r="H54" i="13"/>
  <c r="I54" i="13"/>
  <c r="M54" i="13" s="1"/>
  <c r="L54" i="13"/>
  <c r="F55" i="13"/>
  <c r="F56" i="13" s="1"/>
  <c r="G55" i="13"/>
  <c r="H55" i="13"/>
  <c r="L55" i="13" s="1"/>
  <c r="I55" i="13"/>
  <c r="M55" i="13"/>
  <c r="H56" i="13"/>
  <c r="I56" i="13"/>
  <c r="J56" i="13"/>
  <c r="K56" i="13"/>
  <c r="G59" i="13"/>
  <c r="H59" i="13"/>
  <c r="I59" i="13"/>
  <c r="G60" i="13"/>
  <c r="H60" i="13"/>
  <c r="I60" i="13"/>
  <c r="J61" i="13"/>
  <c r="K61" i="13"/>
  <c r="F64" i="13"/>
  <c r="H64" i="13"/>
  <c r="H64" i="15" s="1"/>
  <c r="I64" i="13"/>
  <c r="I66" i="13" s="1"/>
  <c r="L64" i="13"/>
  <c r="M64" i="13"/>
  <c r="E64" i="37" s="1"/>
  <c r="F65" i="13"/>
  <c r="G65" i="13"/>
  <c r="H65" i="13"/>
  <c r="L65" i="13" s="1"/>
  <c r="D65" i="37" s="1"/>
  <c r="I65" i="13"/>
  <c r="M65" i="13"/>
  <c r="F66" i="13"/>
  <c r="H66" i="13"/>
  <c r="J66" i="13"/>
  <c r="K66" i="13"/>
  <c r="M66" i="13"/>
  <c r="L69" i="13"/>
  <c r="M69" i="13"/>
  <c r="F70" i="13"/>
  <c r="G70" i="13"/>
  <c r="H70" i="13"/>
  <c r="L70" i="13" s="1"/>
  <c r="I70" i="13"/>
  <c r="M70" i="13"/>
  <c r="F71" i="13"/>
  <c r="G71" i="13"/>
  <c r="H71" i="13"/>
  <c r="L71" i="13" s="1"/>
  <c r="I71" i="13"/>
  <c r="G72" i="13"/>
  <c r="I72" i="13"/>
  <c r="J72" i="13"/>
  <c r="K72" i="13"/>
  <c r="G73" i="13"/>
  <c r="H73" i="13"/>
  <c r="F73" i="13" s="1"/>
  <c r="I73" i="13"/>
  <c r="M73" i="13" s="1"/>
  <c r="E73" i="37" s="1"/>
  <c r="L73" i="13"/>
  <c r="D73" i="37" s="1"/>
  <c r="F74" i="13"/>
  <c r="H74" i="13"/>
  <c r="I74" i="13"/>
  <c r="L74" i="13"/>
  <c r="D74" i="37" s="1"/>
  <c r="F75" i="13"/>
  <c r="G75" i="13"/>
  <c r="H75" i="13"/>
  <c r="H75" i="15" s="1"/>
  <c r="F75" i="15" s="1"/>
  <c r="I75" i="13"/>
  <c r="M75" i="13"/>
  <c r="E75" i="37" s="1"/>
  <c r="F76" i="13"/>
  <c r="G76" i="13"/>
  <c r="H76" i="13"/>
  <c r="L76" i="13" s="1"/>
  <c r="D76" i="37" s="1"/>
  <c r="I76" i="13"/>
  <c r="H77" i="13"/>
  <c r="I77" i="13"/>
  <c r="L77" i="13"/>
  <c r="D77" i="37" s="1"/>
  <c r="F78" i="13"/>
  <c r="H78" i="13"/>
  <c r="I78" i="13"/>
  <c r="M78" i="13" s="1"/>
  <c r="E78" i="37" s="1"/>
  <c r="L78" i="13"/>
  <c r="F79" i="13"/>
  <c r="G79" i="13"/>
  <c r="H79" i="13"/>
  <c r="L79" i="13" s="1"/>
  <c r="I79" i="13"/>
  <c r="M79" i="13"/>
  <c r="F80" i="13"/>
  <c r="H80" i="13"/>
  <c r="I80" i="13"/>
  <c r="G81" i="13"/>
  <c r="H81" i="13"/>
  <c r="I81" i="13"/>
  <c r="D82" i="13"/>
  <c r="E82" i="13"/>
  <c r="J82" i="13"/>
  <c r="J91" i="13" s="1"/>
  <c r="F86" i="13"/>
  <c r="F86" i="15" s="1"/>
  <c r="H86" i="13"/>
  <c r="I86" i="13"/>
  <c r="L86" i="13"/>
  <c r="H87" i="13"/>
  <c r="I87" i="13"/>
  <c r="F88" i="13"/>
  <c r="F88" i="15" s="1"/>
  <c r="G88" i="13"/>
  <c r="H88" i="13"/>
  <c r="H88" i="15" s="1"/>
  <c r="I88" i="13"/>
  <c r="L88" i="13"/>
  <c r="M88" i="13"/>
  <c r="D89" i="13"/>
  <c r="E89" i="13"/>
  <c r="E91" i="13" s="1"/>
  <c r="J89" i="13"/>
  <c r="K89" i="13"/>
  <c r="D91" i="13"/>
  <c r="A5" i="25"/>
  <c r="H8" i="25"/>
  <c r="J8" i="25"/>
  <c r="L8" i="25"/>
  <c r="N8" i="25"/>
  <c r="D11" i="25"/>
  <c r="F11" i="37" s="1"/>
  <c r="F11" i="25"/>
  <c r="G11" i="25"/>
  <c r="H11" i="25"/>
  <c r="I11" i="25"/>
  <c r="J11" i="25"/>
  <c r="K11" i="25"/>
  <c r="L11" i="25"/>
  <c r="M11" i="25"/>
  <c r="M11" i="27" s="1"/>
  <c r="N11" i="25"/>
  <c r="O11" i="25"/>
  <c r="P11" i="25"/>
  <c r="Q11" i="25"/>
  <c r="Q11" i="27" s="1"/>
  <c r="R11" i="25"/>
  <c r="S11" i="25"/>
  <c r="T11" i="25"/>
  <c r="T16" i="25" s="1"/>
  <c r="U11" i="25"/>
  <c r="U11" i="27" s="1"/>
  <c r="V11" i="25"/>
  <c r="W11" i="25"/>
  <c r="X11" i="25"/>
  <c r="X11" i="27" s="1"/>
  <c r="X16" i="27" s="1"/>
  <c r="Y11" i="25"/>
  <c r="Z11" i="25"/>
  <c r="AA11" i="25"/>
  <c r="AB11" i="25"/>
  <c r="AC11" i="25"/>
  <c r="AC11" i="27" s="1"/>
  <c r="AD11" i="25"/>
  <c r="AE11" i="25"/>
  <c r="F12" i="25"/>
  <c r="G12" i="25"/>
  <c r="H12" i="25"/>
  <c r="H12" i="27" s="1"/>
  <c r="I12" i="25"/>
  <c r="I12" i="27" s="1"/>
  <c r="J12" i="25"/>
  <c r="K12" i="25"/>
  <c r="L12" i="25"/>
  <c r="M12" i="25"/>
  <c r="N12" i="25"/>
  <c r="O12" i="25"/>
  <c r="O12" i="27" s="1"/>
  <c r="P12" i="25"/>
  <c r="P12" i="27" s="1"/>
  <c r="Q12" i="25"/>
  <c r="Q12" i="27" s="1"/>
  <c r="R12" i="25"/>
  <c r="S12" i="25"/>
  <c r="T12" i="25"/>
  <c r="U12" i="25"/>
  <c r="V12" i="25"/>
  <c r="W12" i="25"/>
  <c r="W12" i="27" s="1"/>
  <c r="X12" i="25"/>
  <c r="X12" i="27" s="1"/>
  <c r="Y12" i="25"/>
  <c r="Y12" i="27" s="1"/>
  <c r="Z12" i="25"/>
  <c r="AA12" i="25"/>
  <c r="AB12" i="25"/>
  <c r="AC12" i="25"/>
  <c r="AD12" i="25"/>
  <c r="AE12" i="25"/>
  <c r="AE12" i="27" s="1"/>
  <c r="F13" i="25"/>
  <c r="G13" i="25"/>
  <c r="H13" i="25"/>
  <c r="H13" i="27" s="1"/>
  <c r="I13" i="25"/>
  <c r="J13" i="25"/>
  <c r="K13" i="25"/>
  <c r="K13" i="27" s="1"/>
  <c r="L13" i="25"/>
  <c r="L13" i="27" s="1"/>
  <c r="M13" i="25"/>
  <c r="M13" i="27" s="1"/>
  <c r="N13" i="25"/>
  <c r="O13" i="25"/>
  <c r="P13" i="25"/>
  <c r="Q13" i="25"/>
  <c r="R13" i="25"/>
  <c r="S13" i="25"/>
  <c r="S13" i="27" s="1"/>
  <c r="T13" i="25"/>
  <c r="T13" i="27" s="1"/>
  <c r="U13" i="25"/>
  <c r="U13" i="27" s="1"/>
  <c r="V13" i="25"/>
  <c r="W13" i="25"/>
  <c r="X13" i="25"/>
  <c r="Y13" i="25"/>
  <c r="Z13" i="25"/>
  <c r="AA13" i="25"/>
  <c r="AA13" i="27" s="1"/>
  <c r="AB13" i="25"/>
  <c r="AC13" i="25"/>
  <c r="AC13" i="27" s="1"/>
  <c r="AD13" i="25"/>
  <c r="AE13" i="25"/>
  <c r="AE13" i="27" s="1"/>
  <c r="F14" i="25"/>
  <c r="G14" i="25"/>
  <c r="H14" i="25"/>
  <c r="I14" i="25"/>
  <c r="I14" i="27" s="1"/>
  <c r="J14" i="25"/>
  <c r="K14" i="25"/>
  <c r="L14" i="25"/>
  <c r="L14" i="27" s="1"/>
  <c r="M14" i="25"/>
  <c r="N14" i="25"/>
  <c r="N14" i="27" s="1"/>
  <c r="O14" i="25"/>
  <c r="O14" i="27" s="1"/>
  <c r="P14" i="25"/>
  <c r="P14" i="27" s="1"/>
  <c r="Q14" i="25"/>
  <c r="Q14" i="27" s="1"/>
  <c r="R14" i="25"/>
  <c r="S14" i="25"/>
  <c r="T14" i="25"/>
  <c r="U14" i="25"/>
  <c r="V14" i="25"/>
  <c r="V14" i="27" s="1"/>
  <c r="W14" i="25"/>
  <c r="X14" i="25"/>
  <c r="Y14" i="25"/>
  <c r="Y14" i="27" s="1"/>
  <c r="Z14" i="25"/>
  <c r="Z14" i="27" s="1"/>
  <c r="AA14" i="25"/>
  <c r="AB14" i="25"/>
  <c r="AB14" i="27" s="1"/>
  <c r="AC14" i="25"/>
  <c r="AC14" i="27" s="1"/>
  <c r="AD14" i="25"/>
  <c r="AD14" i="27" s="1"/>
  <c r="AE14" i="25"/>
  <c r="AE14" i="27" s="1"/>
  <c r="F15" i="25"/>
  <c r="G15" i="25"/>
  <c r="H15" i="25"/>
  <c r="I15" i="25"/>
  <c r="J15" i="25"/>
  <c r="K15" i="25"/>
  <c r="K15" i="27" s="1"/>
  <c r="L15" i="25"/>
  <c r="L15" i="27" s="1"/>
  <c r="M15" i="25"/>
  <c r="M15" i="27" s="1"/>
  <c r="N15" i="25"/>
  <c r="O15" i="25"/>
  <c r="P15" i="25"/>
  <c r="Q15" i="25"/>
  <c r="R15" i="25"/>
  <c r="R15" i="27" s="1"/>
  <c r="S15" i="25"/>
  <c r="S15" i="27" s="1"/>
  <c r="T15" i="25"/>
  <c r="U15" i="25"/>
  <c r="U15" i="27" s="1"/>
  <c r="V15" i="25"/>
  <c r="W15" i="25"/>
  <c r="X15" i="25"/>
  <c r="X15" i="27" s="1"/>
  <c r="Y15" i="25"/>
  <c r="Z15" i="25"/>
  <c r="Z15" i="27" s="1"/>
  <c r="AA15" i="25"/>
  <c r="AA15" i="27" s="1"/>
  <c r="AB15" i="25"/>
  <c r="AB15" i="27" s="1"/>
  <c r="AC15" i="25"/>
  <c r="AC15" i="27" s="1"/>
  <c r="AD15" i="25"/>
  <c r="AE15" i="25"/>
  <c r="H16" i="25"/>
  <c r="P16" i="25"/>
  <c r="Q16" i="25"/>
  <c r="X16" i="25"/>
  <c r="AE16" i="25"/>
  <c r="D19" i="25"/>
  <c r="F19" i="25"/>
  <c r="G19" i="25"/>
  <c r="H19" i="25"/>
  <c r="I19" i="25"/>
  <c r="I19" i="27" s="1"/>
  <c r="J19" i="25"/>
  <c r="K19" i="25"/>
  <c r="L19" i="25"/>
  <c r="M19" i="25"/>
  <c r="N19" i="25"/>
  <c r="O19" i="25"/>
  <c r="P19" i="25"/>
  <c r="Q19" i="25"/>
  <c r="R19" i="25"/>
  <c r="S19" i="25"/>
  <c r="S19" i="27" s="1"/>
  <c r="T19" i="25"/>
  <c r="T19" i="27" s="1"/>
  <c r="U19" i="25"/>
  <c r="V19" i="25"/>
  <c r="W19" i="25"/>
  <c r="X19" i="25"/>
  <c r="Y19" i="25"/>
  <c r="Y19" i="27" s="1"/>
  <c r="Z19" i="25"/>
  <c r="AA19" i="25"/>
  <c r="AB19" i="25"/>
  <c r="AC19" i="25"/>
  <c r="AD19" i="25"/>
  <c r="AE19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Z20" i="25"/>
  <c r="Z20" i="27" s="1"/>
  <c r="AB20" i="25"/>
  <c r="AD20" i="25"/>
  <c r="F21" i="25"/>
  <c r="G21" i="25"/>
  <c r="H21" i="25"/>
  <c r="H21" i="27" s="1"/>
  <c r="I21" i="25"/>
  <c r="J21" i="25"/>
  <c r="K21" i="25"/>
  <c r="L21" i="25"/>
  <c r="L21" i="27" s="1"/>
  <c r="M21" i="25"/>
  <c r="M21" i="27" s="1"/>
  <c r="N21" i="25"/>
  <c r="N21" i="27" s="1"/>
  <c r="O21" i="25"/>
  <c r="P21" i="25"/>
  <c r="P21" i="27" s="1"/>
  <c r="Q21" i="25"/>
  <c r="R21" i="25"/>
  <c r="S21" i="25"/>
  <c r="T21" i="25"/>
  <c r="U21" i="25"/>
  <c r="U21" i="27" s="1"/>
  <c r="V21" i="25"/>
  <c r="W21" i="25"/>
  <c r="X21" i="25"/>
  <c r="X21" i="27" s="1"/>
  <c r="Y21" i="25"/>
  <c r="Z21" i="25"/>
  <c r="AA21" i="25"/>
  <c r="AB21" i="25"/>
  <c r="AC21" i="25"/>
  <c r="AC21" i="27" s="1"/>
  <c r="AD21" i="25"/>
  <c r="AE21" i="25"/>
  <c r="D22" i="25"/>
  <c r="F22" i="37" s="1"/>
  <c r="H22" i="37" s="1"/>
  <c r="F22" i="25"/>
  <c r="G22" i="25"/>
  <c r="H22" i="25"/>
  <c r="H22" i="27" s="1"/>
  <c r="I22" i="25"/>
  <c r="I22" i="27" s="1"/>
  <c r="J22" i="25"/>
  <c r="J22" i="27" s="1"/>
  <c r="K22" i="25"/>
  <c r="L22" i="25"/>
  <c r="L22" i="27" s="1"/>
  <c r="M22" i="25"/>
  <c r="N22" i="25"/>
  <c r="O22" i="25"/>
  <c r="P22" i="25"/>
  <c r="Q22" i="25"/>
  <c r="Q22" i="27" s="1"/>
  <c r="R22" i="25"/>
  <c r="R22" i="27" s="1"/>
  <c r="S22" i="25"/>
  <c r="T22" i="25"/>
  <c r="T22" i="27" s="1"/>
  <c r="U22" i="25"/>
  <c r="V22" i="25"/>
  <c r="W22" i="25"/>
  <c r="X22" i="25"/>
  <c r="Y22" i="25"/>
  <c r="Y22" i="27" s="1"/>
  <c r="Z22" i="25"/>
  <c r="AA22" i="25"/>
  <c r="AB22" i="25"/>
  <c r="AB22" i="27" s="1"/>
  <c r="AC22" i="25"/>
  <c r="AD22" i="25"/>
  <c r="AE22" i="25"/>
  <c r="F23" i="25"/>
  <c r="G23" i="25"/>
  <c r="H23" i="25"/>
  <c r="I23" i="25"/>
  <c r="J23" i="25"/>
  <c r="K23" i="25"/>
  <c r="L23" i="25"/>
  <c r="M23" i="25"/>
  <c r="M23" i="27" s="1"/>
  <c r="N23" i="25"/>
  <c r="O23" i="25"/>
  <c r="O23" i="27" s="1"/>
  <c r="P23" i="25"/>
  <c r="Q23" i="25"/>
  <c r="R23" i="25"/>
  <c r="S23" i="25"/>
  <c r="T23" i="25"/>
  <c r="U23" i="25"/>
  <c r="U23" i="27" s="1"/>
  <c r="V23" i="25"/>
  <c r="W23" i="25"/>
  <c r="W23" i="27" s="1"/>
  <c r="X23" i="25"/>
  <c r="X23" i="27" s="1"/>
  <c r="Y23" i="25"/>
  <c r="Z23" i="25"/>
  <c r="AA23" i="25"/>
  <c r="AB23" i="25"/>
  <c r="AB23" i="27" s="1"/>
  <c r="AC23" i="25"/>
  <c r="AC23" i="27" s="1"/>
  <c r="AD23" i="25"/>
  <c r="AE23" i="25"/>
  <c r="AE23" i="27" s="1"/>
  <c r="J24" i="25"/>
  <c r="Y24" i="25"/>
  <c r="F27" i="25"/>
  <c r="G27" i="25"/>
  <c r="H27" i="25"/>
  <c r="I27" i="25"/>
  <c r="J27" i="25"/>
  <c r="K27" i="25"/>
  <c r="L27" i="25"/>
  <c r="L27" i="27" s="1"/>
  <c r="M27" i="25"/>
  <c r="N27" i="25"/>
  <c r="O27" i="25"/>
  <c r="P27" i="25"/>
  <c r="Q27" i="25"/>
  <c r="R27" i="25"/>
  <c r="S27" i="25"/>
  <c r="T27" i="25"/>
  <c r="U27" i="25"/>
  <c r="U27" i="27" s="1"/>
  <c r="V27" i="25"/>
  <c r="W27" i="25"/>
  <c r="X27" i="25"/>
  <c r="Y27" i="25"/>
  <c r="Z27" i="25"/>
  <c r="AA27" i="25"/>
  <c r="AB27" i="25"/>
  <c r="AC27" i="25"/>
  <c r="AD27" i="25"/>
  <c r="AE27" i="25"/>
  <c r="F28" i="25"/>
  <c r="G28" i="25"/>
  <c r="H28" i="25"/>
  <c r="H28" i="27" s="1"/>
  <c r="I28" i="25"/>
  <c r="I29" i="25" s="1"/>
  <c r="J28" i="25"/>
  <c r="K28" i="25"/>
  <c r="K29" i="25" s="1"/>
  <c r="L28" i="25"/>
  <c r="M28" i="25"/>
  <c r="N28" i="25"/>
  <c r="O28" i="25"/>
  <c r="P28" i="25"/>
  <c r="Q28" i="25"/>
  <c r="Q28" i="27" s="1"/>
  <c r="R28" i="25"/>
  <c r="S28" i="25"/>
  <c r="T28" i="25"/>
  <c r="U28" i="25"/>
  <c r="V28" i="25"/>
  <c r="W28" i="25"/>
  <c r="X28" i="25"/>
  <c r="Y28" i="25"/>
  <c r="Z28" i="25"/>
  <c r="AA28" i="25"/>
  <c r="AA29" i="25" s="1"/>
  <c r="AB28" i="25"/>
  <c r="AB29" i="25" s="1"/>
  <c r="AC28" i="25"/>
  <c r="AD28" i="25"/>
  <c r="AE28" i="25"/>
  <c r="F29" i="25"/>
  <c r="H29" i="25"/>
  <c r="Q29" i="25"/>
  <c r="U29" i="25"/>
  <c r="V29" i="25"/>
  <c r="F32" i="25"/>
  <c r="G32" i="25"/>
  <c r="H32" i="25"/>
  <c r="I32" i="25"/>
  <c r="I32" i="27" s="1"/>
  <c r="J32" i="25"/>
  <c r="K32" i="25"/>
  <c r="K32" i="27" s="1"/>
  <c r="L32" i="25"/>
  <c r="M32" i="25"/>
  <c r="N32" i="25"/>
  <c r="O32" i="25"/>
  <c r="P32" i="25"/>
  <c r="Q32" i="25"/>
  <c r="Q32" i="27" s="1"/>
  <c r="R32" i="25"/>
  <c r="R32" i="27" s="1"/>
  <c r="S32" i="25"/>
  <c r="S32" i="27" s="1"/>
  <c r="T32" i="25"/>
  <c r="U32" i="25"/>
  <c r="V32" i="25"/>
  <c r="W32" i="25"/>
  <c r="X32" i="25"/>
  <c r="X32" i="27" s="1"/>
  <c r="Y32" i="25"/>
  <c r="Y32" i="27" s="1"/>
  <c r="Z32" i="25"/>
  <c r="AA32" i="25"/>
  <c r="AB32" i="25"/>
  <c r="AC32" i="25"/>
  <c r="E32" i="25" s="1"/>
  <c r="AD32" i="25"/>
  <c r="AE32" i="25"/>
  <c r="F33" i="25"/>
  <c r="G33" i="25"/>
  <c r="H33" i="25"/>
  <c r="I33" i="25"/>
  <c r="J33" i="25"/>
  <c r="K33" i="25"/>
  <c r="L33" i="25"/>
  <c r="M33" i="25"/>
  <c r="M33" i="27" s="1"/>
  <c r="N33" i="25"/>
  <c r="O33" i="25"/>
  <c r="P33" i="25"/>
  <c r="P36" i="25" s="1"/>
  <c r="Q33" i="25"/>
  <c r="Q33" i="27" s="1"/>
  <c r="R33" i="25"/>
  <c r="S33" i="25"/>
  <c r="T33" i="25"/>
  <c r="T33" i="27" s="1"/>
  <c r="U33" i="25"/>
  <c r="U33" i="27" s="1"/>
  <c r="V33" i="25"/>
  <c r="W33" i="25"/>
  <c r="X33" i="25"/>
  <c r="X36" i="25" s="1"/>
  <c r="Y33" i="25"/>
  <c r="Y33" i="27" s="1"/>
  <c r="Z33" i="25"/>
  <c r="AA33" i="25"/>
  <c r="AB33" i="25"/>
  <c r="AC33" i="25"/>
  <c r="AC33" i="27" s="1"/>
  <c r="AD33" i="25"/>
  <c r="AD36" i="25" s="1"/>
  <c r="AE33" i="25"/>
  <c r="F34" i="25"/>
  <c r="G34" i="25"/>
  <c r="H34" i="25"/>
  <c r="I34" i="25"/>
  <c r="I34" i="27" s="1"/>
  <c r="J34" i="25"/>
  <c r="J34" i="27" s="1"/>
  <c r="K34" i="25"/>
  <c r="L34" i="25"/>
  <c r="L34" i="27" s="1"/>
  <c r="M34" i="25"/>
  <c r="M34" i="27" s="1"/>
  <c r="N34" i="25"/>
  <c r="O34" i="25"/>
  <c r="P34" i="25"/>
  <c r="P34" i="27" s="1"/>
  <c r="Q34" i="25"/>
  <c r="Q34" i="27" s="1"/>
  <c r="R34" i="25"/>
  <c r="S34" i="25"/>
  <c r="T34" i="25"/>
  <c r="T34" i="27" s="1"/>
  <c r="U34" i="25"/>
  <c r="U34" i="27" s="1"/>
  <c r="V34" i="25"/>
  <c r="W34" i="25"/>
  <c r="X34" i="25"/>
  <c r="Y34" i="25"/>
  <c r="Y34" i="27" s="1"/>
  <c r="Z34" i="25"/>
  <c r="Z36" i="25" s="1"/>
  <c r="AA34" i="25"/>
  <c r="AB34" i="25"/>
  <c r="AB34" i="27" s="1"/>
  <c r="AC34" i="25"/>
  <c r="AC34" i="27" s="1"/>
  <c r="AD34" i="25"/>
  <c r="AE34" i="25"/>
  <c r="F35" i="25"/>
  <c r="G35" i="25"/>
  <c r="H35" i="25"/>
  <c r="I35" i="25"/>
  <c r="J35" i="25"/>
  <c r="K35" i="25"/>
  <c r="L35" i="25"/>
  <c r="L35" i="27" s="1"/>
  <c r="M35" i="25"/>
  <c r="M35" i="27" s="1"/>
  <c r="N35" i="25"/>
  <c r="O35" i="25"/>
  <c r="O35" i="27" s="1"/>
  <c r="P35" i="25"/>
  <c r="Q35" i="25"/>
  <c r="R35" i="25"/>
  <c r="S35" i="25"/>
  <c r="T35" i="25"/>
  <c r="U35" i="25"/>
  <c r="U35" i="27" s="1"/>
  <c r="V35" i="25"/>
  <c r="V35" i="27" s="1"/>
  <c r="W35" i="25"/>
  <c r="W35" i="27" s="1"/>
  <c r="X35" i="25"/>
  <c r="Y35" i="25"/>
  <c r="Z35" i="25"/>
  <c r="AA35" i="25"/>
  <c r="AB35" i="25"/>
  <c r="AC35" i="25"/>
  <c r="AC35" i="27" s="1"/>
  <c r="AD35" i="25"/>
  <c r="AE35" i="25"/>
  <c r="AE35" i="27" s="1"/>
  <c r="J36" i="25"/>
  <c r="S36" i="25"/>
  <c r="T36" i="25"/>
  <c r="AB36" i="25"/>
  <c r="F39" i="25"/>
  <c r="G39" i="25"/>
  <c r="H39" i="25"/>
  <c r="I39" i="25"/>
  <c r="I39" i="27" s="1"/>
  <c r="J39" i="25"/>
  <c r="K39" i="25"/>
  <c r="L39" i="25"/>
  <c r="L39" i="27" s="1"/>
  <c r="M39" i="25"/>
  <c r="M39" i="27" s="1"/>
  <c r="N39" i="25"/>
  <c r="N39" i="27" s="1"/>
  <c r="O39" i="25"/>
  <c r="O39" i="27" s="1"/>
  <c r="P39" i="25"/>
  <c r="Q39" i="25"/>
  <c r="R39" i="25"/>
  <c r="S39" i="25"/>
  <c r="T39" i="25"/>
  <c r="U39" i="25"/>
  <c r="V39" i="25"/>
  <c r="V39" i="27" s="1"/>
  <c r="W39" i="25"/>
  <c r="W39" i="27" s="1"/>
  <c r="X39" i="25"/>
  <c r="X43" i="25" s="1"/>
  <c r="Y39" i="25"/>
  <c r="Y39" i="27" s="1"/>
  <c r="Z39" i="25"/>
  <c r="AA39" i="25"/>
  <c r="AB39" i="25"/>
  <c r="AC39" i="25"/>
  <c r="AC39" i="27" s="1"/>
  <c r="AD39" i="25"/>
  <c r="AD39" i="27" s="1"/>
  <c r="AE39" i="25"/>
  <c r="AE39" i="27" s="1"/>
  <c r="D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Q40" i="27" s="1"/>
  <c r="R40" i="25"/>
  <c r="R40" i="27" s="1"/>
  <c r="S40" i="25"/>
  <c r="S42" i="25" s="1"/>
  <c r="S43" i="25" s="1"/>
  <c r="T40" i="25"/>
  <c r="T42" i="25" s="1"/>
  <c r="T43" i="25" s="1"/>
  <c r="U40" i="25"/>
  <c r="V40" i="25"/>
  <c r="W40" i="25"/>
  <c r="W40" i="27" s="1"/>
  <c r="X40" i="25"/>
  <c r="Y40" i="25"/>
  <c r="Y40" i="27" s="1"/>
  <c r="Z40" i="25"/>
  <c r="AA40" i="25"/>
  <c r="AA40" i="27" s="1"/>
  <c r="AA42" i="27" s="1"/>
  <c r="AA43" i="27" s="1"/>
  <c r="AB40" i="25"/>
  <c r="AC40" i="25"/>
  <c r="AC40" i="27" s="1"/>
  <c r="AC42" i="27" s="1"/>
  <c r="AC43" i="27" s="1"/>
  <c r="AD40" i="25"/>
  <c r="AE40" i="25"/>
  <c r="AE40" i="27" s="1"/>
  <c r="F41" i="25"/>
  <c r="G41" i="25"/>
  <c r="H41" i="25"/>
  <c r="H42" i="25" s="1"/>
  <c r="I41" i="25"/>
  <c r="I41" i="27" s="1"/>
  <c r="J41" i="25"/>
  <c r="K41" i="25"/>
  <c r="K41" i="27" s="1"/>
  <c r="L41" i="25"/>
  <c r="L41" i="27" s="1"/>
  <c r="M41" i="25"/>
  <c r="M41" i="27" s="1"/>
  <c r="N41" i="25"/>
  <c r="O41" i="25"/>
  <c r="P41" i="25"/>
  <c r="P42" i="25" s="1"/>
  <c r="Q41" i="25"/>
  <c r="Q41" i="27" s="1"/>
  <c r="R41" i="25"/>
  <c r="S41" i="25"/>
  <c r="T41" i="25"/>
  <c r="T41" i="27" s="1"/>
  <c r="U41" i="25"/>
  <c r="U41" i="27" s="1"/>
  <c r="V41" i="25"/>
  <c r="W41" i="25"/>
  <c r="X41" i="25"/>
  <c r="X42" i="25" s="1"/>
  <c r="Y41" i="25"/>
  <c r="Z41" i="25"/>
  <c r="AA41" i="25"/>
  <c r="AB41" i="25"/>
  <c r="AC41" i="25"/>
  <c r="AC41" i="27" s="1"/>
  <c r="AD41" i="25"/>
  <c r="AE41" i="25"/>
  <c r="M42" i="25"/>
  <c r="M43" i="25" s="1"/>
  <c r="Q42" i="25"/>
  <c r="Q43" i="25" s="1"/>
  <c r="R42" i="25"/>
  <c r="R43" i="25" s="1"/>
  <c r="U42" i="25"/>
  <c r="AA42" i="25"/>
  <c r="AA43" i="25" s="1"/>
  <c r="AB42" i="25"/>
  <c r="AB43" i="25" s="1"/>
  <c r="AC42" i="25"/>
  <c r="H43" i="25"/>
  <c r="AC43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Q45" i="27" s="1"/>
  <c r="R45" i="25"/>
  <c r="R45" i="27" s="1"/>
  <c r="S45" i="25"/>
  <c r="T45" i="25"/>
  <c r="U45" i="25"/>
  <c r="V45" i="25"/>
  <c r="W45" i="25"/>
  <c r="X45" i="25"/>
  <c r="Y45" i="25"/>
  <c r="Y45" i="27" s="1"/>
  <c r="Z45" i="25"/>
  <c r="Z45" i="27" s="1"/>
  <c r="AA45" i="25"/>
  <c r="AB45" i="25"/>
  <c r="AC45" i="25"/>
  <c r="AD45" i="25"/>
  <c r="AE45" i="25"/>
  <c r="F47" i="25"/>
  <c r="G47" i="25"/>
  <c r="H47" i="25"/>
  <c r="I47" i="25"/>
  <c r="J47" i="25"/>
  <c r="J47" i="27" s="1"/>
  <c r="K47" i="25"/>
  <c r="K47" i="27" s="1"/>
  <c r="L47" i="25"/>
  <c r="M47" i="25"/>
  <c r="M47" i="27" s="1"/>
  <c r="N47" i="25"/>
  <c r="O47" i="25"/>
  <c r="O47" i="27" s="1"/>
  <c r="P47" i="25"/>
  <c r="P47" i="27" s="1"/>
  <c r="Q47" i="25"/>
  <c r="R47" i="25"/>
  <c r="R47" i="27" s="1"/>
  <c r="S47" i="25"/>
  <c r="S47" i="27" s="1"/>
  <c r="T47" i="25"/>
  <c r="T47" i="27" s="1"/>
  <c r="U47" i="25"/>
  <c r="U47" i="27" s="1"/>
  <c r="V47" i="25"/>
  <c r="W47" i="25"/>
  <c r="W47" i="27" s="1"/>
  <c r="X47" i="25"/>
  <c r="Y47" i="25"/>
  <c r="Z47" i="25"/>
  <c r="AA47" i="25"/>
  <c r="AA47" i="27" s="1"/>
  <c r="AB47" i="25"/>
  <c r="AB47" i="27" s="1"/>
  <c r="AC47" i="25"/>
  <c r="AC47" i="27" s="1"/>
  <c r="AD47" i="25"/>
  <c r="AE47" i="25"/>
  <c r="AE47" i="27" s="1"/>
  <c r="F49" i="25"/>
  <c r="G49" i="25"/>
  <c r="H49" i="25"/>
  <c r="H49" i="27" s="1"/>
  <c r="I49" i="25"/>
  <c r="J49" i="25"/>
  <c r="K49" i="25"/>
  <c r="K49" i="27" s="1"/>
  <c r="L49" i="25"/>
  <c r="M49" i="25"/>
  <c r="N49" i="25"/>
  <c r="O49" i="25"/>
  <c r="P49" i="25"/>
  <c r="Q49" i="25"/>
  <c r="Q49" i="27" s="1"/>
  <c r="R49" i="25"/>
  <c r="S49" i="25"/>
  <c r="S49" i="27" s="1"/>
  <c r="T49" i="25"/>
  <c r="U49" i="25"/>
  <c r="U49" i="27" s="1"/>
  <c r="V49" i="25"/>
  <c r="W49" i="25"/>
  <c r="X49" i="25"/>
  <c r="Y49" i="25"/>
  <c r="Y49" i="27" s="1"/>
  <c r="Z49" i="25"/>
  <c r="Z49" i="27" s="1"/>
  <c r="AA49" i="25"/>
  <c r="AA49" i="27" s="1"/>
  <c r="AB49" i="25"/>
  <c r="AC49" i="25"/>
  <c r="AD49" i="25"/>
  <c r="AE49" i="25"/>
  <c r="F51" i="25"/>
  <c r="G51" i="25"/>
  <c r="H51" i="25"/>
  <c r="I51" i="25"/>
  <c r="J51" i="25"/>
  <c r="K51" i="25"/>
  <c r="L51" i="25"/>
  <c r="M51" i="25"/>
  <c r="M51" i="27" s="1"/>
  <c r="N51" i="25"/>
  <c r="O51" i="25"/>
  <c r="O51" i="27" s="1"/>
  <c r="P51" i="25"/>
  <c r="Q51" i="25"/>
  <c r="R51" i="25"/>
  <c r="S51" i="25"/>
  <c r="S51" i="27" s="1"/>
  <c r="T51" i="25"/>
  <c r="U51" i="25"/>
  <c r="U51" i="27" s="1"/>
  <c r="V51" i="25"/>
  <c r="W51" i="25"/>
  <c r="W51" i="27" s="1"/>
  <c r="X51" i="25"/>
  <c r="Y51" i="25"/>
  <c r="Z51" i="25"/>
  <c r="AA51" i="25"/>
  <c r="AA51" i="27" s="1"/>
  <c r="AB51" i="25"/>
  <c r="AB51" i="27" s="1"/>
  <c r="AC51" i="25"/>
  <c r="AC51" i="27" s="1"/>
  <c r="AD51" i="25"/>
  <c r="AE51" i="25"/>
  <c r="AE51" i="27" s="1"/>
  <c r="F54" i="25"/>
  <c r="G54" i="25"/>
  <c r="H54" i="25"/>
  <c r="H54" i="27" s="1"/>
  <c r="I54" i="25"/>
  <c r="J54" i="25"/>
  <c r="D54" i="25" s="1"/>
  <c r="K54" i="25"/>
  <c r="L54" i="25"/>
  <c r="M54" i="25"/>
  <c r="N54" i="25"/>
  <c r="O54" i="25"/>
  <c r="P54" i="25"/>
  <c r="P54" i="27" s="1"/>
  <c r="Q54" i="25"/>
  <c r="Q54" i="27" s="1"/>
  <c r="R54" i="25"/>
  <c r="S54" i="25"/>
  <c r="T54" i="25"/>
  <c r="U54" i="25"/>
  <c r="U54" i="27" s="1"/>
  <c r="U56" i="27" s="1"/>
  <c r="V54" i="25"/>
  <c r="W54" i="25"/>
  <c r="X54" i="25"/>
  <c r="Y54" i="25"/>
  <c r="Y54" i="27" s="1"/>
  <c r="Z54" i="25"/>
  <c r="AA54" i="25"/>
  <c r="AB54" i="25"/>
  <c r="AC54" i="25"/>
  <c r="AD54" i="25"/>
  <c r="AE54" i="25"/>
  <c r="F55" i="25"/>
  <c r="G55" i="25"/>
  <c r="H55" i="25"/>
  <c r="I55" i="25"/>
  <c r="J55" i="25"/>
  <c r="K55" i="25"/>
  <c r="L55" i="25"/>
  <c r="M55" i="25"/>
  <c r="M55" i="27" s="1"/>
  <c r="N55" i="25"/>
  <c r="O55" i="25"/>
  <c r="O56" i="25" s="1"/>
  <c r="P55" i="25"/>
  <c r="Q55" i="25"/>
  <c r="R55" i="25"/>
  <c r="S55" i="25"/>
  <c r="T55" i="25"/>
  <c r="U55" i="25"/>
  <c r="U55" i="27" s="1"/>
  <c r="V55" i="25"/>
  <c r="W55" i="25"/>
  <c r="X55" i="25"/>
  <c r="Y55" i="25"/>
  <c r="Z55" i="25"/>
  <c r="AA55" i="25"/>
  <c r="AA55" i="27" s="1"/>
  <c r="AB55" i="25"/>
  <c r="AC55" i="25"/>
  <c r="AC55" i="27" s="1"/>
  <c r="AD55" i="25"/>
  <c r="AE55" i="25"/>
  <c r="AE56" i="25" s="1"/>
  <c r="K56" i="25"/>
  <c r="M56" i="25"/>
  <c r="Q56" i="25"/>
  <c r="R56" i="25"/>
  <c r="S56" i="25"/>
  <c r="U56" i="25"/>
  <c r="Y56" i="25"/>
  <c r="AA56" i="25"/>
  <c r="AB56" i="25"/>
  <c r="AC56" i="25"/>
  <c r="F59" i="25"/>
  <c r="G59" i="25"/>
  <c r="H59" i="25"/>
  <c r="I59" i="25"/>
  <c r="J59" i="25"/>
  <c r="K59" i="25"/>
  <c r="L59" i="25"/>
  <c r="M59" i="25"/>
  <c r="N59" i="25"/>
  <c r="O59" i="25"/>
  <c r="P59" i="25"/>
  <c r="P59" i="27" s="1"/>
  <c r="Q59" i="25"/>
  <c r="R59" i="25"/>
  <c r="S59" i="25"/>
  <c r="T59" i="25"/>
  <c r="U59" i="25"/>
  <c r="V59" i="25"/>
  <c r="V59" i="27" s="1"/>
  <c r="W59" i="25"/>
  <c r="X59" i="25"/>
  <c r="Y59" i="25"/>
  <c r="Z59" i="25"/>
  <c r="Z59" i="27" s="1"/>
  <c r="AA59" i="25"/>
  <c r="AB59" i="25"/>
  <c r="AC59" i="25"/>
  <c r="AC59" i="27" s="1"/>
  <c r="AD59" i="25"/>
  <c r="AE59" i="25"/>
  <c r="AE59" i="27" s="1"/>
  <c r="AE61" i="27" s="1"/>
  <c r="F60" i="25"/>
  <c r="G60" i="25"/>
  <c r="H60" i="25"/>
  <c r="I60" i="25"/>
  <c r="J60" i="25"/>
  <c r="J61" i="25" s="1"/>
  <c r="K60" i="25"/>
  <c r="K61" i="25" s="1"/>
  <c r="L60" i="25"/>
  <c r="M60" i="25"/>
  <c r="N60" i="25"/>
  <c r="N60" i="27" s="1"/>
  <c r="O60" i="25"/>
  <c r="O60" i="27" s="1"/>
  <c r="P60" i="25"/>
  <c r="P60" i="27" s="1"/>
  <c r="Q60" i="25"/>
  <c r="Q60" i="27" s="1"/>
  <c r="R60" i="25"/>
  <c r="R61" i="25" s="1"/>
  <c r="S60" i="25"/>
  <c r="S61" i="25" s="1"/>
  <c r="T60" i="25"/>
  <c r="U60" i="25"/>
  <c r="V60" i="25"/>
  <c r="W60" i="25"/>
  <c r="W60" i="27" s="1"/>
  <c r="X60" i="25"/>
  <c r="X60" i="27" s="1"/>
  <c r="Y60" i="25"/>
  <c r="Y60" i="27" s="1"/>
  <c r="Z60" i="25"/>
  <c r="AA60" i="25"/>
  <c r="AA61" i="25" s="1"/>
  <c r="AB60" i="25"/>
  <c r="AC60" i="25"/>
  <c r="AD60" i="25"/>
  <c r="AE60" i="25"/>
  <c r="F61" i="25"/>
  <c r="G61" i="25"/>
  <c r="I61" i="25"/>
  <c r="N61" i="25"/>
  <c r="O61" i="25"/>
  <c r="P61" i="25"/>
  <c r="Q61" i="25"/>
  <c r="V61" i="25"/>
  <c r="W61" i="25"/>
  <c r="Y61" i="25"/>
  <c r="AC61" i="25"/>
  <c r="AD61" i="25"/>
  <c r="AE61" i="25"/>
  <c r="F64" i="25"/>
  <c r="G64" i="25"/>
  <c r="H64" i="25"/>
  <c r="I64" i="25"/>
  <c r="J64" i="25"/>
  <c r="K64" i="25"/>
  <c r="K66" i="25" s="1"/>
  <c r="L64" i="25"/>
  <c r="M64" i="25"/>
  <c r="N64" i="25"/>
  <c r="N64" i="27" s="1"/>
  <c r="O64" i="25"/>
  <c r="O64" i="27" s="1"/>
  <c r="P64" i="25"/>
  <c r="Q64" i="25"/>
  <c r="Q64" i="27" s="1"/>
  <c r="R64" i="25"/>
  <c r="S64" i="25"/>
  <c r="T64" i="25"/>
  <c r="U64" i="25"/>
  <c r="V64" i="25"/>
  <c r="V64" i="27" s="1"/>
  <c r="W64" i="25"/>
  <c r="W64" i="27" s="1"/>
  <c r="X64" i="25"/>
  <c r="X64" i="27" s="1"/>
  <c r="Y64" i="25"/>
  <c r="Z64" i="25"/>
  <c r="AA64" i="25"/>
  <c r="AA64" i="27" s="1"/>
  <c r="AB64" i="25"/>
  <c r="AC64" i="25"/>
  <c r="AD64" i="25"/>
  <c r="AE64" i="25"/>
  <c r="AE64" i="27" s="1"/>
  <c r="F65" i="25"/>
  <c r="G65" i="25"/>
  <c r="G66" i="25" s="1"/>
  <c r="H65" i="25"/>
  <c r="I65" i="25"/>
  <c r="J65" i="25"/>
  <c r="K65" i="25"/>
  <c r="L65" i="25"/>
  <c r="L65" i="27" s="1"/>
  <c r="M65" i="25"/>
  <c r="N65" i="25"/>
  <c r="O65" i="25"/>
  <c r="P65" i="25"/>
  <c r="Q65" i="25"/>
  <c r="Q65" i="27" s="1"/>
  <c r="R65" i="25"/>
  <c r="S65" i="25"/>
  <c r="T65" i="25"/>
  <c r="U65" i="25"/>
  <c r="U65" i="27" s="1"/>
  <c r="V65" i="25"/>
  <c r="W65" i="25"/>
  <c r="X65" i="25"/>
  <c r="Y65" i="25"/>
  <c r="Z65" i="25"/>
  <c r="AA65" i="25"/>
  <c r="AB65" i="25"/>
  <c r="AC65" i="25"/>
  <c r="AD65" i="25"/>
  <c r="AE65" i="25"/>
  <c r="L66" i="25"/>
  <c r="Q66" i="25"/>
  <c r="T66" i="25"/>
  <c r="U66" i="25"/>
  <c r="AA66" i="25"/>
  <c r="AB66" i="25"/>
  <c r="F70" i="25"/>
  <c r="G70" i="25"/>
  <c r="H70" i="25"/>
  <c r="I70" i="25"/>
  <c r="J70" i="25"/>
  <c r="J70" i="27" s="1"/>
  <c r="K70" i="25"/>
  <c r="L70" i="25"/>
  <c r="M70" i="25"/>
  <c r="M70" i="27" s="1"/>
  <c r="M72" i="27" s="1"/>
  <c r="N70" i="25"/>
  <c r="N70" i="27" s="1"/>
  <c r="O70" i="25"/>
  <c r="O72" i="25" s="1"/>
  <c r="P70" i="25"/>
  <c r="Q70" i="25"/>
  <c r="R70" i="25"/>
  <c r="R70" i="27" s="1"/>
  <c r="R72" i="27" s="1"/>
  <c r="S70" i="25"/>
  <c r="T70" i="25"/>
  <c r="U70" i="25"/>
  <c r="V70" i="25"/>
  <c r="W70" i="25"/>
  <c r="W72" i="25" s="1"/>
  <c r="X70" i="25"/>
  <c r="Y70" i="25"/>
  <c r="Z70" i="25"/>
  <c r="Z70" i="27" s="1"/>
  <c r="AA70" i="25"/>
  <c r="AB70" i="25"/>
  <c r="AC70" i="25"/>
  <c r="AD70" i="25"/>
  <c r="AD70" i="27" s="1"/>
  <c r="AE70" i="25"/>
  <c r="F71" i="25"/>
  <c r="G71" i="25"/>
  <c r="H71" i="25"/>
  <c r="I71" i="25"/>
  <c r="I71" i="27" s="1"/>
  <c r="J71" i="25"/>
  <c r="J72" i="25" s="1"/>
  <c r="K71" i="25"/>
  <c r="K72" i="25" s="1"/>
  <c r="L71" i="25"/>
  <c r="M71" i="25"/>
  <c r="M71" i="27" s="1"/>
  <c r="N71" i="25"/>
  <c r="O71" i="25"/>
  <c r="P71" i="25"/>
  <c r="Q71" i="25"/>
  <c r="R71" i="25"/>
  <c r="R72" i="25" s="1"/>
  <c r="S71" i="25"/>
  <c r="S72" i="25" s="1"/>
  <c r="T71" i="25"/>
  <c r="U71" i="25"/>
  <c r="V71" i="25"/>
  <c r="W71" i="25"/>
  <c r="X71" i="25"/>
  <c r="Y71" i="25"/>
  <c r="Z71" i="25"/>
  <c r="Z72" i="25" s="1"/>
  <c r="AA71" i="25"/>
  <c r="AB71" i="25"/>
  <c r="AC71" i="25"/>
  <c r="AC71" i="27" s="1"/>
  <c r="AD71" i="25"/>
  <c r="AE71" i="25"/>
  <c r="F72" i="25"/>
  <c r="H72" i="25"/>
  <c r="M72" i="25"/>
  <c r="N72" i="25"/>
  <c r="P72" i="25"/>
  <c r="V72" i="25"/>
  <c r="X72" i="25"/>
  <c r="AC72" i="25"/>
  <c r="AD72" i="25"/>
  <c r="F73" i="25"/>
  <c r="G73" i="25"/>
  <c r="H73" i="25"/>
  <c r="I73" i="25"/>
  <c r="I73" i="27" s="1"/>
  <c r="J73" i="25"/>
  <c r="K73" i="25"/>
  <c r="L73" i="25"/>
  <c r="M73" i="25"/>
  <c r="N73" i="25"/>
  <c r="O73" i="25"/>
  <c r="P73" i="25"/>
  <c r="Q73" i="25"/>
  <c r="Q73" i="27" s="1"/>
  <c r="R73" i="25"/>
  <c r="R73" i="27" s="1"/>
  <c r="S73" i="25"/>
  <c r="S73" i="27" s="1"/>
  <c r="T73" i="25"/>
  <c r="U73" i="25"/>
  <c r="V73" i="25"/>
  <c r="W73" i="25"/>
  <c r="X73" i="25"/>
  <c r="Y73" i="25"/>
  <c r="Y73" i="27" s="1"/>
  <c r="Z73" i="25"/>
  <c r="AA73" i="25"/>
  <c r="AA73" i="27" s="1"/>
  <c r="AB73" i="25"/>
  <c r="AC73" i="25"/>
  <c r="AD73" i="25"/>
  <c r="AE73" i="25"/>
  <c r="F74" i="25"/>
  <c r="G74" i="25"/>
  <c r="H74" i="25"/>
  <c r="I74" i="25"/>
  <c r="J74" i="25"/>
  <c r="K74" i="25"/>
  <c r="L74" i="25"/>
  <c r="M74" i="25"/>
  <c r="M74" i="27" s="1"/>
  <c r="N74" i="25"/>
  <c r="N74" i="27" s="1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D74" i="27" s="1"/>
  <c r="AE74" i="25"/>
  <c r="AE74" i="27" s="1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R75" i="27" s="1"/>
  <c r="S75" i="25"/>
  <c r="S75" i="27" s="1"/>
  <c r="T75" i="25"/>
  <c r="U75" i="25"/>
  <c r="V75" i="25"/>
  <c r="W75" i="25"/>
  <c r="X75" i="25"/>
  <c r="Y75" i="25"/>
  <c r="Z75" i="25"/>
  <c r="Z75" i="27" s="1"/>
  <c r="AA75" i="25"/>
  <c r="AA75" i="27" s="1"/>
  <c r="AB75" i="25"/>
  <c r="AC75" i="25"/>
  <c r="AD75" i="25"/>
  <c r="AE75" i="25"/>
  <c r="F76" i="25"/>
  <c r="G76" i="25"/>
  <c r="H76" i="25"/>
  <c r="H76" i="27" s="1"/>
  <c r="I76" i="25"/>
  <c r="I76" i="27" s="1"/>
  <c r="J76" i="25"/>
  <c r="K76" i="25"/>
  <c r="L76" i="25"/>
  <c r="M76" i="25"/>
  <c r="N76" i="25"/>
  <c r="O76" i="25"/>
  <c r="P76" i="25"/>
  <c r="P76" i="27" s="1"/>
  <c r="Q76" i="25"/>
  <c r="Q76" i="27" s="1"/>
  <c r="R76" i="25"/>
  <c r="S76" i="25"/>
  <c r="T76" i="25"/>
  <c r="U76" i="25"/>
  <c r="V76" i="25"/>
  <c r="W76" i="25"/>
  <c r="X76" i="25"/>
  <c r="X76" i="27" s="1"/>
  <c r="Y76" i="25"/>
  <c r="Y76" i="27" s="1"/>
  <c r="Z76" i="25"/>
  <c r="AA76" i="25"/>
  <c r="AB76" i="25"/>
  <c r="AC76" i="25"/>
  <c r="AD76" i="25"/>
  <c r="AE76" i="25"/>
  <c r="F77" i="25"/>
  <c r="G77" i="25"/>
  <c r="H77" i="25"/>
  <c r="I77" i="25"/>
  <c r="J77" i="25"/>
  <c r="K77" i="25"/>
  <c r="L77" i="25"/>
  <c r="L77" i="27" s="1"/>
  <c r="M77" i="25"/>
  <c r="M77" i="27" s="1"/>
  <c r="N77" i="25"/>
  <c r="O77" i="25"/>
  <c r="P77" i="25"/>
  <c r="Q77" i="25"/>
  <c r="R77" i="25"/>
  <c r="S77" i="25"/>
  <c r="T77" i="25"/>
  <c r="T77" i="27" s="1"/>
  <c r="U77" i="25"/>
  <c r="U77" i="27" s="1"/>
  <c r="V77" i="25"/>
  <c r="W77" i="25"/>
  <c r="X77" i="25"/>
  <c r="Y77" i="25"/>
  <c r="Z77" i="25"/>
  <c r="AA77" i="25"/>
  <c r="AB77" i="25"/>
  <c r="AB77" i="27" s="1"/>
  <c r="AC77" i="25"/>
  <c r="AC77" i="27" s="1"/>
  <c r="AD77" i="25"/>
  <c r="AE77" i="25"/>
  <c r="F78" i="25"/>
  <c r="G78" i="25"/>
  <c r="H78" i="25"/>
  <c r="I78" i="25"/>
  <c r="J78" i="25"/>
  <c r="J78" i="27" s="1"/>
  <c r="K78" i="25"/>
  <c r="L78" i="25"/>
  <c r="M78" i="25"/>
  <c r="N78" i="25"/>
  <c r="N78" i="27" s="1"/>
  <c r="O78" i="25"/>
  <c r="P78" i="25"/>
  <c r="Q78" i="25"/>
  <c r="R78" i="25"/>
  <c r="R78" i="27" s="1"/>
  <c r="S78" i="25"/>
  <c r="T78" i="25"/>
  <c r="U78" i="25"/>
  <c r="V78" i="25"/>
  <c r="W78" i="25"/>
  <c r="X78" i="25"/>
  <c r="Y78" i="25"/>
  <c r="Z78" i="25"/>
  <c r="Z78" i="27" s="1"/>
  <c r="AA78" i="25"/>
  <c r="AB78" i="25"/>
  <c r="AC78" i="25"/>
  <c r="AD78" i="25"/>
  <c r="AD78" i="27" s="1"/>
  <c r="AE78" i="25"/>
  <c r="F79" i="25"/>
  <c r="G79" i="25"/>
  <c r="H79" i="25"/>
  <c r="I79" i="25"/>
  <c r="J79" i="25"/>
  <c r="J79" i="27" s="1"/>
  <c r="K79" i="25"/>
  <c r="L79" i="25"/>
  <c r="M79" i="25"/>
  <c r="M79" i="27" s="1"/>
  <c r="N79" i="25"/>
  <c r="N79" i="27" s="1"/>
  <c r="O79" i="25"/>
  <c r="P79" i="25"/>
  <c r="Q79" i="25"/>
  <c r="R79" i="25"/>
  <c r="S79" i="25"/>
  <c r="T79" i="25"/>
  <c r="U79" i="25"/>
  <c r="U79" i="27" s="1"/>
  <c r="V79" i="25"/>
  <c r="V79" i="27" s="1"/>
  <c r="W79" i="25"/>
  <c r="X79" i="25"/>
  <c r="Y79" i="25"/>
  <c r="Z79" i="25"/>
  <c r="Z79" i="27" s="1"/>
  <c r="AA79" i="25"/>
  <c r="AB79" i="25"/>
  <c r="AC79" i="25"/>
  <c r="AC79" i="27" s="1"/>
  <c r="AD79" i="25"/>
  <c r="AD79" i="27" s="1"/>
  <c r="AE79" i="25"/>
  <c r="F80" i="25"/>
  <c r="G80" i="25"/>
  <c r="H80" i="25"/>
  <c r="I80" i="25"/>
  <c r="J80" i="25"/>
  <c r="K80" i="25"/>
  <c r="L80" i="25"/>
  <c r="M80" i="25"/>
  <c r="N80" i="25"/>
  <c r="N80" i="27" s="1"/>
  <c r="O80" i="25"/>
  <c r="P80" i="25"/>
  <c r="Q80" i="25"/>
  <c r="R80" i="25"/>
  <c r="S80" i="25"/>
  <c r="T80" i="25"/>
  <c r="U80" i="25"/>
  <c r="V80" i="25"/>
  <c r="V80" i="27" s="1"/>
  <c r="W80" i="25"/>
  <c r="W80" i="27" s="1"/>
  <c r="X80" i="25"/>
  <c r="Y80" i="25"/>
  <c r="Z80" i="25"/>
  <c r="AA80" i="25"/>
  <c r="AB80" i="25"/>
  <c r="AC80" i="25"/>
  <c r="AD80" i="25"/>
  <c r="AD80" i="27" s="1"/>
  <c r="AE80" i="25"/>
  <c r="AE80" i="27" s="1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S81" i="27" s="1"/>
  <c r="T81" i="25"/>
  <c r="U81" i="25"/>
  <c r="V81" i="25"/>
  <c r="W81" i="25"/>
  <c r="X81" i="25"/>
  <c r="Y81" i="25"/>
  <c r="Z81" i="25"/>
  <c r="Z81" i="27" s="1"/>
  <c r="AA81" i="25"/>
  <c r="AA81" i="27" s="1"/>
  <c r="AB81" i="25"/>
  <c r="AC81" i="25"/>
  <c r="AD81" i="25"/>
  <c r="AE81" i="25"/>
  <c r="D86" i="25"/>
  <c r="E86" i="25"/>
  <c r="F86" i="25"/>
  <c r="F86" i="27" s="1"/>
  <c r="G86" i="25"/>
  <c r="F87" i="25"/>
  <c r="G87" i="25"/>
  <c r="E87" i="25" s="1"/>
  <c r="E88" i="25"/>
  <c r="G88" i="37" s="1"/>
  <c r="F88" i="25"/>
  <c r="G88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5" i="37"/>
  <c r="E15" i="37"/>
  <c r="D20" i="37"/>
  <c r="E23" i="37"/>
  <c r="E39" i="37"/>
  <c r="D47" i="37"/>
  <c r="E51" i="37"/>
  <c r="D55" i="37"/>
  <c r="E55" i="37"/>
  <c r="D64" i="37"/>
  <c r="E65" i="37"/>
  <c r="D70" i="37"/>
  <c r="E70" i="37"/>
  <c r="D71" i="37"/>
  <c r="D78" i="37"/>
  <c r="D79" i="37"/>
  <c r="E79" i="37"/>
  <c r="D86" i="37"/>
  <c r="G87" i="37"/>
  <c r="A4" i="14"/>
  <c r="A5" i="14"/>
  <c r="F11" i="14"/>
  <c r="G11" i="14"/>
  <c r="H11" i="14"/>
  <c r="L11" i="14" s="1"/>
  <c r="I11" i="14"/>
  <c r="M11" i="14" s="1"/>
  <c r="H12" i="14"/>
  <c r="I12" i="14"/>
  <c r="F13" i="14"/>
  <c r="H13" i="14"/>
  <c r="I13" i="14"/>
  <c r="L13" i="14"/>
  <c r="D13" i="38" s="1"/>
  <c r="F14" i="14"/>
  <c r="G14" i="14"/>
  <c r="H14" i="14"/>
  <c r="L14" i="14" s="1"/>
  <c r="D14" i="38" s="1"/>
  <c r="I14" i="14"/>
  <c r="M14" i="14"/>
  <c r="E14" i="38" s="1"/>
  <c r="F15" i="14"/>
  <c r="G15" i="14"/>
  <c r="H15" i="14"/>
  <c r="L15" i="14" s="1"/>
  <c r="D15" i="38" s="1"/>
  <c r="I15" i="14"/>
  <c r="M15" i="14" s="1"/>
  <c r="J16" i="14"/>
  <c r="K16" i="14"/>
  <c r="H18" i="14"/>
  <c r="I18" i="14"/>
  <c r="F19" i="14"/>
  <c r="H19" i="14"/>
  <c r="L19" i="14" s="1"/>
  <c r="I19" i="14"/>
  <c r="H20" i="14"/>
  <c r="F20" i="14" s="1"/>
  <c r="I20" i="14"/>
  <c r="F21" i="14"/>
  <c r="H21" i="14"/>
  <c r="I21" i="14"/>
  <c r="G21" i="14" s="1"/>
  <c r="L21" i="14"/>
  <c r="M21" i="14"/>
  <c r="E21" i="38" s="1"/>
  <c r="F22" i="14"/>
  <c r="G22" i="14"/>
  <c r="H22" i="14"/>
  <c r="L22" i="14" s="1"/>
  <c r="D22" i="38" s="1"/>
  <c r="I22" i="14"/>
  <c r="M22" i="14"/>
  <c r="H23" i="14"/>
  <c r="I23" i="14"/>
  <c r="J24" i="14"/>
  <c r="K24" i="14"/>
  <c r="H27" i="14"/>
  <c r="I27" i="14"/>
  <c r="L27" i="14"/>
  <c r="L29" i="14" s="1"/>
  <c r="M27" i="14"/>
  <c r="F28" i="14"/>
  <c r="H28" i="14"/>
  <c r="I28" i="14"/>
  <c r="L28" i="14"/>
  <c r="J29" i="14"/>
  <c r="K29" i="14"/>
  <c r="F32" i="14"/>
  <c r="G32" i="14"/>
  <c r="H32" i="14"/>
  <c r="L32" i="14" s="1"/>
  <c r="I32" i="14"/>
  <c r="M32" i="14"/>
  <c r="G33" i="14"/>
  <c r="H33" i="14"/>
  <c r="I33" i="14"/>
  <c r="H34" i="14"/>
  <c r="I34" i="14"/>
  <c r="M34" i="14" s="1"/>
  <c r="E34" i="38" s="1"/>
  <c r="F35" i="14"/>
  <c r="H35" i="14"/>
  <c r="I35" i="14"/>
  <c r="G35" i="14" s="1"/>
  <c r="L35" i="14"/>
  <c r="D35" i="38" s="1"/>
  <c r="M35" i="14"/>
  <c r="E35" i="38" s="1"/>
  <c r="J36" i="14"/>
  <c r="K36" i="14"/>
  <c r="L37" i="14"/>
  <c r="M37" i="14"/>
  <c r="H38" i="14"/>
  <c r="I38" i="14"/>
  <c r="H39" i="14"/>
  <c r="F39" i="14" s="1"/>
  <c r="I39" i="14"/>
  <c r="G39" i="14" s="1"/>
  <c r="M39" i="14"/>
  <c r="F40" i="14"/>
  <c r="H40" i="14"/>
  <c r="I40" i="14"/>
  <c r="L40" i="14"/>
  <c r="F41" i="14"/>
  <c r="G41" i="14"/>
  <c r="H41" i="14"/>
  <c r="L41" i="14" s="1"/>
  <c r="D41" i="38" s="1"/>
  <c r="I41" i="14"/>
  <c r="M41" i="14"/>
  <c r="F42" i="14"/>
  <c r="F43" i="14" s="1"/>
  <c r="H42" i="14"/>
  <c r="H43" i="14" s="1"/>
  <c r="I42" i="14"/>
  <c r="I43" i="14" s="1"/>
  <c r="J42" i="14"/>
  <c r="K42" i="14"/>
  <c r="J43" i="14"/>
  <c r="K43" i="14"/>
  <c r="F45" i="14"/>
  <c r="G45" i="14"/>
  <c r="H45" i="14"/>
  <c r="I45" i="14"/>
  <c r="M45" i="14" s="1"/>
  <c r="G47" i="14"/>
  <c r="H47" i="14"/>
  <c r="F47" i="14" s="1"/>
  <c r="I47" i="14"/>
  <c r="L47" i="14"/>
  <c r="D47" i="38" s="1"/>
  <c r="M47" i="14"/>
  <c r="E47" i="38" s="1"/>
  <c r="F49" i="14"/>
  <c r="H49" i="14"/>
  <c r="I49" i="14"/>
  <c r="G49" i="14" s="1"/>
  <c r="L49" i="14"/>
  <c r="D49" i="38" s="1"/>
  <c r="M49" i="14"/>
  <c r="E49" i="38" s="1"/>
  <c r="F51" i="14"/>
  <c r="G51" i="14"/>
  <c r="H51" i="14"/>
  <c r="L51" i="14" s="1"/>
  <c r="D51" i="38" s="1"/>
  <c r="I51" i="14"/>
  <c r="M51" i="14"/>
  <c r="G54" i="14"/>
  <c r="H54" i="14"/>
  <c r="I54" i="14"/>
  <c r="M54" i="14" s="1"/>
  <c r="H55" i="14"/>
  <c r="L55" i="14" s="1"/>
  <c r="D55" i="38" s="1"/>
  <c r="I55" i="14"/>
  <c r="J56" i="14"/>
  <c r="K56" i="14"/>
  <c r="F59" i="14"/>
  <c r="H59" i="14"/>
  <c r="I59" i="14"/>
  <c r="G59" i="14" s="1"/>
  <c r="L59" i="14"/>
  <c r="M59" i="14"/>
  <c r="E59" i="38" s="1"/>
  <c r="F60" i="14"/>
  <c r="G60" i="14"/>
  <c r="G61" i="14" s="1"/>
  <c r="H60" i="14"/>
  <c r="L60" i="14" s="1"/>
  <c r="I60" i="14"/>
  <c r="M60" i="14"/>
  <c r="M61" i="14" s="1"/>
  <c r="F61" i="14"/>
  <c r="H61" i="14"/>
  <c r="J61" i="14"/>
  <c r="K61" i="14"/>
  <c r="F64" i="14"/>
  <c r="H64" i="14"/>
  <c r="I64" i="14"/>
  <c r="H65" i="14"/>
  <c r="I65" i="14"/>
  <c r="G65" i="14" s="1"/>
  <c r="M65" i="14"/>
  <c r="E65" i="38" s="1"/>
  <c r="J66" i="14"/>
  <c r="K66" i="14"/>
  <c r="F70" i="14"/>
  <c r="H70" i="14"/>
  <c r="I70" i="14"/>
  <c r="L70" i="14"/>
  <c r="F71" i="14"/>
  <c r="F72" i="14" s="1"/>
  <c r="G71" i="14"/>
  <c r="H71" i="14"/>
  <c r="L71" i="14" s="1"/>
  <c r="D71" i="38" s="1"/>
  <c r="I71" i="14"/>
  <c r="M71" i="14"/>
  <c r="E71" i="38" s="1"/>
  <c r="H72" i="14"/>
  <c r="J72" i="14"/>
  <c r="K72" i="14"/>
  <c r="F73" i="14"/>
  <c r="G73" i="14"/>
  <c r="H73" i="14"/>
  <c r="L73" i="14" s="1"/>
  <c r="D73" i="38" s="1"/>
  <c r="I73" i="14"/>
  <c r="M73" i="14" s="1"/>
  <c r="H74" i="14"/>
  <c r="F74" i="14" s="1"/>
  <c r="I74" i="14"/>
  <c r="L74" i="14"/>
  <c r="D74" i="38" s="1"/>
  <c r="F75" i="14"/>
  <c r="H75" i="14"/>
  <c r="I75" i="14"/>
  <c r="G75" i="14" s="1"/>
  <c r="L75" i="14"/>
  <c r="D75" i="38" s="1"/>
  <c r="F76" i="14"/>
  <c r="G76" i="14"/>
  <c r="H76" i="14"/>
  <c r="L76" i="14" s="1"/>
  <c r="I76" i="14"/>
  <c r="M76" i="14"/>
  <c r="F77" i="14"/>
  <c r="G77" i="14"/>
  <c r="H77" i="14"/>
  <c r="L77" i="14" s="1"/>
  <c r="I77" i="14"/>
  <c r="M77" i="14" s="1"/>
  <c r="E77" i="38" s="1"/>
  <c r="G78" i="14"/>
  <c r="H78" i="14"/>
  <c r="I78" i="14"/>
  <c r="M78" i="14" s="1"/>
  <c r="F79" i="14"/>
  <c r="H79" i="14"/>
  <c r="I79" i="14"/>
  <c r="L79" i="14"/>
  <c r="D79" i="38" s="1"/>
  <c r="F80" i="14"/>
  <c r="G80" i="14"/>
  <c r="H80" i="14"/>
  <c r="L80" i="14" s="1"/>
  <c r="I80" i="14"/>
  <c r="M80" i="14"/>
  <c r="H81" i="14"/>
  <c r="L81" i="14" s="1"/>
  <c r="D81" i="38" s="1"/>
  <c r="I81" i="14"/>
  <c r="D82" i="14"/>
  <c r="E82" i="14"/>
  <c r="E85" i="15" s="1"/>
  <c r="A5" i="26"/>
  <c r="H8" i="26"/>
  <c r="J8" i="26"/>
  <c r="L8" i="26"/>
  <c r="N8" i="26"/>
  <c r="F11" i="26"/>
  <c r="G11" i="26"/>
  <c r="H11" i="26"/>
  <c r="I11" i="26"/>
  <c r="J11" i="26"/>
  <c r="K11" i="26"/>
  <c r="L11" i="26"/>
  <c r="M11" i="26"/>
  <c r="N11" i="26"/>
  <c r="O11" i="26"/>
  <c r="O16" i="26" s="1"/>
  <c r="P11" i="26"/>
  <c r="Q11" i="26"/>
  <c r="R11" i="26"/>
  <c r="S11" i="26"/>
  <c r="T11" i="26"/>
  <c r="U11" i="26"/>
  <c r="V11" i="26"/>
  <c r="V11" i="27" s="1"/>
  <c r="W11" i="26"/>
  <c r="X11" i="26"/>
  <c r="X16" i="26" s="1"/>
  <c r="Y11" i="26"/>
  <c r="Z11" i="26"/>
  <c r="AA11" i="26"/>
  <c r="AB11" i="26"/>
  <c r="AC11" i="26"/>
  <c r="AD11" i="26"/>
  <c r="AD11" i="27" s="1"/>
  <c r="AE11" i="26"/>
  <c r="F12" i="26"/>
  <c r="H12" i="26"/>
  <c r="I12" i="26"/>
  <c r="J12" i="26"/>
  <c r="K12" i="26"/>
  <c r="K16" i="26" s="1"/>
  <c r="L12" i="26"/>
  <c r="L12" i="27" s="1"/>
  <c r="M12" i="26"/>
  <c r="N12" i="26"/>
  <c r="D12" i="26" s="1"/>
  <c r="F12" i="38" s="1"/>
  <c r="O12" i="26"/>
  <c r="P12" i="26"/>
  <c r="Q12" i="26"/>
  <c r="R12" i="26"/>
  <c r="R12" i="27" s="1"/>
  <c r="S12" i="26"/>
  <c r="S12" i="27" s="1"/>
  <c r="T12" i="26"/>
  <c r="T16" i="26" s="1"/>
  <c r="U12" i="26"/>
  <c r="V12" i="26"/>
  <c r="W12" i="26"/>
  <c r="X12" i="26"/>
  <c r="Y12" i="26"/>
  <c r="Z12" i="26"/>
  <c r="Z12" i="27" s="1"/>
  <c r="AA12" i="26"/>
  <c r="AB12" i="26"/>
  <c r="AB16" i="26" s="1"/>
  <c r="AC12" i="26"/>
  <c r="AD12" i="26"/>
  <c r="AE12" i="26"/>
  <c r="F13" i="26"/>
  <c r="G13" i="26"/>
  <c r="H13" i="26"/>
  <c r="I13" i="26"/>
  <c r="J13" i="26"/>
  <c r="K13" i="26"/>
  <c r="L13" i="26"/>
  <c r="M13" i="26"/>
  <c r="N13" i="26"/>
  <c r="O13" i="26"/>
  <c r="O13" i="27" s="1"/>
  <c r="P13" i="26"/>
  <c r="Q13" i="26"/>
  <c r="R13" i="26"/>
  <c r="R16" i="26" s="1"/>
  <c r="S13" i="26"/>
  <c r="T13" i="26"/>
  <c r="U13" i="26"/>
  <c r="V13" i="26"/>
  <c r="W13" i="26"/>
  <c r="X13" i="26"/>
  <c r="X13" i="27" s="1"/>
  <c r="Y13" i="26"/>
  <c r="Z13" i="26"/>
  <c r="AA13" i="26"/>
  <c r="AB13" i="26"/>
  <c r="AC13" i="26"/>
  <c r="AD13" i="26"/>
  <c r="AD13" i="27" s="1"/>
  <c r="AE13" i="26"/>
  <c r="E14" i="26"/>
  <c r="F14" i="26"/>
  <c r="D14" i="26" s="1"/>
  <c r="F14" i="38" s="1"/>
  <c r="G14" i="26"/>
  <c r="H14" i="26"/>
  <c r="I14" i="26"/>
  <c r="J14" i="26"/>
  <c r="K14" i="26"/>
  <c r="K14" i="27" s="1"/>
  <c r="L14" i="26"/>
  <c r="M14" i="26"/>
  <c r="M16" i="26" s="1"/>
  <c r="N14" i="26"/>
  <c r="O14" i="26"/>
  <c r="P14" i="26"/>
  <c r="Q14" i="26"/>
  <c r="R14" i="26"/>
  <c r="R14" i="27" s="1"/>
  <c r="S14" i="26"/>
  <c r="S14" i="27" s="1"/>
  <c r="T14" i="26"/>
  <c r="T14" i="27" s="1"/>
  <c r="U14" i="26"/>
  <c r="V14" i="26"/>
  <c r="W14" i="26"/>
  <c r="X14" i="26"/>
  <c r="Y14" i="26"/>
  <c r="Z14" i="26"/>
  <c r="AA14" i="26"/>
  <c r="AB14" i="26"/>
  <c r="AC14" i="26"/>
  <c r="AD14" i="26"/>
  <c r="AE14" i="26"/>
  <c r="F15" i="26"/>
  <c r="G15" i="26"/>
  <c r="H15" i="26"/>
  <c r="I15" i="26"/>
  <c r="J15" i="26"/>
  <c r="K15" i="26"/>
  <c r="L15" i="26"/>
  <c r="M15" i="26"/>
  <c r="N15" i="26"/>
  <c r="O15" i="26"/>
  <c r="O15" i="27" s="1"/>
  <c r="P15" i="26"/>
  <c r="Q15" i="26"/>
  <c r="R15" i="26"/>
  <c r="S15" i="26"/>
  <c r="T15" i="26"/>
  <c r="U15" i="26"/>
  <c r="V15" i="26"/>
  <c r="V15" i="27" s="1"/>
  <c r="W15" i="26"/>
  <c r="X15" i="26"/>
  <c r="Y15" i="26"/>
  <c r="Z15" i="26"/>
  <c r="AA15" i="26"/>
  <c r="AB15" i="26"/>
  <c r="AC15" i="26"/>
  <c r="AD15" i="26"/>
  <c r="AD15" i="27" s="1"/>
  <c r="AE15" i="26"/>
  <c r="J16" i="26"/>
  <c r="L16" i="26"/>
  <c r="V16" i="26"/>
  <c r="Z16" i="26"/>
  <c r="F19" i="26"/>
  <c r="G19" i="26"/>
  <c r="H19" i="26"/>
  <c r="H24" i="26" s="1"/>
  <c r="I19" i="26"/>
  <c r="J19" i="26"/>
  <c r="K19" i="26"/>
  <c r="L19" i="26"/>
  <c r="M19" i="26"/>
  <c r="N19" i="26"/>
  <c r="N19" i="27" s="1"/>
  <c r="O19" i="26"/>
  <c r="P19" i="26"/>
  <c r="Q19" i="26"/>
  <c r="R19" i="26"/>
  <c r="S19" i="26"/>
  <c r="T19" i="26"/>
  <c r="U19" i="26"/>
  <c r="V19" i="26"/>
  <c r="W19" i="26"/>
  <c r="X19" i="26"/>
  <c r="X24" i="26" s="1"/>
  <c r="Y19" i="26"/>
  <c r="Z19" i="26"/>
  <c r="Z24" i="26" s="1"/>
  <c r="AA19" i="26"/>
  <c r="AB19" i="26"/>
  <c r="AC19" i="26"/>
  <c r="AD19" i="26"/>
  <c r="AE19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R20" i="27" s="1"/>
  <c r="S20" i="26"/>
  <c r="S20" i="27" s="1"/>
  <c r="T20" i="26"/>
  <c r="T24" i="26" s="1"/>
  <c r="U20" i="26"/>
  <c r="V20" i="26"/>
  <c r="W20" i="26"/>
  <c r="X20" i="26"/>
  <c r="Y20" i="26"/>
  <c r="Y20" i="27" s="1"/>
  <c r="Z20" i="26"/>
  <c r="AA20" i="26"/>
  <c r="AB20" i="26"/>
  <c r="AB24" i="26" s="1"/>
  <c r="AC20" i="26"/>
  <c r="AD20" i="26"/>
  <c r="AE20" i="26"/>
  <c r="AE20" i="27" s="1"/>
  <c r="F21" i="26"/>
  <c r="G21" i="26"/>
  <c r="H21" i="26"/>
  <c r="I21" i="26"/>
  <c r="J21" i="26"/>
  <c r="K21" i="26"/>
  <c r="L21" i="26"/>
  <c r="M21" i="26"/>
  <c r="N21" i="26"/>
  <c r="O21" i="26"/>
  <c r="O21" i="27" s="1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F22" i="26"/>
  <c r="G22" i="26"/>
  <c r="H22" i="26"/>
  <c r="I22" i="26"/>
  <c r="J22" i="26"/>
  <c r="K22" i="26"/>
  <c r="K22" i="27" s="1"/>
  <c r="L22" i="26"/>
  <c r="M22" i="26"/>
  <c r="E22" i="26" s="1"/>
  <c r="G22" i="38" s="1"/>
  <c r="I22" i="38" s="1"/>
  <c r="N22" i="26"/>
  <c r="O22" i="26"/>
  <c r="P22" i="26"/>
  <c r="Q22" i="26"/>
  <c r="R22" i="26"/>
  <c r="S22" i="26"/>
  <c r="T22" i="26"/>
  <c r="U22" i="26"/>
  <c r="U24" i="26" s="1"/>
  <c r="V22" i="26"/>
  <c r="W22" i="26"/>
  <c r="X22" i="26"/>
  <c r="Y22" i="26"/>
  <c r="Z22" i="26"/>
  <c r="AA22" i="26"/>
  <c r="AA22" i="27" s="1"/>
  <c r="AB22" i="26"/>
  <c r="AC22" i="26"/>
  <c r="AD22" i="26"/>
  <c r="AD24" i="26" s="1"/>
  <c r="AE22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V23" i="27" s="1"/>
  <c r="W23" i="26"/>
  <c r="X23" i="26"/>
  <c r="Y23" i="26"/>
  <c r="Z23" i="26"/>
  <c r="AA23" i="26"/>
  <c r="AB23" i="26"/>
  <c r="AC23" i="26"/>
  <c r="AD23" i="26"/>
  <c r="AE23" i="26"/>
  <c r="K24" i="26"/>
  <c r="L24" i="26"/>
  <c r="M24" i="26"/>
  <c r="S24" i="26"/>
  <c r="V24" i="26"/>
  <c r="F27" i="26"/>
  <c r="G27" i="26"/>
  <c r="H27" i="26"/>
  <c r="H29" i="26" s="1"/>
  <c r="I27" i="26"/>
  <c r="J27" i="26"/>
  <c r="J29" i="26" s="1"/>
  <c r="K27" i="26"/>
  <c r="L27" i="26"/>
  <c r="M27" i="26"/>
  <c r="N27" i="26"/>
  <c r="O27" i="26"/>
  <c r="O29" i="26" s="1"/>
  <c r="P27" i="26"/>
  <c r="P29" i="26" s="1"/>
  <c r="Q27" i="26"/>
  <c r="R27" i="26"/>
  <c r="R29" i="26" s="1"/>
  <c r="S27" i="26"/>
  <c r="T27" i="26"/>
  <c r="U27" i="26"/>
  <c r="V27" i="26"/>
  <c r="W27" i="26"/>
  <c r="X27" i="26"/>
  <c r="X29" i="26" s="1"/>
  <c r="Y27" i="26"/>
  <c r="Z27" i="26"/>
  <c r="AA27" i="26"/>
  <c r="AB27" i="26"/>
  <c r="AC27" i="26"/>
  <c r="AD27" i="26"/>
  <c r="AE27" i="26"/>
  <c r="AE29" i="26" s="1"/>
  <c r="D28" i="26"/>
  <c r="F28" i="38" s="1"/>
  <c r="H28" i="38" s="1"/>
  <c r="F28" i="26"/>
  <c r="F29" i="26" s="1"/>
  <c r="G28" i="26"/>
  <c r="H28" i="26"/>
  <c r="I28" i="26"/>
  <c r="J28" i="26"/>
  <c r="K28" i="26"/>
  <c r="L28" i="26"/>
  <c r="L29" i="26" s="1"/>
  <c r="M28" i="26"/>
  <c r="M29" i="26" s="1"/>
  <c r="N28" i="26"/>
  <c r="O28" i="26"/>
  <c r="P28" i="26"/>
  <c r="Q28" i="26"/>
  <c r="R28" i="26"/>
  <c r="S28" i="26"/>
  <c r="S29" i="26" s="1"/>
  <c r="T28" i="26"/>
  <c r="T29" i="26" s="1"/>
  <c r="U28" i="26"/>
  <c r="U29" i="26" s="1"/>
  <c r="V28" i="26"/>
  <c r="V29" i="26" s="1"/>
  <c r="W28" i="26"/>
  <c r="X28" i="26"/>
  <c r="Y28" i="26"/>
  <c r="Z28" i="26"/>
  <c r="AA28" i="26"/>
  <c r="AA29" i="26" s="1"/>
  <c r="AB28" i="26"/>
  <c r="AB29" i="26" s="1"/>
  <c r="AC28" i="26"/>
  <c r="AC29" i="26" s="1"/>
  <c r="AD28" i="26"/>
  <c r="AD29" i="26" s="1"/>
  <c r="AE28" i="26"/>
  <c r="I29" i="26"/>
  <c r="N29" i="26"/>
  <c r="W29" i="26"/>
  <c r="Y29" i="26"/>
  <c r="Z29" i="26"/>
  <c r="D32" i="26"/>
  <c r="F32" i="38" s="1"/>
  <c r="F32" i="26"/>
  <c r="G32" i="26"/>
  <c r="H32" i="26"/>
  <c r="I32" i="26"/>
  <c r="J32" i="26"/>
  <c r="K32" i="26"/>
  <c r="E32" i="26" s="1"/>
  <c r="G32" i="38" s="1"/>
  <c r="L32" i="26"/>
  <c r="L36" i="26" s="1"/>
  <c r="M32" i="26"/>
  <c r="N32" i="26"/>
  <c r="O32" i="26"/>
  <c r="P32" i="26"/>
  <c r="Q32" i="26"/>
  <c r="R32" i="26"/>
  <c r="S32" i="26"/>
  <c r="T32" i="26"/>
  <c r="T36" i="26" s="1"/>
  <c r="U32" i="26"/>
  <c r="V32" i="26"/>
  <c r="W32" i="26"/>
  <c r="X32" i="26"/>
  <c r="Y32" i="26"/>
  <c r="Z32" i="26"/>
  <c r="Z36" i="26" s="1"/>
  <c r="AA32" i="26"/>
  <c r="AB32" i="26"/>
  <c r="AB36" i="26" s="1"/>
  <c r="AC32" i="26"/>
  <c r="AD32" i="26"/>
  <c r="AE32" i="26"/>
  <c r="F33" i="26"/>
  <c r="G33" i="26"/>
  <c r="H33" i="26"/>
  <c r="I33" i="26"/>
  <c r="J33" i="26"/>
  <c r="J36" i="26" s="1"/>
  <c r="K33" i="26"/>
  <c r="L33" i="26"/>
  <c r="M33" i="26"/>
  <c r="N33" i="26"/>
  <c r="O33" i="26"/>
  <c r="P33" i="26"/>
  <c r="Q33" i="26"/>
  <c r="R33" i="26"/>
  <c r="R36" i="26" s="1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D33" i="27" s="1"/>
  <c r="AE33" i="26"/>
  <c r="F34" i="26"/>
  <c r="G34" i="26"/>
  <c r="H34" i="26"/>
  <c r="I34" i="26"/>
  <c r="J34" i="26"/>
  <c r="K34" i="26"/>
  <c r="L34" i="26"/>
  <c r="M34" i="26"/>
  <c r="N34" i="26"/>
  <c r="N36" i="26" s="1"/>
  <c r="O34" i="26"/>
  <c r="P34" i="26"/>
  <c r="Q34" i="26"/>
  <c r="R34" i="26"/>
  <c r="S34" i="26"/>
  <c r="S34" i="27" s="1"/>
  <c r="T34" i="26"/>
  <c r="U34" i="26"/>
  <c r="V34" i="26"/>
  <c r="V36" i="26" s="1"/>
  <c r="W34" i="26"/>
  <c r="X34" i="26"/>
  <c r="Y34" i="26"/>
  <c r="Z34" i="26"/>
  <c r="AA34" i="26"/>
  <c r="AB34" i="26"/>
  <c r="AC34" i="26"/>
  <c r="AD34" i="26"/>
  <c r="AD36" i="26" s="1"/>
  <c r="AE34" i="26"/>
  <c r="F35" i="26"/>
  <c r="G35" i="26"/>
  <c r="H35" i="26"/>
  <c r="H35" i="27" s="1"/>
  <c r="I35" i="26"/>
  <c r="J35" i="26"/>
  <c r="K35" i="26"/>
  <c r="L35" i="26"/>
  <c r="M35" i="26"/>
  <c r="N35" i="26"/>
  <c r="O35" i="26"/>
  <c r="P35" i="26"/>
  <c r="P35" i="27" s="1"/>
  <c r="Q35" i="26"/>
  <c r="R35" i="26"/>
  <c r="S35" i="26"/>
  <c r="T35" i="26"/>
  <c r="U35" i="26"/>
  <c r="V35" i="26"/>
  <c r="W35" i="26"/>
  <c r="X35" i="26"/>
  <c r="Y35" i="26"/>
  <c r="Z35" i="26"/>
  <c r="Z35" i="27" s="1"/>
  <c r="AA35" i="26"/>
  <c r="AB35" i="26"/>
  <c r="AC35" i="26"/>
  <c r="AD35" i="26"/>
  <c r="AD35" i="27" s="1"/>
  <c r="AE35" i="26"/>
  <c r="M36" i="26"/>
  <c r="S36" i="26"/>
  <c r="U36" i="26"/>
  <c r="AA36" i="26"/>
  <c r="AC36" i="26"/>
  <c r="F39" i="26"/>
  <c r="G39" i="26"/>
  <c r="H39" i="26"/>
  <c r="H43" i="26" s="1"/>
  <c r="I39" i="26"/>
  <c r="J39" i="26"/>
  <c r="J39" i="27" s="1"/>
  <c r="K39" i="26"/>
  <c r="L39" i="26"/>
  <c r="M39" i="26"/>
  <c r="N39" i="26"/>
  <c r="O39" i="26"/>
  <c r="P39" i="26"/>
  <c r="P43" i="26" s="1"/>
  <c r="Q39" i="26"/>
  <c r="R39" i="26"/>
  <c r="R39" i="27" s="1"/>
  <c r="S39" i="26"/>
  <c r="T39" i="26"/>
  <c r="U39" i="26"/>
  <c r="V39" i="26"/>
  <c r="W39" i="26"/>
  <c r="X39" i="26"/>
  <c r="X43" i="26" s="1"/>
  <c r="Y39" i="26"/>
  <c r="Z39" i="26"/>
  <c r="Z39" i="27" s="1"/>
  <c r="AA39" i="26"/>
  <c r="AB39" i="26"/>
  <c r="AC39" i="26"/>
  <c r="AD39" i="26"/>
  <c r="AE39" i="26"/>
  <c r="D40" i="26"/>
  <c r="F40" i="26"/>
  <c r="G40" i="26"/>
  <c r="H40" i="26"/>
  <c r="I40" i="26"/>
  <c r="J40" i="26"/>
  <c r="K40" i="26"/>
  <c r="E40" i="26" s="1"/>
  <c r="L40" i="26"/>
  <c r="M40" i="26"/>
  <c r="N40" i="26"/>
  <c r="O40" i="26"/>
  <c r="P40" i="26"/>
  <c r="Q40" i="26"/>
  <c r="R40" i="26"/>
  <c r="S40" i="26"/>
  <c r="T40" i="26"/>
  <c r="T42" i="26" s="1"/>
  <c r="T43" i="26" s="1"/>
  <c r="U40" i="26"/>
  <c r="V40" i="26"/>
  <c r="V42" i="26" s="1"/>
  <c r="V43" i="26" s="1"/>
  <c r="W40" i="26"/>
  <c r="X40" i="26"/>
  <c r="Y40" i="26"/>
  <c r="Z40" i="26"/>
  <c r="AA40" i="26"/>
  <c r="AB40" i="26"/>
  <c r="AB42" i="26" s="1"/>
  <c r="AB43" i="26" s="1"/>
  <c r="AC40" i="26"/>
  <c r="AD40" i="26"/>
  <c r="AD42" i="26" s="1"/>
  <c r="AD43" i="26" s="1"/>
  <c r="AE40" i="26"/>
  <c r="F41" i="26"/>
  <c r="G41" i="26"/>
  <c r="H41" i="26"/>
  <c r="H42" i="26" s="1"/>
  <c r="I41" i="26"/>
  <c r="I42" i="26" s="1"/>
  <c r="J41" i="26"/>
  <c r="J41" i="27" s="1"/>
  <c r="K41" i="26"/>
  <c r="L41" i="26"/>
  <c r="M41" i="26"/>
  <c r="N41" i="26"/>
  <c r="O41" i="26"/>
  <c r="O42" i="26" s="1"/>
  <c r="O43" i="26" s="1"/>
  <c r="P41" i="26"/>
  <c r="P42" i="26" s="1"/>
  <c r="Q41" i="26"/>
  <c r="Q42" i="26" s="1"/>
  <c r="R41" i="26"/>
  <c r="S41" i="26"/>
  <c r="T41" i="26"/>
  <c r="U41" i="26"/>
  <c r="V41" i="26"/>
  <c r="W41" i="26"/>
  <c r="W42" i="26" s="1"/>
  <c r="X41" i="26"/>
  <c r="X42" i="26" s="1"/>
  <c r="Y41" i="26"/>
  <c r="Y42" i="26" s="1"/>
  <c r="Z41" i="26"/>
  <c r="AA41" i="26"/>
  <c r="AB41" i="26"/>
  <c r="AC41" i="26"/>
  <c r="AD41" i="26"/>
  <c r="AE41" i="26"/>
  <c r="AE42" i="26" s="1"/>
  <c r="F42" i="26"/>
  <c r="K42" i="26"/>
  <c r="K43" i="26" s="1"/>
  <c r="L42" i="26"/>
  <c r="L43" i="26" s="1"/>
  <c r="M42" i="26"/>
  <c r="M43" i="26" s="1"/>
  <c r="N42" i="26"/>
  <c r="N43" i="26" s="1"/>
  <c r="S42" i="26"/>
  <c r="S43" i="26" s="1"/>
  <c r="U42" i="26"/>
  <c r="U43" i="26" s="1"/>
  <c r="AA42" i="26"/>
  <c r="AA43" i="26" s="1"/>
  <c r="AC42" i="26"/>
  <c r="AC43" i="26" s="1"/>
  <c r="F43" i="26"/>
  <c r="I43" i="26"/>
  <c r="Q43" i="26"/>
  <c r="W43" i="26"/>
  <c r="Y43" i="26"/>
  <c r="AE43" i="26"/>
  <c r="F45" i="26"/>
  <c r="G45" i="26"/>
  <c r="H45" i="26"/>
  <c r="I45" i="26"/>
  <c r="J45" i="26"/>
  <c r="K45" i="26"/>
  <c r="L45" i="26"/>
  <c r="M45" i="26"/>
  <c r="M45" i="27" s="1"/>
  <c r="N45" i="26"/>
  <c r="O45" i="26"/>
  <c r="P45" i="26"/>
  <c r="Q45" i="26"/>
  <c r="R45" i="26"/>
  <c r="S45" i="26"/>
  <c r="T45" i="26"/>
  <c r="U45" i="26"/>
  <c r="V45" i="26"/>
  <c r="V45" i="27" s="1"/>
  <c r="W45" i="26"/>
  <c r="X45" i="26"/>
  <c r="Y45" i="26"/>
  <c r="Z45" i="26"/>
  <c r="AA45" i="26"/>
  <c r="AA45" i="27" s="1"/>
  <c r="AB45" i="26"/>
  <c r="AC45" i="26"/>
  <c r="AD45" i="26"/>
  <c r="AE45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Y47" i="27" s="1"/>
  <c r="Z47" i="26"/>
  <c r="AA47" i="26"/>
  <c r="AB47" i="26"/>
  <c r="AC47" i="26"/>
  <c r="AD47" i="26"/>
  <c r="AE47" i="26"/>
  <c r="F49" i="26"/>
  <c r="G49" i="26"/>
  <c r="H49" i="26"/>
  <c r="I49" i="26"/>
  <c r="J49" i="26"/>
  <c r="K49" i="26"/>
  <c r="L49" i="26"/>
  <c r="M49" i="26"/>
  <c r="M49" i="27" s="1"/>
  <c r="N49" i="26"/>
  <c r="O49" i="26"/>
  <c r="P49" i="26"/>
  <c r="Q49" i="26"/>
  <c r="R49" i="26"/>
  <c r="S49" i="26"/>
  <c r="T49" i="26"/>
  <c r="U49" i="26"/>
  <c r="E49" i="26" s="1"/>
  <c r="G49" i="38" s="1"/>
  <c r="I49" i="38" s="1"/>
  <c r="V49" i="26"/>
  <c r="W49" i="26"/>
  <c r="X49" i="26"/>
  <c r="Y49" i="26"/>
  <c r="Z49" i="26"/>
  <c r="AA49" i="26"/>
  <c r="AB49" i="26"/>
  <c r="AC49" i="26"/>
  <c r="AD49" i="26"/>
  <c r="AE49" i="26"/>
  <c r="F51" i="26"/>
  <c r="G51" i="26"/>
  <c r="H51" i="26"/>
  <c r="I51" i="26"/>
  <c r="J51" i="26"/>
  <c r="K51" i="26"/>
  <c r="L51" i="26"/>
  <c r="M51" i="26"/>
  <c r="N51" i="26"/>
  <c r="O51" i="26"/>
  <c r="P51" i="26"/>
  <c r="P51" i="27" s="1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F54" i="26"/>
  <c r="G54" i="26"/>
  <c r="H54" i="26"/>
  <c r="I54" i="26"/>
  <c r="J54" i="26"/>
  <c r="K54" i="26"/>
  <c r="L54" i="26"/>
  <c r="M54" i="26"/>
  <c r="M56" i="26" s="1"/>
  <c r="N54" i="26"/>
  <c r="O54" i="26"/>
  <c r="P54" i="26"/>
  <c r="Q54" i="26"/>
  <c r="R54" i="26"/>
  <c r="R56" i="26" s="1"/>
  <c r="S54" i="26"/>
  <c r="T54" i="26"/>
  <c r="T56" i="26" s="1"/>
  <c r="U54" i="26"/>
  <c r="V54" i="26"/>
  <c r="W54" i="26"/>
  <c r="X54" i="26"/>
  <c r="Y54" i="26"/>
  <c r="Z54" i="26"/>
  <c r="Z56" i="26" s="1"/>
  <c r="AA54" i="26"/>
  <c r="AA56" i="26" s="1"/>
  <c r="AB54" i="26"/>
  <c r="AC54" i="26"/>
  <c r="AD54" i="26"/>
  <c r="AE54" i="26"/>
  <c r="F55" i="26"/>
  <c r="G55" i="26"/>
  <c r="H55" i="26"/>
  <c r="H56" i="26" s="1"/>
  <c r="I55" i="26"/>
  <c r="I56" i="26" s="1"/>
  <c r="J55" i="26"/>
  <c r="J55" i="27" s="1"/>
  <c r="K55" i="26"/>
  <c r="L55" i="26"/>
  <c r="M55" i="26"/>
  <c r="N55" i="26"/>
  <c r="O55" i="26"/>
  <c r="O56" i="26" s="1"/>
  <c r="P55" i="26"/>
  <c r="P56" i="26" s="1"/>
  <c r="Q55" i="26"/>
  <c r="Q56" i="26" s="1"/>
  <c r="R55" i="26"/>
  <c r="S55" i="26"/>
  <c r="T55" i="26"/>
  <c r="U55" i="26"/>
  <c r="V55" i="26"/>
  <c r="W55" i="26"/>
  <c r="W56" i="26" s="1"/>
  <c r="X55" i="26"/>
  <c r="X56" i="26" s="1"/>
  <c r="Y55" i="26"/>
  <c r="Y56" i="26" s="1"/>
  <c r="Z55" i="26"/>
  <c r="AA55" i="26"/>
  <c r="AB55" i="26"/>
  <c r="AC55" i="26"/>
  <c r="AD55" i="26"/>
  <c r="AE55" i="26"/>
  <c r="AE56" i="26" s="1"/>
  <c r="F56" i="26"/>
  <c r="L56" i="26"/>
  <c r="N56" i="26"/>
  <c r="S56" i="26"/>
  <c r="U56" i="26"/>
  <c r="V56" i="26"/>
  <c r="AB56" i="26"/>
  <c r="AC56" i="26"/>
  <c r="AD56" i="26"/>
  <c r="F59" i="26"/>
  <c r="G59" i="26"/>
  <c r="H59" i="26"/>
  <c r="I59" i="26"/>
  <c r="I61" i="26" s="1"/>
  <c r="J59" i="26"/>
  <c r="K59" i="26"/>
  <c r="L59" i="26"/>
  <c r="M59" i="26"/>
  <c r="N59" i="26"/>
  <c r="N59" i="27" s="1"/>
  <c r="N61" i="27" s="1"/>
  <c r="O59" i="26"/>
  <c r="O61" i="26" s="1"/>
  <c r="P59" i="26"/>
  <c r="Q59" i="26"/>
  <c r="Q61" i="26" s="1"/>
  <c r="R59" i="26"/>
  <c r="R59" i="27" s="1"/>
  <c r="S59" i="26"/>
  <c r="T59" i="26"/>
  <c r="U59" i="26"/>
  <c r="V59" i="26"/>
  <c r="V61" i="26" s="1"/>
  <c r="W59" i="26"/>
  <c r="X59" i="26"/>
  <c r="Y59" i="26"/>
  <c r="Y61" i="26" s="1"/>
  <c r="Z59" i="26"/>
  <c r="AA59" i="26"/>
  <c r="AB59" i="26"/>
  <c r="AC59" i="26"/>
  <c r="AD59" i="26"/>
  <c r="AD59" i="27" s="1"/>
  <c r="AD61" i="27" s="1"/>
  <c r="AE59" i="26"/>
  <c r="F60" i="26"/>
  <c r="G60" i="26"/>
  <c r="H60" i="26"/>
  <c r="I60" i="26"/>
  <c r="J60" i="26"/>
  <c r="K60" i="26"/>
  <c r="K61" i="26" s="1"/>
  <c r="L60" i="26"/>
  <c r="L61" i="26" s="1"/>
  <c r="M60" i="26"/>
  <c r="M61" i="26" s="1"/>
  <c r="N60" i="26"/>
  <c r="O60" i="26"/>
  <c r="P60" i="26"/>
  <c r="Q60" i="26"/>
  <c r="R60" i="26"/>
  <c r="R61" i="26" s="1"/>
  <c r="S60" i="26"/>
  <c r="S61" i="26" s="1"/>
  <c r="T60" i="26"/>
  <c r="T61" i="26" s="1"/>
  <c r="U60" i="26"/>
  <c r="V60" i="26"/>
  <c r="W60" i="26"/>
  <c r="X60" i="26"/>
  <c r="Y60" i="26"/>
  <c r="Z60" i="26"/>
  <c r="Z61" i="26" s="1"/>
  <c r="AA60" i="26"/>
  <c r="AA61" i="26" s="1"/>
  <c r="AB60" i="26"/>
  <c r="AB61" i="26" s="1"/>
  <c r="AC60" i="26"/>
  <c r="AC61" i="26" s="1"/>
  <c r="AD60" i="26"/>
  <c r="AD60" i="27" s="1"/>
  <c r="AE60" i="26"/>
  <c r="F61" i="26"/>
  <c r="G61" i="26"/>
  <c r="H61" i="26"/>
  <c r="N61" i="26"/>
  <c r="P61" i="26"/>
  <c r="W61" i="26"/>
  <c r="X61" i="26"/>
  <c r="AD61" i="26"/>
  <c r="AE61" i="26"/>
  <c r="F64" i="26"/>
  <c r="G64" i="26"/>
  <c r="H64" i="26"/>
  <c r="I64" i="26"/>
  <c r="J64" i="26"/>
  <c r="J66" i="26" s="1"/>
  <c r="K64" i="26"/>
  <c r="L64" i="26"/>
  <c r="L66" i="26" s="1"/>
  <c r="M64" i="26"/>
  <c r="M66" i="26" s="1"/>
  <c r="N64" i="26"/>
  <c r="O64" i="26"/>
  <c r="P64" i="26"/>
  <c r="Q64" i="26"/>
  <c r="R64" i="26"/>
  <c r="R66" i="26" s="1"/>
  <c r="S64" i="26"/>
  <c r="T64" i="26"/>
  <c r="T66" i="26" s="1"/>
  <c r="U64" i="26"/>
  <c r="U64" i="27" s="1"/>
  <c r="U66" i="27" s="1"/>
  <c r="V64" i="26"/>
  <c r="W64" i="26"/>
  <c r="X64" i="26"/>
  <c r="Y64" i="26"/>
  <c r="Z64" i="26"/>
  <c r="Z66" i="26" s="1"/>
  <c r="AA64" i="26"/>
  <c r="AB64" i="26"/>
  <c r="AC64" i="26"/>
  <c r="AC66" i="26" s="1"/>
  <c r="AD64" i="26"/>
  <c r="AD64" i="27" s="1"/>
  <c r="AE64" i="26"/>
  <c r="F65" i="26"/>
  <c r="G65" i="26"/>
  <c r="H65" i="26"/>
  <c r="H66" i="26" s="1"/>
  <c r="I65" i="26"/>
  <c r="I66" i="26" s="1"/>
  <c r="J65" i="26"/>
  <c r="J65" i="27" s="1"/>
  <c r="K65" i="26"/>
  <c r="L65" i="26"/>
  <c r="M65" i="26"/>
  <c r="N65" i="26"/>
  <c r="O65" i="26"/>
  <c r="P65" i="26"/>
  <c r="P66" i="26" s="1"/>
  <c r="Q65" i="26"/>
  <c r="Q66" i="26" s="1"/>
  <c r="R65" i="26"/>
  <c r="R65" i="27" s="1"/>
  <c r="S65" i="26"/>
  <c r="T65" i="26"/>
  <c r="V65" i="26"/>
  <c r="W65" i="26"/>
  <c r="W66" i="26" s="1"/>
  <c r="X65" i="26"/>
  <c r="X66" i="26" s="1"/>
  <c r="Y65" i="26"/>
  <c r="Y66" i="26" s="1"/>
  <c r="Z65" i="26"/>
  <c r="Z65" i="27" s="1"/>
  <c r="AA65" i="26"/>
  <c r="AA65" i="27" s="1"/>
  <c r="AB65" i="26"/>
  <c r="AC65" i="26"/>
  <c r="AD65" i="26"/>
  <c r="AE65" i="26"/>
  <c r="F66" i="26"/>
  <c r="G66" i="26"/>
  <c r="K66" i="26"/>
  <c r="N66" i="26"/>
  <c r="O66" i="26"/>
  <c r="S66" i="26"/>
  <c r="U66" i="26"/>
  <c r="V66" i="26"/>
  <c r="AD66" i="26"/>
  <c r="AE66" i="26"/>
  <c r="F70" i="26"/>
  <c r="G70" i="26"/>
  <c r="G72" i="26" s="1"/>
  <c r="H70" i="26"/>
  <c r="I70" i="26"/>
  <c r="J70" i="26"/>
  <c r="J72" i="26" s="1"/>
  <c r="K70" i="26"/>
  <c r="L70" i="26"/>
  <c r="M70" i="26"/>
  <c r="N70" i="26"/>
  <c r="O70" i="26"/>
  <c r="O72" i="26" s="1"/>
  <c r="P70" i="26"/>
  <c r="Q70" i="26"/>
  <c r="Q72" i="26" s="1"/>
  <c r="R70" i="26"/>
  <c r="S70" i="26"/>
  <c r="S70" i="27" s="1"/>
  <c r="T70" i="26"/>
  <c r="U70" i="26"/>
  <c r="V70" i="26"/>
  <c r="W70" i="26"/>
  <c r="W70" i="27" s="1"/>
  <c r="W72" i="27" s="1"/>
  <c r="X70" i="26"/>
  <c r="Y70" i="26"/>
  <c r="Y72" i="26" s="1"/>
  <c r="Z70" i="26"/>
  <c r="Z72" i="26" s="1"/>
  <c r="AA70" i="26"/>
  <c r="AA70" i="27" s="1"/>
  <c r="AB70" i="26"/>
  <c r="AC70" i="26"/>
  <c r="AD70" i="26"/>
  <c r="AE70" i="26"/>
  <c r="AE72" i="26" s="1"/>
  <c r="F71" i="26"/>
  <c r="G71" i="26"/>
  <c r="H71" i="26"/>
  <c r="I71" i="26"/>
  <c r="J71" i="26"/>
  <c r="K71" i="26"/>
  <c r="L71" i="26"/>
  <c r="L72" i="26" s="1"/>
  <c r="M71" i="26"/>
  <c r="M72" i="26" s="1"/>
  <c r="N71" i="26"/>
  <c r="N72" i="26" s="1"/>
  <c r="O71" i="26"/>
  <c r="O71" i="27" s="1"/>
  <c r="P71" i="26"/>
  <c r="Q71" i="26"/>
  <c r="R71" i="26"/>
  <c r="S71" i="26"/>
  <c r="S71" i="27" s="1"/>
  <c r="T71" i="26"/>
  <c r="T72" i="26" s="1"/>
  <c r="U71" i="26"/>
  <c r="U72" i="26" s="1"/>
  <c r="V71" i="26"/>
  <c r="V72" i="26" s="1"/>
  <c r="W71" i="26"/>
  <c r="W71" i="27" s="1"/>
  <c r="X71" i="26"/>
  <c r="Y71" i="26"/>
  <c r="Z71" i="26"/>
  <c r="AA71" i="26"/>
  <c r="AA72" i="26" s="1"/>
  <c r="AB71" i="26"/>
  <c r="AB72" i="26" s="1"/>
  <c r="AC71" i="26"/>
  <c r="AC72" i="26" s="1"/>
  <c r="AD71" i="26"/>
  <c r="AD72" i="26" s="1"/>
  <c r="AE71" i="26"/>
  <c r="H72" i="26"/>
  <c r="I72" i="26"/>
  <c r="P72" i="26"/>
  <c r="R72" i="26"/>
  <c r="S72" i="26"/>
  <c r="X72" i="26"/>
  <c r="F73" i="26"/>
  <c r="G73" i="26"/>
  <c r="E73" i="26" s="1"/>
  <c r="G73" i="38" s="1"/>
  <c r="I73" i="38" s="1"/>
  <c r="H73" i="26"/>
  <c r="I73" i="26"/>
  <c r="J73" i="26"/>
  <c r="K73" i="26"/>
  <c r="L73" i="26"/>
  <c r="D73" i="26" s="1"/>
  <c r="F73" i="38" s="1"/>
  <c r="H73" i="38" s="1"/>
  <c r="M73" i="26"/>
  <c r="N73" i="26"/>
  <c r="O73" i="26"/>
  <c r="O73" i="27" s="1"/>
  <c r="P73" i="26"/>
  <c r="Q73" i="26"/>
  <c r="R73" i="26"/>
  <c r="S73" i="26"/>
  <c r="T73" i="26"/>
  <c r="U73" i="26"/>
  <c r="V73" i="26"/>
  <c r="W73" i="26"/>
  <c r="W73" i="27" s="1"/>
  <c r="X73" i="26"/>
  <c r="Y73" i="26"/>
  <c r="Z73" i="26"/>
  <c r="AA73" i="26"/>
  <c r="AB73" i="26"/>
  <c r="AC73" i="26"/>
  <c r="AD73" i="26"/>
  <c r="AE73" i="26"/>
  <c r="AE73" i="27" s="1"/>
  <c r="F74" i="26"/>
  <c r="G74" i="26"/>
  <c r="H74" i="26"/>
  <c r="I74" i="26"/>
  <c r="J74" i="26"/>
  <c r="K74" i="26"/>
  <c r="K74" i="27" s="1"/>
  <c r="L74" i="26"/>
  <c r="M74" i="26"/>
  <c r="N74" i="26"/>
  <c r="O74" i="26"/>
  <c r="P74" i="26"/>
  <c r="Q74" i="26"/>
  <c r="R74" i="26"/>
  <c r="S74" i="26"/>
  <c r="S74" i="27" s="1"/>
  <c r="T74" i="26"/>
  <c r="U74" i="26"/>
  <c r="V74" i="26"/>
  <c r="W74" i="26"/>
  <c r="X74" i="26"/>
  <c r="Y74" i="26"/>
  <c r="Z74" i="26"/>
  <c r="AA74" i="26"/>
  <c r="AA74" i="27" s="1"/>
  <c r="AB74" i="26"/>
  <c r="AC74" i="26"/>
  <c r="AD74" i="26"/>
  <c r="AE74" i="26"/>
  <c r="F75" i="26"/>
  <c r="G75" i="26"/>
  <c r="H75" i="26"/>
  <c r="I75" i="26"/>
  <c r="J75" i="26"/>
  <c r="K75" i="26"/>
  <c r="L75" i="26"/>
  <c r="D75" i="26" s="1"/>
  <c r="F75" i="38" s="1"/>
  <c r="H75" i="38" s="1"/>
  <c r="M75" i="26"/>
  <c r="N75" i="26"/>
  <c r="O75" i="26"/>
  <c r="O75" i="27" s="1"/>
  <c r="P75" i="26"/>
  <c r="Q75" i="26"/>
  <c r="R75" i="26"/>
  <c r="S75" i="26"/>
  <c r="T75" i="26"/>
  <c r="U75" i="26"/>
  <c r="V75" i="26"/>
  <c r="W75" i="26"/>
  <c r="W75" i="27" s="1"/>
  <c r="X75" i="26"/>
  <c r="Y75" i="26"/>
  <c r="Z75" i="26"/>
  <c r="AA75" i="26"/>
  <c r="AB75" i="26"/>
  <c r="AC75" i="26"/>
  <c r="AD75" i="26"/>
  <c r="AE75" i="26"/>
  <c r="AE75" i="27" s="1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F77" i="26"/>
  <c r="D77" i="26" s="1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E77" i="27" s="1"/>
  <c r="F78" i="26"/>
  <c r="G78" i="26"/>
  <c r="H78" i="26"/>
  <c r="I78" i="26"/>
  <c r="J78" i="26"/>
  <c r="K78" i="26"/>
  <c r="L78" i="26"/>
  <c r="M78" i="26"/>
  <c r="N78" i="26"/>
  <c r="O78" i="26"/>
  <c r="O78" i="27" s="1"/>
  <c r="P78" i="26"/>
  <c r="Q78" i="26"/>
  <c r="R78" i="26"/>
  <c r="S78" i="26"/>
  <c r="S78" i="27" s="1"/>
  <c r="T78" i="26"/>
  <c r="U78" i="26"/>
  <c r="V78" i="26"/>
  <c r="W78" i="26"/>
  <c r="W78" i="27" s="1"/>
  <c r="X78" i="26"/>
  <c r="Y78" i="26"/>
  <c r="Z78" i="26"/>
  <c r="AA78" i="26"/>
  <c r="AA78" i="27" s="1"/>
  <c r="AB78" i="26"/>
  <c r="AC78" i="26"/>
  <c r="AD78" i="26"/>
  <c r="AE78" i="26"/>
  <c r="F79" i="26"/>
  <c r="G79" i="26"/>
  <c r="H79" i="26"/>
  <c r="I79" i="26"/>
  <c r="J79" i="26"/>
  <c r="K79" i="26"/>
  <c r="L79" i="26"/>
  <c r="D79" i="26" s="1"/>
  <c r="F79" i="38" s="1"/>
  <c r="M79" i="26"/>
  <c r="N79" i="26"/>
  <c r="O79" i="26"/>
  <c r="O79" i="27" s="1"/>
  <c r="P79" i="26"/>
  <c r="Q79" i="26"/>
  <c r="R79" i="26"/>
  <c r="S79" i="26"/>
  <c r="T79" i="26"/>
  <c r="U79" i="26"/>
  <c r="V79" i="26"/>
  <c r="W79" i="26"/>
  <c r="W79" i="27" s="1"/>
  <c r="X79" i="26"/>
  <c r="Y79" i="26"/>
  <c r="Z79" i="26"/>
  <c r="AA79" i="26"/>
  <c r="AB79" i="26"/>
  <c r="AC79" i="26"/>
  <c r="AD79" i="26"/>
  <c r="AE79" i="26"/>
  <c r="F80" i="26"/>
  <c r="G80" i="26"/>
  <c r="H80" i="26"/>
  <c r="D80" i="26" s="1"/>
  <c r="F80" i="38" s="1"/>
  <c r="H80" i="38" s="1"/>
  <c r="I80" i="26"/>
  <c r="J80" i="26"/>
  <c r="K80" i="26"/>
  <c r="K80" i="27" s="1"/>
  <c r="L80" i="26"/>
  <c r="M80" i="26"/>
  <c r="N80" i="26"/>
  <c r="O80" i="26"/>
  <c r="P80" i="26"/>
  <c r="Q80" i="26"/>
  <c r="R80" i="26"/>
  <c r="S80" i="26"/>
  <c r="S80" i="27" s="1"/>
  <c r="T80" i="26"/>
  <c r="U80" i="26"/>
  <c r="V80" i="26"/>
  <c r="W80" i="26"/>
  <c r="X80" i="26"/>
  <c r="Y80" i="26"/>
  <c r="Z80" i="26"/>
  <c r="AA80" i="26"/>
  <c r="AA80" i="27" s="1"/>
  <c r="AB80" i="26"/>
  <c r="AC80" i="26"/>
  <c r="AD80" i="26"/>
  <c r="AE80" i="26"/>
  <c r="F81" i="26"/>
  <c r="G81" i="26"/>
  <c r="H81" i="26"/>
  <c r="I81" i="26"/>
  <c r="J81" i="26"/>
  <c r="K81" i="26"/>
  <c r="L81" i="26"/>
  <c r="D81" i="26" s="1"/>
  <c r="F81" i="38" s="1"/>
  <c r="H81" i="38" s="1"/>
  <c r="M81" i="26"/>
  <c r="E81" i="26" s="1"/>
  <c r="G81" i="38" s="1"/>
  <c r="N81" i="26"/>
  <c r="O81" i="26"/>
  <c r="O81" i="27" s="1"/>
  <c r="P81" i="26"/>
  <c r="Q81" i="26"/>
  <c r="R81" i="26"/>
  <c r="S81" i="26"/>
  <c r="T81" i="26"/>
  <c r="U81" i="26"/>
  <c r="V81" i="26"/>
  <c r="W81" i="26"/>
  <c r="W81" i="27" s="1"/>
  <c r="X81" i="26"/>
  <c r="Y81" i="26"/>
  <c r="Z81" i="26"/>
  <c r="AA81" i="26"/>
  <c r="AB81" i="26"/>
  <c r="AC81" i="26"/>
  <c r="AD81" i="26"/>
  <c r="AE81" i="26"/>
  <c r="AE81" i="27" s="1"/>
  <c r="A4" i="38"/>
  <c r="A5" i="38"/>
  <c r="D11" i="38"/>
  <c r="G14" i="38"/>
  <c r="I14" i="38" s="1"/>
  <c r="H14" i="38"/>
  <c r="E15" i="38"/>
  <c r="D21" i="38"/>
  <c r="E22" i="38"/>
  <c r="D27" i="38"/>
  <c r="D29" i="38" s="1"/>
  <c r="D28" i="38"/>
  <c r="E39" i="38"/>
  <c r="D40" i="38"/>
  <c r="E41" i="38"/>
  <c r="E45" i="38"/>
  <c r="E51" i="38"/>
  <c r="E54" i="38"/>
  <c r="D59" i="38"/>
  <c r="D60" i="38"/>
  <c r="E73" i="38"/>
  <c r="D76" i="38"/>
  <c r="D76" i="5" s="1"/>
  <c r="E76" i="38"/>
  <c r="D77" i="38"/>
  <c r="F77" i="38"/>
  <c r="H77" i="38" s="1"/>
  <c r="E78" i="38"/>
  <c r="H79" i="38"/>
  <c r="D80" i="38"/>
  <c r="E80" i="38"/>
  <c r="A4" i="16"/>
  <c r="A5" i="16"/>
  <c r="G11" i="16"/>
  <c r="H11" i="16"/>
  <c r="I11" i="16"/>
  <c r="M11" i="16" s="1"/>
  <c r="L11" i="16"/>
  <c r="F12" i="16"/>
  <c r="H12" i="16"/>
  <c r="I12" i="16"/>
  <c r="G12" i="16" s="1"/>
  <c r="L12" i="16"/>
  <c r="D12" i="40" s="1"/>
  <c r="M12" i="16"/>
  <c r="E12" i="40" s="1"/>
  <c r="F13" i="16"/>
  <c r="G13" i="16"/>
  <c r="H13" i="16"/>
  <c r="L13" i="16" s="1"/>
  <c r="I13" i="16"/>
  <c r="M13" i="16"/>
  <c r="H14" i="16"/>
  <c r="I14" i="16"/>
  <c r="G15" i="16"/>
  <c r="H15" i="16"/>
  <c r="F15" i="16" s="1"/>
  <c r="I15" i="16"/>
  <c r="M15" i="16" s="1"/>
  <c r="E15" i="40" s="1"/>
  <c r="L15" i="16"/>
  <c r="J16" i="16"/>
  <c r="K16" i="16"/>
  <c r="H18" i="16"/>
  <c r="I18" i="16"/>
  <c r="H19" i="16"/>
  <c r="I19" i="16"/>
  <c r="M19" i="16"/>
  <c r="F20" i="16"/>
  <c r="H20" i="16"/>
  <c r="I20" i="16"/>
  <c r="G20" i="16" s="1"/>
  <c r="L20" i="16"/>
  <c r="M20" i="16"/>
  <c r="F21" i="16"/>
  <c r="G21" i="16"/>
  <c r="H21" i="16"/>
  <c r="L21" i="16" s="1"/>
  <c r="I21" i="16"/>
  <c r="M21" i="16"/>
  <c r="H22" i="16"/>
  <c r="L22" i="16" s="1"/>
  <c r="D22" i="40" s="1"/>
  <c r="I22" i="16"/>
  <c r="G23" i="16"/>
  <c r="H23" i="16"/>
  <c r="I23" i="16"/>
  <c r="M23" i="16"/>
  <c r="J24" i="16"/>
  <c r="K24" i="16"/>
  <c r="F27" i="16"/>
  <c r="H27" i="16"/>
  <c r="I27" i="16"/>
  <c r="G27" i="16" s="1"/>
  <c r="L27" i="16"/>
  <c r="M27" i="16"/>
  <c r="F28" i="16"/>
  <c r="G28" i="16"/>
  <c r="H28" i="16"/>
  <c r="L28" i="16" s="1"/>
  <c r="D28" i="40" s="1"/>
  <c r="D29" i="40" s="1"/>
  <c r="I28" i="16"/>
  <c r="M28" i="16"/>
  <c r="F29" i="16"/>
  <c r="H29" i="16"/>
  <c r="I29" i="16"/>
  <c r="J29" i="16"/>
  <c r="K29" i="16"/>
  <c r="F32" i="16"/>
  <c r="H32" i="16"/>
  <c r="L32" i="16" s="1"/>
  <c r="I32" i="16"/>
  <c r="H33" i="16"/>
  <c r="I33" i="16"/>
  <c r="F34" i="16"/>
  <c r="H34" i="16"/>
  <c r="I34" i="16"/>
  <c r="G34" i="16" s="1"/>
  <c r="L34" i="16"/>
  <c r="D34" i="40" s="1"/>
  <c r="M34" i="16"/>
  <c r="E34" i="40" s="1"/>
  <c r="F35" i="16"/>
  <c r="G35" i="16"/>
  <c r="H35" i="16"/>
  <c r="L35" i="16" s="1"/>
  <c r="I35" i="16"/>
  <c r="M35" i="16"/>
  <c r="H36" i="16"/>
  <c r="J36" i="16"/>
  <c r="K36" i="16"/>
  <c r="L37" i="16"/>
  <c r="M37" i="16"/>
  <c r="H38" i="16"/>
  <c r="I38" i="16"/>
  <c r="F39" i="16"/>
  <c r="H39" i="16"/>
  <c r="I39" i="16"/>
  <c r="G39" i="16" s="1"/>
  <c r="L39" i="16"/>
  <c r="D39" i="40" s="1"/>
  <c r="F40" i="16"/>
  <c r="F42" i="16" s="1"/>
  <c r="F43" i="16" s="1"/>
  <c r="G40" i="16"/>
  <c r="H40" i="16"/>
  <c r="L40" i="16" s="1"/>
  <c r="I40" i="16"/>
  <c r="M40" i="16"/>
  <c r="F41" i="16"/>
  <c r="H41" i="16"/>
  <c r="L41" i="16" s="1"/>
  <c r="I41" i="16"/>
  <c r="M41" i="16" s="1"/>
  <c r="H42" i="16"/>
  <c r="H43" i="16" s="1"/>
  <c r="J42" i="16"/>
  <c r="K42" i="16"/>
  <c r="J43" i="16"/>
  <c r="K43" i="16"/>
  <c r="G45" i="16"/>
  <c r="H45" i="16"/>
  <c r="F45" i="16" s="1"/>
  <c r="I45" i="16"/>
  <c r="M45" i="16" s="1"/>
  <c r="E45" i="40" s="1"/>
  <c r="L45" i="16"/>
  <c r="D45" i="40" s="1"/>
  <c r="F47" i="16"/>
  <c r="H47" i="16"/>
  <c r="I47" i="16"/>
  <c r="L47" i="16"/>
  <c r="F49" i="16"/>
  <c r="G49" i="16"/>
  <c r="H49" i="16"/>
  <c r="L49" i="16" s="1"/>
  <c r="I49" i="16"/>
  <c r="M49" i="16"/>
  <c r="F51" i="16"/>
  <c r="G51" i="16"/>
  <c r="H51" i="16"/>
  <c r="L51" i="16" s="1"/>
  <c r="I51" i="16"/>
  <c r="M51" i="16" s="1"/>
  <c r="H54" i="16"/>
  <c r="I54" i="16"/>
  <c r="I56" i="16" s="1"/>
  <c r="L54" i="16"/>
  <c r="F55" i="16"/>
  <c r="H55" i="16"/>
  <c r="I55" i="16"/>
  <c r="G55" i="16" s="1"/>
  <c r="L55" i="16"/>
  <c r="J56" i="16"/>
  <c r="K56" i="16"/>
  <c r="F59" i="16"/>
  <c r="G59" i="16"/>
  <c r="H59" i="16"/>
  <c r="L59" i="16" s="1"/>
  <c r="L61" i="16" s="1"/>
  <c r="I59" i="16"/>
  <c r="M59" i="16"/>
  <c r="F60" i="16"/>
  <c r="H60" i="16"/>
  <c r="L60" i="16" s="1"/>
  <c r="I60" i="16"/>
  <c r="H61" i="16"/>
  <c r="J61" i="16"/>
  <c r="K61" i="16"/>
  <c r="H64" i="16"/>
  <c r="L64" i="16" s="1"/>
  <c r="I64" i="16"/>
  <c r="M64" i="16"/>
  <c r="E64" i="40" s="1"/>
  <c r="F65" i="16"/>
  <c r="H65" i="16"/>
  <c r="I65" i="16"/>
  <c r="L65" i="16"/>
  <c r="J66" i="16"/>
  <c r="K66" i="16"/>
  <c r="L66" i="16"/>
  <c r="F70" i="16"/>
  <c r="G70" i="16"/>
  <c r="H70" i="16"/>
  <c r="L70" i="16" s="1"/>
  <c r="I70" i="16"/>
  <c r="M70" i="16"/>
  <c r="M72" i="16" s="1"/>
  <c r="G71" i="16"/>
  <c r="G72" i="16" s="1"/>
  <c r="H71" i="16"/>
  <c r="I71" i="16"/>
  <c r="M71" i="16" s="1"/>
  <c r="J72" i="16"/>
  <c r="K72" i="16"/>
  <c r="G73" i="16"/>
  <c r="H73" i="16"/>
  <c r="I73" i="16"/>
  <c r="M73" i="16"/>
  <c r="E73" i="40" s="1"/>
  <c r="F74" i="16"/>
  <c r="H74" i="16"/>
  <c r="I74" i="16"/>
  <c r="L74" i="16"/>
  <c r="F75" i="16"/>
  <c r="G75" i="16"/>
  <c r="H75" i="16"/>
  <c r="L75" i="16" s="1"/>
  <c r="I75" i="16"/>
  <c r="M75" i="16"/>
  <c r="F76" i="16"/>
  <c r="G76" i="16"/>
  <c r="H76" i="16"/>
  <c r="L76" i="16" s="1"/>
  <c r="I76" i="16"/>
  <c r="M76" i="16" s="1"/>
  <c r="G77" i="16"/>
  <c r="H77" i="16"/>
  <c r="I77" i="16"/>
  <c r="M77" i="16"/>
  <c r="E77" i="40" s="1"/>
  <c r="F78" i="16"/>
  <c r="H78" i="16"/>
  <c r="I78" i="16"/>
  <c r="G78" i="16" s="1"/>
  <c r="L78" i="16"/>
  <c r="M78" i="16"/>
  <c r="E78" i="40" s="1"/>
  <c r="F79" i="16"/>
  <c r="G79" i="16"/>
  <c r="H79" i="16"/>
  <c r="L79" i="16" s="1"/>
  <c r="D79" i="40" s="1"/>
  <c r="I79" i="16"/>
  <c r="M79" i="16"/>
  <c r="G80" i="16"/>
  <c r="H80" i="16"/>
  <c r="I80" i="16"/>
  <c r="M80" i="16" s="1"/>
  <c r="H81" i="16"/>
  <c r="F81" i="16" s="1"/>
  <c r="I81" i="16"/>
  <c r="M81" i="16" s="1"/>
  <c r="E81" i="40" s="1"/>
  <c r="L81" i="16"/>
  <c r="D81" i="40" s="1"/>
  <c r="D82" i="16"/>
  <c r="E82" i="16"/>
  <c r="D89" i="16"/>
  <c r="E89" i="16"/>
  <c r="E91" i="16" s="1"/>
  <c r="F89" i="16"/>
  <c r="G89" i="16"/>
  <c r="H89" i="16"/>
  <c r="I89" i="16"/>
  <c r="J89" i="16"/>
  <c r="K89" i="16"/>
  <c r="L89" i="16"/>
  <c r="M89" i="16"/>
  <c r="D91" i="16"/>
  <c r="A5" i="28"/>
  <c r="H8" i="28"/>
  <c r="J8" i="28"/>
  <c r="L8" i="28"/>
  <c r="N8" i="28"/>
  <c r="F11" i="28"/>
  <c r="G11" i="28"/>
  <c r="H11" i="28"/>
  <c r="I11" i="28"/>
  <c r="I16" i="28" s="1"/>
  <c r="J11" i="28"/>
  <c r="J16" i="28" s="1"/>
  <c r="K11" i="28"/>
  <c r="L11" i="28"/>
  <c r="M11" i="28"/>
  <c r="M16" i="28" s="1"/>
  <c r="N11" i="28"/>
  <c r="O11" i="28"/>
  <c r="O16" i="28" s="1"/>
  <c r="P11" i="28"/>
  <c r="Q11" i="28"/>
  <c r="Q16" i="28" s="1"/>
  <c r="R11" i="28"/>
  <c r="R16" i="28" s="1"/>
  <c r="S11" i="28"/>
  <c r="T11" i="28"/>
  <c r="U11" i="28"/>
  <c r="V11" i="28"/>
  <c r="V16" i="28" s="1"/>
  <c r="W11" i="28"/>
  <c r="W16" i="28" s="1"/>
  <c r="X11" i="28"/>
  <c r="Y11" i="28"/>
  <c r="Y16" i="28" s="1"/>
  <c r="Z11" i="28"/>
  <c r="Z16" i="28" s="1"/>
  <c r="AA11" i="28"/>
  <c r="AB11" i="28"/>
  <c r="AC11" i="28"/>
  <c r="AD11" i="28"/>
  <c r="AE11" i="28"/>
  <c r="AE16" i="28" s="1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A16" i="28" s="1"/>
  <c r="AB12" i="28"/>
  <c r="AC12" i="28"/>
  <c r="AD12" i="28"/>
  <c r="AE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F14" i="28"/>
  <c r="G14" i="28"/>
  <c r="H14" i="28"/>
  <c r="H16" i="28" s="1"/>
  <c r="H82" i="28" s="1"/>
  <c r="F649" i="44" s="1"/>
  <c r="I14" i="28"/>
  <c r="J14" i="28"/>
  <c r="K14" i="28"/>
  <c r="E14" i="28" s="1"/>
  <c r="G14" i="40" s="1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X16" i="28" s="1"/>
  <c r="Y14" i="28"/>
  <c r="Z14" i="28"/>
  <c r="AA14" i="28"/>
  <c r="AB14" i="28"/>
  <c r="AC14" i="28"/>
  <c r="AD14" i="28"/>
  <c r="AE14" i="28"/>
  <c r="D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N16" i="28"/>
  <c r="P16" i="28"/>
  <c r="P82" i="28" s="1"/>
  <c r="N649" i="44" s="1"/>
  <c r="U16" i="28"/>
  <c r="AD16" i="28"/>
  <c r="F19" i="28"/>
  <c r="D19" i="28" s="1"/>
  <c r="G19" i="28"/>
  <c r="H19" i="28"/>
  <c r="I19" i="28"/>
  <c r="J19" i="28"/>
  <c r="K19" i="28"/>
  <c r="L19" i="28"/>
  <c r="M19" i="28"/>
  <c r="N19" i="28"/>
  <c r="N24" i="28" s="1"/>
  <c r="O19" i="28"/>
  <c r="O24" i="28" s="1"/>
  <c r="P19" i="28"/>
  <c r="Q19" i="28"/>
  <c r="R19" i="28"/>
  <c r="S19" i="28"/>
  <c r="T19" i="28"/>
  <c r="U19" i="28"/>
  <c r="U24" i="28" s="1"/>
  <c r="V19" i="28"/>
  <c r="W19" i="28"/>
  <c r="W24" i="28" s="1"/>
  <c r="X19" i="28"/>
  <c r="X24" i="28" s="1"/>
  <c r="Y19" i="28"/>
  <c r="Z19" i="28"/>
  <c r="AA19" i="28"/>
  <c r="AB19" i="28"/>
  <c r="AC19" i="28"/>
  <c r="AD19" i="28"/>
  <c r="AD24" i="28" s="1"/>
  <c r="AE19" i="28"/>
  <c r="AE24" i="28" s="1"/>
  <c r="F20" i="28"/>
  <c r="G20" i="28"/>
  <c r="H20" i="28"/>
  <c r="I20" i="28"/>
  <c r="J20" i="28"/>
  <c r="K20" i="28"/>
  <c r="K24" i="28" s="1"/>
  <c r="L20" i="28"/>
  <c r="M20" i="28"/>
  <c r="N20" i="28"/>
  <c r="O20" i="28"/>
  <c r="P20" i="28"/>
  <c r="Q20" i="28"/>
  <c r="R20" i="28"/>
  <c r="S20" i="28"/>
  <c r="T20" i="28"/>
  <c r="T24" i="28" s="1"/>
  <c r="U20" i="28"/>
  <c r="V20" i="28"/>
  <c r="W20" i="28"/>
  <c r="X20" i="28"/>
  <c r="Z20" i="28"/>
  <c r="AB20" i="28"/>
  <c r="AD20" i="28"/>
  <c r="D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F24" i="28"/>
  <c r="H24" i="28"/>
  <c r="M24" i="28"/>
  <c r="P24" i="28"/>
  <c r="S24" i="28"/>
  <c r="V24" i="28"/>
  <c r="AA24" i="28"/>
  <c r="AC24" i="28"/>
  <c r="F27" i="28"/>
  <c r="G27" i="28"/>
  <c r="H27" i="28"/>
  <c r="I27" i="28"/>
  <c r="I29" i="28" s="1"/>
  <c r="J27" i="28"/>
  <c r="K27" i="28"/>
  <c r="K29" i="28" s="1"/>
  <c r="L27" i="28"/>
  <c r="M27" i="28"/>
  <c r="N27" i="28"/>
  <c r="O27" i="28"/>
  <c r="P27" i="28"/>
  <c r="Q27" i="28"/>
  <c r="R27" i="28"/>
  <c r="R29" i="28" s="1"/>
  <c r="S27" i="28"/>
  <c r="S29" i="28" s="1"/>
  <c r="T27" i="28"/>
  <c r="T29" i="28" s="1"/>
  <c r="U27" i="28"/>
  <c r="V27" i="28"/>
  <c r="W27" i="28"/>
  <c r="X27" i="28"/>
  <c r="Y27" i="28"/>
  <c r="Y29" i="28" s="1"/>
  <c r="Z27" i="28"/>
  <c r="Z29" i="28" s="1"/>
  <c r="AA27" i="28"/>
  <c r="AA29" i="28" s="1"/>
  <c r="AB27" i="28"/>
  <c r="AC27" i="28"/>
  <c r="AD27" i="28"/>
  <c r="AE27" i="28"/>
  <c r="F28" i="28"/>
  <c r="G28" i="28"/>
  <c r="H28" i="28"/>
  <c r="H29" i="28" s="1"/>
  <c r="I28" i="28"/>
  <c r="J28" i="28"/>
  <c r="K28" i="28"/>
  <c r="L28" i="28"/>
  <c r="M28" i="28"/>
  <c r="M29" i="28" s="1"/>
  <c r="N28" i="28"/>
  <c r="N29" i="28" s="1"/>
  <c r="O28" i="28"/>
  <c r="P28" i="28"/>
  <c r="P29" i="28" s="1"/>
  <c r="Q28" i="28"/>
  <c r="R28" i="28"/>
  <c r="S28" i="28"/>
  <c r="T28" i="28"/>
  <c r="U28" i="28"/>
  <c r="U29" i="28" s="1"/>
  <c r="V28" i="28"/>
  <c r="V29" i="28" s="1"/>
  <c r="W28" i="28"/>
  <c r="X28" i="28"/>
  <c r="X29" i="28" s="1"/>
  <c r="Y28" i="28"/>
  <c r="Z28" i="28"/>
  <c r="AA28" i="28"/>
  <c r="AB28" i="28"/>
  <c r="AC28" i="28"/>
  <c r="AC29" i="28" s="1"/>
  <c r="AD28" i="28"/>
  <c r="AD29" i="28" s="1"/>
  <c r="AE28" i="28"/>
  <c r="G29" i="28"/>
  <c r="L29" i="28"/>
  <c r="O29" i="28"/>
  <c r="Q29" i="28"/>
  <c r="W29" i="28"/>
  <c r="AB29" i="28"/>
  <c r="AE29" i="28"/>
  <c r="F32" i="28"/>
  <c r="G32" i="28"/>
  <c r="G36" i="28" s="1"/>
  <c r="H32" i="28"/>
  <c r="I32" i="28"/>
  <c r="J32" i="28"/>
  <c r="K32" i="28"/>
  <c r="L32" i="28"/>
  <c r="M32" i="28"/>
  <c r="N32" i="28"/>
  <c r="O32" i="28"/>
  <c r="O36" i="28" s="1"/>
  <c r="P32" i="28"/>
  <c r="Q32" i="28"/>
  <c r="R32" i="28"/>
  <c r="S32" i="28"/>
  <c r="S36" i="28" s="1"/>
  <c r="T32" i="28"/>
  <c r="U32" i="28"/>
  <c r="U36" i="28" s="1"/>
  <c r="V32" i="28"/>
  <c r="W32" i="28"/>
  <c r="W36" i="28" s="1"/>
  <c r="X32" i="28"/>
  <c r="X36" i="28" s="1"/>
  <c r="Y32" i="28"/>
  <c r="Z32" i="28"/>
  <c r="AA32" i="28"/>
  <c r="AB32" i="28"/>
  <c r="AC32" i="28"/>
  <c r="AD32" i="28"/>
  <c r="AE32" i="28"/>
  <c r="F33" i="28"/>
  <c r="G33" i="28"/>
  <c r="H33" i="28"/>
  <c r="I33" i="28"/>
  <c r="I36" i="28" s="1"/>
  <c r="J33" i="28"/>
  <c r="K33" i="28"/>
  <c r="L33" i="28"/>
  <c r="M33" i="28"/>
  <c r="N33" i="28"/>
  <c r="O33" i="28"/>
  <c r="P33" i="28"/>
  <c r="Q33" i="28"/>
  <c r="Q36" i="28" s="1"/>
  <c r="R33" i="28"/>
  <c r="S33" i="28"/>
  <c r="T33" i="28"/>
  <c r="U33" i="28"/>
  <c r="V33" i="28"/>
  <c r="W33" i="28"/>
  <c r="X33" i="28"/>
  <c r="Y33" i="28"/>
  <c r="Y36" i="28" s="1"/>
  <c r="Z33" i="28"/>
  <c r="AA33" i="28"/>
  <c r="AB33" i="28"/>
  <c r="AC33" i="28"/>
  <c r="AD33" i="28"/>
  <c r="AE33" i="28"/>
  <c r="E34" i="28"/>
  <c r="G34" i="40" s="1"/>
  <c r="I34" i="40" s="1"/>
  <c r="F34" i="28"/>
  <c r="G34" i="28"/>
  <c r="H34" i="28"/>
  <c r="I34" i="28"/>
  <c r="J34" i="28"/>
  <c r="K34" i="28"/>
  <c r="L34" i="28"/>
  <c r="M34" i="28"/>
  <c r="N34" i="28"/>
  <c r="N36" i="28" s="1"/>
  <c r="O34" i="28"/>
  <c r="P34" i="28"/>
  <c r="Q34" i="28"/>
  <c r="R34" i="28"/>
  <c r="S34" i="28"/>
  <c r="T34" i="28"/>
  <c r="U34" i="28"/>
  <c r="V34" i="28"/>
  <c r="V36" i="28" s="1"/>
  <c r="W34" i="28"/>
  <c r="X34" i="28"/>
  <c r="Y34" i="28"/>
  <c r="Z34" i="28"/>
  <c r="AA34" i="28"/>
  <c r="AB34" i="28"/>
  <c r="AC34" i="28"/>
  <c r="AC36" i="28" s="1"/>
  <c r="AD34" i="28"/>
  <c r="AD36" i="28" s="1"/>
  <c r="AE34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H36" i="28"/>
  <c r="K36" i="28"/>
  <c r="P36" i="28"/>
  <c r="AA36" i="28"/>
  <c r="AE36" i="28"/>
  <c r="F39" i="28"/>
  <c r="G39" i="28"/>
  <c r="H39" i="28"/>
  <c r="I39" i="28"/>
  <c r="I43" i="28" s="1"/>
  <c r="J39" i="28"/>
  <c r="D39" i="28" s="1"/>
  <c r="F39" i="40" s="1"/>
  <c r="K39" i="28"/>
  <c r="L39" i="28"/>
  <c r="M39" i="28"/>
  <c r="N39" i="28"/>
  <c r="O39" i="28"/>
  <c r="P39" i="28"/>
  <c r="Q39" i="28"/>
  <c r="Q43" i="28" s="1"/>
  <c r="R39" i="28"/>
  <c r="R43" i="28" s="1"/>
  <c r="S39" i="28"/>
  <c r="T39" i="28"/>
  <c r="U39" i="28"/>
  <c r="V39" i="28"/>
  <c r="W39" i="28"/>
  <c r="X39" i="28"/>
  <c r="Y39" i="28"/>
  <c r="Y43" i="28" s="1"/>
  <c r="Z39" i="28"/>
  <c r="AA39" i="28"/>
  <c r="AB39" i="28"/>
  <c r="AC39" i="28"/>
  <c r="AD39" i="28"/>
  <c r="AE39" i="28"/>
  <c r="F40" i="28"/>
  <c r="D40" i="28" s="1"/>
  <c r="G40" i="28"/>
  <c r="H40" i="28"/>
  <c r="I40" i="28"/>
  <c r="J40" i="28"/>
  <c r="K40" i="28"/>
  <c r="L40" i="28"/>
  <c r="M40" i="28"/>
  <c r="N40" i="28"/>
  <c r="N42" i="28" s="1"/>
  <c r="N43" i="28" s="1"/>
  <c r="O40" i="28"/>
  <c r="O42" i="28" s="1"/>
  <c r="O43" i="28" s="1"/>
  <c r="P40" i="28"/>
  <c r="Q40" i="28"/>
  <c r="R40" i="28"/>
  <c r="S40" i="28"/>
  <c r="T40" i="28"/>
  <c r="U40" i="28"/>
  <c r="V40" i="28"/>
  <c r="V42" i="28" s="1"/>
  <c r="V43" i="28" s="1"/>
  <c r="W40" i="28"/>
  <c r="W42" i="28" s="1"/>
  <c r="W43" i="28" s="1"/>
  <c r="X40" i="28"/>
  <c r="Y40" i="28"/>
  <c r="Z40" i="28"/>
  <c r="AA40" i="28"/>
  <c r="AB40" i="28"/>
  <c r="AC40" i="28"/>
  <c r="AD40" i="28"/>
  <c r="AE40" i="28"/>
  <c r="AE42" i="28" s="1"/>
  <c r="AE43" i="28" s="1"/>
  <c r="F41" i="28"/>
  <c r="G41" i="28"/>
  <c r="H41" i="28"/>
  <c r="I41" i="28"/>
  <c r="I42" i="28" s="1"/>
  <c r="J41" i="28"/>
  <c r="J42" i="28" s="1"/>
  <c r="K41" i="28"/>
  <c r="L41" i="28"/>
  <c r="M41" i="28"/>
  <c r="N41" i="28"/>
  <c r="O41" i="28"/>
  <c r="P41" i="28"/>
  <c r="Q41" i="28"/>
  <c r="Q42" i="28" s="1"/>
  <c r="R41" i="28"/>
  <c r="R42" i="28" s="1"/>
  <c r="S41" i="28"/>
  <c r="S42" i="28" s="1"/>
  <c r="S43" i="28" s="1"/>
  <c r="T41" i="28"/>
  <c r="T42" i="28" s="1"/>
  <c r="T43" i="28" s="1"/>
  <c r="U41" i="28"/>
  <c r="V41" i="28"/>
  <c r="W41" i="28"/>
  <c r="X41" i="28"/>
  <c r="Y41" i="28"/>
  <c r="Y42" i="28" s="1"/>
  <c r="Z41" i="28"/>
  <c r="Z42" i="28" s="1"/>
  <c r="AA41" i="28"/>
  <c r="AA42" i="28" s="1"/>
  <c r="AA43" i="28" s="1"/>
  <c r="AB41" i="28"/>
  <c r="AB42" i="28" s="1"/>
  <c r="AB43" i="28" s="1"/>
  <c r="AC41" i="28"/>
  <c r="AD41" i="28"/>
  <c r="AE41" i="28"/>
  <c r="H42" i="28"/>
  <c r="H43" i="28" s="1"/>
  <c r="K42" i="28"/>
  <c r="M42" i="28"/>
  <c r="M43" i="28" s="1"/>
  <c r="P42" i="28"/>
  <c r="P43" i="28" s="1"/>
  <c r="U42" i="28"/>
  <c r="U43" i="28" s="1"/>
  <c r="X42" i="28"/>
  <c r="X43" i="28" s="1"/>
  <c r="AC42" i="28"/>
  <c r="AC43" i="28" s="1"/>
  <c r="AD42" i="28"/>
  <c r="AD43" i="28" s="1"/>
  <c r="J43" i="28"/>
  <c r="K43" i="28"/>
  <c r="Z43" i="28"/>
  <c r="F45" i="28"/>
  <c r="G45" i="28"/>
  <c r="H45" i="28"/>
  <c r="I45" i="28"/>
  <c r="J45" i="28"/>
  <c r="K45" i="28"/>
  <c r="L45" i="28"/>
  <c r="M45" i="28"/>
  <c r="E45" i="28" s="1"/>
  <c r="G45" i="40" s="1"/>
  <c r="I45" i="40" s="1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F47" i="28"/>
  <c r="G47" i="28"/>
  <c r="H47" i="28"/>
  <c r="I47" i="28"/>
  <c r="J47" i="28"/>
  <c r="D47" i="28" s="1"/>
  <c r="F47" i="40" s="1"/>
  <c r="H47" i="40" s="1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F49" i="28"/>
  <c r="G49" i="28"/>
  <c r="E49" i="28" s="1"/>
  <c r="G49" i="40" s="1"/>
  <c r="I49" i="40" s="1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F51" i="28"/>
  <c r="G51" i="28"/>
  <c r="H51" i="28"/>
  <c r="I51" i="28"/>
  <c r="J51" i="28"/>
  <c r="D51" i="28" s="1"/>
  <c r="F51" i="40" s="1"/>
  <c r="H51" i="40" s="1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E54" i="28"/>
  <c r="G54" i="40" s="1"/>
  <c r="F54" i="28"/>
  <c r="G54" i="28"/>
  <c r="H54" i="28"/>
  <c r="I54" i="28"/>
  <c r="J54" i="28"/>
  <c r="K54" i="28"/>
  <c r="L54" i="28"/>
  <c r="M54" i="28"/>
  <c r="M56" i="28" s="1"/>
  <c r="N54" i="28"/>
  <c r="N56" i="28" s="1"/>
  <c r="O54" i="28"/>
  <c r="P54" i="28"/>
  <c r="Q54" i="28"/>
  <c r="R54" i="28"/>
  <c r="S54" i="28"/>
  <c r="S56" i="28" s="1"/>
  <c r="T54" i="28"/>
  <c r="U54" i="28"/>
  <c r="U56" i="28" s="1"/>
  <c r="V54" i="28"/>
  <c r="V56" i="28" s="1"/>
  <c r="W54" i="28"/>
  <c r="X54" i="28"/>
  <c r="Y54" i="28"/>
  <c r="Z54" i="28"/>
  <c r="AA54" i="28"/>
  <c r="AB54" i="28"/>
  <c r="AC54" i="28"/>
  <c r="AC56" i="28" s="1"/>
  <c r="AD54" i="28"/>
  <c r="AD56" i="28" s="1"/>
  <c r="AE54" i="28"/>
  <c r="AE56" i="28" s="1"/>
  <c r="F55" i="28"/>
  <c r="G55" i="28"/>
  <c r="H55" i="28"/>
  <c r="I55" i="28"/>
  <c r="I56" i="28" s="1"/>
  <c r="J55" i="28"/>
  <c r="K55" i="28"/>
  <c r="L55" i="28"/>
  <c r="L56" i="28" s="1"/>
  <c r="M55" i="28"/>
  <c r="N55" i="28"/>
  <c r="O55" i="28"/>
  <c r="O56" i="28" s="1"/>
  <c r="P55" i="28"/>
  <c r="Q55" i="28"/>
  <c r="Q56" i="28" s="1"/>
  <c r="R55" i="28"/>
  <c r="R56" i="28" s="1"/>
  <c r="S55" i="28"/>
  <c r="T55" i="28"/>
  <c r="T56" i="28" s="1"/>
  <c r="U55" i="28"/>
  <c r="V55" i="28"/>
  <c r="W55" i="28"/>
  <c r="W56" i="28" s="1"/>
  <c r="X55" i="28"/>
  <c r="Y55" i="28"/>
  <c r="Y56" i="28" s="1"/>
  <c r="Z55" i="28"/>
  <c r="Z56" i="28" s="1"/>
  <c r="AA55" i="28"/>
  <c r="AA56" i="28" s="1"/>
  <c r="AB55" i="28"/>
  <c r="AB56" i="28" s="1"/>
  <c r="AC55" i="28"/>
  <c r="AD55" i="28"/>
  <c r="AE55" i="28"/>
  <c r="H56" i="28"/>
  <c r="K56" i="28"/>
  <c r="P56" i="28"/>
  <c r="X56" i="28"/>
  <c r="F59" i="28"/>
  <c r="G59" i="28"/>
  <c r="H59" i="28"/>
  <c r="I59" i="28"/>
  <c r="I61" i="28" s="1"/>
  <c r="J59" i="28"/>
  <c r="D59" i="28" s="1"/>
  <c r="K59" i="28"/>
  <c r="K61" i="28" s="1"/>
  <c r="L59" i="28"/>
  <c r="L61" i="28" s="1"/>
  <c r="M59" i="28"/>
  <c r="N59" i="28"/>
  <c r="O59" i="28"/>
  <c r="P59" i="28"/>
  <c r="Q59" i="28"/>
  <c r="R59" i="28"/>
  <c r="R61" i="28" s="1"/>
  <c r="S59" i="28"/>
  <c r="S61" i="28" s="1"/>
  <c r="T59" i="28"/>
  <c r="U59" i="28"/>
  <c r="V59" i="28"/>
  <c r="W59" i="28"/>
  <c r="W61" i="28" s="1"/>
  <c r="X59" i="28"/>
  <c r="Y59" i="28"/>
  <c r="Y61" i="28" s="1"/>
  <c r="Z59" i="28"/>
  <c r="Z61" i="28" s="1"/>
  <c r="AA59" i="28"/>
  <c r="AA61" i="28" s="1"/>
  <c r="AB59" i="28"/>
  <c r="AC59" i="28"/>
  <c r="AD59" i="28"/>
  <c r="AE59" i="28"/>
  <c r="F60" i="28"/>
  <c r="G60" i="28"/>
  <c r="H60" i="28"/>
  <c r="H61" i="28" s="1"/>
  <c r="I60" i="28"/>
  <c r="J60" i="28"/>
  <c r="K60" i="28"/>
  <c r="L60" i="28"/>
  <c r="M60" i="28"/>
  <c r="M61" i="28" s="1"/>
  <c r="N60" i="28"/>
  <c r="N61" i="28" s="1"/>
  <c r="O60" i="28"/>
  <c r="P60" i="28"/>
  <c r="P61" i="28" s="1"/>
  <c r="Q60" i="28"/>
  <c r="R60" i="28"/>
  <c r="S60" i="28"/>
  <c r="T60" i="28"/>
  <c r="U60" i="28"/>
  <c r="U61" i="28" s="1"/>
  <c r="V60" i="28"/>
  <c r="V61" i="28" s="1"/>
  <c r="W60" i="28"/>
  <c r="X60" i="28"/>
  <c r="X61" i="28" s="1"/>
  <c r="Y60" i="28"/>
  <c r="Z60" i="28"/>
  <c r="AA60" i="28"/>
  <c r="AB60" i="28"/>
  <c r="AC60" i="28"/>
  <c r="AC61" i="28" s="1"/>
  <c r="AD60" i="28"/>
  <c r="AD61" i="28" s="1"/>
  <c r="AE60" i="28"/>
  <c r="G61" i="28"/>
  <c r="O61" i="28"/>
  <c r="Q61" i="28"/>
  <c r="T61" i="28"/>
  <c r="AB61" i="28"/>
  <c r="AE61" i="28"/>
  <c r="F64" i="28"/>
  <c r="G64" i="28"/>
  <c r="E64" i="28" s="1"/>
  <c r="H64" i="28"/>
  <c r="I64" i="28"/>
  <c r="J64" i="28"/>
  <c r="K64" i="28"/>
  <c r="L64" i="28"/>
  <c r="M64" i="28"/>
  <c r="M66" i="28" s="1"/>
  <c r="N64" i="28"/>
  <c r="N66" i="28" s="1"/>
  <c r="O64" i="28"/>
  <c r="O66" i="28" s="1"/>
  <c r="P64" i="28"/>
  <c r="Q64" i="28"/>
  <c r="R64" i="28"/>
  <c r="S64" i="28"/>
  <c r="T64" i="28"/>
  <c r="U64" i="28"/>
  <c r="V64" i="28"/>
  <c r="V66" i="28" s="1"/>
  <c r="W64" i="28"/>
  <c r="W66" i="28" s="1"/>
  <c r="X64" i="28"/>
  <c r="Y64" i="28"/>
  <c r="Z64" i="28"/>
  <c r="AA64" i="28"/>
  <c r="AA66" i="28" s="1"/>
  <c r="AB64" i="28"/>
  <c r="AC64" i="28"/>
  <c r="AC66" i="28" s="1"/>
  <c r="AD64" i="28"/>
  <c r="AD66" i="28" s="1"/>
  <c r="AE64" i="28"/>
  <c r="AE66" i="28" s="1"/>
  <c r="F65" i="28"/>
  <c r="G65" i="28"/>
  <c r="H65" i="28"/>
  <c r="I65" i="28"/>
  <c r="I66" i="28" s="1"/>
  <c r="J65" i="28"/>
  <c r="J66" i="28" s="1"/>
  <c r="K65" i="28"/>
  <c r="L65" i="28"/>
  <c r="L66" i="28" s="1"/>
  <c r="M65" i="28"/>
  <c r="N65" i="28"/>
  <c r="O65" i="28"/>
  <c r="P65" i="28"/>
  <c r="Q65" i="28"/>
  <c r="Q66" i="28" s="1"/>
  <c r="R65" i="28"/>
  <c r="R66" i="28" s="1"/>
  <c r="S65" i="28"/>
  <c r="T65" i="28"/>
  <c r="T66" i="28" s="1"/>
  <c r="U65" i="28"/>
  <c r="V65" i="28"/>
  <c r="W65" i="28"/>
  <c r="X65" i="28"/>
  <c r="Y65" i="28"/>
  <c r="Y66" i="28" s="1"/>
  <c r="Z65" i="28"/>
  <c r="Z66" i="28" s="1"/>
  <c r="AA65" i="28"/>
  <c r="AB65" i="28"/>
  <c r="AB66" i="28" s="1"/>
  <c r="AC65" i="28"/>
  <c r="AD65" i="28"/>
  <c r="AE65" i="28"/>
  <c r="F66" i="28"/>
  <c r="H66" i="28"/>
  <c r="K66" i="28"/>
  <c r="P66" i="28"/>
  <c r="S66" i="28"/>
  <c r="U66" i="28"/>
  <c r="X66" i="28"/>
  <c r="D70" i="28"/>
  <c r="F70" i="40" s="1"/>
  <c r="F70" i="28"/>
  <c r="G70" i="28"/>
  <c r="H70" i="28"/>
  <c r="I70" i="28"/>
  <c r="J70" i="28"/>
  <c r="K70" i="28"/>
  <c r="L70" i="28"/>
  <c r="M70" i="28"/>
  <c r="N70" i="28"/>
  <c r="O70" i="28"/>
  <c r="O72" i="28" s="1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F71" i="28"/>
  <c r="G71" i="28"/>
  <c r="H71" i="28"/>
  <c r="H72" i="28" s="1"/>
  <c r="I71" i="28"/>
  <c r="J71" i="28"/>
  <c r="K71" i="28"/>
  <c r="L71" i="28"/>
  <c r="M71" i="28"/>
  <c r="M72" i="28" s="1"/>
  <c r="N71" i="28"/>
  <c r="N72" i="28" s="1"/>
  <c r="O71" i="28"/>
  <c r="P71" i="28"/>
  <c r="P72" i="28" s="1"/>
  <c r="Q71" i="28"/>
  <c r="R71" i="28"/>
  <c r="S71" i="28"/>
  <c r="S72" i="28" s="1"/>
  <c r="T71" i="28"/>
  <c r="U71" i="28"/>
  <c r="U72" i="28" s="1"/>
  <c r="V71" i="28"/>
  <c r="V72" i="28" s="1"/>
  <c r="W71" i="28"/>
  <c r="X71" i="28"/>
  <c r="X72" i="28" s="1"/>
  <c r="Y71" i="28"/>
  <c r="Z71" i="28"/>
  <c r="AA71" i="28"/>
  <c r="AB71" i="28"/>
  <c r="AC71" i="28"/>
  <c r="AC72" i="28" s="1"/>
  <c r="AD71" i="28"/>
  <c r="AD72" i="28" s="1"/>
  <c r="AE71" i="28"/>
  <c r="G72" i="28"/>
  <c r="I72" i="28"/>
  <c r="J72" i="28"/>
  <c r="L72" i="28"/>
  <c r="Q72" i="28"/>
  <c r="R72" i="28"/>
  <c r="T72" i="28"/>
  <c r="W72" i="28"/>
  <c r="Y72" i="28"/>
  <c r="Z72" i="28"/>
  <c r="AB72" i="28"/>
  <c r="AE72" i="28"/>
  <c r="F73" i="28"/>
  <c r="G73" i="28"/>
  <c r="E73" i="28" s="1"/>
  <c r="G73" i="40" s="1"/>
  <c r="I73" i="40" s="1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D74" i="28" s="1"/>
  <c r="F74" i="40" s="1"/>
  <c r="H74" i="40" s="1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E75" i="28"/>
  <c r="G75" i="40" s="1"/>
  <c r="I75" i="40" s="1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F76" i="28"/>
  <c r="G76" i="28"/>
  <c r="H76" i="28"/>
  <c r="I76" i="28"/>
  <c r="J76" i="28"/>
  <c r="K76" i="28"/>
  <c r="L76" i="28"/>
  <c r="D76" i="28" s="1"/>
  <c r="F76" i="40" s="1"/>
  <c r="H76" i="40" s="1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F77" i="28"/>
  <c r="G77" i="28"/>
  <c r="H77" i="28"/>
  <c r="I77" i="28"/>
  <c r="E77" i="28" s="1"/>
  <c r="G77" i="40" s="1"/>
  <c r="I77" i="40" s="1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F78" i="28"/>
  <c r="G78" i="28"/>
  <c r="H78" i="28"/>
  <c r="I78" i="28"/>
  <c r="J78" i="28"/>
  <c r="K78" i="28"/>
  <c r="L78" i="28"/>
  <c r="D78" i="28" s="1"/>
  <c r="F78" i="40" s="1"/>
  <c r="H78" i="40" s="1"/>
  <c r="M78" i="28"/>
  <c r="E78" i="28" s="1"/>
  <c r="G78" i="40" s="1"/>
  <c r="I78" i="40" s="1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F80" i="28"/>
  <c r="G80" i="28"/>
  <c r="H80" i="28"/>
  <c r="I80" i="28"/>
  <c r="J80" i="28"/>
  <c r="K80" i="28"/>
  <c r="E80" i="28" s="1"/>
  <c r="G80" i="40" s="1"/>
  <c r="I80" i="40" s="1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F81" i="28"/>
  <c r="G81" i="28"/>
  <c r="F18" i="4" s="1"/>
  <c r="H81" i="28"/>
  <c r="D81" i="28" s="1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U82" i="28"/>
  <c r="S649" i="44" s="1"/>
  <c r="A5" i="40"/>
  <c r="D11" i="40"/>
  <c r="D13" i="40"/>
  <c r="E13" i="40"/>
  <c r="D15" i="40"/>
  <c r="F15" i="40"/>
  <c r="H15" i="40" s="1"/>
  <c r="E19" i="40"/>
  <c r="D20" i="40"/>
  <c r="E20" i="40"/>
  <c r="D21" i="40"/>
  <c r="E21" i="40"/>
  <c r="F21" i="40"/>
  <c r="H21" i="40" s="1"/>
  <c r="E23" i="40"/>
  <c r="D27" i="40"/>
  <c r="E28" i="40"/>
  <c r="D32" i="40"/>
  <c r="D35" i="40"/>
  <c r="E35" i="40"/>
  <c r="H39" i="40"/>
  <c r="E40" i="40"/>
  <c r="F40" i="40"/>
  <c r="D41" i="40"/>
  <c r="E41" i="40"/>
  <c r="E42" i="40" s="1"/>
  <c r="D47" i="40"/>
  <c r="D49" i="40"/>
  <c r="E49" i="40"/>
  <c r="D51" i="40"/>
  <c r="E51" i="40"/>
  <c r="D55" i="40"/>
  <c r="D60" i="40"/>
  <c r="D64" i="40"/>
  <c r="D66" i="40" s="1"/>
  <c r="D65" i="40"/>
  <c r="E70" i="40"/>
  <c r="E71" i="40"/>
  <c r="D74" i="40"/>
  <c r="D75" i="40"/>
  <c r="E75" i="40"/>
  <c r="D76" i="40"/>
  <c r="E76" i="40"/>
  <c r="D78" i="40"/>
  <c r="E79" i="40"/>
  <c r="E80" i="40"/>
  <c r="F81" i="40"/>
  <c r="H81" i="40" s="1"/>
  <c r="F59" i="40" l="1"/>
  <c r="Q16" i="27"/>
  <c r="E43" i="40"/>
  <c r="G64" i="40"/>
  <c r="M29" i="16"/>
  <c r="E27" i="40"/>
  <c r="E29" i="40" s="1"/>
  <c r="E21" i="26"/>
  <c r="G21" i="38" s="1"/>
  <c r="I21" i="38" s="1"/>
  <c r="E79" i="28"/>
  <c r="G79" i="40" s="1"/>
  <c r="I79" i="40" s="1"/>
  <c r="F61" i="28"/>
  <c r="D60" i="28"/>
  <c r="F60" i="40" s="1"/>
  <c r="H60" i="40" s="1"/>
  <c r="E47" i="28"/>
  <c r="G47" i="40" s="1"/>
  <c r="N82" i="28"/>
  <c r="L649" i="44" s="1"/>
  <c r="Y82" i="28"/>
  <c r="W649" i="44" s="1"/>
  <c r="Q82" i="28"/>
  <c r="O649" i="44" s="1"/>
  <c r="E35" i="25"/>
  <c r="G35" i="37" s="1"/>
  <c r="G32" i="37"/>
  <c r="D22" i="27"/>
  <c r="F22" i="39" s="1"/>
  <c r="H40" i="40"/>
  <c r="L42" i="28"/>
  <c r="L43" i="28" s="1"/>
  <c r="D41" i="28"/>
  <c r="F41" i="40" s="1"/>
  <c r="AE82" i="28"/>
  <c r="AC649" i="44" s="1"/>
  <c r="G16" i="28"/>
  <c r="E11" i="28"/>
  <c r="F29" i="28"/>
  <c r="D28" i="28"/>
  <c r="F28" i="40" s="1"/>
  <c r="H28" i="40" s="1"/>
  <c r="E19" i="28"/>
  <c r="G24" i="28"/>
  <c r="X82" i="28"/>
  <c r="V649" i="44" s="1"/>
  <c r="V82" i="28"/>
  <c r="T649" i="44" s="1"/>
  <c r="F73" i="16"/>
  <c r="L73" i="16"/>
  <c r="D73" i="40" s="1"/>
  <c r="K79" i="27"/>
  <c r="E79" i="27" s="1"/>
  <c r="G79" i="39" s="1"/>
  <c r="E79" i="26"/>
  <c r="G79" i="38" s="1"/>
  <c r="I79" i="38" s="1"/>
  <c r="E40" i="28"/>
  <c r="G42" i="28"/>
  <c r="G43" i="28" s="1"/>
  <c r="D54" i="28"/>
  <c r="F56" i="28"/>
  <c r="O82" i="28"/>
  <c r="M649" i="44" s="1"/>
  <c r="M14" i="16"/>
  <c r="E14" i="40" s="1"/>
  <c r="I14" i="40" s="1"/>
  <c r="G14" i="16"/>
  <c r="G16" i="16" s="1"/>
  <c r="D42" i="26"/>
  <c r="D43" i="26" s="1"/>
  <c r="F40" i="38"/>
  <c r="E76" i="28"/>
  <c r="G76" i="40" s="1"/>
  <c r="I76" i="40" s="1"/>
  <c r="L24" i="28"/>
  <c r="D20" i="28"/>
  <c r="F20" i="40" s="1"/>
  <c r="H20" i="40" s="1"/>
  <c r="AD82" i="28"/>
  <c r="AB649" i="44" s="1"/>
  <c r="F72" i="26"/>
  <c r="D71" i="26"/>
  <c r="F71" i="38" s="1"/>
  <c r="H71" i="38" s="1"/>
  <c r="I88" i="37"/>
  <c r="E39" i="5"/>
  <c r="M55" i="14"/>
  <c r="I56" i="14"/>
  <c r="G55" i="14"/>
  <c r="W82" i="28"/>
  <c r="U649" i="44" s="1"/>
  <c r="J56" i="26"/>
  <c r="D54" i="26"/>
  <c r="K72" i="28"/>
  <c r="E71" i="28"/>
  <c r="G71" i="40" s="1"/>
  <c r="I71" i="40" s="1"/>
  <c r="F72" i="40"/>
  <c r="D34" i="28"/>
  <c r="F34" i="40" s="1"/>
  <c r="H34" i="40" s="1"/>
  <c r="F36" i="28"/>
  <c r="J82" i="16"/>
  <c r="J91" i="16" s="1"/>
  <c r="D34" i="26"/>
  <c r="F34" i="38" s="1"/>
  <c r="M82" i="26"/>
  <c r="K647" i="44" s="1"/>
  <c r="F65" i="14"/>
  <c r="F66" i="14" s="1"/>
  <c r="L65" i="14"/>
  <c r="D65" i="38" s="1"/>
  <c r="H65" i="15"/>
  <c r="G28" i="14"/>
  <c r="M28" i="14"/>
  <c r="E28" i="38" s="1"/>
  <c r="G13" i="14"/>
  <c r="M13" i="14"/>
  <c r="E13" i="38" s="1"/>
  <c r="D75" i="28"/>
  <c r="F75" i="40" s="1"/>
  <c r="H75" i="40" s="1"/>
  <c r="E55" i="28"/>
  <c r="G55" i="40" s="1"/>
  <c r="E41" i="28"/>
  <c r="G41" i="40" s="1"/>
  <c r="I41" i="40" s="1"/>
  <c r="E35" i="28"/>
  <c r="G35" i="40" s="1"/>
  <c r="I35" i="40" s="1"/>
  <c r="AB36" i="28"/>
  <c r="T36" i="28"/>
  <c r="L36" i="28"/>
  <c r="D23" i="28"/>
  <c r="F23" i="40" s="1"/>
  <c r="D22" i="28"/>
  <c r="F22" i="40" s="1"/>
  <c r="H22" i="40" s="1"/>
  <c r="Z82" i="28"/>
  <c r="X649" i="44" s="1"/>
  <c r="J82" i="28"/>
  <c r="H649" i="44" s="1"/>
  <c r="L71" i="16"/>
  <c r="D71" i="40" s="1"/>
  <c r="D71" i="5" s="1"/>
  <c r="H72" i="16"/>
  <c r="M22" i="16"/>
  <c r="G22" i="16"/>
  <c r="F19" i="16"/>
  <c r="H24" i="16"/>
  <c r="E77" i="26"/>
  <c r="G77" i="38" s="1"/>
  <c r="I77" i="38" s="1"/>
  <c r="E75" i="26"/>
  <c r="G75" i="38" s="1"/>
  <c r="I75" i="38" s="1"/>
  <c r="S72" i="27"/>
  <c r="D60" i="26"/>
  <c r="F60" i="38" s="1"/>
  <c r="H60" i="38" s="1"/>
  <c r="J61" i="26"/>
  <c r="D49" i="26"/>
  <c r="F49" i="38" s="1"/>
  <c r="H49" i="38" s="1"/>
  <c r="E35" i="26"/>
  <c r="G35" i="38" s="1"/>
  <c r="I35" i="38" s="1"/>
  <c r="H32" i="38"/>
  <c r="AE24" i="26"/>
  <c r="W24" i="26"/>
  <c r="O24" i="26"/>
  <c r="O19" i="27"/>
  <c r="G24" i="26"/>
  <c r="E19" i="26"/>
  <c r="J82" i="26"/>
  <c r="H647" i="44" s="1"/>
  <c r="G79" i="14"/>
  <c r="M79" i="14"/>
  <c r="E79" i="38" s="1"/>
  <c r="G20" i="14"/>
  <c r="M20" i="14"/>
  <c r="E20" i="38" s="1"/>
  <c r="E89" i="25"/>
  <c r="C18" i="4" s="1"/>
  <c r="G86" i="37"/>
  <c r="AE65" i="27"/>
  <c r="AE66" i="27" s="1"/>
  <c r="AE66" i="25"/>
  <c r="W65" i="27"/>
  <c r="W66" i="27" s="1"/>
  <c r="W66" i="25"/>
  <c r="O66" i="25"/>
  <c r="O65" i="27"/>
  <c r="O66" i="27" s="1"/>
  <c r="Z64" i="27"/>
  <c r="Z66" i="27" s="1"/>
  <c r="R64" i="27"/>
  <c r="R66" i="27" s="1"/>
  <c r="R66" i="25"/>
  <c r="D64" i="25"/>
  <c r="F54" i="37"/>
  <c r="D56" i="25"/>
  <c r="J45" i="27"/>
  <c r="D45" i="25"/>
  <c r="F45" i="37" s="1"/>
  <c r="H45" i="37" s="1"/>
  <c r="S24" i="25"/>
  <c r="AC16" i="25"/>
  <c r="AC12" i="27"/>
  <c r="AC16" i="27" s="1"/>
  <c r="U12" i="27"/>
  <c r="U16" i="27" s="1"/>
  <c r="U82" i="27" s="1"/>
  <c r="U16" i="25"/>
  <c r="M16" i="25"/>
  <c r="M82" i="25" s="1"/>
  <c r="M12" i="27"/>
  <c r="E12" i="25"/>
  <c r="G12" i="37" s="1"/>
  <c r="I12" i="37" s="1"/>
  <c r="I80" i="15"/>
  <c r="M80" i="13"/>
  <c r="E80" i="37" s="1"/>
  <c r="G80" i="13"/>
  <c r="E75" i="27"/>
  <c r="G75" i="39" s="1"/>
  <c r="J64" i="27"/>
  <c r="J66" i="27" s="1"/>
  <c r="E27" i="42"/>
  <c r="D12" i="42"/>
  <c r="F14" i="11"/>
  <c r="L14" i="11"/>
  <c r="D14" i="35" s="1"/>
  <c r="D11" i="35"/>
  <c r="D16" i="35" s="1"/>
  <c r="L16" i="11"/>
  <c r="I40" i="12"/>
  <c r="I42" i="9"/>
  <c r="I43" i="9" s="1"/>
  <c r="G40" i="9"/>
  <c r="G42" i="9" s="1"/>
  <c r="G43" i="9" s="1"/>
  <c r="M40" i="9"/>
  <c r="D80" i="28"/>
  <c r="F80" i="40" s="1"/>
  <c r="H80" i="40" s="1"/>
  <c r="D77" i="28"/>
  <c r="F77" i="40" s="1"/>
  <c r="D64" i="28"/>
  <c r="D27" i="28"/>
  <c r="M16" i="16"/>
  <c r="E11" i="40"/>
  <c r="E16" i="40" s="1"/>
  <c r="D35" i="26"/>
  <c r="F35" i="38" s="1"/>
  <c r="H35" i="38" s="1"/>
  <c r="D22" i="26"/>
  <c r="F22" i="38" s="1"/>
  <c r="H22" i="38" s="1"/>
  <c r="AA20" i="27"/>
  <c r="AA24" i="26"/>
  <c r="K20" i="27"/>
  <c r="E20" i="26"/>
  <c r="G20" i="38" s="1"/>
  <c r="I20" i="38" s="1"/>
  <c r="Y16" i="26"/>
  <c r="Y82" i="26" s="1"/>
  <c r="W647" i="44" s="1"/>
  <c r="Q16" i="26"/>
  <c r="I16" i="26"/>
  <c r="F81" i="14"/>
  <c r="L33" i="14"/>
  <c r="D33" i="38" s="1"/>
  <c r="H36" i="14"/>
  <c r="F33" i="14"/>
  <c r="D80" i="25"/>
  <c r="F80" i="37" s="1"/>
  <c r="H80" i="37" s="1"/>
  <c r="E77" i="25"/>
  <c r="G77" i="37" s="1"/>
  <c r="I77" i="37" s="1"/>
  <c r="E75" i="25"/>
  <c r="G75" i="37" s="1"/>
  <c r="I75" i="37" s="1"/>
  <c r="K75" i="27"/>
  <c r="E47" i="25"/>
  <c r="G47" i="37" s="1"/>
  <c r="I47" i="37" s="1"/>
  <c r="I45" i="27"/>
  <c r="E45" i="25"/>
  <c r="G45" i="37" s="1"/>
  <c r="I45" i="37" s="1"/>
  <c r="F19" i="37"/>
  <c r="D24" i="25"/>
  <c r="I32" i="15"/>
  <c r="G32" i="13"/>
  <c r="M32" i="13"/>
  <c r="I14" i="15"/>
  <c r="G14" i="13"/>
  <c r="AB32" i="27"/>
  <c r="AB36" i="27" s="1"/>
  <c r="E14" i="30"/>
  <c r="G14" i="42" s="1"/>
  <c r="G16" i="30"/>
  <c r="G11" i="20"/>
  <c r="G16" i="6"/>
  <c r="G82" i="6" s="1"/>
  <c r="E11" i="6"/>
  <c r="E16" i="6" s="1"/>
  <c r="E82" i="6" s="1"/>
  <c r="E59" i="31"/>
  <c r="G35" i="11"/>
  <c r="M35" i="11"/>
  <c r="E35" i="35" s="1"/>
  <c r="I36" i="11"/>
  <c r="M13" i="11"/>
  <c r="E13" i="35" s="1"/>
  <c r="G13" i="11"/>
  <c r="G87" i="24"/>
  <c r="E87" i="24" s="1"/>
  <c r="G87" i="36" s="1"/>
  <c r="E87" i="21"/>
  <c r="E70" i="28"/>
  <c r="G66" i="28"/>
  <c r="E60" i="28"/>
  <c r="G60" i="40" s="1"/>
  <c r="Z36" i="28"/>
  <c r="R36" i="28"/>
  <c r="J36" i="28"/>
  <c r="M36" i="28"/>
  <c r="M82" i="28" s="1"/>
  <c r="K649" i="44" s="1"/>
  <c r="E32" i="28"/>
  <c r="E28" i="28"/>
  <c r="G28" i="40" s="1"/>
  <c r="I28" i="40" s="1"/>
  <c r="D13" i="28"/>
  <c r="F13" i="40" s="1"/>
  <c r="H13" i="40" s="1"/>
  <c r="D12" i="28"/>
  <c r="F12" i="40" s="1"/>
  <c r="H12" i="40" s="1"/>
  <c r="G81" i="16"/>
  <c r="F77" i="16"/>
  <c r="L77" i="16"/>
  <c r="D77" i="40" s="1"/>
  <c r="F71" i="16"/>
  <c r="I66" i="16"/>
  <c r="G64" i="16"/>
  <c r="G54" i="16"/>
  <c r="G56" i="16" s="1"/>
  <c r="I42" i="16"/>
  <c r="I43" i="16" s="1"/>
  <c r="L42" i="16"/>
  <c r="L43" i="16" s="1"/>
  <c r="D40" i="40"/>
  <c r="D42" i="40" s="1"/>
  <c r="D43" i="40" s="1"/>
  <c r="F22" i="16"/>
  <c r="F11" i="16"/>
  <c r="F16" i="16" s="1"/>
  <c r="H16" i="16"/>
  <c r="H82" i="16" s="1"/>
  <c r="H91" i="16" s="1"/>
  <c r="D61" i="38"/>
  <c r="E78" i="26"/>
  <c r="G78" i="38" s="1"/>
  <c r="I78" i="38" s="1"/>
  <c r="D74" i="26"/>
  <c r="F74" i="38" s="1"/>
  <c r="H74" i="38" s="1"/>
  <c r="W72" i="26"/>
  <c r="D65" i="26"/>
  <c r="F65" i="38" s="1"/>
  <c r="E54" i="26"/>
  <c r="K56" i="26"/>
  <c r="D51" i="26"/>
  <c r="F51" i="38" s="1"/>
  <c r="H51" i="38" s="1"/>
  <c r="E45" i="26"/>
  <c r="G45" i="38" s="1"/>
  <c r="I45" i="38" s="1"/>
  <c r="AD16" i="26"/>
  <c r="AD82" i="26" s="1"/>
  <c r="AB647" i="44" s="1"/>
  <c r="D15" i="26"/>
  <c r="F15" i="38" s="1"/>
  <c r="H15" i="38" s="1"/>
  <c r="AC16" i="26"/>
  <c r="U16" i="26"/>
  <c r="U82" i="26" s="1"/>
  <c r="S647" i="44" s="1"/>
  <c r="P16" i="26"/>
  <c r="P82" i="26" s="1"/>
  <c r="N647" i="44" s="1"/>
  <c r="P11" i="27"/>
  <c r="P16" i="27" s="1"/>
  <c r="H16" i="26"/>
  <c r="H11" i="27"/>
  <c r="D77" i="25"/>
  <c r="F77" i="37" s="1"/>
  <c r="H77" i="37" s="1"/>
  <c r="J75" i="27"/>
  <c r="D75" i="25"/>
  <c r="F75" i="37" s="1"/>
  <c r="H75" i="37" s="1"/>
  <c r="Z66" i="25"/>
  <c r="AC65" i="27"/>
  <c r="E65" i="27" s="1"/>
  <c r="G65" i="39" s="1"/>
  <c r="AC66" i="25"/>
  <c r="M65" i="27"/>
  <c r="M66" i="25"/>
  <c r="E65" i="25"/>
  <c r="G65" i="37" s="1"/>
  <c r="I65" i="37" s="1"/>
  <c r="X66" i="27"/>
  <c r="W42" i="27"/>
  <c r="W43" i="27" s="1"/>
  <c r="AB20" i="27"/>
  <c r="AB19" i="27"/>
  <c r="AB24" i="25"/>
  <c r="L24" i="25"/>
  <c r="L19" i="27"/>
  <c r="W14" i="27"/>
  <c r="W16" i="25"/>
  <c r="W82" i="25" s="1"/>
  <c r="E14" i="25"/>
  <c r="G14" i="37" s="1"/>
  <c r="Y13" i="27"/>
  <c r="Q13" i="27"/>
  <c r="I13" i="27"/>
  <c r="E13" i="25"/>
  <c r="G13" i="37" s="1"/>
  <c r="I13" i="37" s="1"/>
  <c r="F60" i="13"/>
  <c r="H60" i="15"/>
  <c r="L60" i="13"/>
  <c r="D60" i="37" s="1"/>
  <c r="D19" i="37"/>
  <c r="W91" i="7"/>
  <c r="E28" i="31"/>
  <c r="G28" i="43" s="1"/>
  <c r="Q651" i="44"/>
  <c r="S91" i="31"/>
  <c r="D21" i="31"/>
  <c r="F21" i="43" s="1"/>
  <c r="Q20" i="27"/>
  <c r="Q24" i="25"/>
  <c r="Q82" i="25" s="1"/>
  <c r="I20" i="27"/>
  <c r="E20" i="25"/>
  <c r="G20" i="37" s="1"/>
  <c r="I20" i="37" s="1"/>
  <c r="I24" i="25"/>
  <c r="K19" i="27"/>
  <c r="K24" i="27" s="1"/>
  <c r="K24" i="25"/>
  <c r="E19" i="25"/>
  <c r="D14" i="27"/>
  <c r="F14" i="39" s="1"/>
  <c r="G74" i="14"/>
  <c r="M74" i="14"/>
  <c r="E74" i="38" s="1"/>
  <c r="D14" i="25"/>
  <c r="F14" i="37" s="1"/>
  <c r="H14" i="37" s="1"/>
  <c r="E59" i="28"/>
  <c r="D42" i="28"/>
  <c r="D43" i="28" s="1"/>
  <c r="F19" i="40"/>
  <c r="L80" i="16"/>
  <c r="D80" i="40" s="1"/>
  <c r="F80" i="16"/>
  <c r="AE36" i="26"/>
  <c r="O36" i="26"/>
  <c r="O33" i="27"/>
  <c r="E27" i="26"/>
  <c r="G29" i="26"/>
  <c r="AA12" i="27"/>
  <c r="AA16" i="26"/>
  <c r="N16" i="26"/>
  <c r="N82" i="26" s="1"/>
  <c r="L647" i="44" s="1"/>
  <c r="M64" i="14"/>
  <c r="G64" i="14"/>
  <c r="G66" i="14" s="1"/>
  <c r="I66" i="14"/>
  <c r="F55" i="14"/>
  <c r="H55" i="15"/>
  <c r="M23" i="14"/>
  <c r="E23" i="38" s="1"/>
  <c r="G23" i="14"/>
  <c r="E79" i="25"/>
  <c r="G79" i="37" s="1"/>
  <c r="I79" i="37" s="1"/>
  <c r="Y70" i="27"/>
  <c r="Y72" i="27" s="1"/>
  <c r="Y72" i="25"/>
  <c r="Q70" i="27"/>
  <c r="Q72" i="27" s="1"/>
  <c r="Q72" i="25"/>
  <c r="J49" i="27"/>
  <c r="D49" i="27" s="1"/>
  <c r="F49" i="39" s="1"/>
  <c r="D49" i="25"/>
  <c r="F49" i="37" s="1"/>
  <c r="F40" i="37"/>
  <c r="P39" i="27"/>
  <c r="P43" i="27" s="1"/>
  <c r="AE27" i="27"/>
  <c r="AE29" i="27" s="1"/>
  <c r="AE29" i="25"/>
  <c r="O27" i="27"/>
  <c r="O29" i="25"/>
  <c r="G43" i="27"/>
  <c r="H81" i="15"/>
  <c r="E65" i="28"/>
  <c r="G65" i="40" s="1"/>
  <c r="E23" i="28"/>
  <c r="G23" i="40" s="1"/>
  <c r="I23" i="40" s="1"/>
  <c r="S16" i="28"/>
  <c r="S82" i="28" s="1"/>
  <c r="Q649" i="44" s="1"/>
  <c r="D11" i="28"/>
  <c r="G47" i="16"/>
  <c r="M47" i="16"/>
  <c r="E47" i="40" s="1"/>
  <c r="G29" i="16"/>
  <c r="E60" i="26"/>
  <c r="G60" i="38" s="1"/>
  <c r="I60" i="38" s="1"/>
  <c r="K29" i="26"/>
  <c r="K82" i="26" s="1"/>
  <c r="I647" i="44" s="1"/>
  <c r="E28" i="26"/>
  <c r="G28" i="38" s="1"/>
  <c r="I28" i="38" s="1"/>
  <c r="J24" i="26"/>
  <c r="S16" i="26"/>
  <c r="S82" i="26" s="1"/>
  <c r="Q647" i="44" s="1"/>
  <c r="D32" i="38"/>
  <c r="E51" i="25"/>
  <c r="G51" i="37" s="1"/>
  <c r="I51" i="37" s="1"/>
  <c r="T28" i="27"/>
  <c r="T29" i="27" s="1"/>
  <c r="T29" i="25"/>
  <c r="I77" i="15"/>
  <c r="M77" i="13"/>
  <c r="E77" i="37" s="1"/>
  <c r="G77" i="13"/>
  <c r="L59" i="13"/>
  <c r="H59" i="15"/>
  <c r="H61" i="13"/>
  <c r="F59" i="13"/>
  <c r="F61" i="13" s="1"/>
  <c r="I40" i="15"/>
  <c r="M40" i="13"/>
  <c r="I42" i="13"/>
  <c r="I43" i="13" s="1"/>
  <c r="G40" i="13"/>
  <c r="G42" i="13" s="1"/>
  <c r="G43" i="13" s="1"/>
  <c r="E13" i="31"/>
  <c r="G13" i="43" s="1"/>
  <c r="I13" i="43" s="1"/>
  <c r="G16" i="31"/>
  <c r="G55" i="19"/>
  <c r="M55" i="19"/>
  <c r="E55" i="43" s="1"/>
  <c r="AE56" i="23"/>
  <c r="AE55" i="24"/>
  <c r="Q36" i="23"/>
  <c r="R40" i="24"/>
  <c r="R42" i="21"/>
  <c r="R43" i="21" s="1"/>
  <c r="AB39" i="24"/>
  <c r="AB43" i="21"/>
  <c r="V36" i="21"/>
  <c r="V33" i="24"/>
  <c r="F36" i="21"/>
  <c r="D33" i="21"/>
  <c r="F33" i="33" s="1"/>
  <c r="H33" i="33" s="1"/>
  <c r="F11" i="33"/>
  <c r="T16" i="28"/>
  <c r="T82" i="28" s="1"/>
  <c r="R649" i="44" s="1"/>
  <c r="M54" i="16"/>
  <c r="K72" i="26"/>
  <c r="E71" i="26"/>
  <c r="G71" i="38" s="1"/>
  <c r="I71" i="38" s="1"/>
  <c r="D64" i="26"/>
  <c r="N24" i="26"/>
  <c r="L54" i="14"/>
  <c r="H56" i="14"/>
  <c r="F54" i="14"/>
  <c r="F56" i="14" s="1"/>
  <c r="E27" i="38"/>
  <c r="E29" i="38" s="1"/>
  <c r="M29" i="14"/>
  <c r="S79" i="27"/>
  <c r="AB61" i="25"/>
  <c r="AB60" i="27"/>
  <c r="L61" i="25"/>
  <c r="D60" i="25"/>
  <c r="F60" i="37" s="1"/>
  <c r="L60" i="27"/>
  <c r="L61" i="27" s="1"/>
  <c r="M88" i="15"/>
  <c r="E88" i="39" s="1"/>
  <c r="E88" i="37"/>
  <c r="F81" i="13"/>
  <c r="L81" i="13"/>
  <c r="D81" i="37" s="1"/>
  <c r="T40" i="27"/>
  <c r="T42" i="27" s="1"/>
  <c r="T43" i="27" s="1"/>
  <c r="V29" i="27"/>
  <c r="W19" i="27"/>
  <c r="F70" i="15"/>
  <c r="L70" i="15"/>
  <c r="H76" i="43"/>
  <c r="D13" i="31"/>
  <c r="F13" i="43" s="1"/>
  <c r="H13" i="43" s="1"/>
  <c r="J61" i="23"/>
  <c r="J60" i="24"/>
  <c r="L61" i="23"/>
  <c r="D59" i="23"/>
  <c r="E33" i="23"/>
  <c r="G33" i="35" s="1"/>
  <c r="I33" i="35" s="1"/>
  <c r="AA19" i="27"/>
  <c r="AA24" i="25"/>
  <c r="D16" i="25"/>
  <c r="I45" i="15"/>
  <c r="G45" i="13"/>
  <c r="M45" i="13"/>
  <c r="E45" i="37" s="1"/>
  <c r="E39" i="27"/>
  <c r="G39" i="39" s="1"/>
  <c r="E27" i="28"/>
  <c r="M33" i="16"/>
  <c r="E33" i="40" s="1"/>
  <c r="G33" i="16"/>
  <c r="K82" i="16"/>
  <c r="K91" i="16" s="1"/>
  <c r="E70" i="26"/>
  <c r="Z41" i="27"/>
  <c r="Z42" i="26"/>
  <c r="Z43" i="26" s="1"/>
  <c r="Z82" i="26" s="1"/>
  <c r="X647" i="44" s="1"/>
  <c r="R42" i="26"/>
  <c r="R43" i="26" s="1"/>
  <c r="R82" i="26" s="1"/>
  <c r="P647" i="44" s="1"/>
  <c r="R41" i="27"/>
  <c r="W36" i="26"/>
  <c r="G36" i="26"/>
  <c r="E33" i="26"/>
  <c r="V82" i="26"/>
  <c r="T647" i="44" s="1"/>
  <c r="D11" i="26"/>
  <c r="F16" i="26"/>
  <c r="F82" i="26" s="1"/>
  <c r="F78" i="14"/>
  <c r="L78" i="14"/>
  <c r="D78" i="38" s="1"/>
  <c r="H78" i="15"/>
  <c r="G70" i="14"/>
  <c r="G72" i="14" s="1"/>
  <c r="M70" i="14"/>
  <c r="I72" i="14"/>
  <c r="F24" i="14"/>
  <c r="I70" i="27"/>
  <c r="I72" i="27" s="1"/>
  <c r="I72" i="25"/>
  <c r="R49" i="27"/>
  <c r="X39" i="27"/>
  <c r="H39" i="27"/>
  <c r="AC36" i="25"/>
  <c r="AC32" i="27"/>
  <c r="AC36" i="27" s="1"/>
  <c r="U32" i="27"/>
  <c r="U36" i="27" s="1"/>
  <c r="U36" i="25"/>
  <c r="M36" i="25"/>
  <c r="M32" i="27"/>
  <c r="M36" i="27" s="1"/>
  <c r="W27" i="27"/>
  <c r="W29" i="25"/>
  <c r="G29" i="25"/>
  <c r="E27" i="25"/>
  <c r="I12" i="42"/>
  <c r="E71" i="31"/>
  <c r="G71" i="43" s="1"/>
  <c r="AA72" i="31"/>
  <c r="D70" i="31"/>
  <c r="Z651" i="44"/>
  <c r="AB91" i="31"/>
  <c r="D11" i="31"/>
  <c r="F16" i="31"/>
  <c r="F82" i="31" s="1"/>
  <c r="F91" i="31" s="1"/>
  <c r="G56" i="28"/>
  <c r="J56" i="28"/>
  <c r="D55" i="28"/>
  <c r="F55" i="40" s="1"/>
  <c r="H55" i="40" s="1"/>
  <c r="E51" i="28"/>
  <c r="G51" i="40" s="1"/>
  <c r="I51" i="40" s="1"/>
  <c r="E39" i="28"/>
  <c r="G39" i="40" s="1"/>
  <c r="I39" i="40" s="1"/>
  <c r="D35" i="28"/>
  <c r="F35" i="40" s="1"/>
  <c r="H35" i="40" s="1"/>
  <c r="E33" i="28"/>
  <c r="G33" i="40" s="1"/>
  <c r="I33" i="40" s="1"/>
  <c r="D14" i="28"/>
  <c r="F14" i="40" s="1"/>
  <c r="K16" i="28"/>
  <c r="E12" i="28"/>
  <c r="G12" i="40" s="1"/>
  <c r="I12" i="40" s="1"/>
  <c r="F33" i="16"/>
  <c r="F36" i="16" s="1"/>
  <c r="L33" i="16"/>
  <c r="D33" i="40" s="1"/>
  <c r="D36" i="40" s="1"/>
  <c r="E64" i="26"/>
  <c r="U61" i="26"/>
  <c r="U60" i="27"/>
  <c r="R24" i="26"/>
  <c r="L23" i="14"/>
  <c r="D23" i="38" s="1"/>
  <c r="F23" i="14"/>
  <c r="AB40" i="27"/>
  <c r="AB42" i="27" s="1"/>
  <c r="AB43" i="27" s="1"/>
  <c r="L29" i="25"/>
  <c r="L28" i="27"/>
  <c r="D28" i="25"/>
  <c r="F28" i="37" s="1"/>
  <c r="M66" i="18"/>
  <c r="E64" i="42"/>
  <c r="F51" i="19"/>
  <c r="L51" i="19"/>
  <c r="D51" i="43" s="1"/>
  <c r="G56" i="23"/>
  <c r="E55" i="23"/>
  <c r="G55" i="35" s="1"/>
  <c r="I55" i="35" s="1"/>
  <c r="Y36" i="23"/>
  <c r="I36" i="23"/>
  <c r="Z40" i="24"/>
  <c r="Z42" i="24" s="1"/>
  <c r="Z43" i="24" s="1"/>
  <c r="Z42" i="21"/>
  <c r="Z43" i="21" s="1"/>
  <c r="J40" i="24"/>
  <c r="J42" i="24" s="1"/>
  <c r="J43" i="24" s="1"/>
  <c r="J42" i="21"/>
  <c r="J43" i="21" s="1"/>
  <c r="AD33" i="24"/>
  <c r="AD36" i="21"/>
  <c r="N33" i="24"/>
  <c r="N36" i="21"/>
  <c r="E22" i="21"/>
  <c r="G22" i="33" s="1"/>
  <c r="I22" i="33" s="1"/>
  <c r="E72" i="40"/>
  <c r="D73" i="28"/>
  <c r="F73" i="40" s="1"/>
  <c r="H73" i="40" s="1"/>
  <c r="AA72" i="28"/>
  <c r="AA82" i="28" s="1"/>
  <c r="Y649" i="44" s="1"/>
  <c r="J61" i="28"/>
  <c r="F42" i="28"/>
  <c r="F43" i="28" s="1"/>
  <c r="Z24" i="28"/>
  <c r="Q24" i="28"/>
  <c r="E20" i="28"/>
  <c r="G20" i="40" s="1"/>
  <c r="I20" i="40" s="1"/>
  <c r="I24" i="28"/>
  <c r="I82" i="28" s="1"/>
  <c r="G649" i="44" s="1"/>
  <c r="AB16" i="28"/>
  <c r="L16" i="28"/>
  <c r="G74" i="16"/>
  <c r="M74" i="16"/>
  <c r="E74" i="40" s="1"/>
  <c r="F61" i="16"/>
  <c r="G41" i="16"/>
  <c r="G42" i="16" s="1"/>
  <c r="G43" i="16" s="1"/>
  <c r="M32" i="16"/>
  <c r="I36" i="16"/>
  <c r="G32" i="16"/>
  <c r="G36" i="16" s="1"/>
  <c r="F23" i="16"/>
  <c r="L23" i="16"/>
  <c r="D23" i="40" s="1"/>
  <c r="L19" i="16"/>
  <c r="I16" i="16"/>
  <c r="AB64" i="27"/>
  <c r="AB66" i="27" s="1"/>
  <c r="AB66" i="26"/>
  <c r="J42" i="26"/>
  <c r="J43" i="26" s="1"/>
  <c r="E34" i="26"/>
  <c r="G34" i="38" s="1"/>
  <c r="I34" i="38" s="1"/>
  <c r="K36" i="26"/>
  <c r="F24" i="26"/>
  <c r="T64" i="27"/>
  <c r="T66" i="27" s="1"/>
  <c r="T61" i="25"/>
  <c r="T60" i="27"/>
  <c r="T61" i="27" s="1"/>
  <c r="V61" i="27"/>
  <c r="Y41" i="27"/>
  <c r="Y42" i="25"/>
  <c r="Y43" i="25" s="1"/>
  <c r="K40" i="27"/>
  <c r="K42" i="27" s="1"/>
  <c r="K43" i="27" s="1"/>
  <c r="K42" i="25"/>
  <c r="K43" i="25" s="1"/>
  <c r="D39" i="25"/>
  <c r="F39" i="37" s="1"/>
  <c r="H39" i="37" s="1"/>
  <c r="L86" i="15"/>
  <c r="L89" i="13"/>
  <c r="D70" i="40"/>
  <c r="H70" i="40" s="1"/>
  <c r="D59" i="40"/>
  <c r="D61" i="40" s="1"/>
  <c r="E81" i="28"/>
  <c r="G81" i="40" s="1"/>
  <c r="I81" i="40" s="1"/>
  <c r="D65" i="28"/>
  <c r="F65" i="40" s="1"/>
  <c r="H65" i="40" s="1"/>
  <c r="E56" i="28"/>
  <c r="D45" i="28"/>
  <c r="F45" i="40" s="1"/>
  <c r="H45" i="40" s="1"/>
  <c r="D33" i="28"/>
  <c r="F33" i="40" s="1"/>
  <c r="H33" i="40" s="1"/>
  <c r="J29" i="28"/>
  <c r="E22" i="28"/>
  <c r="G22" i="40" s="1"/>
  <c r="Y24" i="28"/>
  <c r="E21" i="28"/>
  <c r="G21" i="40" s="1"/>
  <c r="I21" i="40" s="1"/>
  <c r="F16" i="28"/>
  <c r="E13" i="28"/>
  <c r="G13" i="40" s="1"/>
  <c r="I13" i="40" s="1"/>
  <c r="M60" i="16"/>
  <c r="E60" i="40" s="1"/>
  <c r="G60" i="16"/>
  <c r="G61" i="16" s="1"/>
  <c r="I61" i="16"/>
  <c r="L56" i="16"/>
  <c r="D54" i="40"/>
  <c r="D56" i="40" s="1"/>
  <c r="E60" i="38"/>
  <c r="D59" i="26"/>
  <c r="D47" i="26"/>
  <c r="F47" i="38" s="1"/>
  <c r="H47" i="38" s="1"/>
  <c r="G42" i="26"/>
  <c r="G43" i="26" s="1"/>
  <c r="E41" i="26"/>
  <c r="G41" i="38" s="1"/>
  <c r="I41" i="38" s="1"/>
  <c r="F36" i="26"/>
  <c r="D20" i="26"/>
  <c r="F20" i="38" s="1"/>
  <c r="P24" i="26"/>
  <c r="P19" i="27"/>
  <c r="L82" i="26"/>
  <c r="J647" i="44" s="1"/>
  <c r="G34" i="14"/>
  <c r="G36" i="14" s="1"/>
  <c r="AD72" i="27"/>
  <c r="J66" i="25"/>
  <c r="AA66" i="27"/>
  <c r="P43" i="25"/>
  <c r="E34" i="25"/>
  <c r="G34" i="37" s="1"/>
  <c r="I34" i="37" s="1"/>
  <c r="T24" i="25"/>
  <c r="G16" i="25"/>
  <c r="AD12" i="27"/>
  <c r="AD16" i="27" s="1"/>
  <c r="AD16" i="25"/>
  <c r="V12" i="27"/>
  <c r="V16" i="25"/>
  <c r="N12" i="27"/>
  <c r="N16" i="25"/>
  <c r="D12" i="25"/>
  <c r="F12" i="37" s="1"/>
  <c r="H12" i="37" s="1"/>
  <c r="F16" i="25"/>
  <c r="Y11" i="27"/>
  <c r="Y16" i="27" s="1"/>
  <c r="Y16" i="25"/>
  <c r="I16" i="25"/>
  <c r="I11" i="27"/>
  <c r="E11" i="25"/>
  <c r="I22" i="15"/>
  <c r="M22" i="13"/>
  <c r="E22" i="37" s="1"/>
  <c r="G22" i="13"/>
  <c r="M14" i="13"/>
  <c r="E14" i="37" s="1"/>
  <c r="E14" i="5" s="1"/>
  <c r="Y65" i="27"/>
  <c r="L64" i="27"/>
  <c r="L66" i="27" s="1"/>
  <c r="S40" i="27"/>
  <c r="S42" i="27" s="1"/>
  <c r="S43" i="27" s="1"/>
  <c r="AB28" i="27"/>
  <c r="AB29" i="27" s="1"/>
  <c r="T20" i="27"/>
  <c r="T24" i="27" s="1"/>
  <c r="D71" i="30"/>
  <c r="F72" i="30"/>
  <c r="F66" i="30"/>
  <c r="D65" i="30"/>
  <c r="D79" i="28"/>
  <c r="F79" i="40" s="1"/>
  <c r="H79" i="40" s="1"/>
  <c r="E74" i="28"/>
  <c r="G74" i="40" s="1"/>
  <c r="I74" i="40" s="1"/>
  <c r="F72" i="28"/>
  <c r="D71" i="28"/>
  <c r="F71" i="40" s="1"/>
  <c r="D49" i="28"/>
  <c r="F49" i="40" s="1"/>
  <c r="H49" i="40" s="1"/>
  <c r="D32" i="28"/>
  <c r="AC16" i="28"/>
  <c r="AC82" i="28" s="1"/>
  <c r="AA649" i="44" s="1"/>
  <c r="G65" i="16"/>
  <c r="M65" i="16"/>
  <c r="G19" i="16"/>
  <c r="G24" i="16" s="1"/>
  <c r="I24" i="16"/>
  <c r="D78" i="26"/>
  <c r="F78" i="38" s="1"/>
  <c r="H78" i="38" s="1"/>
  <c r="AA66" i="26"/>
  <c r="G56" i="26"/>
  <c r="E55" i="26"/>
  <c r="G55" i="38" s="1"/>
  <c r="D41" i="26"/>
  <c r="F41" i="38" s="1"/>
  <c r="H41" i="38" s="1"/>
  <c r="D33" i="26"/>
  <c r="F33" i="38" s="1"/>
  <c r="H33" i="38" s="1"/>
  <c r="Q29" i="26"/>
  <c r="Q27" i="27"/>
  <c r="Q29" i="27" s="1"/>
  <c r="D23" i="26"/>
  <c r="F23" i="38" s="1"/>
  <c r="H23" i="38" s="1"/>
  <c r="AC24" i="26"/>
  <c r="Y24" i="26"/>
  <c r="Q24" i="26"/>
  <c r="I24" i="26"/>
  <c r="AB82" i="26"/>
  <c r="Z647" i="44" s="1"/>
  <c r="T82" i="26"/>
  <c r="R647" i="44" s="1"/>
  <c r="AE16" i="26"/>
  <c r="AE82" i="26" s="1"/>
  <c r="AC647" i="44" s="1"/>
  <c r="AE11" i="27"/>
  <c r="AE16" i="27" s="1"/>
  <c r="W16" i="26"/>
  <c r="W11" i="27"/>
  <c r="E11" i="26"/>
  <c r="F34" i="14"/>
  <c r="L34" i="14"/>
  <c r="D34" i="38" s="1"/>
  <c r="D81" i="25"/>
  <c r="F81" i="37" s="1"/>
  <c r="H81" i="37" s="1"/>
  <c r="J81" i="27"/>
  <c r="K77" i="27"/>
  <c r="J74" i="27"/>
  <c r="AC73" i="27"/>
  <c r="U73" i="27"/>
  <c r="M73" i="27"/>
  <c r="E73" i="25"/>
  <c r="G73" i="37" s="1"/>
  <c r="I73" i="37" s="1"/>
  <c r="X65" i="27"/>
  <c r="X66" i="25"/>
  <c r="P66" i="25"/>
  <c r="P65" i="27"/>
  <c r="P66" i="27" s="1"/>
  <c r="H66" i="25"/>
  <c r="H65" i="27"/>
  <c r="S66" i="25"/>
  <c r="S64" i="27"/>
  <c r="S66" i="27" s="1"/>
  <c r="U59" i="27"/>
  <c r="U61" i="27" s="1"/>
  <c r="U61" i="25"/>
  <c r="M59" i="27"/>
  <c r="M61" i="25"/>
  <c r="E59" i="25"/>
  <c r="AB54" i="27"/>
  <c r="AB56" i="27" s="1"/>
  <c r="T54" i="27"/>
  <c r="T56" i="27" s="1"/>
  <c r="T56" i="25"/>
  <c r="L56" i="25"/>
  <c r="L54" i="27"/>
  <c r="L56" i="27" s="1"/>
  <c r="AD51" i="27"/>
  <c r="N51" i="27"/>
  <c r="K36" i="25"/>
  <c r="Q35" i="27"/>
  <c r="Z29" i="25"/>
  <c r="Z28" i="27"/>
  <c r="R28" i="27"/>
  <c r="R29" i="25"/>
  <c r="J29" i="25"/>
  <c r="J28" i="27"/>
  <c r="AC27" i="27"/>
  <c r="AC29" i="25"/>
  <c r="U29" i="27"/>
  <c r="M27" i="27"/>
  <c r="M29" i="25"/>
  <c r="X24" i="25"/>
  <c r="X20" i="27"/>
  <c r="X24" i="27" s="1"/>
  <c r="P20" i="27"/>
  <c r="P24" i="25"/>
  <c r="P82" i="25" s="1"/>
  <c r="H24" i="25"/>
  <c r="H82" i="25" s="1"/>
  <c r="N15" i="27"/>
  <c r="Z13" i="27"/>
  <c r="R13" i="27"/>
  <c r="J13" i="27"/>
  <c r="D13" i="25"/>
  <c r="F13" i="37" s="1"/>
  <c r="T12" i="27"/>
  <c r="O11" i="27"/>
  <c r="O16" i="27" s="1"/>
  <c r="F64" i="15"/>
  <c r="H66" i="15"/>
  <c r="L64" i="15"/>
  <c r="F41" i="13"/>
  <c r="H41" i="15"/>
  <c r="L41" i="13"/>
  <c r="D41" i="37" s="1"/>
  <c r="D32" i="37"/>
  <c r="M29" i="13"/>
  <c r="E27" i="37"/>
  <c r="E29" i="37" s="1"/>
  <c r="K82" i="13"/>
  <c r="K91" i="13" s="1"/>
  <c r="E88" i="27"/>
  <c r="G88" i="39" s="1"/>
  <c r="I88" i="39" s="1"/>
  <c r="O70" i="27"/>
  <c r="O72" i="27" s="1"/>
  <c r="K64" i="27"/>
  <c r="K66" i="27" s="1"/>
  <c r="X42" i="27"/>
  <c r="X43" i="27" s="1"/>
  <c r="T16" i="27"/>
  <c r="E72" i="43"/>
  <c r="G64" i="43"/>
  <c r="E32" i="23"/>
  <c r="G36" i="23"/>
  <c r="I23" i="35"/>
  <c r="M12" i="14"/>
  <c r="E12" i="38" s="1"/>
  <c r="G12" i="14"/>
  <c r="G16" i="14" s="1"/>
  <c r="G82" i="14" s="1"/>
  <c r="I16" i="14"/>
  <c r="F86" i="37"/>
  <c r="D74" i="25"/>
  <c r="F74" i="37" s="1"/>
  <c r="H74" i="37" s="1"/>
  <c r="AD71" i="27"/>
  <c r="V71" i="27"/>
  <c r="V72" i="27" s="1"/>
  <c r="N71" i="27"/>
  <c r="N72" i="27" s="1"/>
  <c r="AD56" i="25"/>
  <c r="AD55" i="27"/>
  <c r="V56" i="25"/>
  <c r="V55" i="27"/>
  <c r="V56" i="27" s="1"/>
  <c r="N56" i="25"/>
  <c r="N55" i="27"/>
  <c r="N56" i="27" s="1"/>
  <c r="F56" i="25"/>
  <c r="D55" i="25"/>
  <c r="F55" i="37" s="1"/>
  <c r="H55" i="37" s="1"/>
  <c r="AD47" i="27"/>
  <c r="N47" i="27"/>
  <c r="D47" i="25"/>
  <c r="F47" i="37" s="1"/>
  <c r="H47" i="37" s="1"/>
  <c r="Y23" i="27"/>
  <c r="J15" i="27"/>
  <c r="D15" i="25"/>
  <c r="F15" i="37" s="1"/>
  <c r="H15" i="37" s="1"/>
  <c r="D54" i="37"/>
  <c r="D56" i="37" s="1"/>
  <c r="L56" i="13"/>
  <c r="I33" i="15"/>
  <c r="G33" i="13"/>
  <c r="M33" i="13"/>
  <c r="E33" i="37" s="1"/>
  <c r="D11" i="37"/>
  <c r="AB61" i="27"/>
  <c r="AD56" i="27"/>
  <c r="O42" i="27"/>
  <c r="O43" i="27" s="1"/>
  <c r="F79" i="15"/>
  <c r="L79" i="15"/>
  <c r="D79" i="39" s="1"/>
  <c r="I55" i="42"/>
  <c r="H51" i="42"/>
  <c r="H39" i="42"/>
  <c r="F39" i="5"/>
  <c r="I22" i="42"/>
  <c r="M82" i="6"/>
  <c r="D54" i="31"/>
  <c r="F56" i="31"/>
  <c r="E19" i="31"/>
  <c r="G24" i="31"/>
  <c r="D12" i="31"/>
  <c r="F12" i="43" s="1"/>
  <c r="D76" i="23"/>
  <c r="F76" i="35" s="1"/>
  <c r="H76" i="35" s="1"/>
  <c r="G27" i="35"/>
  <c r="Z12" i="24"/>
  <c r="Z16" i="24" s="1"/>
  <c r="Z16" i="21"/>
  <c r="R12" i="24"/>
  <c r="R16" i="21"/>
  <c r="J12" i="24"/>
  <c r="J16" i="21"/>
  <c r="AB24" i="28"/>
  <c r="R24" i="28"/>
  <c r="R82" i="28" s="1"/>
  <c r="P649" i="44" s="1"/>
  <c r="J24" i="28"/>
  <c r="E15" i="28"/>
  <c r="G15" i="40" s="1"/>
  <c r="I15" i="40" s="1"/>
  <c r="M61" i="16"/>
  <c r="E59" i="40"/>
  <c r="E61" i="40" s="1"/>
  <c r="L14" i="16"/>
  <c r="F14" i="16"/>
  <c r="E76" i="26"/>
  <c r="G76" i="38" s="1"/>
  <c r="I76" i="38" s="1"/>
  <c r="E51" i="26"/>
  <c r="G51" i="38" s="1"/>
  <c r="I51" i="38" s="1"/>
  <c r="D45" i="26"/>
  <c r="F45" i="38" s="1"/>
  <c r="E42" i="26"/>
  <c r="E43" i="26" s="1"/>
  <c r="G40" i="38"/>
  <c r="M81" i="14"/>
  <c r="E81" i="38" s="1"/>
  <c r="I81" i="38" s="1"/>
  <c r="G81" i="14"/>
  <c r="E32" i="38"/>
  <c r="H29" i="14"/>
  <c r="F27" i="14"/>
  <c r="F29" i="14" s="1"/>
  <c r="F88" i="27"/>
  <c r="D88" i="27" s="1"/>
  <c r="F88" i="39" s="1"/>
  <c r="H88" i="39" s="1"/>
  <c r="D88" i="25"/>
  <c r="F88" i="37" s="1"/>
  <c r="AD77" i="27"/>
  <c r="V77" i="27"/>
  <c r="N77" i="27"/>
  <c r="Z76" i="27"/>
  <c r="R76" i="27"/>
  <c r="J76" i="27"/>
  <c r="D76" i="27" s="1"/>
  <c r="F76" i="39" s="1"/>
  <c r="H76" i="39" s="1"/>
  <c r="AB75" i="27"/>
  <c r="D75" i="27" s="1"/>
  <c r="F75" i="39" s="1"/>
  <c r="H75" i="39" s="1"/>
  <c r="T75" i="27"/>
  <c r="L75" i="27"/>
  <c r="E74" i="25"/>
  <c r="G74" i="37" s="1"/>
  <c r="AE72" i="25"/>
  <c r="AE70" i="27"/>
  <c r="AE72" i="27" s="1"/>
  <c r="E70" i="25"/>
  <c r="G72" i="25"/>
  <c r="I33" i="27"/>
  <c r="I36" i="27" s="1"/>
  <c r="E33" i="25"/>
  <c r="G33" i="37" s="1"/>
  <c r="I33" i="37" s="1"/>
  <c r="I36" i="25"/>
  <c r="AA36" i="25"/>
  <c r="AA32" i="27"/>
  <c r="U28" i="27"/>
  <c r="M28" i="27"/>
  <c r="X27" i="27"/>
  <c r="X29" i="27" s="1"/>
  <c r="X29" i="25"/>
  <c r="P27" i="27"/>
  <c r="P29" i="27" s="1"/>
  <c r="P29" i="25"/>
  <c r="H27" i="27"/>
  <c r="H29" i="27" s="1"/>
  <c r="AC19" i="27"/>
  <c r="AC24" i="27" s="1"/>
  <c r="AC24" i="25"/>
  <c r="U19" i="27"/>
  <c r="U24" i="27" s="1"/>
  <c r="U24" i="25"/>
  <c r="M19" i="27"/>
  <c r="M24" i="25"/>
  <c r="Q15" i="27"/>
  <c r="G87" i="13"/>
  <c r="G87" i="15" s="1"/>
  <c r="I87" i="15"/>
  <c r="M87" i="13"/>
  <c r="I60" i="15"/>
  <c r="M60" i="13"/>
  <c r="E60" i="37" s="1"/>
  <c r="I61" i="13"/>
  <c r="E54" i="37"/>
  <c r="E56" i="37" s="1"/>
  <c r="M56" i="13"/>
  <c r="I11" i="15"/>
  <c r="G11" i="13"/>
  <c r="G16" i="13" s="1"/>
  <c r="I16" i="13"/>
  <c r="I82" i="13" s="1"/>
  <c r="I91" i="13" s="1"/>
  <c r="M11" i="13"/>
  <c r="H42" i="27"/>
  <c r="H43" i="27" s="1"/>
  <c r="AB12" i="27"/>
  <c r="H47" i="15"/>
  <c r="I77" i="42"/>
  <c r="H49" i="42"/>
  <c r="D56" i="30"/>
  <c r="F55" i="42"/>
  <c r="I39" i="42"/>
  <c r="M59" i="18"/>
  <c r="I61" i="18"/>
  <c r="F61" i="31"/>
  <c r="D59" i="31"/>
  <c r="F24" i="31"/>
  <c r="D19" i="31"/>
  <c r="J29" i="23"/>
  <c r="D28" i="23"/>
  <c r="F28" i="35" s="1"/>
  <c r="H28" i="35" s="1"/>
  <c r="W82" i="23"/>
  <c r="U643" i="44" s="1"/>
  <c r="E13" i="26"/>
  <c r="G13" i="38" s="1"/>
  <c r="I13" i="38" s="1"/>
  <c r="G40" i="14"/>
  <c r="G42" i="14" s="1"/>
  <c r="G43" i="14" s="1"/>
  <c r="M40" i="14"/>
  <c r="H24" i="14"/>
  <c r="L20" i="14"/>
  <c r="D20" i="38" s="1"/>
  <c r="K82" i="14"/>
  <c r="D79" i="25"/>
  <c r="F79" i="37" s="1"/>
  <c r="H79" i="37" s="1"/>
  <c r="Y78" i="27"/>
  <c r="Q78" i="27"/>
  <c r="I78" i="27"/>
  <c r="E78" i="27" s="1"/>
  <c r="G78" i="39" s="1"/>
  <c r="AA77" i="27"/>
  <c r="S77" i="27"/>
  <c r="E77" i="27" s="1"/>
  <c r="G77" i="39" s="1"/>
  <c r="AE76" i="27"/>
  <c r="W76" i="27"/>
  <c r="E76" i="27" s="1"/>
  <c r="G76" i="39" s="1"/>
  <c r="E76" i="25"/>
  <c r="G76" i="37" s="1"/>
  <c r="I76" i="37" s="1"/>
  <c r="U71" i="27"/>
  <c r="U72" i="25"/>
  <c r="E71" i="25"/>
  <c r="G71" i="37" s="1"/>
  <c r="AD66" i="25"/>
  <c r="AD65" i="27"/>
  <c r="AD66" i="27" s="1"/>
  <c r="V65" i="27"/>
  <c r="V66" i="25"/>
  <c r="N66" i="25"/>
  <c r="N65" i="27"/>
  <c r="F66" i="25"/>
  <c r="D65" i="25"/>
  <c r="F65" i="37" s="1"/>
  <c r="H65" i="37" s="1"/>
  <c r="Y64" i="27"/>
  <c r="Y66" i="25"/>
  <c r="Q66" i="27"/>
  <c r="I64" i="27"/>
  <c r="I66" i="27" s="1"/>
  <c r="E64" i="25"/>
  <c r="I66" i="25"/>
  <c r="I60" i="27"/>
  <c r="E60" i="25"/>
  <c r="G60" i="37" s="1"/>
  <c r="I60" i="37" s="1"/>
  <c r="X51" i="27"/>
  <c r="H51" i="27"/>
  <c r="L40" i="27"/>
  <c r="L42" i="27" s="1"/>
  <c r="L43" i="27" s="1"/>
  <c r="L42" i="25"/>
  <c r="L43" i="25" s="1"/>
  <c r="Q36" i="25"/>
  <c r="T32" i="27"/>
  <c r="T36" i="27" s="1"/>
  <c r="L32" i="27"/>
  <c r="L36" i="27" s="1"/>
  <c r="L36" i="25"/>
  <c r="D32" i="25"/>
  <c r="S28" i="27"/>
  <c r="S29" i="25"/>
  <c r="AD27" i="27"/>
  <c r="AD29" i="27" s="1"/>
  <c r="AD29" i="25"/>
  <c r="N27" i="27"/>
  <c r="N29" i="25"/>
  <c r="D27" i="25"/>
  <c r="AC22" i="27"/>
  <c r="U22" i="27"/>
  <c r="M22" i="27"/>
  <c r="E22" i="27" s="1"/>
  <c r="G22" i="39" s="1"/>
  <c r="E22" i="25"/>
  <c r="G22" i="37" s="1"/>
  <c r="I22" i="37" s="1"/>
  <c r="Y21" i="27"/>
  <c r="Y24" i="27" s="1"/>
  <c r="Q21" i="27"/>
  <c r="I21" i="27"/>
  <c r="I24" i="27" s="1"/>
  <c r="E21" i="25"/>
  <c r="G21" i="37" s="1"/>
  <c r="W20" i="27"/>
  <c r="W24" i="25"/>
  <c r="O20" i="27"/>
  <c r="O24" i="25"/>
  <c r="G24" i="25"/>
  <c r="Z19" i="27"/>
  <c r="Z24" i="25"/>
  <c r="R19" i="27"/>
  <c r="R24" i="25"/>
  <c r="J19" i="27"/>
  <c r="U14" i="27"/>
  <c r="M14" i="27"/>
  <c r="E14" i="27" s="1"/>
  <c r="G14" i="39" s="1"/>
  <c r="K12" i="27"/>
  <c r="N11" i="27"/>
  <c r="H87" i="15"/>
  <c r="F87" i="13"/>
  <c r="L87" i="13"/>
  <c r="I35" i="15"/>
  <c r="M35" i="13"/>
  <c r="E35" i="37" s="1"/>
  <c r="G35" i="13"/>
  <c r="L29" i="13"/>
  <c r="D27" i="37"/>
  <c r="W89" i="27"/>
  <c r="O89" i="27"/>
  <c r="E86" i="27"/>
  <c r="E73" i="27"/>
  <c r="G73" i="39" s="1"/>
  <c r="G72" i="27"/>
  <c r="Z34" i="27"/>
  <c r="F51" i="15"/>
  <c r="L51" i="15"/>
  <c r="D51" i="39" s="1"/>
  <c r="Q16" i="7"/>
  <c r="Q82" i="7" s="1"/>
  <c r="Q91" i="7" s="1"/>
  <c r="G12" i="27"/>
  <c r="G16" i="27" s="1"/>
  <c r="G82" i="27" s="1"/>
  <c r="G12" i="26"/>
  <c r="E12" i="26" s="1"/>
  <c r="G12" i="38" s="1"/>
  <c r="I12" i="38" s="1"/>
  <c r="H80" i="42"/>
  <c r="AC82" i="30"/>
  <c r="AA650" i="44" s="1"/>
  <c r="E54" i="30"/>
  <c r="G56" i="30"/>
  <c r="G42" i="30"/>
  <c r="G43" i="30" s="1"/>
  <c r="E41" i="30"/>
  <c r="G41" i="42" s="1"/>
  <c r="G42" i="42" s="1"/>
  <c r="G43" i="42" s="1"/>
  <c r="E70" i="42"/>
  <c r="M72" i="18"/>
  <c r="F59" i="18"/>
  <c r="F61" i="18" s="1"/>
  <c r="H61" i="18"/>
  <c r="L59" i="18"/>
  <c r="E51" i="5"/>
  <c r="T82" i="6"/>
  <c r="L82" i="6"/>
  <c r="F82" i="6"/>
  <c r="D16" i="6"/>
  <c r="D66" i="23"/>
  <c r="F64" i="35"/>
  <c r="E60" i="23"/>
  <c r="G60" i="35" s="1"/>
  <c r="I60" i="35" s="1"/>
  <c r="I61" i="23"/>
  <c r="I39" i="35"/>
  <c r="D33" i="23"/>
  <c r="F33" i="35" s="1"/>
  <c r="H33" i="35" s="1"/>
  <c r="D32" i="23"/>
  <c r="M27" i="11"/>
  <c r="G27" i="11"/>
  <c r="G29" i="11" s="1"/>
  <c r="I29" i="11"/>
  <c r="F12" i="14"/>
  <c r="F16" i="14" s="1"/>
  <c r="L12" i="14"/>
  <c r="D12" i="38" s="1"/>
  <c r="D16" i="38" s="1"/>
  <c r="H16" i="14"/>
  <c r="D87" i="25"/>
  <c r="F87" i="37" s="1"/>
  <c r="F87" i="27"/>
  <c r="F89" i="25"/>
  <c r="AE78" i="27"/>
  <c r="E78" i="25"/>
  <c r="G78" i="37" s="1"/>
  <c r="I78" i="37" s="1"/>
  <c r="AA72" i="25"/>
  <c r="AA71" i="27"/>
  <c r="AA72" i="27" s="1"/>
  <c r="Y55" i="27"/>
  <c r="Q55" i="27"/>
  <c r="I55" i="27"/>
  <c r="AA54" i="27"/>
  <c r="AA56" i="27" s="1"/>
  <c r="S54" i="27"/>
  <c r="S56" i="27" s="1"/>
  <c r="K54" i="27"/>
  <c r="K56" i="27" s="1"/>
  <c r="V51" i="27"/>
  <c r="D51" i="25"/>
  <c r="F51" i="37" s="1"/>
  <c r="H51" i="37" s="1"/>
  <c r="I49" i="27"/>
  <c r="E49" i="25"/>
  <c r="G49" i="37" s="1"/>
  <c r="Z40" i="27"/>
  <c r="Z42" i="25"/>
  <c r="Z43" i="25" s="1"/>
  <c r="R42" i="27"/>
  <c r="R43" i="27" s="1"/>
  <c r="J40" i="27"/>
  <c r="J42" i="27" s="1"/>
  <c r="J43" i="27" s="1"/>
  <c r="J42" i="25"/>
  <c r="J43" i="25" s="1"/>
  <c r="U39" i="27"/>
  <c r="U43" i="25"/>
  <c r="E39" i="25"/>
  <c r="G39" i="37" s="1"/>
  <c r="I39" i="37" s="1"/>
  <c r="D34" i="25"/>
  <c r="F34" i="37" s="1"/>
  <c r="H34" i="37" s="1"/>
  <c r="H33" i="27"/>
  <c r="H36" i="25"/>
  <c r="R36" i="27"/>
  <c r="Y28" i="27"/>
  <c r="Y29" i="25"/>
  <c r="I28" i="27"/>
  <c r="E28" i="25"/>
  <c r="G28" i="37" s="1"/>
  <c r="I28" i="37" s="1"/>
  <c r="L29" i="27"/>
  <c r="Q23" i="27"/>
  <c r="I23" i="27"/>
  <c r="E23" i="27" s="1"/>
  <c r="G23" i="39" s="1"/>
  <c r="U20" i="27"/>
  <c r="M20" i="27"/>
  <c r="H19" i="27"/>
  <c r="Y15" i="27"/>
  <c r="I15" i="27"/>
  <c r="E15" i="25"/>
  <c r="G15" i="37" s="1"/>
  <c r="I15" i="37" s="1"/>
  <c r="AB11" i="27"/>
  <c r="AB16" i="27" s="1"/>
  <c r="AB16" i="25"/>
  <c r="AB82" i="25" s="1"/>
  <c r="T82" i="25"/>
  <c r="L11" i="27"/>
  <c r="L16" i="27" s="1"/>
  <c r="L16" i="25"/>
  <c r="D88" i="37"/>
  <c r="D88" i="5" s="1"/>
  <c r="L88" i="15"/>
  <c r="D88" i="39" s="1"/>
  <c r="I86" i="15"/>
  <c r="M86" i="13"/>
  <c r="I89" i="13"/>
  <c r="M72" i="13"/>
  <c r="F29" i="13"/>
  <c r="I19" i="15"/>
  <c r="G19" i="13"/>
  <c r="I24" i="13"/>
  <c r="M19" i="13"/>
  <c r="AA89" i="27"/>
  <c r="S89" i="27"/>
  <c r="E41" i="27"/>
  <c r="G41" i="39" s="1"/>
  <c r="L82" i="7"/>
  <c r="L91" i="7" s="1"/>
  <c r="G12" i="24"/>
  <c r="G12" i="23"/>
  <c r="K16" i="7"/>
  <c r="K82" i="7" s="1"/>
  <c r="K91" i="7" s="1"/>
  <c r="K94" i="7"/>
  <c r="D49" i="5"/>
  <c r="G79" i="18"/>
  <c r="M79" i="18"/>
  <c r="E79" i="42" s="1"/>
  <c r="E79" i="5" s="1"/>
  <c r="L59" i="19"/>
  <c r="H61" i="19"/>
  <c r="F59" i="19"/>
  <c r="F61" i="19" s="1"/>
  <c r="H79" i="35"/>
  <c r="E77" i="23"/>
  <c r="G77" i="35" s="1"/>
  <c r="I77" i="35" s="1"/>
  <c r="J72" i="24"/>
  <c r="D35" i="23"/>
  <c r="F35" i="35" s="1"/>
  <c r="H35" i="35" s="1"/>
  <c r="I15" i="35"/>
  <c r="E11" i="23"/>
  <c r="H70" i="12"/>
  <c r="F70" i="9"/>
  <c r="F72" i="9" s="1"/>
  <c r="H72" i="9"/>
  <c r="L70" i="9"/>
  <c r="H54" i="12"/>
  <c r="L54" i="9"/>
  <c r="H56" i="9"/>
  <c r="F54" i="9"/>
  <c r="F56" i="9" s="1"/>
  <c r="M19" i="14"/>
  <c r="G19" i="14"/>
  <c r="G24" i="14" s="1"/>
  <c r="I24" i="14"/>
  <c r="Y80" i="27"/>
  <c r="Q80" i="27"/>
  <c r="I80" i="27"/>
  <c r="E80" i="27" s="1"/>
  <c r="G80" i="39" s="1"/>
  <c r="AA79" i="27"/>
  <c r="V66" i="27"/>
  <c r="N66" i="27"/>
  <c r="I59" i="27"/>
  <c r="I61" i="27" s="1"/>
  <c r="X56" i="25"/>
  <c r="X55" i="27"/>
  <c r="P55" i="27"/>
  <c r="P56" i="25"/>
  <c r="H55" i="27"/>
  <c r="H56" i="25"/>
  <c r="Z54" i="27"/>
  <c r="Z56" i="27" s="1"/>
  <c r="Z56" i="25"/>
  <c r="R54" i="27"/>
  <c r="J54" i="27"/>
  <c r="J56" i="25"/>
  <c r="AC45" i="27"/>
  <c r="U45" i="27"/>
  <c r="AE41" i="27"/>
  <c r="AE42" i="27" s="1"/>
  <c r="AE43" i="27" s="1"/>
  <c r="AE42" i="25"/>
  <c r="AE43" i="25" s="1"/>
  <c r="AE82" i="25" s="1"/>
  <c r="W42" i="25"/>
  <c r="W43" i="25" s="1"/>
  <c r="W41" i="27"/>
  <c r="O42" i="25"/>
  <c r="O43" i="25" s="1"/>
  <c r="O41" i="27"/>
  <c r="G42" i="25"/>
  <c r="G43" i="25" s="1"/>
  <c r="E41" i="25"/>
  <c r="G41" i="37" s="1"/>
  <c r="I41" i="37" s="1"/>
  <c r="Y42" i="27"/>
  <c r="Y43" i="27" s="1"/>
  <c r="Q42" i="27"/>
  <c r="Q43" i="27" s="1"/>
  <c r="I40" i="27"/>
  <c r="I42" i="27" s="1"/>
  <c r="I43" i="27" s="1"/>
  <c r="E40" i="25"/>
  <c r="I42" i="25"/>
  <c r="I43" i="25" s="1"/>
  <c r="Y35" i="27"/>
  <c r="I35" i="27"/>
  <c r="E35" i="27" s="1"/>
  <c r="G35" i="39" s="1"/>
  <c r="K34" i="27"/>
  <c r="E34" i="27" s="1"/>
  <c r="G34" i="39" s="1"/>
  <c r="Y36" i="27"/>
  <c r="Q36" i="27"/>
  <c r="AD24" i="25"/>
  <c r="AD21" i="27"/>
  <c r="D21" i="25"/>
  <c r="F21" i="37" s="1"/>
  <c r="I74" i="15"/>
  <c r="G74" i="13"/>
  <c r="M74" i="13"/>
  <c r="E74" i="37" s="1"/>
  <c r="E66" i="37"/>
  <c r="I28" i="15"/>
  <c r="M28" i="13"/>
  <c r="E28" i="37" s="1"/>
  <c r="G28" i="13"/>
  <c r="G29" i="13" s="1"/>
  <c r="K71" i="27"/>
  <c r="K72" i="27" s="1"/>
  <c r="U72" i="27"/>
  <c r="O56" i="27"/>
  <c r="P33" i="27"/>
  <c r="P36" i="27" s="1"/>
  <c r="K28" i="27"/>
  <c r="D72" i="42"/>
  <c r="F87" i="5"/>
  <c r="I88" i="43"/>
  <c r="L651" i="44"/>
  <c r="N91" i="31"/>
  <c r="D55" i="31"/>
  <c r="F55" i="43" s="1"/>
  <c r="H55" i="43" s="1"/>
  <c r="H89" i="19"/>
  <c r="F86" i="19"/>
  <c r="F89" i="19" s="1"/>
  <c r="L86" i="19"/>
  <c r="F74" i="19"/>
  <c r="L74" i="19"/>
  <c r="D74" i="43" s="1"/>
  <c r="I51" i="35"/>
  <c r="I35" i="35"/>
  <c r="Z82" i="23"/>
  <c r="X643" i="44" s="1"/>
  <c r="T82" i="23"/>
  <c r="R643" i="44" s="1"/>
  <c r="L82" i="23"/>
  <c r="J643" i="44" s="1"/>
  <c r="D11" i="23"/>
  <c r="E61" i="38"/>
  <c r="L45" i="14"/>
  <c r="D45" i="38" s="1"/>
  <c r="H45" i="15"/>
  <c r="I29" i="14"/>
  <c r="G27" i="14"/>
  <c r="G29" i="14" s="1"/>
  <c r="E11" i="38"/>
  <c r="D72" i="37"/>
  <c r="AC81" i="27"/>
  <c r="U81" i="27"/>
  <c r="M81" i="27"/>
  <c r="E81" i="27" s="1"/>
  <c r="G81" i="39" s="1"/>
  <c r="E81" i="25"/>
  <c r="G81" i="37" s="1"/>
  <c r="X74" i="27"/>
  <c r="P74" i="27"/>
  <c r="D73" i="25"/>
  <c r="F73" i="37" s="1"/>
  <c r="H73" i="37" s="1"/>
  <c r="AC64" i="27"/>
  <c r="AC60" i="27"/>
  <c r="AC61" i="27" s="1"/>
  <c r="M60" i="27"/>
  <c r="X59" i="27"/>
  <c r="X61" i="27" s="1"/>
  <c r="X61" i="25"/>
  <c r="P61" i="27"/>
  <c r="H59" i="27"/>
  <c r="H61" i="25"/>
  <c r="W56" i="25"/>
  <c r="W55" i="27"/>
  <c r="W56" i="27" s="1"/>
  <c r="G56" i="25"/>
  <c r="E55" i="25"/>
  <c r="G55" i="37" s="1"/>
  <c r="I55" i="37" s="1"/>
  <c r="Y56" i="27"/>
  <c r="Q56" i="27"/>
  <c r="I54" i="27"/>
  <c r="E54" i="25"/>
  <c r="I56" i="25"/>
  <c r="Q47" i="27"/>
  <c r="AD41" i="27"/>
  <c r="AD42" i="25"/>
  <c r="AD43" i="25" s="1"/>
  <c r="V42" i="25"/>
  <c r="V43" i="25" s="1"/>
  <c r="V41" i="27"/>
  <c r="N42" i="25"/>
  <c r="N43" i="25" s="1"/>
  <c r="N41" i="27"/>
  <c r="D41" i="27" s="1"/>
  <c r="F41" i="39" s="1"/>
  <c r="F42" i="25"/>
  <c r="F43" i="25" s="1"/>
  <c r="D41" i="25"/>
  <c r="F41" i="37" s="1"/>
  <c r="H41" i="37" s="1"/>
  <c r="Y36" i="25"/>
  <c r="R34" i="27"/>
  <c r="R36" i="25"/>
  <c r="V36" i="25"/>
  <c r="V33" i="27"/>
  <c r="N36" i="25"/>
  <c r="N33" i="27"/>
  <c r="F36" i="25"/>
  <c r="D33" i="25"/>
  <c r="F33" i="37" s="1"/>
  <c r="H33" i="37" s="1"/>
  <c r="E23" i="25"/>
  <c r="G23" i="37" s="1"/>
  <c r="I23" i="37" s="1"/>
  <c r="G86" i="13"/>
  <c r="I81" i="15"/>
  <c r="M81" i="13"/>
  <c r="E81" i="37" s="1"/>
  <c r="G51" i="15"/>
  <c r="M51" i="15"/>
  <c r="E51" i="39" s="1"/>
  <c r="I41" i="15"/>
  <c r="M41" i="13"/>
  <c r="E41" i="37" s="1"/>
  <c r="E41" i="5" s="1"/>
  <c r="T72" i="27"/>
  <c r="D55" i="27"/>
  <c r="F55" i="39" s="1"/>
  <c r="D47" i="27"/>
  <c r="F47" i="39" s="1"/>
  <c r="F42" i="27"/>
  <c r="F43" i="27" s="1"/>
  <c r="E20" i="30"/>
  <c r="G20" i="42" s="1"/>
  <c r="G24" i="30"/>
  <c r="I15" i="42"/>
  <c r="D78" i="31"/>
  <c r="F78" i="43" s="1"/>
  <c r="K24" i="23"/>
  <c r="K82" i="23" s="1"/>
  <c r="E19" i="23"/>
  <c r="Y82" i="23"/>
  <c r="W643" i="44" s="1"/>
  <c r="H14" i="35"/>
  <c r="W61" i="27"/>
  <c r="X56" i="27"/>
  <c r="F76" i="15"/>
  <c r="L76" i="15"/>
  <c r="D76" i="39" s="1"/>
  <c r="V82" i="7"/>
  <c r="V91" i="7" s="1"/>
  <c r="I81" i="42"/>
  <c r="I21" i="42"/>
  <c r="E59" i="30"/>
  <c r="G61" i="30"/>
  <c r="F42" i="30"/>
  <c r="F43" i="30" s="1"/>
  <c r="D41" i="30"/>
  <c r="R82" i="30"/>
  <c r="P650" i="44" s="1"/>
  <c r="F19" i="18"/>
  <c r="F24" i="18" s="1"/>
  <c r="L19" i="18"/>
  <c r="F14" i="18"/>
  <c r="L14" i="18"/>
  <c r="D14" i="42" s="1"/>
  <c r="G55" i="20"/>
  <c r="G56" i="6"/>
  <c r="E55" i="6"/>
  <c r="E56" i="6" s="1"/>
  <c r="S82" i="6"/>
  <c r="K82" i="6"/>
  <c r="E81" i="31"/>
  <c r="G81" i="43" s="1"/>
  <c r="I81" i="43" s="1"/>
  <c r="E51" i="31"/>
  <c r="G51" i="43" s="1"/>
  <c r="I51" i="43" s="1"/>
  <c r="P651" i="44"/>
  <c r="R91" i="31"/>
  <c r="Z24" i="31"/>
  <c r="Z82" i="31" s="1"/>
  <c r="M79" i="19"/>
  <c r="E79" i="43" s="1"/>
  <c r="F40" i="35"/>
  <c r="H24" i="23"/>
  <c r="D20" i="23"/>
  <c r="F20" i="35" s="1"/>
  <c r="H20" i="35" s="1"/>
  <c r="E71" i="35"/>
  <c r="E71" i="5" s="1"/>
  <c r="M72" i="11"/>
  <c r="F79" i="10"/>
  <c r="L79" i="10"/>
  <c r="D79" i="34" s="1"/>
  <c r="D79" i="5" s="1"/>
  <c r="L77" i="10"/>
  <c r="D77" i="34" s="1"/>
  <c r="F77" i="10"/>
  <c r="L73" i="10"/>
  <c r="D73" i="34" s="1"/>
  <c r="F73" i="10"/>
  <c r="M66" i="10"/>
  <c r="E64" i="34"/>
  <c r="E66" i="34" s="1"/>
  <c r="I72" i="16"/>
  <c r="M55" i="16"/>
  <c r="E55" i="40" s="1"/>
  <c r="H56" i="16"/>
  <c r="F54" i="16"/>
  <c r="F56" i="16" s="1"/>
  <c r="M39" i="16"/>
  <c r="E39" i="40" s="1"/>
  <c r="L29" i="16"/>
  <c r="E80" i="26"/>
  <c r="G80" i="38" s="1"/>
  <c r="I80" i="38" s="1"/>
  <c r="E65" i="26"/>
  <c r="G65" i="38" s="1"/>
  <c r="I65" i="38" s="1"/>
  <c r="D55" i="26"/>
  <c r="F55" i="38" s="1"/>
  <c r="H55" i="38" s="1"/>
  <c r="D27" i="26"/>
  <c r="D19" i="26"/>
  <c r="M75" i="14"/>
  <c r="E75" i="38" s="1"/>
  <c r="I61" i="14"/>
  <c r="L39" i="14"/>
  <c r="D39" i="38" s="1"/>
  <c r="M33" i="14"/>
  <c r="E33" i="38" s="1"/>
  <c r="I36" i="14"/>
  <c r="J82" i="14"/>
  <c r="AD81" i="27"/>
  <c r="V81" i="27"/>
  <c r="N81" i="27"/>
  <c r="Z80" i="27"/>
  <c r="R80" i="27"/>
  <c r="J80" i="27"/>
  <c r="AB79" i="27"/>
  <c r="D79" i="27" s="1"/>
  <c r="F79" i="39" s="1"/>
  <c r="H79" i="39" s="1"/>
  <c r="T79" i="27"/>
  <c r="L79" i="27"/>
  <c r="X78" i="27"/>
  <c r="P78" i="27"/>
  <c r="H78" i="27"/>
  <c r="D78" i="27" s="1"/>
  <c r="F78" i="39" s="1"/>
  <c r="D76" i="25"/>
  <c r="F76" i="37" s="1"/>
  <c r="H76" i="37" s="1"/>
  <c r="AD73" i="27"/>
  <c r="V73" i="27"/>
  <c r="D73" i="27" s="1"/>
  <c r="F73" i="39" s="1"/>
  <c r="N73" i="27"/>
  <c r="AB71" i="27"/>
  <c r="AB72" i="27" s="1"/>
  <c r="AB72" i="25"/>
  <c r="T71" i="27"/>
  <c r="T72" i="25"/>
  <c r="L71" i="27"/>
  <c r="L72" i="27" s="1"/>
  <c r="L72" i="25"/>
  <c r="D71" i="25"/>
  <c r="F71" i="37" s="1"/>
  <c r="H71" i="37" s="1"/>
  <c r="X70" i="27"/>
  <c r="X72" i="27" s="1"/>
  <c r="P70" i="27"/>
  <c r="P72" i="27" s="1"/>
  <c r="H70" i="27"/>
  <c r="Y59" i="27"/>
  <c r="Y61" i="27" s="1"/>
  <c r="Q59" i="27"/>
  <c r="Q61" i="27" s="1"/>
  <c r="P56" i="27"/>
  <c r="H56" i="27"/>
  <c r="AD45" i="27"/>
  <c r="X35" i="27"/>
  <c r="X36" i="27" s="1"/>
  <c r="AA34" i="27"/>
  <c r="AE36" i="25"/>
  <c r="W36" i="25"/>
  <c r="W33" i="27"/>
  <c r="O36" i="25"/>
  <c r="G36" i="25"/>
  <c r="Z32" i="27"/>
  <c r="Z36" i="27" s="1"/>
  <c r="J32" i="27"/>
  <c r="P23" i="27"/>
  <c r="S22" i="27"/>
  <c r="AE24" i="25"/>
  <c r="W21" i="27"/>
  <c r="V20" i="27"/>
  <c r="V24" i="25"/>
  <c r="N20" i="27"/>
  <c r="N24" i="27" s="1"/>
  <c r="N24" i="25"/>
  <c r="F24" i="25"/>
  <c r="D20" i="25"/>
  <c r="F20" i="37" s="1"/>
  <c r="H20" i="37" s="1"/>
  <c r="Q19" i="27"/>
  <c r="O16" i="25"/>
  <c r="W15" i="27"/>
  <c r="E15" i="27" s="1"/>
  <c r="G15" i="39" s="1"/>
  <c r="AA14" i="27"/>
  <c r="V13" i="27"/>
  <c r="V16" i="27" s="1"/>
  <c r="J12" i="27"/>
  <c r="H89" i="13"/>
  <c r="L80" i="13"/>
  <c r="D80" i="37" s="1"/>
  <c r="H80" i="15"/>
  <c r="H77" i="15"/>
  <c r="F77" i="13"/>
  <c r="H72" i="13"/>
  <c r="L72" i="13"/>
  <c r="I59" i="15"/>
  <c r="M59" i="13"/>
  <c r="L40" i="13"/>
  <c r="H40" i="15"/>
  <c r="H42" i="13"/>
  <c r="H43" i="13" s="1"/>
  <c r="H22" i="15"/>
  <c r="F22" i="13"/>
  <c r="F24" i="13" s="1"/>
  <c r="H14" i="15"/>
  <c r="F14" i="13"/>
  <c r="F16" i="13" s="1"/>
  <c r="F82" i="13" s="1"/>
  <c r="D77" i="27"/>
  <c r="F77" i="39" s="1"/>
  <c r="Z71" i="27"/>
  <c r="Z72" i="27" s="1"/>
  <c r="E64" i="27"/>
  <c r="AE33" i="27"/>
  <c r="H86" i="15"/>
  <c r="H89" i="15" s="1"/>
  <c r="H74" i="15"/>
  <c r="E42" i="7"/>
  <c r="E43" i="7" s="1"/>
  <c r="E29" i="7"/>
  <c r="I82" i="7"/>
  <c r="I91" i="7" s="1"/>
  <c r="G64" i="42"/>
  <c r="E66" i="30"/>
  <c r="I35" i="42"/>
  <c r="D27" i="30"/>
  <c r="F29" i="30"/>
  <c r="F24" i="30"/>
  <c r="D19" i="30"/>
  <c r="G76" i="18"/>
  <c r="M76" i="18"/>
  <c r="E76" i="42" s="1"/>
  <c r="L74" i="18"/>
  <c r="D74" i="42" s="1"/>
  <c r="F74" i="18"/>
  <c r="G24" i="18"/>
  <c r="D24" i="6"/>
  <c r="Q82" i="6"/>
  <c r="E77" i="31"/>
  <c r="G77" i="43" s="1"/>
  <c r="I77" i="43" s="1"/>
  <c r="Y61" i="31"/>
  <c r="E60" i="31"/>
  <c r="G60" i="43" s="1"/>
  <c r="E40" i="31"/>
  <c r="Q82" i="31"/>
  <c r="L40" i="19"/>
  <c r="H42" i="19"/>
  <c r="H43" i="19" s="1"/>
  <c r="E81" i="23"/>
  <c r="G81" i="35" s="1"/>
  <c r="I81" i="35" s="1"/>
  <c r="K66" i="23"/>
  <c r="E64" i="23"/>
  <c r="AE82" i="23"/>
  <c r="AC643" i="44" s="1"/>
  <c r="E20" i="23"/>
  <c r="G20" i="35" s="1"/>
  <c r="G24" i="23"/>
  <c r="D13" i="23"/>
  <c r="F13" i="35" s="1"/>
  <c r="L71" i="11"/>
  <c r="D71" i="35" s="1"/>
  <c r="I73" i="33"/>
  <c r="Z72" i="21"/>
  <c r="Z71" i="24"/>
  <c r="R71" i="24"/>
  <c r="R72" i="24" s="1"/>
  <c r="R72" i="21"/>
  <c r="J72" i="21"/>
  <c r="J71" i="24"/>
  <c r="D71" i="21"/>
  <c r="F71" i="33" s="1"/>
  <c r="H71" i="33" s="1"/>
  <c r="T72" i="24"/>
  <c r="D61" i="21"/>
  <c r="F59" i="33"/>
  <c r="AC27" i="24"/>
  <c r="E24" i="7"/>
  <c r="I65" i="42"/>
  <c r="H32" i="42"/>
  <c r="F36" i="42"/>
  <c r="E34" i="30"/>
  <c r="G34" i="42" s="1"/>
  <c r="G36" i="30"/>
  <c r="E27" i="30"/>
  <c r="G16" i="42"/>
  <c r="G74" i="18"/>
  <c r="G28" i="18"/>
  <c r="M28" i="18"/>
  <c r="E28" i="42" s="1"/>
  <c r="E28" i="5" s="1"/>
  <c r="I29" i="18"/>
  <c r="L22" i="18"/>
  <c r="D22" i="42" s="1"/>
  <c r="F22" i="18"/>
  <c r="I22" i="43"/>
  <c r="D89" i="31"/>
  <c r="F86" i="43"/>
  <c r="E80" i="31"/>
  <c r="G80" i="43" s="1"/>
  <c r="I80" i="43" s="1"/>
  <c r="E73" i="31"/>
  <c r="G73" i="43" s="1"/>
  <c r="G66" i="31"/>
  <c r="E65" i="31"/>
  <c r="G65" i="43" s="1"/>
  <c r="I65" i="43" s="1"/>
  <c r="E88" i="5"/>
  <c r="M89" i="19"/>
  <c r="B22" i="4" s="1"/>
  <c r="F15" i="19"/>
  <c r="L15" i="19"/>
  <c r="D15" i="43" s="1"/>
  <c r="D15" i="5" s="1"/>
  <c r="D39" i="23"/>
  <c r="F39" i="35" s="1"/>
  <c r="H39" i="35" s="1"/>
  <c r="D23" i="23"/>
  <c r="F23" i="35" s="1"/>
  <c r="H23" i="35" s="1"/>
  <c r="D22" i="23"/>
  <c r="F22" i="35" s="1"/>
  <c r="H22" i="35" s="1"/>
  <c r="O82" i="23"/>
  <c r="M643" i="44" s="1"/>
  <c r="G60" i="11"/>
  <c r="M60" i="11"/>
  <c r="E60" i="35" s="1"/>
  <c r="H66" i="16"/>
  <c r="F64" i="16"/>
  <c r="F66" i="16" s="1"/>
  <c r="E74" i="26"/>
  <c r="G74" i="38" s="1"/>
  <c r="I74" i="38" s="1"/>
  <c r="E39" i="26"/>
  <c r="G39" i="38" s="1"/>
  <c r="I39" i="38" s="1"/>
  <c r="Y36" i="26"/>
  <c r="Q36" i="26"/>
  <c r="I36" i="26"/>
  <c r="D21" i="26"/>
  <c r="F21" i="38" s="1"/>
  <c r="H21" i="38" s="1"/>
  <c r="D13" i="26"/>
  <c r="F13" i="38" s="1"/>
  <c r="H13" i="38" s="1"/>
  <c r="L64" i="14"/>
  <c r="H66" i="14"/>
  <c r="L61" i="14"/>
  <c r="G56" i="14"/>
  <c r="L24" i="14"/>
  <c r="D19" i="38"/>
  <c r="AB81" i="27"/>
  <c r="T81" i="27"/>
  <c r="L81" i="27"/>
  <c r="D81" i="27" s="1"/>
  <c r="F81" i="39" s="1"/>
  <c r="X80" i="27"/>
  <c r="P80" i="27"/>
  <c r="H80" i="27"/>
  <c r="D80" i="27" s="1"/>
  <c r="F80" i="39" s="1"/>
  <c r="D78" i="25"/>
  <c r="F78" i="37" s="1"/>
  <c r="H78" i="37" s="1"/>
  <c r="AD75" i="27"/>
  <c r="V75" i="27"/>
  <c r="N75" i="27"/>
  <c r="Z74" i="27"/>
  <c r="R74" i="27"/>
  <c r="I74" i="27"/>
  <c r="E74" i="27" s="1"/>
  <c r="G74" i="39" s="1"/>
  <c r="AB73" i="27"/>
  <c r="T73" i="27"/>
  <c r="L73" i="27"/>
  <c r="D70" i="25"/>
  <c r="M64" i="27"/>
  <c r="M66" i="27" s="1"/>
  <c r="O59" i="27"/>
  <c r="O61" i="27" s="1"/>
  <c r="Z51" i="27"/>
  <c r="R51" i="27"/>
  <c r="J51" i="27"/>
  <c r="D51" i="27" s="1"/>
  <c r="F51" i="39" s="1"/>
  <c r="H51" i="39" s="1"/>
  <c r="AC49" i="27"/>
  <c r="I47" i="27"/>
  <c r="E47" i="27" s="1"/>
  <c r="G47" i="39" s="1"/>
  <c r="AB45" i="27"/>
  <c r="T45" i="27"/>
  <c r="L45" i="27"/>
  <c r="D45" i="27" s="1"/>
  <c r="F45" i="39" s="1"/>
  <c r="AD40" i="27"/>
  <c r="V40" i="27"/>
  <c r="V42" i="27" s="1"/>
  <c r="V43" i="27" s="1"/>
  <c r="N40" i="27"/>
  <c r="N42" i="27" s="1"/>
  <c r="N43" i="27" s="1"/>
  <c r="N35" i="27"/>
  <c r="D35" i="25"/>
  <c r="F35" i="37" s="1"/>
  <c r="AD23" i="27"/>
  <c r="D23" i="25"/>
  <c r="F23" i="37" s="1"/>
  <c r="H23" i="37" s="1"/>
  <c r="L20" i="27"/>
  <c r="D20" i="27" s="1"/>
  <c r="F20" i="39" s="1"/>
  <c r="AE19" i="27"/>
  <c r="AE24" i="27" s="1"/>
  <c r="AA11" i="27"/>
  <c r="AA16" i="25"/>
  <c r="S11" i="27"/>
  <c r="S16" i="27" s="1"/>
  <c r="S16" i="25"/>
  <c r="K11" i="27"/>
  <c r="K16" i="25"/>
  <c r="K82" i="25" s="1"/>
  <c r="K91" i="25" s="1"/>
  <c r="I646" i="44" s="1"/>
  <c r="I78" i="15"/>
  <c r="G78" i="13"/>
  <c r="I76" i="15"/>
  <c r="M76" i="13"/>
  <c r="E76" i="37" s="1"/>
  <c r="I73" i="15"/>
  <c r="I71" i="15"/>
  <c r="M71" i="13"/>
  <c r="E71" i="37" s="1"/>
  <c r="E72" i="37" s="1"/>
  <c r="F72" i="13"/>
  <c r="L66" i="13"/>
  <c r="G61" i="13"/>
  <c r="I54" i="15"/>
  <c r="G54" i="13"/>
  <c r="G56" i="13" s="1"/>
  <c r="I49" i="15"/>
  <c r="M49" i="13"/>
  <c r="E49" i="37" s="1"/>
  <c r="F42" i="13"/>
  <c r="F43" i="13" s="1"/>
  <c r="H35" i="15"/>
  <c r="L35" i="13"/>
  <c r="D35" i="37" s="1"/>
  <c r="D35" i="5" s="1"/>
  <c r="H32" i="15"/>
  <c r="F32" i="13"/>
  <c r="F36" i="13" s="1"/>
  <c r="H28" i="15"/>
  <c r="L28" i="13"/>
  <c r="D28" i="37" s="1"/>
  <c r="I23" i="15"/>
  <c r="G23" i="13"/>
  <c r="I21" i="15"/>
  <c r="M21" i="13"/>
  <c r="E21" i="37" s="1"/>
  <c r="I15" i="15"/>
  <c r="G15" i="13"/>
  <c r="I13" i="15"/>
  <c r="M13" i="13"/>
  <c r="E13" i="37" s="1"/>
  <c r="G87" i="27"/>
  <c r="J71" i="27"/>
  <c r="D71" i="27" s="1"/>
  <c r="F71" i="39" s="1"/>
  <c r="R60" i="27"/>
  <c r="R61" i="27" s="1"/>
  <c r="F56" i="27"/>
  <c r="AE21" i="27"/>
  <c r="H71" i="15"/>
  <c r="H72" i="15" s="1"/>
  <c r="H39" i="15"/>
  <c r="G86" i="31"/>
  <c r="E86" i="7"/>
  <c r="E89" i="7" s="1"/>
  <c r="W89" i="7"/>
  <c r="Y82" i="7"/>
  <c r="Y91" i="7" s="1"/>
  <c r="P91" i="7"/>
  <c r="E75" i="5"/>
  <c r="E36" i="42"/>
  <c r="I70" i="42"/>
  <c r="I73" i="42"/>
  <c r="H24" i="18"/>
  <c r="D88" i="31"/>
  <c r="F88" i="43" s="1"/>
  <c r="F89" i="31"/>
  <c r="N651" i="44"/>
  <c r="P91" i="31"/>
  <c r="Y42" i="31"/>
  <c r="Y43" i="31" s="1"/>
  <c r="E41" i="31"/>
  <c r="G41" i="43" s="1"/>
  <c r="I41" i="43" s="1"/>
  <c r="L81" i="19"/>
  <c r="D81" i="43" s="1"/>
  <c r="D81" i="5" s="1"/>
  <c r="F81" i="19"/>
  <c r="D11" i="43"/>
  <c r="D16" i="43" s="1"/>
  <c r="L16" i="19"/>
  <c r="E54" i="35"/>
  <c r="E56" i="35" s="1"/>
  <c r="D24" i="35"/>
  <c r="H80" i="35"/>
  <c r="AD70" i="24"/>
  <c r="AD72" i="24" s="1"/>
  <c r="AD72" i="23"/>
  <c r="D70" i="23"/>
  <c r="F72" i="23"/>
  <c r="AA54" i="24"/>
  <c r="AA56" i="23"/>
  <c r="K56" i="23"/>
  <c r="E54" i="23"/>
  <c r="H43" i="23"/>
  <c r="Q82" i="23"/>
  <c r="O643" i="44" s="1"/>
  <c r="F22" i="11"/>
  <c r="F24" i="11" s="1"/>
  <c r="L22" i="11"/>
  <c r="D22" i="35" s="1"/>
  <c r="G88" i="24"/>
  <c r="E88" i="24" s="1"/>
  <c r="G88" i="36" s="1"/>
  <c r="I88" i="36" s="1"/>
  <c r="E88" i="21"/>
  <c r="G88" i="33" s="1"/>
  <c r="I88" i="33" s="1"/>
  <c r="E80" i="21"/>
  <c r="G80" i="33" s="1"/>
  <c r="I80" i="33" s="1"/>
  <c r="AE76" i="24"/>
  <c r="W76" i="24"/>
  <c r="O76" i="24"/>
  <c r="E76" i="21"/>
  <c r="G76" i="33" s="1"/>
  <c r="I76" i="33" s="1"/>
  <c r="D45" i="21"/>
  <c r="F45" i="33" s="1"/>
  <c r="H45" i="33" s="1"/>
  <c r="H45" i="24"/>
  <c r="D45" i="24" s="1"/>
  <c r="F45" i="36" s="1"/>
  <c r="D29" i="21"/>
  <c r="F27" i="33"/>
  <c r="Z22" i="24"/>
  <c r="Z24" i="21"/>
  <c r="R24" i="21"/>
  <c r="R22" i="24"/>
  <c r="J22" i="24"/>
  <c r="J24" i="21"/>
  <c r="AB21" i="24"/>
  <c r="T21" i="24"/>
  <c r="L21" i="24"/>
  <c r="D21" i="21"/>
  <c r="F21" i="33" s="1"/>
  <c r="I78" i="12"/>
  <c r="G78" i="9"/>
  <c r="M78" i="9"/>
  <c r="E78" i="33" s="1"/>
  <c r="D91" i="15"/>
  <c r="F72" i="16"/>
  <c r="M42" i="16"/>
  <c r="M43" i="16" s="1"/>
  <c r="D42" i="38"/>
  <c r="D76" i="26"/>
  <c r="F76" i="38" s="1"/>
  <c r="H76" i="38" s="1"/>
  <c r="D70" i="26"/>
  <c r="E59" i="26"/>
  <c r="E47" i="26"/>
  <c r="G47" i="38" s="1"/>
  <c r="I47" i="38" s="1"/>
  <c r="D39" i="26"/>
  <c r="F39" i="38" s="1"/>
  <c r="H39" i="38" s="1"/>
  <c r="X36" i="26"/>
  <c r="X82" i="26" s="1"/>
  <c r="V647" i="44" s="1"/>
  <c r="P36" i="26"/>
  <c r="H36" i="26"/>
  <c r="E23" i="26"/>
  <c r="G23" i="38" s="1"/>
  <c r="I23" i="38" s="1"/>
  <c r="E15" i="26"/>
  <c r="G15" i="38" s="1"/>
  <c r="I15" i="38" s="1"/>
  <c r="L72" i="14"/>
  <c r="D70" i="38"/>
  <c r="D72" i="38" s="1"/>
  <c r="L42" i="14"/>
  <c r="L43" i="14" s="1"/>
  <c r="D66" i="37"/>
  <c r="D86" i="27"/>
  <c r="E80" i="25"/>
  <c r="G80" i="37" s="1"/>
  <c r="AC75" i="27"/>
  <c r="U75" i="27"/>
  <c r="M75" i="27"/>
  <c r="Y74" i="27"/>
  <c r="Q74" i="27"/>
  <c r="H74" i="27"/>
  <c r="D74" i="27" s="1"/>
  <c r="F74" i="39" s="1"/>
  <c r="Z61" i="25"/>
  <c r="Z60" i="27"/>
  <c r="Z61" i="27" s="1"/>
  <c r="D59" i="25"/>
  <c r="Z55" i="27"/>
  <c r="R55" i="27"/>
  <c r="Q51" i="27"/>
  <c r="I51" i="27"/>
  <c r="E51" i="27" s="1"/>
  <c r="G51" i="39" s="1"/>
  <c r="I51" i="39" s="1"/>
  <c r="AB49" i="27"/>
  <c r="T49" i="27"/>
  <c r="S45" i="27"/>
  <c r="K45" i="27"/>
  <c r="U40" i="27"/>
  <c r="U42" i="27" s="1"/>
  <c r="U43" i="27" s="1"/>
  <c r="M40" i="27"/>
  <c r="M42" i="27" s="1"/>
  <c r="M43" i="27" s="1"/>
  <c r="AC28" i="27"/>
  <c r="Y27" i="27"/>
  <c r="I27" i="27"/>
  <c r="I29" i="27" s="1"/>
  <c r="V19" i="27"/>
  <c r="Z11" i="27"/>
  <c r="Z16" i="27" s="1"/>
  <c r="Z16" i="25"/>
  <c r="R11" i="27"/>
  <c r="R16" i="27" s="1"/>
  <c r="R16" i="25"/>
  <c r="R82" i="25" s="1"/>
  <c r="J11" i="27"/>
  <c r="J16" i="27" s="1"/>
  <c r="J16" i="25"/>
  <c r="I64" i="15"/>
  <c r="G64" i="13"/>
  <c r="G66" i="13" s="1"/>
  <c r="H54" i="15"/>
  <c r="H49" i="15"/>
  <c r="L49" i="13"/>
  <c r="D49" i="37" s="1"/>
  <c r="H21" i="15"/>
  <c r="L21" i="13"/>
  <c r="D21" i="37" s="1"/>
  <c r="H24" i="13"/>
  <c r="H13" i="15"/>
  <c r="L13" i="13"/>
  <c r="D13" i="37" s="1"/>
  <c r="H16" i="13"/>
  <c r="Z89" i="27"/>
  <c r="R89" i="27"/>
  <c r="J89" i="27"/>
  <c r="F36" i="27"/>
  <c r="F16" i="27"/>
  <c r="E89" i="15"/>
  <c r="E91" i="15" s="1"/>
  <c r="H73" i="15"/>
  <c r="G74" i="24"/>
  <c r="G74" i="21"/>
  <c r="E74" i="21" s="1"/>
  <c r="G74" i="33" s="1"/>
  <c r="I94" i="7"/>
  <c r="D75" i="5"/>
  <c r="I51" i="42"/>
  <c r="G49" i="18"/>
  <c r="M49" i="18"/>
  <c r="E49" i="42" s="1"/>
  <c r="E49" i="5" s="1"/>
  <c r="E35" i="5"/>
  <c r="F36" i="31"/>
  <c r="D33" i="31"/>
  <c r="F33" i="43" s="1"/>
  <c r="H82" i="31"/>
  <c r="T82" i="31"/>
  <c r="K82" i="31"/>
  <c r="G88" i="19"/>
  <c r="I89" i="19"/>
  <c r="D39" i="5"/>
  <c r="F23" i="19"/>
  <c r="L23" i="19"/>
  <c r="D23" i="43" s="1"/>
  <c r="E76" i="23"/>
  <c r="G76" i="35" s="1"/>
  <c r="R36" i="23"/>
  <c r="D15" i="23"/>
  <c r="F15" i="35" s="1"/>
  <c r="H15" i="35" s="1"/>
  <c r="AD16" i="23"/>
  <c r="V16" i="23"/>
  <c r="N16" i="23"/>
  <c r="F16" i="23"/>
  <c r="N76" i="24"/>
  <c r="I71" i="33"/>
  <c r="L66" i="21"/>
  <c r="D65" i="21"/>
  <c r="F65" i="33" s="1"/>
  <c r="H65" i="33" s="1"/>
  <c r="Z32" i="24"/>
  <c r="Z36" i="24" s="1"/>
  <c r="Z36" i="21"/>
  <c r="R32" i="24"/>
  <c r="R36" i="21"/>
  <c r="J32" i="24"/>
  <c r="J36" i="21"/>
  <c r="Z28" i="24"/>
  <c r="Z29" i="21"/>
  <c r="R29" i="21"/>
  <c r="R28" i="24"/>
  <c r="J28" i="24"/>
  <c r="J29" i="21"/>
  <c r="AB27" i="24"/>
  <c r="AB29" i="21"/>
  <c r="T27" i="24"/>
  <c r="T29" i="24" s="1"/>
  <c r="T29" i="21"/>
  <c r="L27" i="24"/>
  <c r="L29" i="24" s="1"/>
  <c r="L29" i="21"/>
  <c r="I80" i="12"/>
  <c r="M80" i="9"/>
  <c r="E80" i="33" s="1"/>
  <c r="G80" i="9"/>
  <c r="I70" i="12"/>
  <c r="I72" i="9"/>
  <c r="G70" i="9"/>
  <c r="G72" i="9" s="1"/>
  <c r="M70" i="9"/>
  <c r="L75" i="13"/>
  <c r="D75" i="37" s="1"/>
  <c r="H33" i="15"/>
  <c r="H23" i="15"/>
  <c r="H19" i="15"/>
  <c r="H15" i="15"/>
  <c r="H11" i="15"/>
  <c r="F73" i="5"/>
  <c r="H73" i="5" s="1"/>
  <c r="R82" i="7"/>
  <c r="R91" i="7" s="1"/>
  <c r="G82" i="7"/>
  <c r="G91" i="7" s="1"/>
  <c r="H64" i="42"/>
  <c r="I28" i="42"/>
  <c r="I47" i="42"/>
  <c r="G47" i="5"/>
  <c r="F16" i="30"/>
  <c r="G81" i="18"/>
  <c r="M81" i="18"/>
  <c r="E81" i="42" s="1"/>
  <c r="F47" i="18"/>
  <c r="L47" i="18"/>
  <c r="D47" i="42" s="1"/>
  <c r="M34" i="18"/>
  <c r="E34" i="42" s="1"/>
  <c r="E34" i="5" s="1"/>
  <c r="I36" i="18"/>
  <c r="I82" i="18" s="1"/>
  <c r="M36" i="18"/>
  <c r="G29" i="18"/>
  <c r="L23" i="18"/>
  <c r="D23" i="42" s="1"/>
  <c r="M13" i="18"/>
  <c r="E13" i="42" s="1"/>
  <c r="G13" i="18"/>
  <c r="M11" i="18"/>
  <c r="P82" i="6"/>
  <c r="H14" i="43"/>
  <c r="D80" i="31"/>
  <c r="F80" i="43" s="1"/>
  <c r="H80" i="43" s="1"/>
  <c r="D65" i="31"/>
  <c r="F65" i="43" s="1"/>
  <c r="H65" i="43" s="1"/>
  <c r="F66" i="31"/>
  <c r="D41" i="31"/>
  <c r="F41" i="43" s="1"/>
  <c r="H41" i="43" s="1"/>
  <c r="E32" i="31"/>
  <c r="Y36" i="31"/>
  <c r="I82" i="31"/>
  <c r="W82" i="31"/>
  <c r="G43" i="19"/>
  <c r="I29" i="19"/>
  <c r="G27" i="19"/>
  <c r="G29" i="19" s="1"/>
  <c r="M27" i="19"/>
  <c r="L21" i="19"/>
  <c r="F21" i="19"/>
  <c r="M11" i="19"/>
  <c r="I16" i="19"/>
  <c r="G11" i="19"/>
  <c r="G16" i="19" s="1"/>
  <c r="G66" i="23"/>
  <c r="E65" i="23"/>
  <c r="G65" i="35" s="1"/>
  <c r="I65" i="35" s="1"/>
  <c r="F54" i="35"/>
  <c r="E34" i="23"/>
  <c r="G34" i="35" s="1"/>
  <c r="I34" i="35" s="1"/>
  <c r="J82" i="23"/>
  <c r="H643" i="44" s="1"/>
  <c r="AA82" i="23"/>
  <c r="Y643" i="44" s="1"/>
  <c r="S82" i="23"/>
  <c r="Q643" i="44" s="1"/>
  <c r="M76" i="11"/>
  <c r="E76" i="35" s="1"/>
  <c r="I61" i="11"/>
  <c r="G59" i="11"/>
  <c r="M59" i="11"/>
  <c r="E32" i="35"/>
  <c r="E36" i="35" s="1"/>
  <c r="M36" i="11"/>
  <c r="L13" i="11"/>
  <c r="D13" i="35" s="1"/>
  <c r="F13" i="11"/>
  <c r="AD51" i="24"/>
  <c r="V51" i="24"/>
  <c r="N51" i="24"/>
  <c r="D51" i="21"/>
  <c r="F51" i="33" s="1"/>
  <c r="H51" i="33" s="1"/>
  <c r="N35" i="24"/>
  <c r="W82" i="21"/>
  <c r="K35" i="27"/>
  <c r="AE34" i="27"/>
  <c r="W34" i="27"/>
  <c r="O34" i="27"/>
  <c r="AA33" i="27"/>
  <c r="S33" i="27"/>
  <c r="S36" i="27" s="1"/>
  <c r="K33" i="27"/>
  <c r="K36" i="27" s="1"/>
  <c r="AE32" i="27"/>
  <c r="W32" i="27"/>
  <c r="O32" i="27"/>
  <c r="AE28" i="27"/>
  <c r="W28" i="27"/>
  <c r="O28" i="27"/>
  <c r="AA27" i="27"/>
  <c r="AA29" i="27" s="1"/>
  <c r="S27" i="27"/>
  <c r="S29" i="27" s="1"/>
  <c r="K27" i="27"/>
  <c r="AA23" i="27"/>
  <c r="S23" i="27"/>
  <c r="K23" i="27"/>
  <c r="AE22" i="27"/>
  <c r="W22" i="27"/>
  <c r="O22" i="27"/>
  <c r="AA21" i="27"/>
  <c r="E21" i="27" s="1"/>
  <c r="G21" i="39" s="1"/>
  <c r="S21" i="27"/>
  <c r="S24" i="27" s="1"/>
  <c r="K21" i="27"/>
  <c r="AD20" i="27"/>
  <c r="AD24" i="27" s="1"/>
  <c r="I79" i="15"/>
  <c r="I75" i="15"/>
  <c r="I70" i="15"/>
  <c r="I65" i="15"/>
  <c r="I55" i="15"/>
  <c r="I47" i="15"/>
  <c r="I39" i="15"/>
  <c r="I34" i="15"/>
  <c r="I27" i="15"/>
  <c r="I20" i="15"/>
  <c r="I12" i="15"/>
  <c r="E59" i="27"/>
  <c r="G24" i="27"/>
  <c r="E13" i="27"/>
  <c r="G13" i="39" s="1"/>
  <c r="F61" i="42"/>
  <c r="F56" i="42"/>
  <c r="H14" i="42"/>
  <c r="H11" i="42"/>
  <c r="F16" i="42"/>
  <c r="I75" i="42"/>
  <c r="AE82" i="30"/>
  <c r="AC650" i="44" s="1"/>
  <c r="W82" i="30"/>
  <c r="U650" i="44" s="1"/>
  <c r="O82" i="30"/>
  <c r="M650" i="44" s="1"/>
  <c r="E16" i="30"/>
  <c r="L54" i="18"/>
  <c r="H56" i="18"/>
  <c r="M40" i="18"/>
  <c r="I42" i="18"/>
  <c r="I43" i="18" s="1"/>
  <c r="L34" i="18"/>
  <c r="D34" i="42" s="1"/>
  <c r="F34" i="18"/>
  <c r="L36" i="18"/>
  <c r="E19" i="42"/>
  <c r="M24" i="18"/>
  <c r="E43" i="43"/>
  <c r="I34" i="43"/>
  <c r="E79" i="31"/>
  <c r="G79" i="43" s="1"/>
  <c r="G79" i="5" s="1"/>
  <c r="I79" i="5" s="1"/>
  <c r="H71" i="43"/>
  <c r="V82" i="31"/>
  <c r="M82" i="31"/>
  <c r="E15" i="31"/>
  <c r="G15" i="43" s="1"/>
  <c r="I15" i="43" s="1"/>
  <c r="F64" i="19"/>
  <c r="F66" i="19" s="1"/>
  <c r="H66" i="19"/>
  <c r="L64" i="19"/>
  <c r="M33" i="19"/>
  <c r="I36" i="19"/>
  <c r="G33" i="19"/>
  <c r="G36" i="19" s="1"/>
  <c r="F11" i="19"/>
  <c r="H16" i="19"/>
  <c r="F66" i="23"/>
  <c r="D65" i="23"/>
  <c r="F65" i="35" s="1"/>
  <c r="H65" i="35" s="1"/>
  <c r="D49" i="23"/>
  <c r="F49" i="35" s="1"/>
  <c r="H49" i="35" s="1"/>
  <c r="D45" i="23"/>
  <c r="F45" i="35" s="1"/>
  <c r="H45" i="35" s="1"/>
  <c r="V43" i="23"/>
  <c r="N43" i="23"/>
  <c r="F42" i="23"/>
  <c r="F43" i="23" s="1"/>
  <c r="D41" i="23"/>
  <c r="F41" i="35" s="1"/>
  <c r="M74" i="11"/>
  <c r="E74" i="35" s="1"/>
  <c r="I74" i="35" s="1"/>
  <c r="G74" i="11"/>
  <c r="G66" i="11"/>
  <c r="L59" i="11"/>
  <c r="H61" i="11"/>
  <c r="F59" i="11"/>
  <c r="M47" i="11"/>
  <c r="E47" i="35" s="1"/>
  <c r="I47" i="35" s="1"/>
  <c r="G47" i="11"/>
  <c r="M42" i="11"/>
  <c r="M43" i="11" s="1"/>
  <c r="E40" i="35"/>
  <c r="E42" i="35" s="1"/>
  <c r="E43" i="35" s="1"/>
  <c r="G59" i="33"/>
  <c r="E61" i="21"/>
  <c r="AD39" i="24"/>
  <c r="V39" i="24"/>
  <c r="N39" i="24"/>
  <c r="AC35" i="24"/>
  <c r="U35" i="24"/>
  <c r="M35" i="24"/>
  <c r="E35" i="21"/>
  <c r="G35" i="33" s="1"/>
  <c r="I35" i="33" s="1"/>
  <c r="N29" i="24"/>
  <c r="E86" i="24"/>
  <c r="R35" i="27"/>
  <c r="J35" i="27"/>
  <c r="D35" i="27" s="1"/>
  <c r="F35" i="39" s="1"/>
  <c r="AD34" i="27"/>
  <c r="V34" i="27"/>
  <c r="N34" i="27"/>
  <c r="D34" i="27" s="1"/>
  <c r="F34" i="39" s="1"/>
  <c r="Z33" i="27"/>
  <c r="R33" i="27"/>
  <c r="J33" i="27"/>
  <c r="AD32" i="27"/>
  <c r="V32" i="27"/>
  <c r="V36" i="27" s="1"/>
  <c r="N32" i="27"/>
  <c r="N36" i="27" s="1"/>
  <c r="AD28" i="27"/>
  <c r="V28" i="27"/>
  <c r="N28" i="27"/>
  <c r="Z27" i="27"/>
  <c r="Z29" i="27" s="1"/>
  <c r="R27" i="27"/>
  <c r="R29" i="27" s="1"/>
  <c r="J27" i="27"/>
  <c r="J29" i="27" s="1"/>
  <c r="Z23" i="27"/>
  <c r="R23" i="27"/>
  <c r="D23" i="27" s="1"/>
  <c r="F23" i="39" s="1"/>
  <c r="J23" i="27"/>
  <c r="AD22" i="27"/>
  <c r="V22" i="27"/>
  <c r="N22" i="27"/>
  <c r="Z21" i="27"/>
  <c r="R21" i="27"/>
  <c r="J21" i="27"/>
  <c r="D21" i="27" s="1"/>
  <c r="F21" i="39" s="1"/>
  <c r="H34" i="15"/>
  <c r="H27" i="15"/>
  <c r="H20" i="15"/>
  <c r="H12" i="15"/>
  <c r="F24" i="27"/>
  <c r="H79" i="42"/>
  <c r="I76" i="42"/>
  <c r="H22" i="42"/>
  <c r="H78" i="42"/>
  <c r="H75" i="42"/>
  <c r="H47" i="42"/>
  <c r="I33" i="42"/>
  <c r="D16" i="30"/>
  <c r="G70" i="18"/>
  <c r="G72" i="18" s="1"/>
  <c r="I72" i="18"/>
  <c r="M45" i="18"/>
  <c r="E45" i="42" s="1"/>
  <c r="G45" i="18"/>
  <c r="L40" i="18"/>
  <c r="H42" i="18"/>
  <c r="H43" i="18" s="1"/>
  <c r="D82" i="18"/>
  <c r="F13" i="18"/>
  <c r="F16" i="18" s="1"/>
  <c r="F82" i="18" s="1"/>
  <c r="G16" i="18"/>
  <c r="H82" i="6"/>
  <c r="V82" i="6"/>
  <c r="E72" i="31"/>
  <c r="G70" i="43"/>
  <c r="G56" i="31"/>
  <c r="E55" i="31"/>
  <c r="G55" i="43" s="1"/>
  <c r="I55" i="43" s="1"/>
  <c r="D35" i="31"/>
  <c r="F35" i="43" s="1"/>
  <c r="H35" i="43" s="1"/>
  <c r="D23" i="31"/>
  <c r="F23" i="43" s="1"/>
  <c r="H23" i="43" s="1"/>
  <c r="U82" i="31"/>
  <c r="L82" i="31"/>
  <c r="D15" i="31"/>
  <c r="F15" i="43" s="1"/>
  <c r="H15" i="43" s="1"/>
  <c r="X16" i="31"/>
  <c r="X82" i="31" s="1"/>
  <c r="M74" i="19"/>
  <c r="E74" i="43" s="1"/>
  <c r="E74" i="5" s="1"/>
  <c r="G74" i="19"/>
  <c r="F33" i="19"/>
  <c r="F36" i="19" s="1"/>
  <c r="L33" i="19"/>
  <c r="D33" i="43" s="1"/>
  <c r="G20" i="19"/>
  <c r="M20" i="19"/>
  <c r="E20" i="43" s="1"/>
  <c r="I72" i="23"/>
  <c r="E71" i="23"/>
  <c r="G71" i="35" s="1"/>
  <c r="I71" i="35" s="1"/>
  <c r="E59" i="23"/>
  <c r="AB56" i="24"/>
  <c r="D51" i="23"/>
  <c r="F51" i="35" s="1"/>
  <c r="H51" i="35" s="1"/>
  <c r="AB24" i="23"/>
  <c r="AB82" i="23" s="1"/>
  <c r="Z643" i="44" s="1"/>
  <c r="D19" i="23"/>
  <c r="L24" i="23"/>
  <c r="I13" i="35"/>
  <c r="P16" i="23"/>
  <c r="P82" i="23" s="1"/>
  <c r="N643" i="44" s="1"/>
  <c r="D12" i="23"/>
  <c r="F12" i="35" s="1"/>
  <c r="H12" i="35" s="1"/>
  <c r="H16" i="23"/>
  <c r="H82" i="23" s="1"/>
  <c r="F643" i="44" s="1"/>
  <c r="G51" i="11"/>
  <c r="M51" i="11"/>
  <c r="E51" i="35" s="1"/>
  <c r="G22" i="11"/>
  <c r="G24" i="11" s="1"/>
  <c r="M22" i="11"/>
  <c r="E22" i="35" s="1"/>
  <c r="M20" i="11"/>
  <c r="I24" i="11"/>
  <c r="D81" i="21"/>
  <c r="F81" i="33" s="1"/>
  <c r="H81" i="33" s="1"/>
  <c r="I55" i="24"/>
  <c r="I56" i="24" s="1"/>
  <c r="J56" i="24"/>
  <c r="E39" i="21"/>
  <c r="G39" i="33" s="1"/>
  <c r="I39" i="33" s="1"/>
  <c r="U27" i="24"/>
  <c r="M27" i="24"/>
  <c r="M29" i="21"/>
  <c r="E27" i="21"/>
  <c r="AE20" i="24"/>
  <c r="AE24" i="21"/>
  <c r="W20" i="24"/>
  <c r="W24" i="21"/>
  <c r="O20" i="24"/>
  <c r="O24" i="21"/>
  <c r="E20" i="21"/>
  <c r="G20" i="33" s="1"/>
  <c r="I20" i="33" s="1"/>
  <c r="G24" i="21"/>
  <c r="D89" i="24"/>
  <c r="O82" i="7"/>
  <c r="O91" i="7" s="1"/>
  <c r="I71" i="42"/>
  <c r="F36" i="30"/>
  <c r="M80" i="18"/>
  <c r="E80" i="42" s="1"/>
  <c r="E80" i="5" s="1"/>
  <c r="L41" i="18"/>
  <c r="D41" i="42" s="1"/>
  <c r="E89" i="43"/>
  <c r="D79" i="31"/>
  <c r="F79" i="43" s="1"/>
  <c r="H79" i="43" s="1"/>
  <c r="D74" i="31"/>
  <c r="F74" i="43" s="1"/>
  <c r="D64" i="31"/>
  <c r="Z61" i="31"/>
  <c r="E54" i="31"/>
  <c r="D28" i="31"/>
  <c r="F28" i="43" s="1"/>
  <c r="F29" i="43" s="1"/>
  <c r="F29" i="31"/>
  <c r="L77" i="19"/>
  <c r="D77" i="43" s="1"/>
  <c r="G66" i="19"/>
  <c r="G39" i="19"/>
  <c r="I43" i="19"/>
  <c r="L32" i="19"/>
  <c r="H36" i="19"/>
  <c r="K82" i="19"/>
  <c r="K91" i="19" s="1"/>
  <c r="D54" i="35"/>
  <c r="D56" i="35" s="1"/>
  <c r="D81" i="23"/>
  <c r="F81" i="35" s="1"/>
  <c r="H81" i="35" s="1"/>
  <c r="E80" i="23"/>
  <c r="G80" i="35" s="1"/>
  <c r="E78" i="23"/>
  <c r="G78" i="35" s="1"/>
  <c r="I78" i="35" s="1"/>
  <c r="D75" i="23"/>
  <c r="F75" i="35" s="1"/>
  <c r="H75" i="35" s="1"/>
  <c r="D34" i="23"/>
  <c r="F34" i="35" s="1"/>
  <c r="H34" i="35" s="1"/>
  <c r="D27" i="23"/>
  <c r="E22" i="23"/>
  <c r="G22" i="35" s="1"/>
  <c r="I22" i="35" s="1"/>
  <c r="P24" i="23"/>
  <c r="I16" i="23"/>
  <c r="F80" i="11"/>
  <c r="L80" i="11"/>
  <c r="D80" i="35" s="1"/>
  <c r="M66" i="11"/>
  <c r="E64" i="35"/>
  <c r="E66" i="35" s="1"/>
  <c r="M12" i="11"/>
  <c r="E12" i="35" s="1"/>
  <c r="E12" i="5" s="1"/>
  <c r="G12" i="11"/>
  <c r="I16" i="11"/>
  <c r="Z81" i="24"/>
  <c r="R81" i="24"/>
  <c r="J81" i="24"/>
  <c r="AD76" i="24"/>
  <c r="V76" i="24"/>
  <c r="D76" i="21"/>
  <c r="F76" i="33" s="1"/>
  <c r="H76" i="33" s="1"/>
  <c r="E72" i="21"/>
  <c r="H71" i="24"/>
  <c r="H66" i="21"/>
  <c r="H64" i="24"/>
  <c r="X20" i="24"/>
  <c r="X24" i="21"/>
  <c r="X82" i="21" s="1"/>
  <c r="P20" i="24"/>
  <c r="P24" i="21"/>
  <c r="H20" i="24"/>
  <c r="D20" i="21"/>
  <c r="F20" i="33" s="1"/>
  <c r="H24" i="21"/>
  <c r="H82" i="21" s="1"/>
  <c r="D24" i="7"/>
  <c r="D82" i="7" s="1"/>
  <c r="D91" i="7" s="1"/>
  <c r="G12" i="21"/>
  <c r="E12" i="7"/>
  <c r="H20" i="42"/>
  <c r="D36" i="30"/>
  <c r="G19" i="42"/>
  <c r="Y82" i="30"/>
  <c r="W650" i="44" s="1"/>
  <c r="Q82" i="30"/>
  <c r="O650" i="44" s="1"/>
  <c r="I82" i="30"/>
  <c r="G650" i="44" s="1"/>
  <c r="F36" i="18"/>
  <c r="F27" i="18"/>
  <c r="F29" i="18" s="1"/>
  <c r="H29" i="18"/>
  <c r="I39" i="43"/>
  <c r="D51" i="31"/>
  <c r="F51" i="43" s="1"/>
  <c r="H51" i="43" s="1"/>
  <c r="E27" i="31"/>
  <c r="G29" i="31"/>
  <c r="AC82" i="31"/>
  <c r="E11" i="31"/>
  <c r="G56" i="19"/>
  <c r="L28" i="19"/>
  <c r="D28" i="43" s="1"/>
  <c r="H29" i="19"/>
  <c r="F28" i="19"/>
  <c r="F29" i="19" s="1"/>
  <c r="E70" i="23"/>
  <c r="X16" i="23"/>
  <c r="X82" i="23" s="1"/>
  <c r="V643" i="44" s="1"/>
  <c r="H76" i="12"/>
  <c r="F76" i="11"/>
  <c r="F60" i="11"/>
  <c r="L60" i="11"/>
  <c r="D60" i="35" s="1"/>
  <c r="L36" i="11"/>
  <c r="D32" i="35"/>
  <c r="D36" i="35" s="1"/>
  <c r="AC79" i="24"/>
  <c r="J77" i="24"/>
  <c r="D77" i="21"/>
  <c r="F77" i="33" s="1"/>
  <c r="Y73" i="24"/>
  <c r="I73" i="24"/>
  <c r="G72" i="33"/>
  <c r="H51" i="24"/>
  <c r="D51" i="24" s="1"/>
  <c r="F51" i="36" s="1"/>
  <c r="Z49" i="24"/>
  <c r="R49" i="24"/>
  <c r="J49" i="24"/>
  <c r="AB47" i="24"/>
  <c r="T47" i="24"/>
  <c r="L47" i="24"/>
  <c r="AD23" i="24"/>
  <c r="V23" i="24"/>
  <c r="N23" i="24"/>
  <c r="D23" i="21"/>
  <c r="F23" i="33" s="1"/>
  <c r="H23" i="33" s="1"/>
  <c r="Y22" i="24"/>
  <c r="Q22" i="24"/>
  <c r="Q24" i="21"/>
  <c r="I22" i="24"/>
  <c r="AA21" i="24"/>
  <c r="S21" i="24"/>
  <c r="K21" i="24"/>
  <c r="E21" i="21"/>
  <c r="G21" i="33" s="1"/>
  <c r="I21" i="33" s="1"/>
  <c r="H32" i="12"/>
  <c r="F32" i="9"/>
  <c r="F36" i="9" s="1"/>
  <c r="L32" i="9"/>
  <c r="H36" i="9"/>
  <c r="I21" i="12"/>
  <c r="M21" i="9"/>
  <c r="E21" i="33" s="1"/>
  <c r="G21" i="9"/>
  <c r="G24" i="9" s="1"/>
  <c r="I24" i="9"/>
  <c r="D19" i="33"/>
  <c r="I14" i="12"/>
  <c r="G14" i="9"/>
  <c r="M14" i="9"/>
  <c r="E14" i="33" s="1"/>
  <c r="E16" i="33" s="1"/>
  <c r="G74" i="31"/>
  <c r="E74" i="31" s="1"/>
  <c r="G74" i="43" s="1"/>
  <c r="I74" i="43" s="1"/>
  <c r="W94" i="7"/>
  <c r="D66" i="42"/>
  <c r="G32" i="42"/>
  <c r="E36" i="30"/>
  <c r="X82" i="30"/>
  <c r="V650" i="44" s="1"/>
  <c r="P82" i="30"/>
  <c r="N650" i="44" s="1"/>
  <c r="H82" i="30"/>
  <c r="F650" i="44" s="1"/>
  <c r="G64" i="18"/>
  <c r="G66" i="18" s="1"/>
  <c r="I66" i="18"/>
  <c r="M56" i="18"/>
  <c r="E54" i="42"/>
  <c r="I87" i="43"/>
  <c r="D81" i="31"/>
  <c r="F81" i="43" s="1"/>
  <c r="Z56" i="31"/>
  <c r="D40" i="31"/>
  <c r="AE36" i="31"/>
  <c r="AE82" i="31" s="1"/>
  <c r="G36" i="31"/>
  <c r="D20" i="31"/>
  <c r="F20" i="43" s="1"/>
  <c r="E12" i="31"/>
  <c r="G12" i="43" s="1"/>
  <c r="I12" i="43" s="1"/>
  <c r="AA16" i="31"/>
  <c r="AA82" i="31" s="1"/>
  <c r="AD16" i="31"/>
  <c r="AD82" i="31" s="1"/>
  <c r="L71" i="19"/>
  <c r="D71" i="43" s="1"/>
  <c r="D72" i="43" s="1"/>
  <c r="H72" i="19"/>
  <c r="F49" i="19"/>
  <c r="M19" i="19"/>
  <c r="G19" i="19"/>
  <c r="I24" i="19"/>
  <c r="H78" i="35"/>
  <c r="D74" i="23"/>
  <c r="F74" i="35" s="1"/>
  <c r="H74" i="35" s="1"/>
  <c r="L70" i="24"/>
  <c r="L72" i="24" s="1"/>
  <c r="L72" i="23"/>
  <c r="R24" i="23"/>
  <c r="R82" i="23" s="1"/>
  <c r="P643" i="44" s="1"/>
  <c r="L79" i="11"/>
  <c r="D79" i="35" s="1"/>
  <c r="F79" i="11"/>
  <c r="L40" i="11"/>
  <c r="H42" i="11"/>
  <c r="H43" i="11" s="1"/>
  <c r="G36" i="11"/>
  <c r="G14" i="11"/>
  <c r="M14" i="11"/>
  <c r="E14" i="35" s="1"/>
  <c r="D89" i="21"/>
  <c r="F86" i="33"/>
  <c r="AE81" i="24"/>
  <c r="W81" i="24"/>
  <c r="O81" i="24"/>
  <c r="E81" i="24" s="1"/>
  <c r="G81" i="36" s="1"/>
  <c r="E81" i="21"/>
  <c r="G81" i="33" s="1"/>
  <c r="I81" i="33" s="1"/>
  <c r="Q80" i="24"/>
  <c r="AE78" i="24"/>
  <c r="W78" i="24"/>
  <c r="O78" i="24"/>
  <c r="E78" i="21"/>
  <c r="G78" i="33" s="1"/>
  <c r="W74" i="24"/>
  <c r="Q61" i="24"/>
  <c r="AB56" i="21"/>
  <c r="AB55" i="24"/>
  <c r="L55" i="24"/>
  <c r="D55" i="21"/>
  <c r="F55" i="33" s="1"/>
  <c r="H55" i="33" s="1"/>
  <c r="AC23" i="24"/>
  <c r="U23" i="24"/>
  <c r="M23" i="24"/>
  <c r="E23" i="21"/>
  <c r="G23" i="33" s="1"/>
  <c r="I23" i="33" s="1"/>
  <c r="H21" i="12"/>
  <c r="F21" i="9"/>
  <c r="F24" i="9" s="1"/>
  <c r="H24" i="9"/>
  <c r="L21" i="9"/>
  <c r="D21" i="33" s="1"/>
  <c r="H14" i="12"/>
  <c r="F14" i="9"/>
  <c r="L14" i="9"/>
  <c r="D14" i="33" s="1"/>
  <c r="H16" i="18"/>
  <c r="U16" i="6"/>
  <c r="U82" i="6" s="1"/>
  <c r="D60" i="31"/>
  <c r="F60" i="43" s="1"/>
  <c r="D32" i="31"/>
  <c r="D22" i="31"/>
  <c r="F22" i="43" s="1"/>
  <c r="H22" i="43" s="1"/>
  <c r="J82" i="31"/>
  <c r="L87" i="19"/>
  <c r="D87" i="43" s="1"/>
  <c r="G89" i="19"/>
  <c r="L78" i="19"/>
  <c r="D78" i="43" s="1"/>
  <c r="D78" i="5" s="1"/>
  <c r="L72" i="19"/>
  <c r="L54" i="19"/>
  <c r="M34" i="19"/>
  <c r="E34" i="43" s="1"/>
  <c r="F19" i="19"/>
  <c r="H24" i="19"/>
  <c r="D71" i="23"/>
  <c r="F71" i="35" s="1"/>
  <c r="H71" i="35" s="1"/>
  <c r="Z61" i="24"/>
  <c r="E45" i="23"/>
  <c r="G45" i="35" s="1"/>
  <c r="I45" i="35" s="1"/>
  <c r="E41" i="23"/>
  <c r="G41" i="35" s="1"/>
  <c r="I41" i="35" s="1"/>
  <c r="M80" i="11"/>
  <c r="E80" i="35" s="1"/>
  <c r="I72" i="11"/>
  <c r="L66" i="11"/>
  <c r="D64" i="35"/>
  <c r="D66" i="35" s="1"/>
  <c r="L41" i="11"/>
  <c r="D41" i="35" s="1"/>
  <c r="F36" i="11"/>
  <c r="G89" i="21"/>
  <c r="AA79" i="24"/>
  <c r="K79" i="24"/>
  <c r="E79" i="24" s="1"/>
  <c r="G79" i="36" s="1"/>
  <c r="AD78" i="24"/>
  <c r="V78" i="24"/>
  <c r="N78" i="24"/>
  <c r="D78" i="21"/>
  <c r="F78" i="33" s="1"/>
  <c r="H78" i="33" s="1"/>
  <c r="X73" i="24"/>
  <c r="P73" i="24"/>
  <c r="D64" i="21"/>
  <c r="Z61" i="21"/>
  <c r="Z60" i="24"/>
  <c r="R60" i="24"/>
  <c r="R61" i="24" s="1"/>
  <c r="R61" i="21"/>
  <c r="AB61" i="21"/>
  <c r="AB59" i="24"/>
  <c r="AB61" i="24" s="1"/>
  <c r="T59" i="24"/>
  <c r="T61" i="24" s="1"/>
  <c r="L59" i="24"/>
  <c r="L61" i="21"/>
  <c r="X36" i="21"/>
  <c r="X32" i="24"/>
  <c r="P32" i="24"/>
  <c r="D32" i="21"/>
  <c r="H32" i="24"/>
  <c r="H36" i="21"/>
  <c r="Y28" i="24"/>
  <c r="Y29" i="21"/>
  <c r="Q29" i="21"/>
  <c r="Q28" i="24"/>
  <c r="I28" i="24"/>
  <c r="I29" i="21"/>
  <c r="AA27" i="24"/>
  <c r="AA29" i="24" s="1"/>
  <c r="AA29" i="21"/>
  <c r="S27" i="24"/>
  <c r="S29" i="21"/>
  <c r="K27" i="24"/>
  <c r="K29" i="24" s="1"/>
  <c r="AA23" i="24"/>
  <c r="S23" i="24"/>
  <c r="K23" i="24"/>
  <c r="D65" i="24"/>
  <c r="F65" i="36" s="1"/>
  <c r="F66" i="24"/>
  <c r="O82" i="20"/>
  <c r="M641" i="44" s="1"/>
  <c r="Y16" i="20"/>
  <c r="Y82" i="20" s="1"/>
  <c r="W641" i="44" s="1"/>
  <c r="Q16" i="20"/>
  <c r="Q82" i="20" s="1"/>
  <c r="O641" i="44" s="1"/>
  <c r="I16" i="20"/>
  <c r="I82" i="20" s="1"/>
  <c r="G641" i="44" s="1"/>
  <c r="E76" i="31"/>
  <c r="G76" i="43" s="1"/>
  <c r="D45" i="31"/>
  <c r="F45" i="43" s="1"/>
  <c r="D34" i="31"/>
  <c r="F34" i="43" s="1"/>
  <c r="H34" i="43" s="1"/>
  <c r="AE24" i="31"/>
  <c r="I72" i="19"/>
  <c r="G70" i="19"/>
  <c r="G72" i="19" s="1"/>
  <c r="M54" i="19"/>
  <c r="I56" i="19"/>
  <c r="M43" i="19"/>
  <c r="D60" i="23"/>
  <c r="F60" i="35" s="1"/>
  <c r="H60" i="35" s="1"/>
  <c r="E49" i="23"/>
  <c r="G49" i="35" s="1"/>
  <c r="I49" i="35" s="1"/>
  <c r="AD24" i="23"/>
  <c r="V24" i="23"/>
  <c r="N24" i="23"/>
  <c r="F24" i="23"/>
  <c r="E14" i="23"/>
  <c r="G14" i="35" s="1"/>
  <c r="L70" i="11"/>
  <c r="H72" i="11"/>
  <c r="L24" i="11"/>
  <c r="L81" i="24"/>
  <c r="D81" i="24" s="1"/>
  <c r="F81" i="36" s="1"/>
  <c r="W80" i="24"/>
  <c r="Z79" i="24"/>
  <c r="U78" i="24"/>
  <c r="AC74" i="24"/>
  <c r="U74" i="24"/>
  <c r="M74" i="24"/>
  <c r="V70" i="24"/>
  <c r="V72" i="24" s="1"/>
  <c r="D72" i="21"/>
  <c r="Y61" i="21"/>
  <c r="Y60" i="24"/>
  <c r="Q61" i="21"/>
  <c r="Q60" i="24"/>
  <c r="E60" i="21"/>
  <c r="G60" i="33" s="1"/>
  <c r="I61" i="21"/>
  <c r="I60" i="24"/>
  <c r="L49" i="24"/>
  <c r="AD47" i="24"/>
  <c r="N47" i="24"/>
  <c r="Z45" i="24"/>
  <c r="R45" i="24"/>
  <c r="Z34" i="24"/>
  <c r="R34" i="24"/>
  <c r="J34" i="24"/>
  <c r="AB36" i="21"/>
  <c r="AB33" i="24"/>
  <c r="T33" i="24"/>
  <c r="T36" i="21"/>
  <c r="L36" i="21"/>
  <c r="L33" i="24"/>
  <c r="AE32" i="24"/>
  <c r="AE36" i="21"/>
  <c r="W32" i="24"/>
  <c r="W36" i="24" s="1"/>
  <c r="O32" i="24"/>
  <c r="O36" i="21"/>
  <c r="E32" i="21"/>
  <c r="G36" i="21"/>
  <c r="AC11" i="24"/>
  <c r="AC16" i="21"/>
  <c r="U11" i="24"/>
  <c r="U16" i="24" s="1"/>
  <c r="U16" i="21"/>
  <c r="M11" i="24"/>
  <c r="M16" i="21"/>
  <c r="I33" i="12"/>
  <c r="M33" i="9"/>
  <c r="I36" i="9"/>
  <c r="G33" i="9"/>
  <c r="G36" i="9" s="1"/>
  <c r="M16" i="9"/>
  <c r="I20" i="32"/>
  <c r="E78" i="31"/>
  <c r="G78" i="43" s="1"/>
  <c r="I78" i="43" s="1"/>
  <c r="D49" i="31"/>
  <c r="F49" i="43" s="1"/>
  <c r="H49" i="43" s="1"/>
  <c r="Y16" i="31"/>
  <c r="F80" i="19"/>
  <c r="M64" i="19"/>
  <c r="I66" i="19"/>
  <c r="D27" i="43"/>
  <c r="D73" i="23"/>
  <c r="F73" i="35" s="1"/>
  <c r="H73" i="35" s="1"/>
  <c r="D55" i="23"/>
  <c r="F55" i="35" s="1"/>
  <c r="H55" i="35" s="1"/>
  <c r="E40" i="23"/>
  <c r="AD36" i="23"/>
  <c r="V36" i="23"/>
  <c r="N36" i="23"/>
  <c r="F36" i="23"/>
  <c r="G29" i="23"/>
  <c r="E28" i="23"/>
  <c r="G28" i="35" s="1"/>
  <c r="I28" i="35" s="1"/>
  <c r="AC24" i="23"/>
  <c r="AC82" i="23" s="1"/>
  <c r="AA643" i="44" s="1"/>
  <c r="U24" i="23"/>
  <c r="U82" i="23" s="1"/>
  <c r="S643" i="44" s="1"/>
  <c r="U19" i="24"/>
  <c r="M24" i="23"/>
  <c r="M82" i="23" s="1"/>
  <c r="K643" i="44" s="1"/>
  <c r="F89" i="24"/>
  <c r="Z75" i="24"/>
  <c r="R75" i="24"/>
  <c r="J75" i="24"/>
  <c r="D75" i="21"/>
  <c r="F75" i="33" s="1"/>
  <c r="H75" i="33" s="1"/>
  <c r="AC72" i="21"/>
  <c r="AC70" i="24"/>
  <c r="AC72" i="24" s="1"/>
  <c r="U70" i="24"/>
  <c r="U72" i="24" s="1"/>
  <c r="M70" i="24"/>
  <c r="M72" i="24" s="1"/>
  <c r="M72" i="21"/>
  <c r="X60" i="24"/>
  <c r="X61" i="21"/>
  <c r="P61" i="21"/>
  <c r="P60" i="24"/>
  <c r="H61" i="21"/>
  <c r="H60" i="24"/>
  <c r="W54" i="24"/>
  <c r="W56" i="24" s="1"/>
  <c r="W56" i="21"/>
  <c r="O54" i="24"/>
  <c r="O56" i="21"/>
  <c r="E54" i="21"/>
  <c r="G56" i="21"/>
  <c r="AC47" i="24"/>
  <c r="U47" i="24"/>
  <c r="M47" i="24"/>
  <c r="E47" i="21"/>
  <c r="G47" i="33" s="1"/>
  <c r="Y45" i="24"/>
  <c r="Q45" i="24"/>
  <c r="I45" i="24"/>
  <c r="AD35" i="24"/>
  <c r="V35" i="24"/>
  <c r="D35" i="21"/>
  <c r="F35" i="33" s="1"/>
  <c r="H35" i="33" s="1"/>
  <c r="Y34" i="24"/>
  <c r="Q34" i="24"/>
  <c r="I34" i="24"/>
  <c r="AA33" i="24"/>
  <c r="AA36" i="21"/>
  <c r="S33" i="24"/>
  <c r="S36" i="21"/>
  <c r="K33" i="24"/>
  <c r="E33" i="24" s="1"/>
  <c r="G33" i="36" s="1"/>
  <c r="K36" i="21"/>
  <c r="E33" i="21"/>
  <c r="G33" i="33" s="1"/>
  <c r="Y24" i="21"/>
  <c r="I24" i="21"/>
  <c r="K19" i="24"/>
  <c r="AE14" i="24"/>
  <c r="AE16" i="21"/>
  <c r="W14" i="24"/>
  <c r="O14" i="24"/>
  <c r="O16" i="21"/>
  <c r="E14" i="21"/>
  <c r="G14" i="33" s="1"/>
  <c r="AB11" i="24"/>
  <c r="AB16" i="21"/>
  <c r="T11" i="24"/>
  <c r="T16" i="21"/>
  <c r="L11" i="24"/>
  <c r="L16" i="24" s="1"/>
  <c r="L16" i="21"/>
  <c r="L82" i="21" s="1"/>
  <c r="L42" i="9"/>
  <c r="L43" i="9" s="1"/>
  <c r="D40" i="33"/>
  <c r="D42" i="33" s="1"/>
  <c r="D43" i="33" s="1"/>
  <c r="J61" i="24"/>
  <c r="E66" i="33"/>
  <c r="I78" i="24"/>
  <c r="E78" i="24" s="1"/>
  <c r="G78" i="36" s="1"/>
  <c r="AA77" i="24"/>
  <c r="S77" i="24"/>
  <c r="K77" i="24"/>
  <c r="AC76" i="24"/>
  <c r="U76" i="24"/>
  <c r="P75" i="24"/>
  <c r="Y71" i="24"/>
  <c r="Y72" i="21"/>
  <c r="Y82" i="21" s="1"/>
  <c r="I71" i="24"/>
  <c r="E71" i="24" s="1"/>
  <c r="G71" i="36" s="1"/>
  <c r="Y49" i="24"/>
  <c r="AC33" i="24"/>
  <c r="AC36" i="21"/>
  <c r="U36" i="21"/>
  <c r="U33" i="24"/>
  <c r="M33" i="24"/>
  <c r="M36" i="21"/>
  <c r="Y32" i="24"/>
  <c r="Y36" i="24" s="1"/>
  <c r="Y36" i="21"/>
  <c r="Q32" i="24"/>
  <c r="I32" i="24"/>
  <c r="I36" i="21"/>
  <c r="R20" i="24"/>
  <c r="AD11" i="24"/>
  <c r="AD16" i="21"/>
  <c r="AD82" i="21" s="1"/>
  <c r="V11" i="24"/>
  <c r="V16" i="21"/>
  <c r="N11" i="24"/>
  <c r="N16" i="21"/>
  <c r="F16" i="21"/>
  <c r="M86" i="12"/>
  <c r="M89" i="9"/>
  <c r="B15" i="4" s="1"/>
  <c r="E86" i="33"/>
  <c r="I86" i="33" s="1"/>
  <c r="E19" i="33"/>
  <c r="Q71" i="24"/>
  <c r="L42" i="8"/>
  <c r="L43" i="8" s="1"/>
  <c r="D40" i="32"/>
  <c r="D42" i="32" s="1"/>
  <c r="D43" i="32" s="1"/>
  <c r="M35" i="8"/>
  <c r="E35" i="32" s="1"/>
  <c r="I35" i="32" s="1"/>
  <c r="G35" i="8"/>
  <c r="AA15" i="24"/>
  <c r="S15" i="24"/>
  <c r="E15" i="21"/>
  <c r="G15" i="33" s="1"/>
  <c r="I15" i="33" s="1"/>
  <c r="K15" i="24"/>
  <c r="H47" i="12"/>
  <c r="F47" i="9"/>
  <c r="L47" i="9"/>
  <c r="D47" i="33" s="1"/>
  <c r="H47" i="33" s="1"/>
  <c r="E80" i="24"/>
  <c r="G80" i="36" s="1"/>
  <c r="D78" i="20"/>
  <c r="F78" i="32" s="1"/>
  <c r="H78" i="32" s="1"/>
  <c r="E28" i="20"/>
  <c r="I29" i="20"/>
  <c r="R82" i="20"/>
  <c r="P641" i="44" s="1"/>
  <c r="H22" i="32"/>
  <c r="J45" i="24"/>
  <c r="AD41" i="24"/>
  <c r="AD42" i="21"/>
  <c r="AD43" i="21" s="1"/>
  <c r="V42" i="21"/>
  <c r="V43" i="21" s="1"/>
  <c r="V41" i="24"/>
  <c r="N41" i="24"/>
  <c r="N42" i="21"/>
  <c r="N43" i="21" s="1"/>
  <c r="F42" i="21"/>
  <c r="F43" i="21" s="1"/>
  <c r="D41" i="21"/>
  <c r="F41" i="33" s="1"/>
  <c r="H41" i="33" s="1"/>
  <c r="X28" i="24"/>
  <c r="X29" i="21"/>
  <c r="P29" i="21"/>
  <c r="P28" i="24"/>
  <c r="H28" i="24"/>
  <c r="D28" i="24" s="1"/>
  <c r="F28" i="36" s="1"/>
  <c r="D28" i="21"/>
  <c r="F28" i="33" s="1"/>
  <c r="H28" i="33" s="1"/>
  <c r="H29" i="21"/>
  <c r="AB23" i="24"/>
  <c r="T23" i="24"/>
  <c r="X22" i="24"/>
  <c r="P22" i="24"/>
  <c r="D22" i="21"/>
  <c r="F22" i="33" s="1"/>
  <c r="H22" i="33" s="1"/>
  <c r="H22" i="24"/>
  <c r="I82" i="21"/>
  <c r="AD13" i="24"/>
  <c r="V13" i="24"/>
  <c r="N13" i="24"/>
  <c r="D13" i="21"/>
  <c r="F13" i="33" s="1"/>
  <c r="H87" i="12"/>
  <c r="L87" i="9"/>
  <c r="H81" i="12"/>
  <c r="L81" i="9"/>
  <c r="D81" i="33" s="1"/>
  <c r="F81" i="9"/>
  <c r="I54" i="12"/>
  <c r="M54" i="9"/>
  <c r="I56" i="9"/>
  <c r="I28" i="12"/>
  <c r="G28" i="9"/>
  <c r="H61" i="24"/>
  <c r="L39" i="12"/>
  <c r="D39" i="36" s="1"/>
  <c r="F39" i="12"/>
  <c r="E54" i="20"/>
  <c r="I56" i="20"/>
  <c r="J82" i="20"/>
  <c r="H641" i="44" s="1"/>
  <c r="K72" i="24"/>
  <c r="D88" i="24"/>
  <c r="F88" i="36" s="1"/>
  <c r="H88" i="36" s="1"/>
  <c r="AB81" i="24"/>
  <c r="T81" i="24"/>
  <c r="AE80" i="24"/>
  <c r="O80" i="24"/>
  <c r="R79" i="24"/>
  <c r="J79" i="24"/>
  <c r="AC78" i="24"/>
  <c r="M78" i="24"/>
  <c r="N75" i="24"/>
  <c r="Y74" i="24"/>
  <c r="AB73" i="24"/>
  <c r="T73" i="24"/>
  <c r="L73" i="24"/>
  <c r="H65" i="24"/>
  <c r="D60" i="21"/>
  <c r="F60" i="33" s="1"/>
  <c r="H60" i="33" s="1"/>
  <c r="S54" i="24"/>
  <c r="S56" i="24" s="1"/>
  <c r="AC51" i="24"/>
  <c r="M51" i="24"/>
  <c r="Q49" i="24"/>
  <c r="I49" i="24"/>
  <c r="AA47" i="24"/>
  <c r="S47" i="24"/>
  <c r="K47" i="24"/>
  <c r="AE45" i="24"/>
  <c r="W45" i="24"/>
  <c r="O45" i="24"/>
  <c r="E45" i="21"/>
  <c r="G45" i="33" s="1"/>
  <c r="I45" i="33" s="1"/>
  <c r="AC41" i="24"/>
  <c r="AC42" i="21"/>
  <c r="AC43" i="21" s="1"/>
  <c r="U42" i="21"/>
  <c r="U43" i="21" s="1"/>
  <c r="U41" i="24"/>
  <c r="M41" i="24"/>
  <c r="M42" i="21"/>
  <c r="M43" i="21" s="1"/>
  <c r="Y40" i="24"/>
  <c r="Q40" i="24"/>
  <c r="I40" i="24"/>
  <c r="AA39" i="24"/>
  <c r="S39" i="24"/>
  <c r="K39" i="24"/>
  <c r="T35" i="24"/>
  <c r="L35" i="24"/>
  <c r="P34" i="24"/>
  <c r="D34" i="21"/>
  <c r="F34" i="33" s="1"/>
  <c r="H34" i="24"/>
  <c r="AE28" i="24"/>
  <c r="AE29" i="21"/>
  <c r="W28" i="24"/>
  <c r="W29" i="21"/>
  <c r="O28" i="24"/>
  <c r="O29" i="24" s="1"/>
  <c r="O29" i="21"/>
  <c r="G29" i="21"/>
  <c r="E28" i="21"/>
  <c r="G28" i="33" s="1"/>
  <c r="I28" i="33" s="1"/>
  <c r="AD19" i="24"/>
  <c r="AD24" i="21"/>
  <c r="V19" i="24"/>
  <c r="V24" i="21"/>
  <c r="N19" i="24"/>
  <c r="N24" i="21"/>
  <c r="F24" i="21"/>
  <c r="AC13" i="24"/>
  <c r="U13" i="24"/>
  <c r="M13" i="24"/>
  <c r="Y12" i="24"/>
  <c r="Y16" i="24" s="1"/>
  <c r="Q12" i="24"/>
  <c r="I12" i="24"/>
  <c r="AA11" i="24"/>
  <c r="AA16" i="21"/>
  <c r="S11" i="24"/>
  <c r="S16" i="21"/>
  <c r="K11" i="24"/>
  <c r="K16" i="21"/>
  <c r="H59" i="12"/>
  <c r="F59" i="9"/>
  <c r="F61" i="9" s="1"/>
  <c r="L59" i="9"/>
  <c r="H61" i="9"/>
  <c r="H40" i="12"/>
  <c r="F40" i="9"/>
  <c r="F42" i="9" s="1"/>
  <c r="F43" i="9" s="1"/>
  <c r="H42" i="9"/>
  <c r="H43" i="9" s="1"/>
  <c r="H33" i="12"/>
  <c r="H13" i="12"/>
  <c r="L13" i="9"/>
  <c r="D13" i="33" s="1"/>
  <c r="AB89" i="24"/>
  <c r="K71" i="24"/>
  <c r="AD55" i="24"/>
  <c r="F59" i="8"/>
  <c r="F61" i="8" s="1"/>
  <c r="L59" i="8"/>
  <c r="H61" i="8"/>
  <c r="L22" i="8"/>
  <c r="D22" i="32" s="1"/>
  <c r="F22" i="8"/>
  <c r="E76" i="29"/>
  <c r="G76" i="41" s="1"/>
  <c r="I76" i="41" s="1"/>
  <c r="L11" i="12"/>
  <c r="F11" i="12"/>
  <c r="AA81" i="24"/>
  <c r="S81" i="24"/>
  <c r="AD80" i="24"/>
  <c r="V80" i="24"/>
  <c r="N80" i="24"/>
  <c r="D80" i="21"/>
  <c r="F80" i="33" s="1"/>
  <c r="H80" i="33" s="1"/>
  <c r="Y79" i="24"/>
  <c r="Q79" i="24"/>
  <c r="AB78" i="24"/>
  <c r="L78" i="24"/>
  <c r="E77" i="21"/>
  <c r="G77" i="33" s="1"/>
  <c r="U75" i="24"/>
  <c r="M75" i="24"/>
  <c r="X74" i="24"/>
  <c r="H74" i="24"/>
  <c r="S73" i="24"/>
  <c r="K73" i="24"/>
  <c r="X70" i="24"/>
  <c r="P70" i="24"/>
  <c r="P72" i="24" s="1"/>
  <c r="K64" i="24"/>
  <c r="K66" i="24" s="1"/>
  <c r="AE59" i="24"/>
  <c r="W59" i="24"/>
  <c r="O59" i="24"/>
  <c r="W55" i="24"/>
  <c r="O55" i="24"/>
  <c r="E55" i="24" s="1"/>
  <c r="G55" i="36" s="1"/>
  <c r="Z54" i="24"/>
  <c r="R54" i="24"/>
  <c r="R56" i="24" s="1"/>
  <c r="AB51" i="24"/>
  <c r="L51" i="24"/>
  <c r="P49" i="24"/>
  <c r="H49" i="24"/>
  <c r="D49" i="21"/>
  <c r="F49" i="33" s="1"/>
  <c r="H49" i="33" s="1"/>
  <c r="T41" i="24"/>
  <c r="T42" i="21"/>
  <c r="T43" i="21" s="1"/>
  <c r="L42" i="21"/>
  <c r="L43" i="21" s="1"/>
  <c r="L41" i="24"/>
  <c r="P40" i="24"/>
  <c r="D40" i="21"/>
  <c r="H40" i="24"/>
  <c r="AA35" i="24"/>
  <c r="S35" i="24"/>
  <c r="S36" i="24" s="1"/>
  <c r="K35" i="24"/>
  <c r="AE34" i="24"/>
  <c r="W34" i="24"/>
  <c r="O34" i="24"/>
  <c r="E34" i="21"/>
  <c r="G34" i="33" s="1"/>
  <c r="I34" i="33" s="1"/>
  <c r="AC19" i="24"/>
  <c r="AC24" i="21"/>
  <c r="U24" i="21"/>
  <c r="M19" i="24"/>
  <c r="M24" i="21"/>
  <c r="E19" i="21"/>
  <c r="V15" i="24"/>
  <c r="N15" i="24"/>
  <c r="Z14" i="24"/>
  <c r="R14" i="24"/>
  <c r="J14" i="24"/>
  <c r="AB13" i="24"/>
  <c r="T13" i="24"/>
  <c r="L13" i="24"/>
  <c r="X12" i="24"/>
  <c r="P12" i="24"/>
  <c r="H12" i="24"/>
  <c r="D12" i="24" s="1"/>
  <c r="F12" i="36" s="1"/>
  <c r="D12" i="21"/>
  <c r="F12" i="33" s="1"/>
  <c r="I88" i="12"/>
  <c r="G88" i="9"/>
  <c r="G88" i="12" s="1"/>
  <c r="H89" i="9"/>
  <c r="I74" i="12"/>
  <c r="M74" i="9"/>
  <c r="E74" i="33" s="1"/>
  <c r="M66" i="9"/>
  <c r="G61" i="9"/>
  <c r="I55" i="12"/>
  <c r="G55" i="9"/>
  <c r="G56" i="9" s="1"/>
  <c r="M27" i="9"/>
  <c r="I29" i="9"/>
  <c r="I27" i="12"/>
  <c r="I16" i="9"/>
  <c r="G11" i="9"/>
  <c r="G16" i="9" s="1"/>
  <c r="AA60" i="24"/>
  <c r="F43" i="8"/>
  <c r="K29" i="29"/>
  <c r="E27" i="29"/>
  <c r="V77" i="24"/>
  <c r="AB75" i="24"/>
  <c r="T75" i="24"/>
  <c r="AE74" i="24"/>
  <c r="R73" i="24"/>
  <c r="J73" i="24"/>
  <c r="D73" i="24" s="1"/>
  <c r="F73" i="36" s="1"/>
  <c r="T71" i="24"/>
  <c r="T72" i="21"/>
  <c r="L71" i="24"/>
  <c r="L72" i="21"/>
  <c r="AE70" i="24"/>
  <c r="W70" i="24"/>
  <c r="O70" i="24"/>
  <c r="J64" i="24"/>
  <c r="J66" i="24" s="1"/>
  <c r="AD59" i="24"/>
  <c r="V59" i="24"/>
  <c r="V61" i="24" s="1"/>
  <c r="N59" i="24"/>
  <c r="R56" i="21"/>
  <c r="V55" i="24"/>
  <c r="V56" i="21"/>
  <c r="N55" i="24"/>
  <c r="N56" i="21"/>
  <c r="Y54" i="24"/>
  <c r="Q54" i="24"/>
  <c r="Q56" i="24" s="1"/>
  <c r="AA51" i="24"/>
  <c r="S51" i="24"/>
  <c r="K51" i="24"/>
  <c r="AE49" i="24"/>
  <c r="W49" i="24"/>
  <c r="O49" i="24"/>
  <c r="E49" i="21"/>
  <c r="G49" i="33" s="1"/>
  <c r="I49" i="33" s="1"/>
  <c r="I47" i="24"/>
  <c r="E47" i="24" s="1"/>
  <c r="G47" i="36" s="1"/>
  <c r="AA41" i="24"/>
  <c r="AA42" i="21"/>
  <c r="AA43" i="21" s="1"/>
  <c r="S41" i="24"/>
  <c r="S42" i="24" s="1"/>
  <c r="S43" i="24" s="1"/>
  <c r="S42" i="21"/>
  <c r="S43" i="21" s="1"/>
  <c r="K41" i="24"/>
  <c r="K42" i="21"/>
  <c r="K43" i="21" s="1"/>
  <c r="AE40" i="24"/>
  <c r="W40" i="24"/>
  <c r="W42" i="24" s="1"/>
  <c r="O40" i="24"/>
  <c r="E40" i="21"/>
  <c r="AE27" i="24"/>
  <c r="AE29" i="24" s="1"/>
  <c r="AD21" i="24"/>
  <c r="V21" i="24"/>
  <c r="N21" i="24"/>
  <c r="Z20" i="24"/>
  <c r="AB19" i="24"/>
  <c r="AB24" i="21"/>
  <c r="T19" i="24"/>
  <c r="T24" i="21"/>
  <c r="L19" i="24"/>
  <c r="L24" i="24" s="1"/>
  <c r="L24" i="21"/>
  <c r="D19" i="21"/>
  <c r="P16" i="21"/>
  <c r="AC15" i="24"/>
  <c r="U15" i="24"/>
  <c r="M15" i="24"/>
  <c r="Y14" i="24"/>
  <c r="Q14" i="24"/>
  <c r="I14" i="24"/>
  <c r="AA13" i="24"/>
  <c r="S13" i="24"/>
  <c r="K13" i="24"/>
  <c r="W12" i="24"/>
  <c r="W16" i="24" s="1"/>
  <c r="O12" i="24"/>
  <c r="H88" i="12"/>
  <c r="F88" i="9"/>
  <c r="F88" i="12" s="1"/>
  <c r="I77" i="12"/>
  <c r="M77" i="9"/>
  <c r="E77" i="33" s="1"/>
  <c r="H74" i="12"/>
  <c r="F74" i="9"/>
  <c r="I64" i="12"/>
  <c r="G64" i="9"/>
  <c r="G66" i="9" s="1"/>
  <c r="I60" i="12"/>
  <c r="M60" i="9"/>
  <c r="I39" i="12"/>
  <c r="L27" i="9"/>
  <c r="H29" i="9"/>
  <c r="H27" i="12"/>
  <c r="G24" i="24"/>
  <c r="I11" i="12"/>
  <c r="V82" i="29"/>
  <c r="T640" i="44" s="1"/>
  <c r="H24" i="11"/>
  <c r="H16" i="11"/>
  <c r="H82" i="11" s="1"/>
  <c r="F11" i="11"/>
  <c r="F16" i="11" s="1"/>
  <c r="F82" i="11" s="1"/>
  <c r="Q81" i="24"/>
  <c r="AB80" i="24"/>
  <c r="AE79" i="24"/>
  <c r="W79" i="24"/>
  <c r="O79" i="24"/>
  <c r="E79" i="21"/>
  <c r="G79" i="33" s="1"/>
  <c r="I79" i="33" s="1"/>
  <c r="J78" i="24"/>
  <c r="D78" i="24" s="1"/>
  <c r="F78" i="36" s="1"/>
  <c r="AC77" i="24"/>
  <c r="U77" i="24"/>
  <c r="X76" i="24"/>
  <c r="P76" i="24"/>
  <c r="H76" i="24"/>
  <c r="AA75" i="24"/>
  <c r="S75" i="24"/>
  <c r="K75" i="24"/>
  <c r="E75" i="24" s="1"/>
  <c r="G75" i="36" s="1"/>
  <c r="AD74" i="24"/>
  <c r="V74" i="24"/>
  <c r="N74" i="24"/>
  <c r="D74" i="21"/>
  <c r="F74" i="33" s="1"/>
  <c r="H74" i="33" s="1"/>
  <c r="Q73" i="24"/>
  <c r="X72" i="21"/>
  <c r="S71" i="24"/>
  <c r="S72" i="21"/>
  <c r="N70" i="24"/>
  <c r="N72" i="24" s="1"/>
  <c r="E65" i="21"/>
  <c r="G65" i="33" s="1"/>
  <c r="I65" i="33" s="1"/>
  <c r="I64" i="24"/>
  <c r="E64" i="21"/>
  <c r="W61" i="21"/>
  <c r="G61" i="21"/>
  <c r="S60" i="24"/>
  <c r="S61" i="21"/>
  <c r="K60" i="24"/>
  <c r="K61" i="21"/>
  <c r="M59" i="24"/>
  <c r="M61" i="24" s="1"/>
  <c r="Q56" i="21"/>
  <c r="Q82" i="21" s="1"/>
  <c r="AC56" i="21"/>
  <c r="AC55" i="24"/>
  <c r="AC56" i="24" s="1"/>
  <c r="U55" i="24"/>
  <c r="U56" i="21"/>
  <c r="X54" i="24"/>
  <c r="X56" i="24" s="1"/>
  <c r="P54" i="24"/>
  <c r="D54" i="21"/>
  <c r="X47" i="24"/>
  <c r="T45" i="24"/>
  <c r="AD27" i="24"/>
  <c r="AD29" i="24" s="1"/>
  <c r="V27" i="24"/>
  <c r="V29" i="24" s="1"/>
  <c r="AC21" i="24"/>
  <c r="U21" i="24"/>
  <c r="M21" i="24"/>
  <c r="Y20" i="24"/>
  <c r="Q20" i="24"/>
  <c r="I20" i="24"/>
  <c r="E20" i="24" s="1"/>
  <c r="G20" i="36" s="1"/>
  <c r="AA19" i="24"/>
  <c r="AA24" i="21"/>
  <c r="S19" i="24"/>
  <c r="S24" i="24" s="1"/>
  <c r="S24" i="21"/>
  <c r="K24" i="21"/>
  <c r="AB15" i="24"/>
  <c r="T15" i="24"/>
  <c r="L15" i="24"/>
  <c r="X14" i="24"/>
  <c r="P14" i="24"/>
  <c r="H14" i="24"/>
  <c r="D14" i="24" s="1"/>
  <c r="F14" i="36" s="1"/>
  <c r="D14" i="21"/>
  <c r="F14" i="33" s="1"/>
  <c r="H14" i="33" s="1"/>
  <c r="N12" i="24"/>
  <c r="I81" i="12"/>
  <c r="G81" i="9"/>
  <c r="L77" i="9"/>
  <c r="D77" i="33" s="1"/>
  <c r="H77" i="12"/>
  <c r="G74" i="9"/>
  <c r="I47" i="12"/>
  <c r="M47" i="9"/>
  <c r="E47" i="33" s="1"/>
  <c r="E47" i="5" s="1"/>
  <c r="I34" i="12"/>
  <c r="G34" i="9"/>
  <c r="G27" i="9"/>
  <c r="F87" i="24"/>
  <c r="D87" i="24" s="1"/>
  <c r="F87" i="36" s="1"/>
  <c r="M55" i="24"/>
  <c r="L80" i="24"/>
  <c r="D80" i="24" s="1"/>
  <c r="F80" i="36" s="1"/>
  <c r="X79" i="24"/>
  <c r="P79" i="24"/>
  <c r="X77" i="24"/>
  <c r="P77" i="24"/>
  <c r="H77" i="24"/>
  <c r="AB76" i="24"/>
  <c r="T76" i="24"/>
  <c r="H75" i="24"/>
  <c r="D75" i="24" s="1"/>
  <c r="F75" i="36" s="1"/>
  <c r="AB74" i="24"/>
  <c r="T74" i="24"/>
  <c r="L74" i="24"/>
  <c r="X71" i="24"/>
  <c r="P71" i="24"/>
  <c r="K65" i="24"/>
  <c r="AE60" i="24"/>
  <c r="W60" i="24"/>
  <c r="O60" i="24"/>
  <c r="AA59" i="24"/>
  <c r="AA61" i="24" s="1"/>
  <c r="S59" i="24"/>
  <c r="K59" i="24"/>
  <c r="E59" i="24" s="1"/>
  <c r="AA55" i="24"/>
  <c r="S55" i="24"/>
  <c r="K55" i="24"/>
  <c r="AE54" i="24"/>
  <c r="AE56" i="24" s="1"/>
  <c r="V54" i="24"/>
  <c r="V56" i="24" s="1"/>
  <c r="N54" i="24"/>
  <c r="N56" i="24" s="1"/>
  <c r="Z51" i="24"/>
  <c r="R51" i="24"/>
  <c r="J51" i="24"/>
  <c r="AD49" i="24"/>
  <c r="V49" i="24"/>
  <c r="N49" i="24"/>
  <c r="Z47" i="24"/>
  <c r="R47" i="24"/>
  <c r="J47" i="24"/>
  <c r="AD45" i="24"/>
  <c r="V45" i="24"/>
  <c r="N45" i="24"/>
  <c r="Z41" i="24"/>
  <c r="R41" i="24"/>
  <c r="J41" i="24"/>
  <c r="AD40" i="24"/>
  <c r="AD42" i="24" s="1"/>
  <c r="AD43" i="24" s="1"/>
  <c r="V40" i="24"/>
  <c r="N40" i="24"/>
  <c r="Z39" i="24"/>
  <c r="R39" i="24"/>
  <c r="J39" i="24"/>
  <c r="Z35" i="24"/>
  <c r="R35" i="24"/>
  <c r="J35" i="24"/>
  <c r="AD34" i="24"/>
  <c r="V34" i="24"/>
  <c r="N34" i="24"/>
  <c r="Z33" i="24"/>
  <c r="R33" i="24"/>
  <c r="J33" i="24"/>
  <c r="AD32" i="24"/>
  <c r="AD36" i="24" s="1"/>
  <c r="V32" i="24"/>
  <c r="V36" i="24" s="1"/>
  <c r="N32" i="24"/>
  <c r="AD28" i="24"/>
  <c r="V28" i="24"/>
  <c r="N28" i="24"/>
  <c r="Z27" i="24"/>
  <c r="R27" i="24"/>
  <c r="R29" i="24" s="1"/>
  <c r="J27" i="24"/>
  <c r="J29" i="24" s="1"/>
  <c r="Z23" i="24"/>
  <c r="R23" i="24"/>
  <c r="J23" i="24"/>
  <c r="AD22" i="24"/>
  <c r="V22" i="24"/>
  <c r="N22" i="24"/>
  <c r="Z21" i="24"/>
  <c r="J21" i="24"/>
  <c r="J24" i="24" s="1"/>
  <c r="V20" i="24"/>
  <c r="N20" i="24"/>
  <c r="Z19" i="24"/>
  <c r="R19" i="24"/>
  <c r="Z15" i="24"/>
  <c r="R15" i="24"/>
  <c r="J15" i="24"/>
  <c r="V14" i="24"/>
  <c r="N14" i="24"/>
  <c r="Z13" i="24"/>
  <c r="R13" i="24"/>
  <c r="J13" i="24"/>
  <c r="AD12" i="24"/>
  <c r="V12" i="24"/>
  <c r="R11" i="24"/>
  <c r="J11" i="24"/>
  <c r="J16" i="24" s="1"/>
  <c r="I89" i="12"/>
  <c r="H78" i="12"/>
  <c r="I75" i="12"/>
  <c r="I71" i="12"/>
  <c r="H64" i="12"/>
  <c r="L64" i="9"/>
  <c r="H55" i="12"/>
  <c r="I49" i="12"/>
  <c r="I41" i="12"/>
  <c r="H34" i="12"/>
  <c r="L34" i="9"/>
  <c r="D34" i="33" s="1"/>
  <c r="H28" i="12"/>
  <c r="I22" i="12"/>
  <c r="I19" i="12"/>
  <c r="I15" i="12"/>
  <c r="I12" i="12"/>
  <c r="AC89" i="24"/>
  <c r="U89" i="24"/>
  <c r="M89" i="24"/>
  <c r="T54" i="24"/>
  <c r="T56" i="24" s="1"/>
  <c r="F24" i="24"/>
  <c r="M72" i="8"/>
  <c r="E70" i="32"/>
  <c r="E72" i="32" s="1"/>
  <c r="L28" i="8"/>
  <c r="D28" i="32" s="1"/>
  <c r="H29" i="8"/>
  <c r="F28" i="8"/>
  <c r="F29" i="8" s="1"/>
  <c r="D40" i="20"/>
  <c r="F42" i="20"/>
  <c r="F43" i="20" s="1"/>
  <c r="L61" i="29"/>
  <c r="D59" i="29"/>
  <c r="AC82" i="29"/>
  <c r="AA640" i="44" s="1"/>
  <c r="E12" i="29"/>
  <c r="G12" i="41" s="1"/>
  <c r="I12" i="41" s="1"/>
  <c r="M81" i="17"/>
  <c r="G81" i="17"/>
  <c r="L22" i="17"/>
  <c r="F22" i="17"/>
  <c r="H24" i="17"/>
  <c r="AA78" i="24"/>
  <c r="S78" i="24"/>
  <c r="K78" i="24"/>
  <c r="AE77" i="24"/>
  <c r="W77" i="24"/>
  <c r="O77" i="24"/>
  <c r="E77" i="24" s="1"/>
  <c r="G77" i="36" s="1"/>
  <c r="AA76" i="24"/>
  <c r="S76" i="24"/>
  <c r="K76" i="24"/>
  <c r="AE75" i="24"/>
  <c r="W75" i="24"/>
  <c r="O75" i="24"/>
  <c r="AA74" i="24"/>
  <c r="S74" i="24"/>
  <c r="K74" i="24"/>
  <c r="AE73" i="24"/>
  <c r="W73" i="24"/>
  <c r="O73" i="24"/>
  <c r="AE71" i="24"/>
  <c r="W71" i="24"/>
  <c r="O71" i="24"/>
  <c r="AA70" i="24"/>
  <c r="AA72" i="24" s="1"/>
  <c r="S70" i="24"/>
  <c r="J65" i="24"/>
  <c r="AD60" i="24"/>
  <c r="V60" i="24"/>
  <c r="N60" i="24"/>
  <c r="Z55" i="24"/>
  <c r="AD54" i="24"/>
  <c r="AD56" i="24" s="1"/>
  <c r="U54" i="24"/>
  <c r="U56" i="24" s="1"/>
  <c r="M54" i="24"/>
  <c r="I51" i="24"/>
  <c r="AC49" i="24"/>
  <c r="Y47" i="24"/>
  <c r="Q47" i="24"/>
  <c r="U45" i="24"/>
  <c r="M45" i="24"/>
  <c r="Y41" i="24"/>
  <c r="Q41" i="24"/>
  <c r="I41" i="24"/>
  <c r="AC40" i="24"/>
  <c r="AC42" i="24" s="1"/>
  <c r="AC43" i="24" s="1"/>
  <c r="U40" i="24"/>
  <c r="M40" i="24"/>
  <c r="Y39" i="24"/>
  <c r="Q39" i="24"/>
  <c r="I39" i="24"/>
  <c r="E39" i="24" s="1"/>
  <c r="G39" i="36" s="1"/>
  <c r="Y35" i="24"/>
  <c r="Q35" i="24"/>
  <c r="I35" i="24"/>
  <c r="E35" i="24" s="1"/>
  <c r="G35" i="36" s="1"/>
  <c r="AC34" i="24"/>
  <c r="U34" i="24"/>
  <c r="M34" i="24"/>
  <c r="Y33" i="24"/>
  <c r="Q33" i="24"/>
  <c r="I33" i="24"/>
  <c r="AC32" i="24"/>
  <c r="AC36" i="24" s="1"/>
  <c r="U32" i="24"/>
  <c r="M32" i="24"/>
  <c r="AC28" i="24"/>
  <c r="U28" i="24"/>
  <c r="M28" i="24"/>
  <c r="Y27" i="24"/>
  <c r="Y29" i="24" s="1"/>
  <c r="Q27" i="24"/>
  <c r="Q29" i="24" s="1"/>
  <c r="I27" i="24"/>
  <c r="E27" i="24" s="1"/>
  <c r="Y23" i="24"/>
  <c r="Q23" i="24"/>
  <c r="I23" i="24"/>
  <c r="AC22" i="24"/>
  <c r="U22" i="24"/>
  <c r="M22" i="24"/>
  <c r="Y21" i="24"/>
  <c r="Q21" i="24"/>
  <c r="I21" i="24"/>
  <c r="U20" i="24"/>
  <c r="Y19" i="24"/>
  <c r="Y24" i="24" s="1"/>
  <c r="Q19" i="24"/>
  <c r="Q24" i="24" s="1"/>
  <c r="I19" i="24"/>
  <c r="Y15" i="24"/>
  <c r="Q15" i="24"/>
  <c r="I15" i="24"/>
  <c r="AC14" i="24"/>
  <c r="U14" i="24"/>
  <c r="Y13" i="24"/>
  <c r="Q13" i="24"/>
  <c r="I13" i="24"/>
  <c r="AC12" i="24"/>
  <c r="U12" i="24"/>
  <c r="Q11" i="24"/>
  <c r="I11" i="24"/>
  <c r="M87" i="9"/>
  <c r="H86" i="12"/>
  <c r="H89" i="12" s="1"/>
  <c r="L86" i="9"/>
  <c r="H75" i="12"/>
  <c r="F75" i="9"/>
  <c r="H49" i="12"/>
  <c r="F49" i="9"/>
  <c r="J82" i="9"/>
  <c r="J91" i="9" s="1"/>
  <c r="H22" i="12"/>
  <c r="F22" i="9"/>
  <c r="H12" i="12"/>
  <c r="H16" i="12" s="1"/>
  <c r="L12" i="9"/>
  <c r="G36" i="24"/>
  <c r="G16" i="24"/>
  <c r="K72" i="12"/>
  <c r="K82" i="12" s="1"/>
  <c r="K91" i="12" s="1"/>
  <c r="E56" i="12"/>
  <c r="L72" i="8"/>
  <c r="D70" i="32"/>
  <c r="D72" i="32" s="1"/>
  <c r="E39" i="20"/>
  <c r="G39" i="32" s="1"/>
  <c r="I39" i="32" s="1"/>
  <c r="G43" i="20"/>
  <c r="AD79" i="24"/>
  <c r="V79" i="24"/>
  <c r="N79" i="24"/>
  <c r="D79" i="24" s="1"/>
  <c r="F79" i="36" s="1"/>
  <c r="Z78" i="24"/>
  <c r="N77" i="24"/>
  <c r="Z76" i="24"/>
  <c r="R76" i="24"/>
  <c r="J76" i="24"/>
  <c r="D76" i="24" s="1"/>
  <c r="F76" i="36" s="1"/>
  <c r="R74" i="24"/>
  <c r="J74" i="24"/>
  <c r="AD73" i="24"/>
  <c r="V73" i="24"/>
  <c r="AD71" i="24"/>
  <c r="V71" i="24"/>
  <c r="N71" i="24"/>
  <c r="Z70" i="24"/>
  <c r="I65" i="24"/>
  <c r="E65" i="24" s="1"/>
  <c r="G65" i="36" s="1"/>
  <c r="AC60" i="24"/>
  <c r="AC61" i="24" s="1"/>
  <c r="U60" i="24"/>
  <c r="U61" i="24" s="1"/>
  <c r="M60" i="24"/>
  <c r="Y59" i="24"/>
  <c r="Y61" i="24" s="1"/>
  <c r="Y55" i="24"/>
  <c r="Q55" i="24"/>
  <c r="L54" i="24"/>
  <c r="L56" i="24" s="1"/>
  <c r="X51" i="24"/>
  <c r="AB49" i="24"/>
  <c r="T49" i="24"/>
  <c r="P47" i="24"/>
  <c r="H47" i="24"/>
  <c r="L45" i="24"/>
  <c r="X41" i="24"/>
  <c r="X42" i="24" s="1"/>
  <c r="P41" i="24"/>
  <c r="H41" i="24"/>
  <c r="D41" i="24" s="1"/>
  <c r="F41" i="36" s="1"/>
  <c r="AB40" i="24"/>
  <c r="AB42" i="24" s="1"/>
  <c r="T40" i="24"/>
  <c r="T42" i="24" s="1"/>
  <c r="T43" i="24" s="1"/>
  <c r="L40" i="24"/>
  <c r="L42" i="24" s="1"/>
  <c r="L43" i="24" s="1"/>
  <c r="X39" i="24"/>
  <c r="P39" i="24"/>
  <c r="H39" i="24"/>
  <c r="X35" i="24"/>
  <c r="P35" i="24"/>
  <c r="H35" i="24"/>
  <c r="AB34" i="24"/>
  <c r="T34" i="24"/>
  <c r="L34" i="24"/>
  <c r="X33" i="24"/>
  <c r="P33" i="24"/>
  <c r="H33" i="24"/>
  <c r="D33" i="24" s="1"/>
  <c r="F33" i="36" s="1"/>
  <c r="AB32" i="24"/>
  <c r="T32" i="24"/>
  <c r="T36" i="24" s="1"/>
  <c r="L32" i="24"/>
  <c r="L36" i="24" s="1"/>
  <c r="AB28" i="24"/>
  <c r="T28" i="24"/>
  <c r="L28" i="24"/>
  <c r="X27" i="24"/>
  <c r="X29" i="24" s="1"/>
  <c r="P27" i="24"/>
  <c r="P29" i="24" s="1"/>
  <c r="H27" i="24"/>
  <c r="X23" i="24"/>
  <c r="P23" i="24"/>
  <c r="H23" i="24"/>
  <c r="D23" i="24" s="1"/>
  <c r="F23" i="36" s="1"/>
  <c r="AB22" i="24"/>
  <c r="T22" i="24"/>
  <c r="L22" i="24"/>
  <c r="X21" i="24"/>
  <c r="P21" i="24"/>
  <c r="H21" i="24"/>
  <c r="AB20" i="24"/>
  <c r="T20" i="24"/>
  <c r="L20" i="24"/>
  <c r="D20" i="24" s="1"/>
  <c r="F20" i="36" s="1"/>
  <c r="X19" i="24"/>
  <c r="P19" i="24"/>
  <c r="H19" i="24"/>
  <c r="X15" i="24"/>
  <c r="P15" i="24"/>
  <c r="H15" i="24"/>
  <c r="D15" i="24" s="1"/>
  <c r="F15" i="36" s="1"/>
  <c r="AB14" i="24"/>
  <c r="T14" i="24"/>
  <c r="L14" i="24"/>
  <c r="X13" i="24"/>
  <c r="P13" i="24"/>
  <c r="H13" i="24"/>
  <c r="D13" i="24" s="1"/>
  <c r="F13" i="36" s="1"/>
  <c r="AB12" i="24"/>
  <c r="T12" i="24"/>
  <c r="L12" i="24"/>
  <c r="X11" i="24"/>
  <c r="P11" i="24"/>
  <c r="H11" i="24"/>
  <c r="G89" i="12"/>
  <c r="I79" i="12"/>
  <c r="I76" i="12"/>
  <c r="I73" i="12"/>
  <c r="I65" i="12"/>
  <c r="F66" i="9"/>
  <c r="I51" i="12"/>
  <c r="I45" i="12"/>
  <c r="I35" i="12"/>
  <c r="I23" i="12"/>
  <c r="I20" i="12"/>
  <c r="D71" i="24"/>
  <c r="F71" i="36" s="1"/>
  <c r="F36" i="24"/>
  <c r="F16" i="24"/>
  <c r="D56" i="12"/>
  <c r="D16" i="32"/>
  <c r="I78" i="32"/>
  <c r="H60" i="32"/>
  <c r="D61" i="20"/>
  <c r="F59" i="32"/>
  <c r="D41" i="20"/>
  <c r="F41" i="32" s="1"/>
  <c r="H41" i="32" s="1"/>
  <c r="AC81" i="24"/>
  <c r="M81" i="24"/>
  <c r="U79" i="24"/>
  <c r="M79" i="24"/>
  <c r="Y78" i="24"/>
  <c r="Q78" i="24"/>
  <c r="Y76" i="24"/>
  <c r="Q76" i="24"/>
  <c r="I76" i="24"/>
  <c r="AC75" i="24"/>
  <c r="I74" i="24"/>
  <c r="AC73" i="24"/>
  <c r="U73" i="24"/>
  <c r="M73" i="24"/>
  <c r="U71" i="24"/>
  <c r="M71" i="24"/>
  <c r="Y70" i="24"/>
  <c r="Q70" i="24"/>
  <c r="Q72" i="24" s="1"/>
  <c r="H70" i="24"/>
  <c r="T60" i="24"/>
  <c r="L60" i="24"/>
  <c r="X59" i="24"/>
  <c r="X61" i="24" s="1"/>
  <c r="P59" i="24"/>
  <c r="L56" i="21"/>
  <c r="X55" i="24"/>
  <c r="P55" i="24"/>
  <c r="H55" i="24"/>
  <c r="K54" i="24"/>
  <c r="K56" i="24" s="1"/>
  <c r="AE51" i="24"/>
  <c r="W51" i="24"/>
  <c r="AA49" i="24"/>
  <c r="S49" i="24"/>
  <c r="O47" i="24"/>
  <c r="K45" i="24"/>
  <c r="AE41" i="24"/>
  <c r="O41" i="24"/>
  <c r="AA40" i="24"/>
  <c r="AA42" i="24" s="1"/>
  <c r="AA43" i="24" s="1"/>
  <c r="K40" i="24"/>
  <c r="W39" i="24"/>
  <c r="AE35" i="24"/>
  <c r="O35" i="24"/>
  <c r="AA34" i="24"/>
  <c r="K34" i="24"/>
  <c r="AE33" i="24"/>
  <c r="O33" i="24"/>
  <c r="AA32" i="24"/>
  <c r="K32" i="24"/>
  <c r="S28" i="24"/>
  <c r="W27" i="24"/>
  <c r="AE23" i="24"/>
  <c r="O23" i="24"/>
  <c r="AA22" i="24"/>
  <c r="K22" i="24"/>
  <c r="AE21" i="24"/>
  <c r="W21" i="24"/>
  <c r="O21" i="24"/>
  <c r="AA20" i="24"/>
  <c r="S20" i="24"/>
  <c r="AE19" i="24"/>
  <c r="W19" i="24"/>
  <c r="W24" i="24" s="1"/>
  <c r="O19" i="24"/>
  <c r="O24" i="24" s="1"/>
  <c r="W15" i="24"/>
  <c r="O15" i="24"/>
  <c r="AA14" i="24"/>
  <c r="S14" i="24"/>
  <c r="AE13" i="24"/>
  <c r="AA12" i="24"/>
  <c r="S12" i="24"/>
  <c r="K12" i="24"/>
  <c r="AE11" i="24"/>
  <c r="O11" i="24"/>
  <c r="E11" i="21"/>
  <c r="F86" i="12"/>
  <c r="H79" i="12"/>
  <c r="F79" i="9"/>
  <c r="H73" i="12"/>
  <c r="L73" i="9"/>
  <c r="D73" i="33" s="1"/>
  <c r="H73" i="33" s="1"/>
  <c r="H65" i="12"/>
  <c r="I59" i="12"/>
  <c r="H45" i="12"/>
  <c r="L45" i="9"/>
  <c r="D45" i="33" s="1"/>
  <c r="H35" i="12"/>
  <c r="I32" i="12"/>
  <c r="H20" i="12"/>
  <c r="L20" i="9"/>
  <c r="D20" i="33" s="1"/>
  <c r="H16" i="9"/>
  <c r="I13" i="12"/>
  <c r="F12" i="9"/>
  <c r="Z89" i="24"/>
  <c r="R89" i="24"/>
  <c r="J89" i="24"/>
  <c r="D74" i="24"/>
  <c r="F74" i="36" s="1"/>
  <c r="F42" i="24"/>
  <c r="F43" i="24" s="1"/>
  <c r="D29" i="32"/>
  <c r="F24" i="8"/>
  <c r="D77" i="20"/>
  <c r="F77" i="32" s="1"/>
  <c r="H77" i="32" s="1"/>
  <c r="E74" i="29"/>
  <c r="G74" i="41" s="1"/>
  <c r="I74" i="41" s="1"/>
  <c r="E73" i="29"/>
  <c r="G73" i="41" s="1"/>
  <c r="I73" i="41" s="1"/>
  <c r="H80" i="12"/>
  <c r="H71" i="12"/>
  <c r="H60" i="12"/>
  <c r="H51" i="12"/>
  <c r="H41" i="12"/>
  <c r="H23" i="12"/>
  <c r="H19" i="12"/>
  <c r="H15" i="12"/>
  <c r="M77" i="8"/>
  <c r="E77" i="32" s="1"/>
  <c r="E77" i="5" s="1"/>
  <c r="M51" i="8"/>
  <c r="E51" i="32" s="1"/>
  <c r="I51" i="32" s="1"/>
  <c r="G32" i="8"/>
  <c r="I36" i="8"/>
  <c r="M32" i="8"/>
  <c r="D75" i="20"/>
  <c r="F75" i="32" s="1"/>
  <c r="H75" i="32" s="1"/>
  <c r="D64" i="20"/>
  <c r="H66" i="20"/>
  <c r="P82" i="20"/>
  <c r="N641" i="44" s="1"/>
  <c r="D15" i="20"/>
  <c r="F15" i="32" s="1"/>
  <c r="H15" i="32" s="1"/>
  <c r="H16" i="20"/>
  <c r="E59" i="29"/>
  <c r="K61" i="29"/>
  <c r="D40" i="29"/>
  <c r="H42" i="29"/>
  <c r="H43" i="29" s="1"/>
  <c r="F45" i="17"/>
  <c r="L45" i="17"/>
  <c r="H73" i="34"/>
  <c r="H55" i="34"/>
  <c r="P56" i="22"/>
  <c r="D54" i="22"/>
  <c r="E77" i="20"/>
  <c r="G77" i="32" s="1"/>
  <c r="I77" i="32" s="1"/>
  <c r="E73" i="20"/>
  <c r="G73" i="32" s="1"/>
  <c r="I73" i="32" s="1"/>
  <c r="D45" i="20"/>
  <c r="F45" i="32" s="1"/>
  <c r="H45" i="32" s="1"/>
  <c r="E65" i="29"/>
  <c r="G65" i="41" s="1"/>
  <c r="I65" i="41" s="1"/>
  <c r="O82" i="29"/>
  <c r="M640" i="44" s="1"/>
  <c r="E14" i="29"/>
  <c r="G14" i="41" s="1"/>
  <c r="I14" i="41" s="1"/>
  <c r="K66" i="22"/>
  <c r="E65" i="22"/>
  <c r="G65" i="34" s="1"/>
  <c r="I65" i="34" s="1"/>
  <c r="G34" i="34"/>
  <c r="I34" i="34" s="1"/>
  <c r="E36" i="22"/>
  <c r="L79" i="8"/>
  <c r="D79" i="32" s="1"/>
  <c r="F79" i="8"/>
  <c r="L55" i="8"/>
  <c r="D55" i="32" s="1"/>
  <c r="D55" i="5" s="1"/>
  <c r="H56" i="8"/>
  <c r="F55" i="8"/>
  <c r="F56" i="8" s="1"/>
  <c r="F39" i="8"/>
  <c r="L39" i="8"/>
  <c r="D39" i="32" s="1"/>
  <c r="L13" i="8"/>
  <c r="D13" i="32" s="1"/>
  <c r="D13" i="5" s="1"/>
  <c r="H16" i="8"/>
  <c r="H82" i="8" s="1"/>
  <c r="F13" i="8"/>
  <c r="F16" i="8" s="1"/>
  <c r="E11" i="32"/>
  <c r="D76" i="20"/>
  <c r="F76" i="32" s="1"/>
  <c r="H76" i="32" s="1"/>
  <c r="E49" i="20"/>
  <c r="G49" i="32" s="1"/>
  <c r="I49" i="32" s="1"/>
  <c r="E19" i="20"/>
  <c r="J72" i="29"/>
  <c r="D70" i="29"/>
  <c r="D65" i="29"/>
  <c r="F65" i="41" s="1"/>
  <c r="H65" i="41" s="1"/>
  <c r="G70" i="17"/>
  <c r="G72" i="17" s="1"/>
  <c r="I72" i="17"/>
  <c r="M70" i="17"/>
  <c r="M72" i="17" s="1"/>
  <c r="G29" i="24"/>
  <c r="E27" i="32"/>
  <c r="E29" i="32" s="1"/>
  <c r="M59" i="8"/>
  <c r="G59" i="8"/>
  <c r="G61" i="8" s="1"/>
  <c r="G13" i="8"/>
  <c r="E79" i="20"/>
  <c r="G79" i="32" s="1"/>
  <c r="I79" i="32" s="1"/>
  <c r="AB24" i="20"/>
  <c r="T24" i="20"/>
  <c r="L24" i="20"/>
  <c r="L82" i="20" s="1"/>
  <c r="J641" i="44" s="1"/>
  <c r="D19" i="20"/>
  <c r="D73" i="29"/>
  <c r="F73" i="41" s="1"/>
  <c r="H73" i="41" s="1"/>
  <c r="D71" i="29"/>
  <c r="F71" i="41" s="1"/>
  <c r="H71" i="41" s="1"/>
  <c r="H72" i="29"/>
  <c r="J72" i="12"/>
  <c r="E42" i="12"/>
  <c r="E43" i="12" s="1"/>
  <c r="E16" i="12"/>
  <c r="L73" i="8"/>
  <c r="D73" i="32" s="1"/>
  <c r="D73" i="5" s="1"/>
  <c r="L64" i="8"/>
  <c r="M43" i="8"/>
  <c r="M23" i="8"/>
  <c r="E23" i="32" s="1"/>
  <c r="E23" i="5" s="1"/>
  <c r="J82" i="8"/>
  <c r="M14" i="8"/>
  <c r="E14" i="32" s="1"/>
  <c r="L16" i="8"/>
  <c r="E81" i="20"/>
  <c r="G81" i="32" s="1"/>
  <c r="I81" i="32" s="1"/>
  <c r="L66" i="20"/>
  <c r="D49" i="20"/>
  <c r="F49" i="32" s="1"/>
  <c r="H49" i="32" s="1"/>
  <c r="AD36" i="20"/>
  <c r="V36" i="20"/>
  <c r="I36" i="20"/>
  <c r="E21" i="20"/>
  <c r="G21" i="32" s="1"/>
  <c r="I21" i="32" s="1"/>
  <c r="E14" i="20"/>
  <c r="G14" i="32" s="1"/>
  <c r="I14" i="32" s="1"/>
  <c r="E82" i="41"/>
  <c r="G54" i="41"/>
  <c r="E40" i="29"/>
  <c r="G42" i="29"/>
  <c r="G43" i="29" s="1"/>
  <c r="E23" i="29"/>
  <c r="G23" i="41" s="1"/>
  <c r="I23" i="41" s="1"/>
  <c r="G24" i="29"/>
  <c r="D22" i="24"/>
  <c r="F22" i="36" s="1"/>
  <c r="D42" i="12"/>
  <c r="D43" i="12" s="1"/>
  <c r="L80" i="8"/>
  <c r="D80" i="32" s="1"/>
  <c r="H80" i="32" s="1"/>
  <c r="G64" i="8"/>
  <c r="G66" i="8" s="1"/>
  <c r="M64" i="8"/>
  <c r="I66" i="8"/>
  <c r="L29" i="8"/>
  <c r="L23" i="8"/>
  <c r="D23" i="32" s="1"/>
  <c r="H23" i="32" s="1"/>
  <c r="D79" i="20"/>
  <c r="F79" i="32" s="1"/>
  <c r="H79" i="32" s="1"/>
  <c r="E71" i="20"/>
  <c r="G71" i="32" s="1"/>
  <c r="I71" i="32" s="1"/>
  <c r="E59" i="20"/>
  <c r="W43" i="20"/>
  <c r="W82" i="20" s="1"/>
  <c r="U641" i="44" s="1"/>
  <c r="O43" i="20"/>
  <c r="Z42" i="20"/>
  <c r="Z43" i="20" s="1"/>
  <c r="Z82" i="20" s="1"/>
  <c r="X641" i="44" s="1"/>
  <c r="R42" i="20"/>
  <c r="R43" i="20" s="1"/>
  <c r="H36" i="20"/>
  <c r="X24" i="20"/>
  <c r="X82" i="20" s="1"/>
  <c r="V641" i="44" s="1"/>
  <c r="H24" i="20"/>
  <c r="E75" i="29"/>
  <c r="G75" i="41" s="1"/>
  <c r="I75" i="41" s="1"/>
  <c r="I35" i="41"/>
  <c r="E19" i="29"/>
  <c r="F74" i="17"/>
  <c r="L74" i="17"/>
  <c r="F24" i="17"/>
  <c r="H65" i="34"/>
  <c r="E72" i="12"/>
  <c r="M80" i="8"/>
  <c r="E80" i="32" s="1"/>
  <c r="I80" i="32" s="1"/>
  <c r="G80" i="8"/>
  <c r="G56" i="8"/>
  <c r="G29" i="8"/>
  <c r="G19" i="8"/>
  <c r="G24" i="8" s="1"/>
  <c r="I24" i="8"/>
  <c r="M19" i="8"/>
  <c r="E75" i="20"/>
  <c r="G75" i="32" s="1"/>
  <c r="I75" i="32" s="1"/>
  <c r="D73" i="20"/>
  <c r="F73" i="32" s="1"/>
  <c r="D70" i="20"/>
  <c r="D47" i="20"/>
  <c r="F47" i="32" s="1"/>
  <c r="H47" i="32" s="1"/>
  <c r="AB36" i="20"/>
  <c r="T36" i="20"/>
  <c r="L36" i="20"/>
  <c r="D27" i="20"/>
  <c r="D45" i="29"/>
  <c r="F45" i="41" s="1"/>
  <c r="H45" i="41" s="1"/>
  <c r="D19" i="29"/>
  <c r="D16" i="12"/>
  <c r="L34" i="8"/>
  <c r="D34" i="32" s="1"/>
  <c r="D36" i="32" s="1"/>
  <c r="H36" i="8"/>
  <c r="L19" i="8"/>
  <c r="H24" i="8"/>
  <c r="D81" i="20"/>
  <c r="F81" i="32" s="1"/>
  <c r="H81" i="32" s="1"/>
  <c r="E70" i="20"/>
  <c r="E64" i="20"/>
  <c r="I47" i="32"/>
  <c r="D39" i="20"/>
  <c r="F39" i="32" s="1"/>
  <c r="H39" i="32" s="1"/>
  <c r="E34" i="20"/>
  <c r="G34" i="32" s="1"/>
  <c r="I34" i="32" s="1"/>
  <c r="F32" i="32"/>
  <c r="G24" i="20"/>
  <c r="H14" i="32"/>
  <c r="AA16" i="20"/>
  <c r="AA82" i="20" s="1"/>
  <c r="Y641" i="44" s="1"/>
  <c r="S16" i="20"/>
  <c r="S82" i="20" s="1"/>
  <c r="Q641" i="44" s="1"/>
  <c r="K16" i="20"/>
  <c r="K82" i="20" s="1"/>
  <c r="I641" i="44" s="1"/>
  <c r="E78" i="29"/>
  <c r="G78" i="41" s="1"/>
  <c r="I78" i="41" s="1"/>
  <c r="D27" i="29"/>
  <c r="P82" i="29"/>
  <c r="N640" i="44" s="1"/>
  <c r="D12" i="29"/>
  <c r="F12" i="41" s="1"/>
  <c r="H12" i="41" s="1"/>
  <c r="Y82" i="29"/>
  <c r="W640" i="44" s="1"/>
  <c r="N16" i="29"/>
  <c r="N82" i="29" s="1"/>
  <c r="L640" i="44" s="1"/>
  <c r="D11" i="29"/>
  <c r="F16" i="29"/>
  <c r="L73" i="17"/>
  <c r="F73" i="17"/>
  <c r="M78" i="8"/>
  <c r="E78" i="32" s="1"/>
  <c r="M54" i="8"/>
  <c r="M33" i="8"/>
  <c r="E33" i="32" s="1"/>
  <c r="M15" i="8"/>
  <c r="E15" i="32" s="1"/>
  <c r="I15" i="32" s="1"/>
  <c r="G11" i="8"/>
  <c r="G16" i="8" s="1"/>
  <c r="I16" i="8"/>
  <c r="D34" i="20"/>
  <c r="F34" i="32" s="1"/>
  <c r="D28" i="20"/>
  <c r="F28" i="32" s="1"/>
  <c r="H28" i="32" s="1"/>
  <c r="AB16" i="20"/>
  <c r="T16" i="20"/>
  <c r="D11" i="20"/>
  <c r="D36" i="41"/>
  <c r="D82" i="41" s="1"/>
  <c r="D81" i="29"/>
  <c r="F81" i="41" s="1"/>
  <c r="H81" i="41" s="1"/>
  <c r="D78" i="29"/>
  <c r="F78" i="41" s="1"/>
  <c r="H78" i="41" s="1"/>
  <c r="E77" i="29"/>
  <c r="G77" i="41" s="1"/>
  <c r="I77" i="41" s="1"/>
  <c r="E64" i="29"/>
  <c r="G66" i="29"/>
  <c r="D47" i="29"/>
  <c r="F47" i="41" s="1"/>
  <c r="H47" i="41" s="1"/>
  <c r="E41" i="29"/>
  <c r="G41" i="41" s="1"/>
  <c r="I41" i="41" s="1"/>
  <c r="D22" i="29"/>
  <c r="F22" i="41" s="1"/>
  <c r="H22" i="41" s="1"/>
  <c r="M77" i="17"/>
  <c r="G77" i="17"/>
  <c r="M34" i="17"/>
  <c r="E75" i="22"/>
  <c r="G75" i="34" s="1"/>
  <c r="I75" i="34" s="1"/>
  <c r="F75" i="10"/>
  <c r="L75" i="10"/>
  <c r="D75" i="34" s="1"/>
  <c r="L66" i="10"/>
  <c r="D54" i="20"/>
  <c r="E13" i="20"/>
  <c r="G13" i="32" s="1"/>
  <c r="I13" i="32" s="1"/>
  <c r="E36" i="41"/>
  <c r="G61" i="29"/>
  <c r="E60" i="29"/>
  <c r="G60" i="41" s="1"/>
  <c r="I60" i="41" s="1"/>
  <c r="E49" i="29"/>
  <c r="G49" i="41" s="1"/>
  <c r="I49" i="41" s="1"/>
  <c r="D35" i="29"/>
  <c r="F35" i="41" s="1"/>
  <c r="H35" i="41" s="1"/>
  <c r="E34" i="29"/>
  <c r="G34" i="41" s="1"/>
  <c r="I34" i="41" s="1"/>
  <c r="F47" i="17"/>
  <c r="L47" i="17"/>
  <c r="I51" i="34"/>
  <c r="D59" i="22"/>
  <c r="H61" i="22"/>
  <c r="E40" i="22"/>
  <c r="E39" i="22"/>
  <c r="G39" i="34" s="1"/>
  <c r="I39" i="34" s="1"/>
  <c r="H23" i="34"/>
  <c r="G42" i="8"/>
  <c r="G43" i="8" s="1"/>
  <c r="E45" i="20"/>
  <c r="G45" i="32" s="1"/>
  <c r="D20" i="20"/>
  <c r="F20" i="32" s="1"/>
  <c r="H20" i="32" s="1"/>
  <c r="D13" i="20"/>
  <c r="F13" i="32" s="1"/>
  <c r="H13" i="32" s="1"/>
  <c r="E80" i="29"/>
  <c r="G80" i="41" s="1"/>
  <c r="I80" i="41" s="1"/>
  <c r="D49" i="29"/>
  <c r="F49" i="41" s="1"/>
  <c r="H49" i="41" s="1"/>
  <c r="I36" i="29"/>
  <c r="AA16" i="29"/>
  <c r="H16" i="29"/>
  <c r="H56" i="17"/>
  <c r="L54" i="17"/>
  <c r="L56" i="17" s="1"/>
  <c r="L32" i="17"/>
  <c r="L36" i="17" s="1"/>
  <c r="F32" i="17"/>
  <c r="F36" i="17" s="1"/>
  <c r="J82" i="17"/>
  <c r="D66" i="34"/>
  <c r="E76" i="22"/>
  <c r="G76" i="34" s="1"/>
  <c r="I76" i="34" s="1"/>
  <c r="D40" i="22"/>
  <c r="D39" i="22"/>
  <c r="F39" i="34" s="1"/>
  <c r="G71" i="8"/>
  <c r="G72" i="8" s="1"/>
  <c r="F56" i="20"/>
  <c r="E41" i="20"/>
  <c r="G41" i="32" s="1"/>
  <c r="I41" i="32" s="1"/>
  <c r="E40" i="20"/>
  <c r="AC36" i="20"/>
  <c r="AC82" i="20" s="1"/>
  <c r="AA641" i="44" s="1"/>
  <c r="U36" i="20"/>
  <c r="M36" i="20"/>
  <c r="M82" i="20" s="1"/>
  <c r="K641" i="44" s="1"/>
  <c r="E33" i="20"/>
  <c r="G33" i="32" s="1"/>
  <c r="E32" i="20"/>
  <c r="G29" i="20"/>
  <c r="E22" i="20"/>
  <c r="G22" i="32" s="1"/>
  <c r="I22" i="32" s="1"/>
  <c r="U16" i="20"/>
  <c r="U82" i="20" s="1"/>
  <c r="S641" i="44" s="1"/>
  <c r="D80" i="29"/>
  <c r="F80" i="41" s="1"/>
  <c r="H80" i="41" s="1"/>
  <c r="E70" i="29"/>
  <c r="M72" i="29"/>
  <c r="M82" i="29" s="1"/>
  <c r="K640" i="44" s="1"/>
  <c r="D54" i="29"/>
  <c r="E51" i="29"/>
  <c r="G51" i="41" s="1"/>
  <c r="I51" i="41" s="1"/>
  <c r="AE16" i="29"/>
  <c r="AE82" i="29" s="1"/>
  <c r="AC640" i="44" s="1"/>
  <c r="W16" i="29"/>
  <c r="W82" i="29" s="1"/>
  <c r="U640" i="44" s="1"/>
  <c r="Z82" i="29"/>
  <c r="X640" i="44" s="1"/>
  <c r="G16" i="29"/>
  <c r="E11" i="29"/>
  <c r="M45" i="17"/>
  <c r="G45" i="17"/>
  <c r="Y43" i="22"/>
  <c r="Q43" i="22"/>
  <c r="E41" i="22"/>
  <c r="G41" i="34" s="1"/>
  <c r="I41" i="34" s="1"/>
  <c r="I42" i="22"/>
  <c r="I43" i="22" s="1"/>
  <c r="E71" i="29"/>
  <c r="G71" i="41" s="1"/>
  <c r="I71" i="41" s="1"/>
  <c r="D64" i="29"/>
  <c r="F61" i="29"/>
  <c r="D60" i="29"/>
  <c r="F60" i="41" s="1"/>
  <c r="H60" i="41" s="1"/>
  <c r="AA56" i="29"/>
  <c r="S56" i="29"/>
  <c r="S82" i="29" s="1"/>
  <c r="Q640" i="44" s="1"/>
  <c r="D51" i="29"/>
  <c r="F51" i="41" s="1"/>
  <c r="H51" i="41" s="1"/>
  <c r="L42" i="29"/>
  <c r="L43" i="29" s="1"/>
  <c r="D34" i="29"/>
  <c r="F34" i="41" s="1"/>
  <c r="H34" i="41" s="1"/>
  <c r="AA36" i="29"/>
  <c r="R36" i="29"/>
  <c r="D28" i="29"/>
  <c r="F28" i="41" s="1"/>
  <c r="H28" i="41" s="1"/>
  <c r="R24" i="29"/>
  <c r="J24" i="29"/>
  <c r="K24" i="29"/>
  <c r="R16" i="29"/>
  <c r="R82" i="29" s="1"/>
  <c r="P640" i="44" s="1"/>
  <c r="J16" i="29"/>
  <c r="AB16" i="29"/>
  <c r="AB82" i="29" s="1"/>
  <c r="Z640" i="44" s="1"/>
  <c r="T16" i="29"/>
  <c r="T82" i="29" s="1"/>
  <c r="R640" i="44" s="1"/>
  <c r="L16" i="29"/>
  <c r="L80" i="17"/>
  <c r="I24" i="17"/>
  <c r="I82" i="17" s="1"/>
  <c r="F13" i="17"/>
  <c r="L13" i="17"/>
  <c r="E73" i="22"/>
  <c r="G73" i="34" s="1"/>
  <c r="AD16" i="20"/>
  <c r="AD82" i="20" s="1"/>
  <c r="AB641" i="44" s="1"/>
  <c r="V16" i="20"/>
  <c r="V82" i="20" s="1"/>
  <c r="T641" i="44" s="1"/>
  <c r="N16" i="20"/>
  <c r="N82" i="20" s="1"/>
  <c r="L641" i="44" s="1"/>
  <c r="F16" i="20"/>
  <c r="E72" i="41"/>
  <c r="D75" i="29"/>
  <c r="F75" i="41" s="1"/>
  <c r="H75" i="41" s="1"/>
  <c r="D55" i="29"/>
  <c r="F55" i="41" s="1"/>
  <c r="H55" i="41" s="1"/>
  <c r="O36" i="29"/>
  <c r="Z36" i="29"/>
  <c r="E32" i="29"/>
  <c r="G36" i="29"/>
  <c r="E21" i="29"/>
  <c r="G21" i="41" s="1"/>
  <c r="I21" i="41" s="1"/>
  <c r="E13" i="29"/>
  <c r="G13" i="41" s="1"/>
  <c r="I13" i="41" s="1"/>
  <c r="I16" i="29"/>
  <c r="M24" i="17"/>
  <c r="I12" i="34"/>
  <c r="E70" i="22"/>
  <c r="K72" i="22"/>
  <c r="D45" i="22"/>
  <c r="F45" i="34" s="1"/>
  <c r="H45" i="34" s="1"/>
  <c r="D77" i="29"/>
  <c r="F77" i="41" s="1"/>
  <c r="H77" i="41" s="1"/>
  <c r="E55" i="29"/>
  <c r="G55" i="41" s="1"/>
  <c r="I55" i="41" s="1"/>
  <c r="D33" i="29"/>
  <c r="F33" i="41" s="1"/>
  <c r="H33" i="41" s="1"/>
  <c r="Y36" i="29"/>
  <c r="N36" i="29"/>
  <c r="F36" i="29"/>
  <c r="D21" i="29"/>
  <c r="F21" i="41" s="1"/>
  <c r="H21" i="41" s="1"/>
  <c r="AD16" i="29"/>
  <c r="AD82" i="29" s="1"/>
  <c r="AB640" i="44" s="1"/>
  <c r="U16" i="29"/>
  <c r="U82" i="29" s="1"/>
  <c r="S640" i="44" s="1"/>
  <c r="M64" i="17"/>
  <c r="M66" i="17" s="1"/>
  <c r="I66" i="17"/>
  <c r="H82" i="17"/>
  <c r="L12" i="17"/>
  <c r="F12" i="17"/>
  <c r="E16" i="34"/>
  <c r="E74" i="22"/>
  <c r="G74" i="34" s="1"/>
  <c r="I74" i="34" s="1"/>
  <c r="D64" i="22"/>
  <c r="E27" i="22"/>
  <c r="D79" i="29"/>
  <c r="F79" i="41" s="1"/>
  <c r="H79" i="41" s="1"/>
  <c r="E45" i="29"/>
  <c r="G45" i="41" s="1"/>
  <c r="I45" i="41" s="1"/>
  <c r="D32" i="29"/>
  <c r="D23" i="29"/>
  <c r="F23" i="41" s="1"/>
  <c r="H23" i="41" s="1"/>
  <c r="Z24" i="29"/>
  <c r="H24" i="29"/>
  <c r="E15" i="29"/>
  <c r="G15" i="41" s="1"/>
  <c r="I15" i="41" s="1"/>
  <c r="Q16" i="29"/>
  <c r="Q82" i="29" s="1"/>
  <c r="O640" i="44" s="1"/>
  <c r="H66" i="17"/>
  <c r="F64" i="17"/>
  <c r="F66" i="17" s="1"/>
  <c r="L41" i="17"/>
  <c r="H42" i="17"/>
  <c r="H43" i="17" s="1"/>
  <c r="F41" i="17"/>
  <c r="F42" i="17" s="1"/>
  <c r="F43" i="17" s="1"/>
  <c r="G19" i="17"/>
  <c r="G12" i="17"/>
  <c r="I80" i="34"/>
  <c r="D75" i="22"/>
  <c r="F75" i="34" s="1"/>
  <c r="E64" i="22"/>
  <c r="G66" i="22"/>
  <c r="D47" i="22"/>
  <c r="F47" i="34" s="1"/>
  <c r="H47" i="34" s="1"/>
  <c r="G73" i="10"/>
  <c r="M73" i="10"/>
  <c r="E73" i="34" s="1"/>
  <c r="E73" i="5" s="1"/>
  <c r="G45" i="10"/>
  <c r="M45" i="10"/>
  <c r="E45" i="34" s="1"/>
  <c r="F43" i="29"/>
  <c r="E28" i="29"/>
  <c r="G28" i="41" s="1"/>
  <c r="I28" i="41" s="1"/>
  <c r="L75" i="17"/>
  <c r="M65" i="17"/>
  <c r="M39" i="17"/>
  <c r="L27" i="17"/>
  <c r="L29" i="17" s="1"/>
  <c r="L20" i="17"/>
  <c r="L24" i="17" s="1"/>
  <c r="D70" i="22"/>
  <c r="J72" i="22"/>
  <c r="E59" i="22"/>
  <c r="E54" i="22"/>
  <c r="D41" i="22"/>
  <c r="F41" i="34" s="1"/>
  <c r="H41" i="34" s="1"/>
  <c r="E28" i="22"/>
  <c r="G28" i="34" s="1"/>
  <c r="I28" i="34" s="1"/>
  <c r="I21" i="34"/>
  <c r="X24" i="22"/>
  <c r="X82" i="22" s="1"/>
  <c r="V644" i="44" s="1"/>
  <c r="H24" i="22"/>
  <c r="H82" i="22" s="1"/>
  <c r="F644" i="44" s="1"/>
  <c r="Z24" i="22"/>
  <c r="R24" i="22"/>
  <c r="R82" i="22" s="1"/>
  <c r="P644" i="44" s="1"/>
  <c r="J24" i="22"/>
  <c r="D19" i="22"/>
  <c r="Y82" i="22"/>
  <c r="W644" i="44" s="1"/>
  <c r="Z82" i="22"/>
  <c r="X644" i="44" s="1"/>
  <c r="J16" i="22"/>
  <c r="J82" i="22" s="1"/>
  <c r="H644" i="44" s="1"/>
  <c r="D11" i="22"/>
  <c r="K16" i="29"/>
  <c r="I29" i="17"/>
  <c r="G27" i="17"/>
  <c r="G29" i="17" s="1"/>
  <c r="M11" i="17"/>
  <c r="M16" i="17" s="1"/>
  <c r="G11" i="17"/>
  <c r="E77" i="22"/>
  <c r="G77" i="34" s="1"/>
  <c r="I77" i="34" s="1"/>
  <c r="D74" i="22"/>
  <c r="F74" i="34" s="1"/>
  <c r="H74" i="34" s="1"/>
  <c r="G72" i="22"/>
  <c r="E71" i="22"/>
  <c r="G71" i="34" s="1"/>
  <c r="I71" i="34" s="1"/>
  <c r="K56" i="22"/>
  <c r="K82" i="22" s="1"/>
  <c r="I644" i="44" s="1"/>
  <c r="E55" i="22"/>
  <c r="G55" i="34" s="1"/>
  <c r="I55" i="34" s="1"/>
  <c r="I36" i="22"/>
  <c r="E35" i="22"/>
  <c r="G35" i="34" s="1"/>
  <c r="I35" i="34" s="1"/>
  <c r="G36" i="34"/>
  <c r="I32" i="34"/>
  <c r="Y24" i="22"/>
  <c r="G33" i="10"/>
  <c r="G36" i="10" s="1"/>
  <c r="M33" i="10"/>
  <c r="E33" i="34" s="1"/>
  <c r="E36" i="34" s="1"/>
  <c r="I36" i="10"/>
  <c r="G19" i="10"/>
  <c r="G24" i="10" s="1"/>
  <c r="I24" i="10"/>
  <c r="M19" i="10"/>
  <c r="M13" i="10"/>
  <c r="E13" i="34" s="1"/>
  <c r="G13" i="10"/>
  <c r="P56" i="29"/>
  <c r="H56" i="29"/>
  <c r="D39" i="29"/>
  <c r="F39" i="41" s="1"/>
  <c r="H39" i="41" s="1"/>
  <c r="E20" i="29"/>
  <c r="G20" i="41" s="1"/>
  <c r="I20" i="41" s="1"/>
  <c r="M42" i="17"/>
  <c r="M33" i="17"/>
  <c r="M36" i="17" s="1"/>
  <c r="I36" i="17"/>
  <c r="K82" i="17"/>
  <c r="D79" i="22"/>
  <c r="F79" i="34" s="1"/>
  <c r="D77" i="22"/>
  <c r="F77" i="34" s="1"/>
  <c r="H77" i="34" s="1"/>
  <c r="F72" i="22"/>
  <c r="D71" i="22"/>
  <c r="F71" i="34" s="1"/>
  <c r="H71" i="34" s="1"/>
  <c r="D51" i="22"/>
  <c r="F51" i="34" s="1"/>
  <c r="D32" i="22"/>
  <c r="H36" i="22"/>
  <c r="E22" i="22"/>
  <c r="G22" i="34" s="1"/>
  <c r="I22" i="34" s="1"/>
  <c r="D20" i="22"/>
  <c r="F20" i="34" s="1"/>
  <c r="F24" i="22"/>
  <c r="X36" i="29"/>
  <c r="X82" i="29" s="1"/>
  <c r="V640" i="44" s="1"/>
  <c r="H36" i="29"/>
  <c r="E22" i="29"/>
  <c r="G22" i="41" s="1"/>
  <c r="I22" i="41" s="1"/>
  <c r="M61" i="17"/>
  <c r="M54" i="17"/>
  <c r="M56" i="17" s="1"/>
  <c r="I56" i="17"/>
  <c r="L42" i="17"/>
  <c r="L43" i="17" s="1"/>
  <c r="G23" i="17"/>
  <c r="F16" i="17"/>
  <c r="E79" i="22"/>
  <c r="G79" i="34" s="1"/>
  <c r="I79" i="34" s="1"/>
  <c r="S82" i="22"/>
  <c r="Q644" i="44" s="1"/>
  <c r="G15" i="10"/>
  <c r="M15" i="10"/>
  <c r="E15" i="34" s="1"/>
  <c r="M72" i="10"/>
  <c r="E70" i="34"/>
  <c r="E72" i="34" s="1"/>
  <c r="F39" i="10"/>
  <c r="L39" i="10"/>
  <c r="D39" i="34" s="1"/>
  <c r="K82" i="10"/>
  <c r="E81" i="22"/>
  <c r="G81" i="34" s="1"/>
  <c r="I81" i="34" s="1"/>
  <c r="G61" i="22"/>
  <c r="E60" i="22"/>
  <c r="G60" i="34" s="1"/>
  <c r="I60" i="34" s="1"/>
  <c r="AE82" i="22"/>
  <c r="AC644" i="44" s="1"/>
  <c r="W82" i="22"/>
  <c r="U644" i="44" s="1"/>
  <c r="O82" i="22"/>
  <c r="M644" i="44" s="1"/>
  <c r="G82" i="22"/>
  <c r="F13" i="4" s="1"/>
  <c r="E45" i="22"/>
  <c r="G45" i="34" s="1"/>
  <c r="I45" i="34" s="1"/>
  <c r="D34" i="22"/>
  <c r="F34" i="34" s="1"/>
  <c r="H34" i="34" s="1"/>
  <c r="D22" i="22"/>
  <c r="F22" i="34" s="1"/>
  <c r="AC24" i="22"/>
  <c r="AC82" i="22" s="1"/>
  <c r="AA644" i="44" s="1"/>
  <c r="M24" i="22"/>
  <c r="E19" i="22"/>
  <c r="L42" i="10"/>
  <c r="L43" i="10" s="1"/>
  <c r="D40" i="34"/>
  <c r="D42" i="34" s="1"/>
  <c r="D43" i="34" s="1"/>
  <c r="L32" i="10"/>
  <c r="F32" i="10"/>
  <c r="M14" i="10"/>
  <c r="E14" i="34" s="1"/>
  <c r="I14" i="34" s="1"/>
  <c r="D81" i="22"/>
  <c r="F81" i="34" s="1"/>
  <c r="E47" i="22"/>
  <c r="G47" i="34" s="1"/>
  <c r="I47" i="34" s="1"/>
  <c r="X42" i="22"/>
  <c r="X43" i="22" s="1"/>
  <c r="P42" i="22"/>
  <c r="P43" i="22" s="1"/>
  <c r="P82" i="22" s="1"/>
  <c r="N644" i="44" s="1"/>
  <c r="H42" i="22"/>
  <c r="H43" i="22" s="1"/>
  <c r="Y29" i="22"/>
  <c r="Q29" i="22"/>
  <c r="Q82" i="22" s="1"/>
  <c r="O644" i="44" s="1"/>
  <c r="E13" i="22"/>
  <c r="G13" i="34" s="1"/>
  <c r="I13" i="34" s="1"/>
  <c r="M56" i="10"/>
  <c r="E54" i="34"/>
  <c r="E56" i="34" s="1"/>
  <c r="F47" i="10"/>
  <c r="L47" i="10"/>
  <c r="D47" i="34" s="1"/>
  <c r="F12" i="10"/>
  <c r="F16" i="10" s="1"/>
  <c r="L12" i="10"/>
  <c r="E49" i="22"/>
  <c r="G49" i="34" s="1"/>
  <c r="I49" i="34" s="1"/>
  <c r="D27" i="22"/>
  <c r="H29" i="22"/>
  <c r="I24" i="22"/>
  <c r="AD82" i="22"/>
  <c r="AB644" i="44" s="1"/>
  <c r="N82" i="22"/>
  <c r="L644" i="44" s="1"/>
  <c r="D14" i="22"/>
  <c r="F14" i="34" s="1"/>
  <c r="F16" i="22"/>
  <c r="L14" i="10"/>
  <c r="D14" i="34" s="1"/>
  <c r="F14" i="10"/>
  <c r="U36" i="22"/>
  <c r="U82" i="22" s="1"/>
  <c r="S644" i="44" s="1"/>
  <c r="M36" i="22"/>
  <c r="V16" i="22"/>
  <c r="V82" i="22" s="1"/>
  <c r="T644" i="44" s="1"/>
  <c r="D12" i="22"/>
  <c r="F12" i="34" s="1"/>
  <c r="E11" i="22"/>
  <c r="I16" i="22"/>
  <c r="F70" i="10"/>
  <c r="F72" i="10" s="1"/>
  <c r="L70" i="10"/>
  <c r="F55" i="10"/>
  <c r="F56" i="10" s="1"/>
  <c r="H56" i="10"/>
  <c r="L55" i="10"/>
  <c r="D55" i="34" s="1"/>
  <c r="D56" i="34" s="1"/>
  <c r="L41" i="10"/>
  <c r="D41" i="34" s="1"/>
  <c r="F41" i="10"/>
  <c r="F42" i="10" s="1"/>
  <c r="G29" i="10"/>
  <c r="M40" i="10"/>
  <c r="I42" i="10"/>
  <c r="I43" i="10" s="1"/>
  <c r="L22" i="10"/>
  <c r="D22" i="34" s="1"/>
  <c r="F22" i="10"/>
  <c r="E20" i="22"/>
  <c r="G20" i="34" s="1"/>
  <c r="I20" i="34" s="1"/>
  <c r="E15" i="22"/>
  <c r="G15" i="34" s="1"/>
  <c r="I15" i="34" s="1"/>
  <c r="M16" i="22"/>
  <c r="M80" i="10"/>
  <c r="E80" i="34" s="1"/>
  <c r="G80" i="10"/>
  <c r="Z36" i="22"/>
  <c r="R36" i="22"/>
  <c r="J36" i="22"/>
  <c r="M74" i="10"/>
  <c r="E74" i="34" s="1"/>
  <c r="L60" i="10"/>
  <c r="D60" i="34" s="1"/>
  <c r="H60" i="34" s="1"/>
  <c r="F60" i="10"/>
  <c r="F61" i="10" s="1"/>
  <c r="L51" i="10"/>
  <c r="D51" i="34" s="1"/>
  <c r="D51" i="5" s="1"/>
  <c r="F51" i="10"/>
  <c r="H42" i="10"/>
  <c r="H43" i="10" s="1"/>
  <c r="H82" i="10" s="1"/>
  <c r="F34" i="10"/>
  <c r="L34" i="10"/>
  <c r="D34" i="34" s="1"/>
  <c r="F27" i="10"/>
  <c r="F29" i="10" s="1"/>
  <c r="L27" i="10"/>
  <c r="M23" i="10"/>
  <c r="E23" i="34" s="1"/>
  <c r="I23" i="34" s="1"/>
  <c r="F20" i="10"/>
  <c r="F24" i="10" s="1"/>
  <c r="L20" i="10"/>
  <c r="F65" i="10"/>
  <c r="F66" i="10" s="1"/>
  <c r="H66" i="10"/>
  <c r="L65" i="10"/>
  <c r="D65" i="34" s="1"/>
  <c r="L56" i="10"/>
  <c r="L81" i="10"/>
  <c r="D81" i="34" s="1"/>
  <c r="F81" i="10"/>
  <c r="G11" i="10"/>
  <c r="G16" i="10" s="1"/>
  <c r="I16" i="10"/>
  <c r="F82" i="8" l="1"/>
  <c r="H14" i="36"/>
  <c r="H20" i="36"/>
  <c r="AC651" i="44"/>
  <c r="AE91" i="31"/>
  <c r="AC646" i="44"/>
  <c r="AE91" i="25"/>
  <c r="O646" i="44"/>
  <c r="Q91" i="25"/>
  <c r="G59" i="36"/>
  <c r="F642" i="44"/>
  <c r="H91" i="21"/>
  <c r="G82" i="16"/>
  <c r="G91" i="16" s="1"/>
  <c r="H33" i="36"/>
  <c r="I74" i="39"/>
  <c r="S648" i="44"/>
  <c r="U91" i="27"/>
  <c r="I35" i="36"/>
  <c r="H71" i="39"/>
  <c r="X651" i="44"/>
  <c r="Z91" i="31"/>
  <c r="I47" i="36"/>
  <c r="I81" i="36"/>
  <c r="I79" i="39"/>
  <c r="E29" i="24"/>
  <c r="G27" i="36"/>
  <c r="I20" i="36"/>
  <c r="W642" i="44"/>
  <c r="Y91" i="21"/>
  <c r="I47" i="39"/>
  <c r="F91" i="13"/>
  <c r="H41" i="39"/>
  <c r="H23" i="39"/>
  <c r="H72" i="40"/>
  <c r="I55" i="36"/>
  <c r="I78" i="39"/>
  <c r="I643" i="44"/>
  <c r="O642" i="44"/>
  <c r="Q91" i="21"/>
  <c r="I23" i="39"/>
  <c r="I77" i="39"/>
  <c r="X82" i="27"/>
  <c r="E42" i="20"/>
  <c r="E43" i="20" s="1"/>
  <c r="G40" i="32"/>
  <c r="D64" i="32"/>
  <c r="D66" i="32" s="1"/>
  <c r="L66" i="8"/>
  <c r="H71" i="36"/>
  <c r="F75" i="12"/>
  <c r="L75" i="12"/>
  <c r="D75" i="36" s="1"/>
  <c r="H75" i="36" s="1"/>
  <c r="G41" i="12"/>
  <c r="M41" i="12"/>
  <c r="E41" i="36" s="1"/>
  <c r="G11" i="43"/>
  <c r="E16" i="31"/>
  <c r="F79" i="5"/>
  <c r="H79" i="5" s="1"/>
  <c r="T651" i="44"/>
  <c r="V91" i="31"/>
  <c r="O651" i="44"/>
  <c r="Q91" i="31"/>
  <c r="E66" i="27"/>
  <c r="G64" i="39"/>
  <c r="G82" i="31"/>
  <c r="K646" i="44"/>
  <c r="M91" i="25"/>
  <c r="F65" i="15"/>
  <c r="L65" i="15"/>
  <c r="D65" i="39" s="1"/>
  <c r="M56" i="14"/>
  <c r="E55" i="38"/>
  <c r="E40" i="34"/>
  <c r="E42" i="34" s="1"/>
  <c r="E43" i="34" s="1"/>
  <c r="M42" i="10"/>
  <c r="M43" i="10" s="1"/>
  <c r="F82" i="17"/>
  <c r="H82" i="20"/>
  <c r="F641" i="44" s="1"/>
  <c r="D35" i="24"/>
  <c r="F35" i="36" s="1"/>
  <c r="L86" i="12"/>
  <c r="L89" i="9"/>
  <c r="D86" i="33"/>
  <c r="D89" i="33" s="1"/>
  <c r="M49" i="12"/>
  <c r="E49" i="36" s="1"/>
  <c r="G49" i="12"/>
  <c r="G47" i="12"/>
  <c r="M47" i="12"/>
  <c r="E47" i="36" s="1"/>
  <c r="D59" i="32"/>
  <c r="D61" i="32" s="1"/>
  <c r="L61" i="8"/>
  <c r="N24" i="24"/>
  <c r="E60" i="24"/>
  <c r="G60" i="36" s="1"/>
  <c r="L76" i="12"/>
  <c r="D76" i="36" s="1"/>
  <c r="H76" i="36" s="1"/>
  <c r="F76" i="12"/>
  <c r="E56" i="31"/>
  <c r="G54" i="43"/>
  <c r="F14" i="5"/>
  <c r="G651" i="44"/>
  <c r="I91" i="31"/>
  <c r="H16" i="15"/>
  <c r="L11" i="15"/>
  <c r="F11" i="15"/>
  <c r="F16" i="15" s="1"/>
  <c r="AD82" i="23"/>
  <c r="AB643" i="44" s="1"/>
  <c r="E27" i="27"/>
  <c r="E42" i="31"/>
  <c r="E43" i="31" s="1"/>
  <c r="G40" i="43"/>
  <c r="L24" i="18"/>
  <c r="D19" i="42"/>
  <c r="I20" i="42"/>
  <c r="G20" i="5"/>
  <c r="R646" i="44"/>
  <c r="T91" i="25"/>
  <c r="G39" i="5"/>
  <c r="I39" i="5" s="1"/>
  <c r="M87" i="15"/>
  <c r="E87" i="39" s="1"/>
  <c r="E87" i="37"/>
  <c r="I87" i="37" s="1"/>
  <c r="E24" i="31"/>
  <c r="G19" i="43"/>
  <c r="F82" i="25"/>
  <c r="F91" i="25" s="1"/>
  <c r="F11" i="43"/>
  <c r="D16" i="31"/>
  <c r="F11" i="38"/>
  <c r="D16" i="26"/>
  <c r="H11" i="33"/>
  <c r="F16" i="33"/>
  <c r="G51" i="5"/>
  <c r="I51" i="5" s="1"/>
  <c r="F82" i="16"/>
  <c r="F91" i="16" s="1"/>
  <c r="M82" i="22"/>
  <c r="K644" i="44" s="1"/>
  <c r="G24" i="17"/>
  <c r="L79" i="12"/>
  <c r="D79" i="36" s="1"/>
  <c r="H79" i="36" s="1"/>
  <c r="F79" i="12"/>
  <c r="H72" i="24"/>
  <c r="D70" i="24"/>
  <c r="R16" i="24"/>
  <c r="M61" i="9"/>
  <c r="E60" i="33"/>
  <c r="D49" i="24"/>
  <c r="F49" i="36" s="1"/>
  <c r="AE36" i="24"/>
  <c r="E54" i="24"/>
  <c r="L42" i="18"/>
  <c r="L43" i="18" s="1"/>
  <c r="D40" i="42"/>
  <c r="AD36" i="27"/>
  <c r="E33" i="43"/>
  <c r="M36" i="19"/>
  <c r="G12" i="15"/>
  <c r="M12" i="15"/>
  <c r="E12" i="39" s="1"/>
  <c r="G23" i="5"/>
  <c r="I23" i="5" s="1"/>
  <c r="F11" i="35"/>
  <c r="D16" i="23"/>
  <c r="D24" i="31"/>
  <c r="F19" i="43"/>
  <c r="N646" i="44"/>
  <c r="P91" i="25"/>
  <c r="D65" i="27"/>
  <c r="F65" i="39" s="1"/>
  <c r="H65" i="39" s="1"/>
  <c r="H66" i="27"/>
  <c r="E29" i="25"/>
  <c r="G27" i="37"/>
  <c r="AA24" i="27"/>
  <c r="I55" i="40"/>
  <c r="G56" i="40"/>
  <c r="J72" i="27"/>
  <c r="L29" i="10"/>
  <c r="D27" i="34"/>
  <c r="D29" i="34" s="1"/>
  <c r="D29" i="22"/>
  <c r="F27" i="34"/>
  <c r="H79" i="34"/>
  <c r="D24" i="22"/>
  <c r="F19" i="34"/>
  <c r="E36" i="20"/>
  <c r="G32" i="32"/>
  <c r="Z72" i="24"/>
  <c r="M87" i="12"/>
  <c r="E87" i="36" s="1"/>
  <c r="E87" i="33"/>
  <c r="I24" i="12"/>
  <c r="G19" i="12"/>
  <c r="M19" i="12"/>
  <c r="G60" i="12"/>
  <c r="M60" i="12"/>
  <c r="E60" i="36" s="1"/>
  <c r="L87" i="12"/>
  <c r="D87" i="36" s="1"/>
  <c r="H87" i="36" s="1"/>
  <c r="D87" i="33"/>
  <c r="H87" i="33" s="1"/>
  <c r="F82" i="21"/>
  <c r="F91" i="21" s="1"/>
  <c r="E42" i="23"/>
  <c r="E43" i="23" s="1"/>
  <c r="G40" i="35"/>
  <c r="E72" i="23"/>
  <c r="G70" i="35"/>
  <c r="D47" i="5"/>
  <c r="I651" i="44"/>
  <c r="K91" i="31"/>
  <c r="P646" i="44"/>
  <c r="R91" i="25"/>
  <c r="G23" i="15"/>
  <c r="M23" i="15"/>
  <c r="E23" i="39" s="1"/>
  <c r="G71" i="15"/>
  <c r="M71" i="15"/>
  <c r="E71" i="39" s="1"/>
  <c r="O82" i="25"/>
  <c r="G54" i="37"/>
  <c r="E56" i="25"/>
  <c r="M86" i="15"/>
  <c r="M89" i="13"/>
  <c r="B18" i="4" s="1"/>
  <c r="D18" i="4" s="1"/>
  <c r="E86" i="37"/>
  <c r="E89" i="37" s="1"/>
  <c r="M36" i="14"/>
  <c r="D28" i="27"/>
  <c r="F28" i="39" s="1"/>
  <c r="H28" i="39" s="1"/>
  <c r="E72" i="26"/>
  <c r="G70" i="38"/>
  <c r="F59" i="15"/>
  <c r="F61" i="15" s="1"/>
  <c r="L59" i="15"/>
  <c r="H61" i="15"/>
  <c r="F42" i="37"/>
  <c r="F43" i="37" s="1"/>
  <c r="E45" i="27"/>
  <c r="G45" i="39" s="1"/>
  <c r="I45" i="39" s="1"/>
  <c r="D66" i="28"/>
  <c r="F64" i="40"/>
  <c r="E29" i="42"/>
  <c r="AC82" i="27"/>
  <c r="F36" i="38"/>
  <c r="F54" i="38"/>
  <c r="D56" i="26"/>
  <c r="L61" i="10"/>
  <c r="M36" i="10"/>
  <c r="I82" i="22"/>
  <c r="G644" i="44" s="1"/>
  <c r="M16" i="10"/>
  <c r="E56" i="22"/>
  <c r="G54" i="34"/>
  <c r="L82" i="29"/>
  <c r="J640" i="44" s="1"/>
  <c r="D56" i="29"/>
  <c r="F54" i="41"/>
  <c r="I33" i="32"/>
  <c r="E66" i="29"/>
  <c r="G64" i="41"/>
  <c r="H32" i="32"/>
  <c r="F36" i="32"/>
  <c r="D24" i="29"/>
  <c r="F19" i="41"/>
  <c r="H73" i="32"/>
  <c r="E24" i="29"/>
  <c r="G19" i="41"/>
  <c r="I27" i="32"/>
  <c r="L71" i="12"/>
  <c r="D71" i="36" s="1"/>
  <c r="F71" i="12"/>
  <c r="F16" i="9"/>
  <c r="F82" i="9" s="1"/>
  <c r="F91" i="9" s="1"/>
  <c r="F45" i="12"/>
  <c r="L45" i="12"/>
  <c r="D45" i="36" s="1"/>
  <c r="F89" i="12"/>
  <c r="W29" i="24"/>
  <c r="W82" i="24" s="1"/>
  <c r="Y72" i="24"/>
  <c r="E76" i="24"/>
  <c r="G76" i="36" s="1"/>
  <c r="F82" i="24"/>
  <c r="F91" i="24" s="1"/>
  <c r="G45" i="12"/>
  <c r="M45" i="12"/>
  <c r="E45" i="36" s="1"/>
  <c r="H16" i="24"/>
  <c r="D11" i="24"/>
  <c r="P24" i="24"/>
  <c r="D39" i="24"/>
  <c r="F39" i="36" s="1"/>
  <c r="H39" i="36" s="1"/>
  <c r="X43" i="24"/>
  <c r="G89" i="9"/>
  <c r="M36" i="24"/>
  <c r="U42" i="24"/>
  <c r="U43" i="24" s="1"/>
  <c r="D64" i="24"/>
  <c r="M22" i="12"/>
  <c r="E22" i="36" s="1"/>
  <c r="G22" i="12"/>
  <c r="L64" i="12"/>
  <c r="H66" i="12"/>
  <c r="F64" i="12"/>
  <c r="F66" i="12" s="1"/>
  <c r="M11" i="12"/>
  <c r="G11" i="12"/>
  <c r="I16" i="12"/>
  <c r="T24" i="24"/>
  <c r="E42" i="21"/>
  <c r="E43" i="21" s="1"/>
  <c r="G40" i="33"/>
  <c r="M27" i="12"/>
  <c r="I29" i="12"/>
  <c r="G27" i="12"/>
  <c r="G29" i="12" s="1"/>
  <c r="G74" i="12"/>
  <c r="M74" i="12"/>
  <c r="E74" i="36" s="1"/>
  <c r="P42" i="24"/>
  <c r="P43" i="24" s="1"/>
  <c r="AE61" i="24"/>
  <c r="K16" i="24"/>
  <c r="M28" i="12"/>
  <c r="E28" i="36" s="1"/>
  <c r="G28" i="12"/>
  <c r="N82" i="21"/>
  <c r="AB82" i="21"/>
  <c r="K24" i="24"/>
  <c r="E45" i="24"/>
  <c r="G45" i="36" s="1"/>
  <c r="E56" i="21"/>
  <c r="G54" i="33"/>
  <c r="M36" i="9"/>
  <c r="E33" i="33"/>
  <c r="E36" i="33" s="1"/>
  <c r="I14" i="35"/>
  <c r="X36" i="24"/>
  <c r="H651" i="44"/>
  <c r="J91" i="31"/>
  <c r="F14" i="12"/>
  <c r="L14" i="12"/>
  <c r="D14" i="36" s="1"/>
  <c r="H86" i="33"/>
  <c r="H89" i="33" s="1"/>
  <c r="F89" i="33"/>
  <c r="AB651" i="44"/>
  <c r="AD91" i="31"/>
  <c r="H81" i="43"/>
  <c r="G14" i="12"/>
  <c r="M14" i="12"/>
  <c r="E14" i="36" s="1"/>
  <c r="L36" i="9"/>
  <c r="D32" i="33"/>
  <c r="D36" i="33" s="1"/>
  <c r="E22" i="24"/>
  <c r="G22" i="36" s="1"/>
  <c r="I22" i="36" s="1"/>
  <c r="G24" i="42"/>
  <c r="I19" i="42"/>
  <c r="H66" i="24"/>
  <c r="H74" i="43"/>
  <c r="F74" i="5"/>
  <c r="U29" i="24"/>
  <c r="I20" i="43"/>
  <c r="E20" i="5"/>
  <c r="J651" i="44"/>
  <c r="L91" i="31"/>
  <c r="E45" i="5"/>
  <c r="E55" i="27"/>
  <c r="G55" i="39" s="1"/>
  <c r="G89" i="24"/>
  <c r="M42" i="18"/>
  <c r="M43" i="18" s="1"/>
  <c r="E40" i="42"/>
  <c r="G75" i="5"/>
  <c r="I75" i="5" s="1"/>
  <c r="I29" i="15"/>
  <c r="M27" i="15"/>
  <c r="G27" i="15"/>
  <c r="G79" i="15"/>
  <c r="M79" i="15"/>
  <c r="E79" i="39" s="1"/>
  <c r="D56" i="23"/>
  <c r="E27" i="43"/>
  <c r="E29" i="43" s="1"/>
  <c r="M29" i="19"/>
  <c r="F23" i="15"/>
  <c r="L23" i="15"/>
  <c r="D23" i="39" s="1"/>
  <c r="AB29" i="24"/>
  <c r="J36" i="24"/>
  <c r="I76" i="35"/>
  <c r="R651" i="44"/>
  <c r="T91" i="31"/>
  <c r="I45" i="42"/>
  <c r="E74" i="24"/>
  <c r="G74" i="36" s="1"/>
  <c r="I74" i="36" s="1"/>
  <c r="D72" i="26"/>
  <c r="F70" i="38"/>
  <c r="M78" i="12"/>
  <c r="E78" i="36" s="1"/>
  <c r="I78" i="36" s="1"/>
  <c r="G78" i="12"/>
  <c r="G49" i="15"/>
  <c r="M49" i="15"/>
  <c r="E49" i="39" s="1"/>
  <c r="G73" i="15"/>
  <c r="M73" i="15"/>
  <c r="E73" i="39" s="1"/>
  <c r="S82" i="27"/>
  <c r="D64" i="38"/>
  <c r="D66" i="38" s="1"/>
  <c r="L66" i="14"/>
  <c r="D22" i="5"/>
  <c r="E29" i="30"/>
  <c r="G27" i="42"/>
  <c r="E76" i="5"/>
  <c r="I64" i="42"/>
  <c r="I66" i="42" s="1"/>
  <c r="G66" i="42"/>
  <c r="F74" i="15"/>
  <c r="L74" i="15"/>
  <c r="D74" i="39" s="1"/>
  <c r="H77" i="39"/>
  <c r="D40" i="37"/>
  <c r="D42" i="37" s="1"/>
  <c r="D43" i="37" s="1"/>
  <c r="L42" i="13"/>
  <c r="L43" i="13" s="1"/>
  <c r="Q24" i="27"/>
  <c r="L36" i="16"/>
  <c r="I79" i="42"/>
  <c r="H78" i="43"/>
  <c r="F78" i="5"/>
  <c r="H78" i="5" s="1"/>
  <c r="G81" i="15"/>
  <c r="M81" i="15"/>
  <c r="E81" i="39" s="1"/>
  <c r="I81" i="39" s="1"/>
  <c r="I56" i="27"/>
  <c r="E54" i="27"/>
  <c r="D59" i="27"/>
  <c r="H61" i="27"/>
  <c r="M16" i="14"/>
  <c r="D86" i="43"/>
  <c r="L89" i="19"/>
  <c r="L56" i="9"/>
  <c r="D54" i="33"/>
  <c r="D56" i="33" s="1"/>
  <c r="M24" i="13"/>
  <c r="E19" i="37"/>
  <c r="E24" i="37" s="1"/>
  <c r="I89" i="15"/>
  <c r="Z42" i="27"/>
  <c r="Z43" i="27" s="1"/>
  <c r="M29" i="11"/>
  <c r="E27" i="35"/>
  <c r="E29" i="35" s="1"/>
  <c r="D80" i="5"/>
  <c r="G86" i="39"/>
  <c r="L87" i="15"/>
  <c r="D87" i="39" s="1"/>
  <c r="D87" i="37"/>
  <c r="D89" i="37" s="1"/>
  <c r="D36" i="25"/>
  <c r="F32" i="37"/>
  <c r="Y66" i="27"/>
  <c r="E40" i="38"/>
  <c r="E42" i="38" s="1"/>
  <c r="E43" i="38" s="1"/>
  <c r="M42" i="14"/>
  <c r="M43" i="14" s="1"/>
  <c r="D61" i="31"/>
  <c r="F59" i="43"/>
  <c r="I49" i="42"/>
  <c r="F47" i="15"/>
  <c r="L47" i="15"/>
  <c r="D47" i="39" s="1"/>
  <c r="H47" i="39" s="1"/>
  <c r="AA36" i="27"/>
  <c r="E36" i="38"/>
  <c r="I32" i="38"/>
  <c r="E29" i="23"/>
  <c r="L16" i="13"/>
  <c r="D15" i="27"/>
  <c r="F15" i="39" s="1"/>
  <c r="H15" i="39" s="1"/>
  <c r="E36" i="23"/>
  <c r="G32" i="35"/>
  <c r="H13" i="37"/>
  <c r="M61" i="27"/>
  <c r="G16" i="26"/>
  <c r="G82" i="26" s="1"/>
  <c r="F17" i="4" s="1"/>
  <c r="E65" i="40"/>
  <c r="M66" i="16"/>
  <c r="E16" i="25"/>
  <c r="G11" i="37"/>
  <c r="D19" i="40"/>
  <c r="D24" i="40" s="1"/>
  <c r="L24" i="16"/>
  <c r="K82" i="28"/>
  <c r="I649" i="44" s="1"/>
  <c r="D39" i="27"/>
  <c r="F39" i="39" s="1"/>
  <c r="G33" i="38"/>
  <c r="E36" i="26"/>
  <c r="D70" i="39"/>
  <c r="L72" i="15"/>
  <c r="F64" i="38"/>
  <c r="D66" i="26"/>
  <c r="D59" i="37"/>
  <c r="D61" i="37" s="1"/>
  <c r="L61" i="13"/>
  <c r="L36" i="14"/>
  <c r="H49" i="37"/>
  <c r="AA82" i="26"/>
  <c r="Y647" i="44" s="1"/>
  <c r="I28" i="43"/>
  <c r="G28" i="5"/>
  <c r="I28" i="5" s="1"/>
  <c r="D27" i="27"/>
  <c r="AC82" i="26"/>
  <c r="AA647" i="44" s="1"/>
  <c r="I14" i="42"/>
  <c r="G14" i="5"/>
  <c r="I14" i="5" s="1"/>
  <c r="M36" i="13"/>
  <c r="E32" i="37"/>
  <c r="E36" i="37" s="1"/>
  <c r="H77" i="40"/>
  <c r="M29" i="18"/>
  <c r="G80" i="15"/>
  <c r="M80" i="15"/>
  <c r="E80" i="39" s="1"/>
  <c r="I80" i="39" s="1"/>
  <c r="AC82" i="25"/>
  <c r="G89" i="37"/>
  <c r="E24" i="26"/>
  <c r="G19" i="38"/>
  <c r="F24" i="16"/>
  <c r="H23" i="40"/>
  <c r="H34" i="38"/>
  <c r="G11" i="40"/>
  <c r="E16" i="28"/>
  <c r="E36" i="25"/>
  <c r="I47" i="40"/>
  <c r="G82" i="10"/>
  <c r="G27" i="34"/>
  <c r="E29" i="22"/>
  <c r="D24" i="20"/>
  <c r="F19" i="32"/>
  <c r="E16" i="32"/>
  <c r="G59" i="41"/>
  <c r="E61" i="29"/>
  <c r="L23" i="12"/>
  <c r="D23" i="36" s="1"/>
  <c r="H23" i="36" s="1"/>
  <c r="F23" i="12"/>
  <c r="F20" i="12"/>
  <c r="L20" i="12"/>
  <c r="D20" i="36" s="1"/>
  <c r="G73" i="12"/>
  <c r="M73" i="12"/>
  <c r="E73" i="36" s="1"/>
  <c r="D12" i="33"/>
  <c r="D16" i="33" s="1"/>
  <c r="L16" i="9"/>
  <c r="L82" i="9" s="1"/>
  <c r="L91" i="9" s="1"/>
  <c r="D24" i="21"/>
  <c r="F19" i="33"/>
  <c r="G55" i="12"/>
  <c r="M55" i="12"/>
  <c r="E55" i="36" s="1"/>
  <c r="L61" i="9"/>
  <c r="D59" i="33"/>
  <c r="D61" i="33" s="1"/>
  <c r="AB642" i="44"/>
  <c r="AD91" i="21"/>
  <c r="I82" i="19"/>
  <c r="I91" i="19" s="1"/>
  <c r="V82" i="23"/>
  <c r="T643" i="44" s="1"/>
  <c r="H74" i="39"/>
  <c r="E15" i="5"/>
  <c r="F42" i="35"/>
  <c r="F43" i="35" s="1"/>
  <c r="G41" i="15"/>
  <c r="M41" i="15"/>
  <c r="E41" i="39" s="1"/>
  <c r="I41" i="39"/>
  <c r="E66" i="25"/>
  <c r="G64" i="37"/>
  <c r="H39" i="5"/>
  <c r="E89" i="21"/>
  <c r="C15" i="4" s="1"/>
  <c r="G87" i="33"/>
  <c r="D66" i="22"/>
  <c r="F64" i="34"/>
  <c r="I82" i="29"/>
  <c r="G640" i="44" s="1"/>
  <c r="F41" i="12"/>
  <c r="L41" i="12"/>
  <c r="D41" i="36" s="1"/>
  <c r="H41" i="36" s="1"/>
  <c r="D21" i="24"/>
  <c r="F21" i="36" s="1"/>
  <c r="H21" i="36" s="1"/>
  <c r="E19" i="24"/>
  <c r="I24" i="24"/>
  <c r="M77" i="12"/>
  <c r="E77" i="36" s="1"/>
  <c r="I77" i="36" s="1"/>
  <c r="G77" i="12"/>
  <c r="AD16" i="24"/>
  <c r="AD82" i="24" s="1"/>
  <c r="E70" i="24"/>
  <c r="F27" i="35"/>
  <c r="D29" i="23"/>
  <c r="G59" i="35"/>
  <c r="E61" i="23"/>
  <c r="D59" i="35"/>
  <c r="D61" i="35" s="1"/>
  <c r="L61" i="11"/>
  <c r="G65" i="15"/>
  <c r="M65" i="15"/>
  <c r="E65" i="39" s="1"/>
  <c r="I65" i="39" s="1"/>
  <c r="L35" i="15"/>
  <c r="D35" i="39" s="1"/>
  <c r="F35" i="15"/>
  <c r="I20" i="35"/>
  <c r="F22" i="15"/>
  <c r="L22" i="15"/>
  <c r="D22" i="39" s="1"/>
  <c r="G74" i="15"/>
  <c r="M74" i="15"/>
  <c r="E74" i="39" s="1"/>
  <c r="H45" i="38"/>
  <c r="T82" i="27"/>
  <c r="L89" i="15"/>
  <c r="D86" i="39"/>
  <c r="D89" i="39" s="1"/>
  <c r="M36" i="16"/>
  <c r="M82" i="16" s="1"/>
  <c r="E32" i="40"/>
  <c r="E36" i="40" s="1"/>
  <c r="E64" i="38"/>
  <c r="E66" i="38" s="1"/>
  <c r="M66" i="14"/>
  <c r="F60" i="15"/>
  <c r="L60" i="15"/>
  <c r="D60" i="39" s="1"/>
  <c r="I87" i="36"/>
  <c r="U82" i="25"/>
  <c r="Q82" i="27"/>
  <c r="L72" i="10"/>
  <c r="D70" i="34"/>
  <c r="D72" i="34" s="1"/>
  <c r="E24" i="22"/>
  <c r="G19" i="34"/>
  <c r="E54" i="32"/>
  <c r="E56" i="32" s="1"/>
  <c r="M56" i="8"/>
  <c r="D82" i="12"/>
  <c r="D91" i="12" s="1"/>
  <c r="E24" i="20"/>
  <c r="G19" i="32"/>
  <c r="G36" i="8"/>
  <c r="L35" i="12"/>
  <c r="D35" i="36" s="1"/>
  <c r="F35" i="12"/>
  <c r="D82" i="32"/>
  <c r="AB36" i="24"/>
  <c r="AC24" i="24"/>
  <c r="M89" i="12"/>
  <c r="E86" i="36"/>
  <c r="E89" i="36" s="1"/>
  <c r="AE82" i="21"/>
  <c r="U24" i="24"/>
  <c r="U82" i="24" s="1"/>
  <c r="AC82" i="21"/>
  <c r="I70" i="43"/>
  <c r="G72" i="43"/>
  <c r="I79" i="43"/>
  <c r="G70" i="15"/>
  <c r="I72" i="15"/>
  <c r="M70" i="15"/>
  <c r="E59" i="35"/>
  <c r="E61" i="35" s="1"/>
  <c r="M61" i="11"/>
  <c r="I60" i="43"/>
  <c r="G60" i="5"/>
  <c r="E24" i="23"/>
  <c r="G19" i="35"/>
  <c r="D12" i="27"/>
  <c r="F12" i="39" s="1"/>
  <c r="Z646" i="44"/>
  <c r="AB91" i="25"/>
  <c r="F66" i="35"/>
  <c r="H64" i="35"/>
  <c r="H66" i="35" s="1"/>
  <c r="F51" i="5"/>
  <c r="H51" i="5" s="1"/>
  <c r="G59" i="37"/>
  <c r="E61" i="25"/>
  <c r="E66" i="42"/>
  <c r="L72" i="16"/>
  <c r="R42" i="24"/>
  <c r="R43" i="24" s="1"/>
  <c r="D42" i="25"/>
  <c r="D43" i="25" s="1"/>
  <c r="G54" i="38"/>
  <c r="E56" i="26"/>
  <c r="F36" i="14"/>
  <c r="F82" i="14" s="1"/>
  <c r="F82" i="20"/>
  <c r="F59" i="34"/>
  <c r="D61" i="22"/>
  <c r="L56" i="8"/>
  <c r="F60" i="12"/>
  <c r="L60" i="12"/>
  <c r="D60" i="36" s="1"/>
  <c r="F89" i="9"/>
  <c r="M35" i="12"/>
  <c r="E35" i="36" s="1"/>
  <c r="G35" i="12"/>
  <c r="E23" i="24"/>
  <c r="G23" i="36" s="1"/>
  <c r="I23" i="36" s="1"/>
  <c r="L66" i="9"/>
  <c r="D64" i="33"/>
  <c r="D66" i="33" s="1"/>
  <c r="Z29" i="24"/>
  <c r="AA24" i="24"/>
  <c r="K82" i="21"/>
  <c r="G28" i="32"/>
  <c r="E29" i="20"/>
  <c r="T16" i="24"/>
  <c r="T82" i="24" s="1"/>
  <c r="AC16" i="24"/>
  <c r="AC82" i="24" s="1"/>
  <c r="E28" i="24"/>
  <c r="G28" i="36" s="1"/>
  <c r="D87" i="5"/>
  <c r="D66" i="31"/>
  <c r="F64" i="43"/>
  <c r="E20" i="35"/>
  <c r="E24" i="35" s="1"/>
  <c r="M24" i="11"/>
  <c r="G61" i="11"/>
  <c r="D21" i="43"/>
  <c r="L24" i="19"/>
  <c r="E11" i="42"/>
  <c r="M16" i="18"/>
  <c r="H24" i="15"/>
  <c r="F19" i="15"/>
  <c r="L19" i="15"/>
  <c r="G89" i="27"/>
  <c r="G91" i="27" s="1"/>
  <c r="E87" i="27"/>
  <c r="G87" i="39" s="1"/>
  <c r="I87" i="39" s="1"/>
  <c r="G65" i="5"/>
  <c r="F80" i="15"/>
  <c r="L80" i="15"/>
  <c r="D80" i="39" s="1"/>
  <c r="F34" i="5"/>
  <c r="H34" i="5" s="1"/>
  <c r="E16" i="38"/>
  <c r="D33" i="27"/>
  <c r="F33" i="39" s="1"/>
  <c r="H33" i="39" s="1"/>
  <c r="G49" i="5"/>
  <c r="I49" i="5" s="1"/>
  <c r="F82" i="28"/>
  <c r="H36" i="27"/>
  <c r="L24" i="27"/>
  <c r="G82" i="30"/>
  <c r="F20" i="4" s="1"/>
  <c r="D65" i="5"/>
  <c r="F43" i="10"/>
  <c r="G11" i="34"/>
  <c r="E16" i="22"/>
  <c r="F82" i="22"/>
  <c r="L16" i="10"/>
  <c r="D12" i="34"/>
  <c r="D16" i="34" s="1"/>
  <c r="H22" i="34"/>
  <c r="D16" i="22"/>
  <c r="F11" i="34"/>
  <c r="G59" i="34"/>
  <c r="E61" i="22"/>
  <c r="E66" i="22"/>
  <c r="G64" i="34"/>
  <c r="D36" i="29"/>
  <c r="F32" i="41"/>
  <c r="L16" i="17"/>
  <c r="L82" i="17" s="1"/>
  <c r="E72" i="22"/>
  <c r="G70" i="34"/>
  <c r="E36" i="29"/>
  <c r="G32" i="41"/>
  <c r="H39" i="34"/>
  <c r="I45" i="32"/>
  <c r="G45" i="5"/>
  <c r="I45" i="5" s="1"/>
  <c r="H34" i="32"/>
  <c r="D29" i="29"/>
  <c r="F27" i="41"/>
  <c r="D36" i="20"/>
  <c r="L24" i="8"/>
  <c r="L82" i="8" s="1"/>
  <c r="D19" i="32"/>
  <c r="D24" i="32" s="1"/>
  <c r="I23" i="32"/>
  <c r="E64" i="32"/>
  <c r="E66" i="32" s="1"/>
  <c r="M66" i="8"/>
  <c r="E42" i="29"/>
  <c r="E43" i="29" s="1"/>
  <c r="G40" i="41"/>
  <c r="F80" i="12"/>
  <c r="L80" i="12"/>
  <c r="D80" i="36" s="1"/>
  <c r="H80" i="36" s="1"/>
  <c r="G13" i="12"/>
  <c r="M13" i="12"/>
  <c r="E13" i="36" s="1"/>
  <c r="M59" i="12"/>
  <c r="I61" i="12"/>
  <c r="G59" i="12"/>
  <c r="G61" i="12" s="1"/>
  <c r="G11" i="33"/>
  <c r="M51" i="12"/>
  <c r="E51" i="36" s="1"/>
  <c r="G51" i="12"/>
  <c r="P16" i="24"/>
  <c r="P82" i="24" s="1"/>
  <c r="X24" i="24"/>
  <c r="I16" i="24"/>
  <c r="E21" i="24"/>
  <c r="G21" i="36" s="1"/>
  <c r="I21" i="36" s="1"/>
  <c r="U36" i="24"/>
  <c r="L28" i="12"/>
  <c r="D28" i="36" s="1"/>
  <c r="H28" i="36" s="1"/>
  <c r="F28" i="12"/>
  <c r="G71" i="12"/>
  <c r="M71" i="12"/>
  <c r="E71" i="36" s="1"/>
  <c r="I71" i="36" s="1"/>
  <c r="R24" i="24"/>
  <c r="D77" i="24"/>
  <c r="F77" i="36" s="1"/>
  <c r="H77" i="36" s="1"/>
  <c r="G29" i="9"/>
  <c r="G82" i="9" s="1"/>
  <c r="G91" i="9" s="1"/>
  <c r="E66" i="21"/>
  <c r="G64" i="33"/>
  <c r="M64" i="12"/>
  <c r="I66" i="12"/>
  <c r="G64" i="12"/>
  <c r="G66" i="12" s="1"/>
  <c r="O42" i="24"/>
  <c r="O43" i="24" s="1"/>
  <c r="N61" i="24"/>
  <c r="E24" i="21"/>
  <c r="G19" i="33"/>
  <c r="H55" i="32"/>
  <c r="S82" i="21"/>
  <c r="AD24" i="24"/>
  <c r="H13" i="33"/>
  <c r="N16" i="24"/>
  <c r="E32" i="24"/>
  <c r="I36" i="24"/>
  <c r="AB16" i="24"/>
  <c r="M33" i="12"/>
  <c r="E33" i="36" s="1"/>
  <c r="I33" i="36" s="1"/>
  <c r="G33" i="12"/>
  <c r="E36" i="21"/>
  <c r="G32" i="33"/>
  <c r="F45" i="5"/>
  <c r="H45" i="43"/>
  <c r="F24" i="19"/>
  <c r="E16" i="35"/>
  <c r="Y651" i="44"/>
  <c r="AA91" i="31"/>
  <c r="L24" i="9"/>
  <c r="E73" i="24"/>
  <c r="G73" i="36" s="1"/>
  <c r="I73" i="36" s="1"/>
  <c r="E24" i="30"/>
  <c r="I80" i="35"/>
  <c r="G35" i="5"/>
  <c r="I35" i="5" s="1"/>
  <c r="D24" i="23"/>
  <c r="F19" i="35"/>
  <c r="S651" i="44"/>
  <c r="U91" i="31"/>
  <c r="F12" i="15"/>
  <c r="L12" i="15"/>
  <c r="D12" i="39" s="1"/>
  <c r="E89" i="24"/>
  <c r="G86" i="36"/>
  <c r="H41" i="35"/>
  <c r="G34" i="15"/>
  <c r="M34" i="15"/>
  <c r="E34" i="39" s="1"/>
  <c r="I34" i="39" s="1"/>
  <c r="O36" i="27"/>
  <c r="E13" i="5"/>
  <c r="I13" i="42"/>
  <c r="E81" i="5"/>
  <c r="L33" i="15"/>
  <c r="D33" i="39" s="1"/>
  <c r="F33" i="15"/>
  <c r="F651" i="44"/>
  <c r="H91" i="31"/>
  <c r="F73" i="15"/>
  <c r="L73" i="15"/>
  <c r="D73" i="39" s="1"/>
  <c r="H73" i="39" s="1"/>
  <c r="F49" i="15"/>
  <c r="L49" i="15"/>
  <c r="D49" i="39" s="1"/>
  <c r="H49" i="39" s="1"/>
  <c r="Z82" i="25"/>
  <c r="D61" i="25"/>
  <c r="F59" i="37"/>
  <c r="H21" i="33"/>
  <c r="AA56" i="24"/>
  <c r="G13" i="5"/>
  <c r="I13" i="5" s="1"/>
  <c r="G13" i="15"/>
  <c r="M13" i="15"/>
  <c r="E13" i="39" s="1"/>
  <c r="F28" i="15"/>
  <c r="L28" i="15"/>
  <c r="D28" i="39" s="1"/>
  <c r="AA82" i="25"/>
  <c r="F70" i="37"/>
  <c r="D72" i="25"/>
  <c r="G73" i="5"/>
  <c r="I73" i="5" s="1"/>
  <c r="I73" i="43"/>
  <c r="D11" i="5"/>
  <c r="E59" i="37"/>
  <c r="E61" i="37" s="1"/>
  <c r="M61" i="13"/>
  <c r="H72" i="27"/>
  <c r="D70" i="27"/>
  <c r="G56" i="20"/>
  <c r="E55" i="20"/>
  <c r="G55" i="32" s="1"/>
  <c r="I55" i="32" s="1"/>
  <c r="G21" i="5"/>
  <c r="I21" i="5" s="1"/>
  <c r="G89" i="13"/>
  <c r="G86" i="15"/>
  <c r="G89" i="15" s="1"/>
  <c r="H87" i="5"/>
  <c r="G28" i="15"/>
  <c r="M28" i="15"/>
  <c r="E28" i="39" s="1"/>
  <c r="D54" i="27"/>
  <c r="J56" i="27"/>
  <c r="L54" i="12"/>
  <c r="H56" i="12"/>
  <c r="F54" i="12"/>
  <c r="E12" i="23"/>
  <c r="G12" i="35" s="1"/>
  <c r="I12" i="35" s="1"/>
  <c r="G16" i="23"/>
  <c r="G82" i="23" s="1"/>
  <c r="I49" i="37"/>
  <c r="F89" i="27"/>
  <c r="D87" i="27"/>
  <c r="F87" i="39" s="1"/>
  <c r="H87" i="39" s="1"/>
  <c r="D36" i="23"/>
  <c r="F32" i="35"/>
  <c r="D82" i="6"/>
  <c r="F80" i="5"/>
  <c r="F87" i="15"/>
  <c r="F89" i="15" s="1"/>
  <c r="F89" i="13"/>
  <c r="R24" i="27"/>
  <c r="R82" i="27" s="1"/>
  <c r="I21" i="37"/>
  <c r="D29" i="25"/>
  <c r="D82" i="25" s="1"/>
  <c r="D91" i="25" s="1"/>
  <c r="F27" i="37"/>
  <c r="I71" i="37"/>
  <c r="F55" i="5"/>
  <c r="H55" i="5" s="1"/>
  <c r="H55" i="42"/>
  <c r="I74" i="37"/>
  <c r="G29" i="35"/>
  <c r="D16" i="37"/>
  <c r="D82" i="37" s="1"/>
  <c r="D91" i="37" s="1"/>
  <c r="H86" i="37"/>
  <c r="F89" i="37"/>
  <c r="E66" i="31"/>
  <c r="E71" i="27"/>
  <c r="G71" i="39" s="1"/>
  <c r="F41" i="15"/>
  <c r="L41" i="15"/>
  <c r="D41" i="39" s="1"/>
  <c r="D13" i="27"/>
  <c r="F13" i="39" s="1"/>
  <c r="H13" i="39" s="1"/>
  <c r="X82" i="25"/>
  <c r="W16" i="27"/>
  <c r="D66" i="30"/>
  <c r="F65" i="42"/>
  <c r="I16" i="27"/>
  <c r="I82" i="27" s="1"/>
  <c r="V82" i="25"/>
  <c r="H20" i="38"/>
  <c r="H14" i="40"/>
  <c r="F70" i="43"/>
  <c r="D72" i="31"/>
  <c r="W29" i="27"/>
  <c r="F78" i="15"/>
  <c r="L78" i="15"/>
  <c r="D78" i="39" s="1"/>
  <c r="H78" i="39" s="1"/>
  <c r="F59" i="35"/>
  <c r="D61" i="23"/>
  <c r="D36" i="38"/>
  <c r="D82" i="38" s="1"/>
  <c r="F55" i="15"/>
  <c r="L55" i="15"/>
  <c r="D55" i="39" s="1"/>
  <c r="D24" i="28"/>
  <c r="I60" i="40"/>
  <c r="F23" i="5"/>
  <c r="H23" i="5" s="1"/>
  <c r="G36" i="13"/>
  <c r="G80" i="5"/>
  <c r="I80" i="5" s="1"/>
  <c r="H18" i="4"/>
  <c r="H11" i="37"/>
  <c r="D56" i="28"/>
  <c r="F54" i="40"/>
  <c r="G82" i="28"/>
  <c r="F19" i="4" s="1"/>
  <c r="I32" i="37"/>
  <c r="G36" i="37"/>
  <c r="D61" i="28"/>
  <c r="L24" i="10"/>
  <c r="D20" i="34"/>
  <c r="D24" i="34" s="1"/>
  <c r="M36" i="8"/>
  <c r="E32" i="32"/>
  <c r="F73" i="12"/>
  <c r="L73" i="12"/>
  <c r="D73" i="36" s="1"/>
  <c r="H73" i="36" s="1"/>
  <c r="I39" i="36"/>
  <c r="L29" i="9"/>
  <c r="D27" i="33"/>
  <c r="D29" i="33" s="1"/>
  <c r="Y42" i="24"/>
  <c r="Y43" i="24" s="1"/>
  <c r="Y82" i="24" s="1"/>
  <c r="E89" i="33"/>
  <c r="J642" i="44"/>
  <c r="L91" i="21"/>
  <c r="H65" i="36"/>
  <c r="E16" i="7"/>
  <c r="E82" i="7" s="1"/>
  <c r="E94" i="7"/>
  <c r="E96" i="7" s="1"/>
  <c r="G16" i="11"/>
  <c r="H28" i="43"/>
  <c r="F28" i="5"/>
  <c r="H28" i="5" s="1"/>
  <c r="G55" i="15"/>
  <c r="M55" i="15"/>
  <c r="E55" i="39" s="1"/>
  <c r="I47" i="5"/>
  <c r="L13" i="15"/>
  <c r="D13" i="39" s="1"/>
  <c r="F13" i="15"/>
  <c r="F39" i="15"/>
  <c r="L39" i="15"/>
  <c r="D39" i="39" s="1"/>
  <c r="G78" i="15"/>
  <c r="M78" i="15"/>
  <c r="E78" i="39" s="1"/>
  <c r="L82" i="27"/>
  <c r="G41" i="5"/>
  <c r="I41" i="5" s="1"/>
  <c r="I41" i="42"/>
  <c r="F49" i="5"/>
  <c r="H49" i="5" s="1"/>
  <c r="G60" i="15"/>
  <c r="M60" i="15"/>
  <c r="E60" i="39" s="1"/>
  <c r="M33" i="15"/>
  <c r="E33" i="39" s="1"/>
  <c r="G33" i="15"/>
  <c r="G40" i="15"/>
  <c r="G42" i="15" s="1"/>
  <c r="G43" i="15" s="1"/>
  <c r="I42" i="15"/>
  <c r="I43" i="15" s="1"/>
  <c r="M40" i="15"/>
  <c r="U646" i="44"/>
  <c r="W91" i="25"/>
  <c r="P82" i="27"/>
  <c r="E36" i="28"/>
  <c r="G32" i="40"/>
  <c r="D12" i="5"/>
  <c r="F11" i="32"/>
  <c r="D16" i="20"/>
  <c r="E66" i="20"/>
  <c r="G64" i="32"/>
  <c r="G32" i="12"/>
  <c r="I36" i="12"/>
  <c r="M32" i="12"/>
  <c r="M76" i="12"/>
  <c r="E76" i="36" s="1"/>
  <c r="G76" i="12"/>
  <c r="AB43" i="24"/>
  <c r="E13" i="24"/>
  <c r="G13" i="36" s="1"/>
  <c r="M12" i="12"/>
  <c r="E12" i="36" s="1"/>
  <c r="G12" i="12"/>
  <c r="E14" i="24"/>
  <c r="G14" i="36" s="1"/>
  <c r="I14" i="36" s="1"/>
  <c r="G642" i="44"/>
  <c r="I91" i="21"/>
  <c r="E64" i="43"/>
  <c r="E66" i="43" s="1"/>
  <c r="M66" i="19"/>
  <c r="D32" i="24"/>
  <c r="H36" i="24"/>
  <c r="H82" i="18"/>
  <c r="H35" i="39"/>
  <c r="M16" i="19"/>
  <c r="E11" i="43"/>
  <c r="E16" i="43" s="1"/>
  <c r="J82" i="25"/>
  <c r="H45" i="36"/>
  <c r="D29" i="31"/>
  <c r="F71" i="15"/>
  <c r="L71" i="15"/>
  <c r="D71" i="39" s="1"/>
  <c r="F27" i="42"/>
  <c r="D29" i="30"/>
  <c r="F70" i="12"/>
  <c r="F72" i="12" s="1"/>
  <c r="H72" i="12"/>
  <c r="L70" i="12"/>
  <c r="I73" i="39"/>
  <c r="F646" i="44"/>
  <c r="H91" i="25"/>
  <c r="G82" i="25"/>
  <c r="H21" i="43"/>
  <c r="F21" i="5"/>
  <c r="H19" i="37"/>
  <c r="F24" i="37"/>
  <c r="M40" i="12"/>
  <c r="I42" i="12"/>
  <c r="I43" i="12" s="1"/>
  <c r="G40" i="12"/>
  <c r="G42" i="12" s="1"/>
  <c r="F56" i="37"/>
  <c r="H54" i="37"/>
  <c r="H56" i="37" s="1"/>
  <c r="T82" i="20"/>
  <c r="R641" i="44" s="1"/>
  <c r="G70" i="32"/>
  <c r="E72" i="20"/>
  <c r="D55" i="24"/>
  <c r="F55" i="36" s="1"/>
  <c r="G79" i="12"/>
  <c r="M79" i="12"/>
  <c r="E79" i="36" s="1"/>
  <c r="I79" i="36" s="1"/>
  <c r="H29" i="24"/>
  <c r="D27" i="24"/>
  <c r="M15" i="12"/>
  <c r="E15" i="36" s="1"/>
  <c r="G15" i="12"/>
  <c r="W72" i="24"/>
  <c r="O61" i="24"/>
  <c r="F13" i="12"/>
  <c r="L13" i="12"/>
  <c r="D13" i="36" s="1"/>
  <c r="H13" i="36" s="1"/>
  <c r="L81" i="12"/>
  <c r="D81" i="36" s="1"/>
  <c r="H81" i="36" s="1"/>
  <c r="F81" i="12"/>
  <c r="D42" i="31"/>
  <c r="D43" i="31" s="1"/>
  <c r="F40" i="43"/>
  <c r="M21" i="12"/>
  <c r="E21" i="36" s="1"/>
  <c r="G21" i="12"/>
  <c r="V642" i="44"/>
  <c r="X91" i="21"/>
  <c r="L36" i="19"/>
  <c r="L82" i="19" s="1"/>
  <c r="L91" i="19" s="1"/>
  <c r="D32" i="43"/>
  <c r="F75" i="5"/>
  <c r="H75" i="5" s="1"/>
  <c r="D36" i="42"/>
  <c r="D34" i="5"/>
  <c r="F15" i="15"/>
  <c r="L15" i="15"/>
  <c r="D15" i="39" s="1"/>
  <c r="G54" i="35"/>
  <c r="E56" i="23"/>
  <c r="AD42" i="27"/>
  <c r="AD43" i="27" s="1"/>
  <c r="AD82" i="27" s="1"/>
  <c r="G74" i="5"/>
  <c r="I74" i="5" s="1"/>
  <c r="AC66" i="27"/>
  <c r="G77" i="5"/>
  <c r="I77" i="5" s="1"/>
  <c r="D36" i="37"/>
  <c r="D16" i="21"/>
  <c r="F81" i="15"/>
  <c r="L81" i="15"/>
  <c r="D81" i="39" s="1"/>
  <c r="H81" i="39" s="1"/>
  <c r="D32" i="27"/>
  <c r="F64" i="37"/>
  <c r="D66" i="25"/>
  <c r="H81" i="34"/>
  <c r="K82" i="29"/>
  <c r="I640" i="44" s="1"/>
  <c r="AB82" i="20"/>
  <c r="Z641" i="44" s="1"/>
  <c r="D72" i="20"/>
  <c r="F70" i="32"/>
  <c r="D45" i="5"/>
  <c r="D19" i="24"/>
  <c r="H24" i="24"/>
  <c r="G82" i="24"/>
  <c r="M42" i="24"/>
  <c r="M43" i="24" s="1"/>
  <c r="AE72" i="24"/>
  <c r="D42" i="21"/>
  <c r="D43" i="21" s="1"/>
  <c r="F40" i="33"/>
  <c r="W61" i="24"/>
  <c r="D11" i="36"/>
  <c r="L33" i="12"/>
  <c r="D33" i="36" s="1"/>
  <c r="F33" i="12"/>
  <c r="I60" i="33"/>
  <c r="I61" i="24"/>
  <c r="I78" i="33"/>
  <c r="E29" i="31"/>
  <c r="G27" i="43"/>
  <c r="E33" i="27"/>
  <c r="G33" i="39" s="1"/>
  <c r="M20" i="15"/>
  <c r="E20" i="39" s="1"/>
  <c r="G20" i="15"/>
  <c r="H54" i="35"/>
  <c r="H56" i="35" s="1"/>
  <c r="F56" i="35"/>
  <c r="I74" i="33"/>
  <c r="D74" i="5"/>
  <c r="H74" i="42"/>
  <c r="E16" i="23"/>
  <c r="G11" i="35"/>
  <c r="E56" i="30"/>
  <c r="G54" i="42"/>
  <c r="J24" i="27"/>
  <c r="I16" i="15"/>
  <c r="M11" i="15"/>
  <c r="G11" i="15"/>
  <c r="G22" i="15"/>
  <c r="M22" i="15"/>
  <c r="E22" i="39" s="1"/>
  <c r="I22" i="39" s="1"/>
  <c r="F59" i="38"/>
  <c r="D61" i="26"/>
  <c r="I82" i="16"/>
  <c r="I91" i="16" s="1"/>
  <c r="E70" i="38"/>
  <c r="E72" i="38" s="1"/>
  <c r="M72" i="14"/>
  <c r="H65" i="38"/>
  <c r="M14" i="15"/>
  <c r="E14" i="39" s="1"/>
  <c r="I14" i="39" s="1"/>
  <c r="G14" i="15"/>
  <c r="H22" i="39"/>
  <c r="H12" i="34"/>
  <c r="F36" i="10"/>
  <c r="F82" i="10" s="1"/>
  <c r="H75" i="34"/>
  <c r="D66" i="29"/>
  <c r="F64" i="41"/>
  <c r="E16" i="29"/>
  <c r="G11" i="41"/>
  <c r="G70" i="41"/>
  <c r="E72" i="29"/>
  <c r="F40" i="34"/>
  <c r="D42" i="22"/>
  <c r="D43" i="22" s="1"/>
  <c r="H82" i="29"/>
  <c r="F640" i="44" s="1"/>
  <c r="I82" i="8"/>
  <c r="F82" i="29"/>
  <c r="F27" i="32"/>
  <c r="D29" i="20"/>
  <c r="E19" i="32"/>
  <c r="E24" i="32" s="1"/>
  <c r="M24" i="8"/>
  <c r="E61" i="20"/>
  <c r="G59" i="32"/>
  <c r="E56" i="29"/>
  <c r="D42" i="29"/>
  <c r="D43" i="29" s="1"/>
  <c r="F40" i="41"/>
  <c r="D66" i="20"/>
  <c r="F64" i="32"/>
  <c r="L15" i="12"/>
  <c r="D15" i="36" s="1"/>
  <c r="H15" i="36" s="1"/>
  <c r="F15" i="12"/>
  <c r="H82" i="9"/>
  <c r="H91" i="9" s="1"/>
  <c r="L65" i="12"/>
  <c r="D65" i="36" s="1"/>
  <c r="F65" i="12"/>
  <c r="O16" i="24"/>
  <c r="K36" i="24"/>
  <c r="P61" i="24"/>
  <c r="F61" i="32"/>
  <c r="H59" i="32"/>
  <c r="H61" i="32" s="1"/>
  <c r="X16" i="24"/>
  <c r="D47" i="24"/>
  <c r="F47" i="36" s="1"/>
  <c r="L49" i="12"/>
  <c r="D49" i="36" s="1"/>
  <c r="F49" i="12"/>
  <c r="Q16" i="24"/>
  <c r="E15" i="24"/>
  <c r="G15" i="36" s="1"/>
  <c r="I29" i="24"/>
  <c r="E41" i="24"/>
  <c r="G41" i="36" s="1"/>
  <c r="I41" i="36" s="1"/>
  <c r="E51" i="24"/>
  <c r="G51" i="36" s="1"/>
  <c r="I51" i="36" s="1"/>
  <c r="L36" i="8"/>
  <c r="G75" i="12"/>
  <c r="M75" i="12"/>
  <c r="E75" i="36" s="1"/>
  <c r="I75" i="36" s="1"/>
  <c r="Z24" i="24"/>
  <c r="Z82" i="24" s="1"/>
  <c r="N42" i="24"/>
  <c r="N43" i="24" s="1"/>
  <c r="K61" i="24"/>
  <c r="G81" i="12"/>
  <c r="M81" i="12"/>
  <c r="E81" i="36" s="1"/>
  <c r="D56" i="21"/>
  <c r="F54" i="33"/>
  <c r="I66" i="24"/>
  <c r="E64" i="24"/>
  <c r="L27" i="12"/>
  <c r="H29" i="12"/>
  <c r="F27" i="12"/>
  <c r="F29" i="12" s="1"/>
  <c r="AB24" i="24"/>
  <c r="W43" i="24"/>
  <c r="G27" i="41"/>
  <c r="E29" i="29"/>
  <c r="M29" i="9"/>
  <c r="E27" i="33"/>
  <c r="E29" i="33" s="1"/>
  <c r="I77" i="33"/>
  <c r="L40" i="12"/>
  <c r="H42" i="12"/>
  <c r="H43" i="12" s="1"/>
  <c r="F40" i="12"/>
  <c r="F42" i="12" s="1"/>
  <c r="F43" i="12" s="1"/>
  <c r="S16" i="24"/>
  <c r="D34" i="24"/>
  <c r="F34" i="36" s="1"/>
  <c r="E40" i="24"/>
  <c r="I42" i="24"/>
  <c r="I43" i="24" s="1"/>
  <c r="E49" i="24"/>
  <c r="G49" i="36" s="1"/>
  <c r="I49" i="36" s="1"/>
  <c r="E56" i="20"/>
  <c r="G54" i="32"/>
  <c r="E54" i="33"/>
  <c r="E56" i="33" s="1"/>
  <c r="M56" i="9"/>
  <c r="E24" i="33"/>
  <c r="V82" i="21"/>
  <c r="Q36" i="24"/>
  <c r="I14" i="33"/>
  <c r="E34" i="24"/>
  <c r="G34" i="36" s="1"/>
  <c r="I34" i="36" s="1"/>
  <c r="O56" i="24"/>
  <c r="D29" i="43"/>
  <c r="H27" i="43"/>
  <c r="H29" i="43" s="1"/>
  <c r="M82" i="21"/>
  <c r="I76" i="43"/>
  <c r="G76" i="5"/>
  <c r="I76" i="5" s="1"/>
  <c r="D36" i="31"/>
  <c r="F32" i="43"/>
  <c r="M16" i="11"/>
  <c r="E56" i="42"/>
  <c r="G36" i="42"/>
  <c r="I32" i="42"/>
  <c r="G32" i="5"/>
  <c r="D24" i="33"/>
  <c r="F32" i="12"/>
  <c r="H36" i="12"/>
  <c r="L32" i="12"/>
  <c r="D28" i="5"/>
  <c r="H20" i="33"/>
  <c r="I82" i="23"/>
  <c r="D77" i="5"/>
  <c r="H56" i="24"/>
  <c r="D33" i="5"/>
  <c r="G82" i="18"/>
  <c r="L20" i="15"/>
  <c r="D20" i="39" s="1"/>
  <c r="H20" i="39" s="1"/>
  <c r="F20" i="15"/>
  <c r="F89" i="36"/>
  <c r="H82" i="19"/>
  <c r="H91" i="19" s="1"/>
  <c r="E19" i="5"/>
  <c r="E24" i="42"/>
  <c r="L56" i="18"/>
  <c r="D54" i="42"/>
  <c r="G78" i="5"/>
  <c r="I13" i="39"/>
  <c r="G39" i="15"/>
  <c r="M39" i="15"/>
  <c r="E39" i="39" s="1"/>
  <c r="I39" i="39" s="1"/>
  <c r="W36" i="27"/>
  <c r="D23" i="5"/>
  <c r="M80" i="12"/>
  <c r="E80" i="36" s="1"/>
  <c r="G80" i="12"/>
  <c r="R36" i="24"/>
  <c r="F82" i="23"/>
  <c r="H33" i="43"/>
  <c r="F33" i="5"/>
  <c r="H33" i="5" s="1"/>
  <c r="H82" i="13"/>
  <c r="H91" i="13" s="1"/>
  <c r="F54" i="15"/>
  <c r="F56" i="15" s="1"/>
  <c r="H56" i="15"/>
  <c r="L54" i="15"/>
  <c r="I80" i="37"/>
  <c r="D43" i="38"/>
  <c r="F47" i="5"/>
  <c r="H47" i="5" s="1"/>
  <c r="G54" i="15"/>
  <c r="I56" i="15"/>
  <c r="M54" i="15"/>
  <c r="G76" i="15"/>
  <c r="M76" i="15"/>
  <c r="E76" i="39" s="1"/>
  <c r="I76" i="39" s="1"/>
  <c r="AA16" i="27"/>
  <c r="H35" i="37"/>
  <c r="I34" i="42"/>
  <c r="G34" i="5"/>
  <c r="I34" i="5" s="1"/>
  <c r="AC29" i="24"/>
  <c r="H13" i="35"/>
  <c r="D24" i="30"/>
  <c r="F19" i="42"/>
  <c r="D16" i="42"/>
  <c r="G59" i="15"/>
  <c r="G61" i="15" s="1"/>
  <c r="I61" i="15"/>
  <c r="M59" i="15"/>
  <c r="D24" i="26"/>
  <c r="F19" i="38"/>
  <c r="F77" i="5"/>
  <c r="D42" i="30"/>
  <c r="D43" i="30" s="1"/>
  <c r="F41" i="42"/>
  <c r="G15" i="5"/>
  <c r="I15" i="5" s="1"/>
  <c r="I81" i="37"/>
  <c r="H87" i="43"/>
  <c r="E40" i="27"/>
  <c r="E32" i="27"/>
  <c r="G40" i="37"/>
  <c r="E42" i="25"/>
  <c r="E43" i="25" s="1"/>
  <c r="R56" i="27"/>
  <c r="L72" i="9"/>
  <c r="D70" i="33"/>
  <c r="L61" i="19"/>
  <c r="D59" i="43"/>
  <c r="D61" i="43" s="1"/>
  <c r="E12" i="24"/>
  <c r="G12" i="36" s="1"/>
  <c r="I12" i="36" s="1"/>
  <c r="G24" i="13"/>
  <c r="E28" i="27"/>
  <c r="G28" i="39" s="1"/>
  <c r="I28" i="39" s="1"/>
  <c r="E49" i="27"/>
  <c r="G49" i="39" s="1"/>
  <c r="H87" i="37"/>
  <c r="E60" i="27"/>
  <c r="G60" i="39" s="1"/>
  <c r="I60" i="39" s="1"/>
  <c r="M24" i="27"/>
  <c r="J82" i="21"/>
  <c r="G22" i="5"/>
  <c r="H12" i="42"/>
  <c r="D89" i="25"/>
  <c r="I64" i="43"/>
  <c r="I66" i="43" s="1"/>
  <c r="G66" i="43"/>
  <c r="W82" i="26"/>
  <c r="U647" i="44" s="1"/>
  <c r="I82" i="25"/>
  <c r="D72" i="40"/>
  <c r="L82" i="28"/>
  <c r="J649" i="44" s="1"/>
  <c r="H28" i="37"/>
  <c r="F72" i="33"/>
  <c r="F72" i="15"/>
  <c r="D16" i="28"/>
  <c r="D82" i="28" s="1"/>
  <c r="F11" i="40"/>
  <c r="O29" i="27"/>
  <c r="F24" i="40"/>
  <c r="E20" i="27"/>
  <c r="G20" i="39" s="1"/>
  <c r="I20" i="39" s="1"/>
  <c r="G33" i="5"/>
  <c r="D24" i="37"/>
  <c r="H16" i="27"/>
  <c r="D11" i="27"/>
  <c r="H23" i="42"/>
  <c r="I36" i="15"/>
  <c r="M32" i="15"/>
  <c r="G32" i="15"/>
  <c r="I82" i="26"/>
  <c r="G647" i="44" s="1"/>
  <c r="E40" i="33"/>
  <c r="E42" i="33" s="1"/>
  <c r="E43" i="33" s="1"/>
  <c r="M42" i="9"/>
  <c r="M43" i="9" s="1"/>
  <c r="I80" i="42"/>
  <c r="O24" i="27"/>
  <c r="O82" i="27" s="1"/>
  <c r="E22" i="40"/>
  <c r="M24" i="16"/>
  <c r="F16" i="37"/>
  <c r="I35" i="37"/>
  <c r="I64" i="40"/>
  <c r="I66" i="40" s="1"/>
  <c r="G66" i="40"/>
  <c r="F61" i="40"/>
  <c r="H59" i="40"/>
  <c r="H61" i="40" s="1"/>
  <c r="D56" i="20"/>
  <c r="F54" i="32"/>
  <c r="AA16" i="24"/>
  <c r="I80" i="36"/>
  <c r="U82" i="21"/>
  <c r="E54" i="43"/>
  <c r="E56" i="43" s="1"/>
  <c r="M56" i="19"/>
  <c r="L21" i="12"/>
  <c r="D21" i="36" s="1"/>
  <c r="F21" i="12"/>
  <c r="M24" i="19"/>
  <c r="E19" i="43"/>
  <c r="E24" i="43" s="1"/>
  <c r="F34" i="15"/>
  <c r="L34" i="15"/>
  <c r="D34" i="39" s="1"/>
  <c r="H34" i="39" s="1"/>
  <c r="H16" i="42"/>
  <c r="U642" i="44"/>
  <c r="W91" i="21"/>
  <c r="U651" i="44"/>
  <c r="W91" i="31"/>
  <c r="M72" i="9"/>
  <c r="E70" i="33"/>
  <c r="G64" i="15"/>
  <c r="G66" i="15" s="1"/>
  <c r="I66" i="15"/>
  <c r="M64" i="15"/>
  <c r="H80" i="39"/>
  <c r="E59" i="42"/>
  <c r="M61" i="18"/>
  <c r="M16" i="13"/>
  <c r="M82" i="13" s="1"/>
  <c r="E11" i="37"/>
  <c r="E16" i="37" s="1"/>
  <c r="R82" i="21"/>
  <c r="F71" i="42"/>
  <c r="D72" i="30"/>
  <c r="E61" i="28"/>
  <c r="G59" i="40"/>
  <c r="G40" i="34"/>
  <c r="E42" i="22"/>
  <c r="E43" i="22" s="1"/>
  <c r="D56" i="32"/>
  <c r="G20" i="12"/>
  <c r="M20" i="12"/>
  <c r="E20" i="36" s="1"/>
  <c r="L12" i="12"/>
  <c r="D12" i="36" s="1"/>
  <c r="H12" i="36" s="1"/>
  <c r="F12" i="12"/>
  <c r="F16" i="12" s="1"/>
  <c r="J82" i="24"/>
  <c r="M39" i="12"/>
  <c r="E39" i="36" s="1"/>
  <c r="G39" i="12"/>
  <c r="O72" i="24"/>
  <c r="L82" i="24"/>
  <c r="D60" i="24"/>
  <c r="F60" i="36" s="1"/>
  <c r="H60" i="36" s="1"/>
  <c r="E21" i="5"/>
  <c r="AA651" i="44"/>
  <c r="AC91" i="31"/>
  <c r="E12" i="21"/>
  <c r="G12" i="33" s="1"/>
  <c r="G16" i="21"/>
  <c r="G82" i="21" s="1"/>
  <c r="G27" i="33"/>
  <c r="E29" i="21"/>
  <c r="G61" i="33"/>
  <c r="I59" i="33"/>
  <c r="G59" i="39"/>
  <c r="Y29" i="27"/>
  <c r="Y82" i="27" s="1"/>
  <c r="M21" i="15"/>
  <c r="E21" i="39" s="1"/>
  <c r="I21" i="39" s="1"/>
  <c r="G21" i="15"/>
  <c r="G59" i="42"/>
  <c r="E61" i="30"/>
  <c r="M24" i="14"/>
  <c r="E19" i="38"/>
  <c r="E24" i="38" s="1"/>
  <c r="D60" i="27"/>
  <c r="F60" i="39" s="1"/>
  <c r="H60" i="39" s="1"/>
  <c r="E12" i="27"/>
  <c r="G12" i="39" s="1"/>
  <c r="I12" i="39" s="1"/>
  <c r="F66" i="15"/>
  <c r="H71" i="40"/>
  <c r="H60" i="37"/>
  <c r="I65" i="40"/>
  <c r="G19" i="37"/>
  <c r="E24" i="25"/>
  <c r="H12" i="38"/>
  <c r="E82" i="12"/>
  <c r="E91" i="12" s="1"/>
  <c r="L51" i="12"/>
  <c r="D51" i="36" s="1"/>
  <c r="H51" i="36" s="1"/>
  <c r="F51" i="12"/>
  <c r="AE24" i="24"/>
  <c r="M23" i="12"/>
  <c r="E23" i="36" s="1"/>
  <c r="G23" i="12"/>
  <c r="D42" i="20"/>
  <c r="D43" i="20" s="1"/>
  <c r="F40" i="32"/>
  <c r="F55" i="12"/>
  <c r="L55" i="12"/>
  <c r="D55" i="36" s="1"/>
  <c r="D40" i="24"/>
  <c r="H42" i="24"/>
  <c r="H43" i="24" s="1"/>
  <c r="L59" i="12"/>
  <c r="H61" i="12"/>
  <c r="F59" i="12"/>
  <c r="F61" i="12" s="1"/>
  <c r="T82" i="21"/>
  <c r="D36" i="21"/>
  <c r="F32" i="33"/>
  <c r="I72" i="24"/>
  <c r="E42" i="30"/>
  <c r="E43" i="30" s="1"/>
  <c r="V651" i="44"/>
  <c r="X91" i="31"/>
  <c r="J82" i="27"/>
  <c r="E11" i="27"/>
  <c r="K16" i="27"/>
  <c r="K82" i="27" s="1"/>
  <c r="F77" i="15"/>
  <c r="L77" i="15"/>
  <c r="D77" i="39" s="1"/>
  <c r="H55" i="39"/>
  <c r="G88" i="5"/>
  <c r="I88" i="5" s="1"/>
  <c r="G82" i="13"/>
  <c r="G91" i="13" s="1"/>
  <c r="G70" i="37"/>
  <c r="G70" i="5" s="1"/>
  <c r="E72" i="25"/>
  <c r="Z82" i="21"/>
  <c r="AC29" i="27"/>
  <c r="F76" i="5"/>
  <c r="H76" i="5" s="1"/>
  <c r="L56" i="14"/>
  <c r="D54" i="38"/>
  <c r="D56" i="38" s="1"/>
  <c r="E11" i="20"/>
  <c r="G16" i="20"/>
  <c r="G82" i="20" s="1"/>
  <c r="F11" i="4" s="1"/>
  <c r="F27" i="40"/>
  <c r="D29" i="28"/>
  <c r="H36" i="38"/>
  <c r="D61" i="34"/>
  <c r="D60" i="5"/>
  <c r="H20" i="34"/>
  <c r="E78" i="5"/>
  <c r="E11" i="24"/>
  <c r="L22" i="12"/>
  <c r="D22" i="36" s="1"/>
  <c r="H22" i="36" s="1"/>
  <c r="F22" i="12"/>
  <c r="D59" i="24"/>
  <c r="L77" i="12"/>
  <c r="D77" i="36" s="1"/>
  <c r="F77" i="12"/>
  <c r="I82" i="9"/>
  <c r="I91" i="9" s="1"/>
  <c r="V24" i="24"/>
  <c r="F47" i="12"/>
  <c r="L47" i="12"/>
  <c r="D47" i="36" s="1"/>
  <c r="Y82" i="31"/>
  <c r="D70" i="35"/>
  <c r="D72" i="35" s="1"/>
  <c r="L72" i="11"/>
  <c r="P36" i="24"/>
  <c r="D40" i="35"/>
  <c r="D42" i="35" s="1"/>
  <c r="D43" i="35" s="1"/>
  <c r="D82" i="35" s="1"/>
  <c r="L42" i="11"/>
  <c r="L43" i="11" s="1"/>
  <c r="L82" i="11" s="1"/>
  <c r="M29" i="24"/>
  <c r="L66" i="19"/>
  <c r="D64" i="43"/>
  <c r="G75" i="15"/>
  <c r="M75" i="15"/>
  <c r="E75" i="39" s="1"/>
  <c r="I75" i="39" s="1"/>
  <c r="G32" i="43"/>
  <c r="E36" i="31"/>
  <c r="G70" i="12"/>
  <c r="G72" i="12" s="1"/>
  <c r="I72" i="12"/>
  <c r="M70" i="12"/>
  <c r="F13" i="5"/>
  <c r="H13" i="5" s="1"/>
  <c r="F21" i="15"/>
  <c r="L21" i="15"/>
  <c r="D21" i="39" s="1"/>
  <c r="H21" i="39" s="1"/>
  <c r="G59" i="38"/>
  <c r="E61" i="26"/>
  <c r="S82" i="25"/>
  <c r="G64" i="35"/>
  <c r="E66" i="23"/>
  <c r="F35" i="5"/>
  <c r="H35" i="5" s="1"/>
  <c r="F40" i="15"/>
  <c r="H42" i="15"/>
  <c r="H43" i="15" s="1"/>
  <c r="L40" i="15"/>
  <c r="H21" i="37"/>
  <c r="L61" i="18"/>
  <c r="D59" i="42"/>
  <c r="G35" i="15"/>
  <c r="M35" i="15"/>
  <c r="E35" i="39" s="1"/>
  <c r="I35" i="39" s="1"/>
  <c r="D56" i="31"/>
  <c r="F54" i="43"/>
  <c r="L36" i="13"/>
  <c r="G11" i="38"/>
  <c r="E16" i="26"/>
  <c r="E82" i="26" s="1"/>
  <c r="C17" i="4" s="1"/>
  <c r="N82" i="25"/>
  <c r="P24" i="27"/>
  <c r="H14" i="34"/>
  <c r="D36" i="22"/>
  <c r="F32" i="34"/>
  <c r="E19" i="34"/>
  <c r="E24" i="34" s="1"/>
  <c r="E82" i="34" s="1"/>
  <c r="M24" i="10"/>
  <c r="I82" i="10"/>
  <c r="L36" i="10"/>
  <c r="D32" i="34"/>
  <c r="D36" i="34" s="1"/>
  <c r="H51" i="34"/>
  <c r="M43" i="17"/>
  <c r="M82" i="17" s="1"/>
  <c r="B23" i="4" s="1"/>
  <c r="G16" i="17"/>
  <c r="G82" i="17" s="1"/>
  <c r="D72" i="22"/>
  <c r="F70" i="34"/>
  <c r="I33" i="34"/>
  <c r="I36" i="34" s="1"/>
  <c r="I73" i="34"/>
  <c r="J82" i="29"/>
  <c r="H640" i="44" s="1"/>
  <c r="G82" i="29"/>
  <c r="F23" i="4" s="1"/>
  <c r="AA82" i="29"/>
  <c r="Y640" i="44" s="1"/>
  <c r="G82" i="8"/>
  <c r="F11" i="41"/>
  <c r="D16" i="29"/>
  <c r="I54" i="41"/>
  <c r="I56" i="41" s="1"/>
  <c r="G56" i="41"/>
  <c r="E59" i="32"/>
  <c r="E61" i="32" s="1"/>
  <c r="M61" i="8"/>
  <c r="F70" i="41"/>
  <c r="D72" i="29"/>
  <c r="M16" i="8"/>
  <c r="F54" i="34"/>
  <c r="D56" i="22"/>
  <c r="H24" i="12"/>
  <c r="H82" i="12" s="1"/>
  <c r="H91" i="12" s="1"/>
  <c r="F19" i="12"/>
  <c r="L19" i="12"/>
  <c r="D20" i="5"/>
  <c r="AE16" i="24"/>
  <c r="AE82" i="24" s="1"/>
  <c r="AA36" i="24"/>
  <c r="K42" i="24"/>
  <c r="K43" i="24" s="1"/>
  <c r="M65" i="12"/>
  <c r="E65" i="36" s="1"/>
  <c r="I65" i="36" s="1"/>
  <c r="G65" i="12"/>
  <c r="M56" i="24"/>
  <c r="S72" i="24"/>
  <c r="F59" i="41"/>
  <c r="D61" i="29"/>
  <c r="L34" i="12"/>
  <c r="D34" i="36" s="1"/>
  <c r="F34" i="12"/>
  <c r="L78" i="12"/>
  <c r="D78" i="36" s="1"/>
  <c r="H78" i="36" s="1"/>
  <c r="F78" i="12"/>
  <c r="N36" i="24"/>
  <c r="V42" i="24"/>
  <c r="V43" i="24" s="1"/>
  <c r="S61" i="24"/>
  <c r="M34" i="12"/>
  <c r="E34" i="36" s="1"/>
  <c r="G34" i="12"/>
  <c r="P56" i="24"/>
  <c r="F74" i="12"/>
  <c r="L74" i="12"/>
  <c r="D74" i="36" s="1"/>
  <c r="H74" i="36" s="1"/>
  <c r="P82" i="21"/>
  <c r="AE42" i="24"/>
  <c r="AE43" i="24" s="1"/>
  <c r="Y56" i="24"/>
  <c r="AD61" i="24"/>
  <c r="M24" i="24"/>
  <c r="Z56" i="24"/>
  <c r="X72" i="24"/>
  <c r="AA82" i="21"/>
  <c r="H34" i="33"/>
  <c r="Q42" i="24"/>
  <c r="Q43" i="24" s="1"/>
  <c r="M54" i="12"/>
  <c r="I56" i="12"/>
  <c r="G54" i="12"/>
  <c r="M24" i="9"/>
  <c r="M82" i="9" s="1"/>
  <c r="M91" i="9" s="1"/>
  <c r="V16" i="24"/>
  <c r="V82" i="24" s="1"/>
  <c r="O82" i="21"/>
  <c r="I47" i="33"/>
  <c r="L29" i="19"/>
  <c r="M16" i="24"/>
  <c r="O36" i="24"/>
  <c r="S29" i="24"/>
  <c r="L61" i="24"/>
  <c r="D66" i="21"/>
  <c r="F64" i="33"/>
  <c r="D54" i="43"/>
  <c r="D56" i="43" s="1"/>
  <c r="L56" i="19"/>
  <c r="H60" i="43"/>
  <c r="F60" i="5"/>
  <c r="H60" i="5" s="1"/>
  <c r="G24" i="19"/>
  <c r="G82" i="19" s="1"/>
  <c r="G91" i="19" s="1"/>
  <c r="F20" i="5"/>
  <c r="H20" i="5" s="1"/>
  <c r="H20" i="43"/>
  <c r="H77" i="33"/>
  <c r="E72" i="35"/>
  <c r="I82" i="11"/>
  <c r="D41" i="5"/>
  <c r="D54" i="24"/>
  <c r="D82" i="30"/>
  <c r="H29" i="15"/>
  <c r="L27" i="15"/>
  <c r="F27" i="15"/>
  <c r="F29" i="15" s="1"/>
  <c r="F61" i="11"/>
  <c r="F16" i="19"/>
  <c r="K651" i="44"/>
  <c r="M91" i="31"/>
  <c r="E82" i="30"/>
  <c r="C20" i="4" s="1"/>
  <c r="E19" i="27"/>
  <c r="G47" i="15"/>
  <c r="M47" i="15"/>
  <c r="E47" i="39" s="1"/>
  <c r="K29" i="27"/>
  <c r="AE36" i="27"/>
  <c r="F82" i="30"/>
  <c r="N82" i="23"/>
  <c r="L643" i="44" s="1"/>
  <c r="F82" i="27"/>
  <c r="V24" i="27"/>
  <c r="V82" i="27" s="1"/>
  <c r="F86" i="39"/>
  <c r="H27" i="33"/>
  <c r="H29" i="33" s="1"/>
  <c r="F29" i="33"/>
  <c r="F70" i="35"/>
  <c r="D72" i="23"/>
  <c r="H88" i="43"/>
  <c r="F88" i="5"/>
  <c r="H88" i="5" s="1"/>
  <c r="I72" i="42"/>
  <c r="G89" i="31"/>
  <c r="E86" i="31"/>
  <c r="M15" i="15"/>
  <c r="E15" i="39" s="1"/>
  <c r="I15" i="39" s="1"/>
  <c r="G15" i="15"/>
  <c r="H36" i="15"/>
  <c r="L32" i="15"/>
  <c r="F32" i="15"/>
  <c r="D24" i="38"/>
  <c r="F89" i="43"/>
  <c r="F86" i="5"/>
  <c r="F61" i="33"/>
  <c r="H59" i="33"/>
  <c r="H61" i="33" s="1"/>
  <c r="D40" i="43"/>
  <c r="D42" i="43" s="1"/>
  <c r="D43" i="43" s="1"/>
  <c r="L42" i="19"/>
  <c r="L43" i="19" s="1"/>
  <c r="F81" i="5"/>
  <c r="H81" i="5" s="1"/>
  <c r="L14" i="15"/>
  <c r="D14" i="39" s="1"/>
  <c r="H14" i="39" s="1"/>
  <c r="F14" i="15"/>
  <c r="J36" i="27"/>
  <c r="L16" i="14"/>
  <c r="L82" i="14" s="1"/>
  <c r="F27" i="38"/>
  <c r="D29" i="26"/>
  <c r="D42" i="23"/>
  <c r="D43" i="23" s="1"/>
  <c r="H77" i="43"/>
  <c r="G81" i="5"/>
  <c r="D64" i="27"/>
  <c r="D40" i="27"/>
  <c r="F45" i="15"/>
  <c r="L45" i="15"/>
  <c r="D45" i="39" s="1"/>
  <c r="H45" i="39" s="1"/>
  <c r="F15" i="5"/>
  <c r="H15" i="5" s="1"/>
  <c r="I24" i="15"/>
  <c r="G19" i="15"/>
  <c r="M19" i="15"/>
  <c r="L82" i="25"/>
  <c r="D19" i="27"/>
  <c r="H24" i="27"/>
  <c r="H82" i="14"/>
  <c r="E72" i="42"/>
  <c r="E70" i="27"/>
  <c r="D29" i="37"/>
  <c r="N16" i="27"/>
  <c r="Z24" i="27"/>
  <c r="Z82" i="27" s="1"/>
  <c r="N29" i="27"/>
  <c r="H34" i="42"/>
  <c r="H36" i="42" s="1"/>
  <c r="H88" i="37"/>
  <c r="G42" i="38"/>
  <c r="G43" i="38" s="1"/>
  <c r="D14" i="40"/>
  <c r="D16" i="40" s="1"/>
  <c r="L16" i="16"/>
  <c r="H12" i="43"/>
  <c r="F12" i="5"/>
  <c r="H12" i="5" s="1"/>
  <c r="I82" i="14"/>
  <c r="D64" i="39"/>
  <c r="D66" i="39" s="1"/>
  <c r="L66" i="15"/>
  <c r="M29" i="27"/>
  <c r="AE82" i="27"/>
  <c r="D36" i="28"/>
  <c r="F32" i="40"/>
  <c r="Y82" i="25"/>
  <c r="AD82" i="25"/>
  <c r="D36" i="26"/>
  <c r="AB82" i="28"/>
  <c r="Z649" i="44" s="1"/>
  <c r="D72" i="28"/>
  <c r="G64" i="38"/>
  <c r="E66" i="26"/>
  <c r="I71" i="43"/>
  <c r="G71" i="5"/>
  <c r="I71" i="5" s="1"/>
  <c r="E29" i="28"/>
  <c r="G27" i="40"/>
  <c r="G45" i="15"/>
  <c r="M45" i="15"/>
  <c r="E45" i="39" s="1"/>
  <c r="W24" i="27"/>
  <c r="M56" i="16"/>
  <c r="E54" i="40"/>
  <c r="E40" i="37"/>
  <c r="E42" i="37" s="1"/>
  <c r="E43" i="37" s="1"/>
  <c r="M42" i="13"/>
  <c r="M43" i="13" s="1"/>
  <c r="G77" i="15"/>
  <c r="M77" i="15"/>
  <c r="E77" i="39" s="1"/>
  <c r="G27" i="38"/>
  <c r="E29" i="26"/>
  <c r="L24" i="13"/>
  <c r="I14" i="37"/>
  <c r="AB24" i="27"/>
  <c r="AB82" i="27" s="1"/>
  <c r="H82" i="26"/>
  <c r="F647" i="44" s="1"/>
  <c r="G66" i="16"/>
  <c r="E72" i="28"/>
  <c r="G70" i="40"/>
  <c r="G59" i="43"/>
  <c r="E61" i="31"/>
  <c r="Q82" i="26"/>
  <c r="O647" i="44" s="1"/>
  <c r="L16" i="18"/>
  <c r="L82" i="18" s="1"/>
  <c r="F22" i="5"/>
  <c r="M16" i="27"/>
  <c r="M82" i="27" s="1"/>
  <c r="O82" i="26"/>
  <c r="M647" i="44" s="1"/>
  <c r="H40" i="38"/>
  <c r="H42" i="38" s="1"/>
  <c r="H43" i="38" s="1"/>
  <c r="F42" i="38"/>
  <c r="F43" i="38" s="1"/>
  <c r="G40" i="40"/>
  <c r="E42" i="28"/>
  <c r="E43" i="28" s="1"/>
  <c r="G19" i="40"/>
  <c r="E24" i="28"/>
  <c r="F42" i="40"/>
  <c r="F43" i="40" s="1"/>
  <c r="H41" i="40"/>
  <c r="H42" i="40" s="1"/>
  <c r="H43" i="40" s="1"/>
  <c r="E66" i="28"/>
  <c r="G72" i="5" l="1"/>
  <c r="AB648" i="44"/>
  <c r="AD91" i="27"/>
  <c r="Z648" i="44"/>
  <c r="AB91" i="27"/>
  <c r="X648" i="44"/>
  <c r="Z91" i="27"/>
  <c r="T648" i="44"/>
  <c r="V91" i="27"/>
  <c r="W645" i="44"/>
  <c r="Y91" i="24"/>
  <c r="S645" i="44"/>
  <c r="U91" i="24"/>
  <c r="E82" i="33"/>
  <c r="E91" i="33" s="1"/>
  <c r="E94" i="36" s="1"/>
  <c r="W648" i="44"/>
  <c r="Y91" i="27"/>
  <c r="P648" i="44"/>
  <c r="R91" i="27"/>
  <c r="M648" i="44"/>
  <c r="O91" i="27"/>
  <c r="X645" i="44"/>
  <c r="Z91" i="24"/>
  <c r="B19" i="4"/>
  <c r="M91" i="16"/>
  <c r="U645" i="44"/>
  <c r="W91" i="24"/>
  <c r="L646" i="44"/>
  <c r="N91" i="25"/>
  <c r="J645" i="44"/>
  <c r="L91" i="24"/>
  <c r="I82" i="15"/>
  <c r="I91" i="15" s="1"/>
  <c r="H64" i="37"/>
  <c r="H66" i="37" s="1"/>
  <c r="F66" i="37"/>
  <c r="L56" i="12"/>
  <c r="D54" i="36"/>
  <c r="D56" i="36" s="1"/>
  <c r="F16" i="34"/>
  <c r="H11" i="34"/>
  <c r="H16" i="34" s="1"/>
  <c r="L642" i="44"/>
  <c r="N91" i="21"/>
  <c r="F16" i="35"/>
  <c r="H11" i="35"/>
  <c r="H16" i="35" s="1"/>
  <c r="D24" i="27"/>
  <c r="F19" i="39"/>
  <c r="H70" i="34"/>
  <c r="H72" i="34" s="1"/>
  <c r="F72" i="34"/>
  <c r="G36" i="5"/>
  <c r="H40" i="34"/>
  <c r="H42" i="34" s="1"/>
  <c r="H43" i="34" s="1"/>
  <c r="F42" i="34"/>
  <c r="F43" i="34" s="1"/>
  <c r="D36" i="27"/>
  <c r="F32" i="39"/>
  <c r="G61" i="35"/>
  <c r="I59" i="35"/>
  <c r="I61" i="35" s="1"/>
  <c r="I27" i="34"/>
  <c r="I29" i="34" s="1"/>
  <c r="G29" i="34"/>
  <c r="F66" i="38"/>
  <c r="H64" i="38"/>
  <c r="H66" i="38" s="1"/>
  <c r="I19" i="43"/>
  <c r="I24" i="43" s="1"/>
  <c r="G24" i="43"/>
  <c r="G42" i="40"/>
  <c r="G43" i="40" s="1"/>
  <c r="I40" i="40"/>
  <c r="I42" i="40" s="1"/>
  <c r="I43" i="40" s="1"/>
  <c r="D66" i="27"/>
  <c r="F64" i="39"/>
  <c r="D56" i="24"/>
  <c r="F54" i="36"/>
  <c r="Q646" i="44"/>
  <c r="S91" i="25"/>
  <c r="G11" i="32"/>
  <c r="E16" i="20"/>
  <c r="E82" i="20" s="1"/>
  <c r="C11" i="4" s="1"/>
  <c r="G643" i="44"/>
  <c r="I84" i="24"/>
  <c r="F29" i="42"/>
  <c r="H27" i="42"/>
  <c r="H29" i="42" s="1"/>
  <c r="H82" i="42" s="1"/>
  <c r="F27" i="5"/>
  <c r="T646" i="44"/>
  <c r="V91" i="25"/>
  <c r="E24" i="24"/>
  <c r="G19" i="36"/>
  <c r="H32" i="37"/>
  <c r="H36" i="37" s="1"/>
  <c r="F36" i="37"/>
  <c r="D89" i="43"/>
  <c r="D86" i="5"/>
  <c r="D89" i="5" s="1"/>
  <c r="D19" i="5"/>
  <c r="D24" i="42"/>
  <c r="G29" i="36"/>
  <c r="AC648" i="44"/>
  <c r="AE91" i="27"/>
  <c r="E89" i="31"/>
  <c r="C22" i="4" s="1"/>
  <c r="G86" i="43"/>
  <c r="M82" i="24"/>
  <c r="G42" i="34"/>
  <c r="G43" i="34" s="1"/>
  <c r="I40" i="34"/>
  <c r="I42" i="34" s="1"/>
  <c r="I43" i="34" s="1"/>
  <c r="G36" i="15"/>
  <c r="T642" i="44"/>
  <c r="V91" i="21"/>
  <c r="Q82" i="24"/>
  <c r="I54" i="35"/>
  <c r="I56" i="35" s="1"/>
  <c r="G56" i="35"/>
  <c r="N648" i="44"/>
  <c r="P91" i="27"/>
  <c r="D72" i="27"/>
  <c r="F70" i="39"/>
  <c r="N645" i="44"/>
  <c r="P91" i="24"/>
  <c r="I28" i="32"/>
  <c r="G29" i="32"/>
  <c r="E64" i="5"/>
  <c r="G24" i="34"/>
  <c r="I19" i="34"/>
  <c r="I24" i="34" s="1"/>
  <c r="R648" i="44"/>
  <c r="T91" i="27"/>
  <c r="H27" i="35"/>
  <c r="H29" i="35" s="1"/>
  <c r="F29" i="35"/>
  <c r="D15" i="4"/>
  <c r="H15" i="4"/>
  <c r="E82" i="25"/>
  <c r="M82" i="14"/>
  <c r="B17" i="4" s="1"/>
  <c r="H74" i="5"/>
  <c r="I54" i="33"/>
  <c r="I56" i="33" s="1"/>
  <c r="G56" i="33"/>
  <c r="K82" i="24"/>
  <c r="G42" i="33"/>
  <c r="G43" i="33" s="1"/>
  <c r="I40" i="33"/>
  <c r="I42" i="33" s="1"/>
  <c r="I43" i="33" s="1"/>
  <c r="I76" i="36"/>
  <c r="H36" i="32"/>
  <c r="AA648" i="44"/>
  <c r="AC91" i="27"/>
  <c r="M24" i="12"/>
  <c r="E19" i="36"/>
  <c r="E24" i="36" s="1"/>
  <c r="H19" i="34"/>
  <c r="H24" i="34" s="1"/>
  <c r="F24" i="34"/>
  <c r="E55" i="5"/>
  <c r="E56" i="38"/>
  <c r="G66" i="39"/>
  <c r="I64" i="39"/>
  <c r="I66" i="39" s="1"/>
  <c r="G16" i="43"/>
  <c r="I11" i="43"/>
  <c r="I16" i="43" s="1"/>
  <c r="G11" i="5"/>
  <c r="I70" i="40"/>
  <c r="I72" i="40" s="1"/>
  <c r="G72" i="40"/>
  <c r="G29" i="38"/>
  <c r="I27" i="38"/>
  <c r="I29" i="38" s="1"/>
  <c r="G70" i="39"/>
  <c r="E72" i="27"/>
  <c r="G24" i="15"/>
  <c r="D14" i="5"/>
  <c r="H14" i="5" s="1"/>
  <c r="H86" i="43"/>
  <c r="H89" i="43" s="1"/>
  <c r="D89" i="27"/>
  <c r="F82" i="19"/>
  <c r="F91" i="19" s="1"/>
  <c r="M56" i="12"/>
  <c r="E54" i="36"/>
  <c r="E56" i="36" s="1"/>
  <c r="H59" i="41"/>
  <c r="H61" i="41" s="1"/>
  <c r="F61" i="41"/>
  <c r="F72" i="41"/>
  <c r="H70" i="41"/>
  <c r="H72" i="41" s="1"/>
  <c r="H54" i="43"/>
  <c r="H56" i="43" s="1"/>
  <c r="F54" i="5"/>
  <c r="F56" i="43"/>
  <c r="L42" i="15"/>
  <c r="L43" i="15" s="1"/>
  <c r="D40" i="39"/>
  <c r="D42" i="39" s="1"/>
  <c r="D43" i="39" s="1"/>
  <c r="G61" i="38"/>
  <c r="I59" i="38"/>
  <c r="I61" i="38" s="1"/>
  <c r="G36" i="43"/>
  <c r="I32" i="43"/>
  <c r="I36" i="43" s="1"/>
  <c r="G24" i="37"/>
  <c r="I19" i="37"/>
  <c r="I24" i="37" s="1"/>
  <c r="E61" i="27"/>
  <c r="H645" i="44"/>
  <c r="J91" i="24"/>
  <c r="G61" i="40"/>
  <c r="I59" i="40"/>
  <c r="I61" i="40" s="1"/>
  <c r="E61" i="42"/>
  <c r="E59" i="5"/>
  <c r="H54" i="32"/>
  <c r="H56" i="32" s="1"/>
  <c r="F56" i="32"/>
  <c r="E32" i="39"/>
  <c r="E36" i="39" s="1"/>
  <c r="M36" i="15"/>
  <c r="H19" i="40"/>
  <c r="H24" i="40" s="1"/>
  <c r="I40" i="37"/>
  <c r="I42" i="37" s="1"/>
  <c r="I43" i="37" s="1"/>
  <c r="G42" i="37"/>
  <c r="G43" i="37" s="1"/>
  <c r="H77" i="5"/>
  <c r="I78" i="5"/>
  <c r="H34" i="36"/>
  <c r="O82" i="24"/>
  <c r="H40" i="41"/>
  <c r="H42" i="41" s="1"/>
  <c r="H43" i="41" s="1"/>
  <c r="F42" i="41"/>
  <c r="F43" i="41" s="1"/>
  <c r="F29" i="32"/>
  <c r="H27" i="32"/>
  <c r="H29" i="32" s="1"/>
  <c r="G16" i="41"/>
  <c r="I11" i="41"/>
  <c r="I16" i="41" s="1"/>
  <c r="I11" i="35"/>
  <c r="I16" i="35" s="1"/>
  <c r="I82" i="35" s="1"/>
  <c r="G16" i="35"/>
  <c r="D82" i="21"/>
  <c r="D91" i="21" s="1"/>
  <c r="I64" i="32"/>
  <c r="I66" i="32" s="1"/>
  <c r="G66" i="32"/>
  <c r="F56" i="40"/>
  <c r="H54" i="40"/>
  <c r="H56" i="40" s="1"/>
  <c r="F65" i="5"/>
  <c r="H65" i="5" s="1"/>
  <c r="H65" i="42"/>
  <c r="H66" i="42" s="1"/>
  <c r="F66" i="42"/>
  <c r="I71" i="39"/>
  <c r="G84" i="24"/>
  <c r="F14" i="4"/>
  <c r="Y646" i="44"/>
  <c r="AA91" i="25"/>
  <c r="G66" i="34"/>
  <c r="I64" i="34"/>
  <c r="I66" i="34" s="1"/>
  <c r="D82" i="34"/>
  <c r="M82" i="18"/>
  <c r="B20" i="4" s="1"/>
  <c r="H64" i="43"/>
  <c r="H66" i="43" s="1"/>
  <c r="F66" i="43"/>
  <c r="F64" i="5"/>
  <c r="I642" i="44"/>
  <c r="K91" i="21"/>
  <c r="E70" i="39"/>
  <c r="E72" i="39" s="1"/>
  <c r="M72" i="15"/>
  <c r="AC642" i="44"/>
  <c r="AE91" i="21"/>
  <c r="E72" i="24"/>
  <c r="G70" i="36"/>
  <c r="D82" i="33"/>
  <c r="D91" i="33" s="1"/>
  <c r="I59" i="41"/>
  <c r="I61" i="41" s="1"/>
  <c r="G61" i="41"/>
  <c r="L82" i="13"/>
  <c r="L91" i="13" s="1"/>
  <c r="G64" i="5"/>
  <c r="F72" i="38"/>
  <c r="H70" i="38"/>
  <c r="H72" i="38" s="1"/>
  <c r="I55" i="39"/>
  <c r="L66" i="12"/>
  <c r="D64" i="36"/>
  <c r="D66" i="36" s="1"/>
  <c r="I29" i="32"/>
  <c r="G66" i="41"/>
  <c r="I64" i="41"/>
  <c r="I66" i="41" s="1"/>
  <c r="M82" i="10"/>
  <c r="B13" i="4" s="1"/>
  <c r="E27" i="5"/>
  <c r="E29" i="5" s="1"/>
  <c r="L61" i="15"/>
  <c r="D59" i="39"/>
  <c r="D61" i="39" s="1"/>
  <c r="E86" i="39"/>
  <c r="E89" i="39" s="1"/>
  <c r="M89" i="15"/>
  <c r="I40" i="35"/>
  <c r="I42" i="35" s="1"/>
  <c r="I43" i="35" s="1"/>
  <c r="G42" i="35"/>
  <c r="G43" i="35" s="1"/>
  <c r="G24" i="12"/>
  <c r="H49" i="36"/>
  <c r="D82" i="26"/>
  <c r="G42" i="43"/>
  <c r="G43" i="43" s="1"/>
  <c r="I40" i="43"/>
  <c r="I42" i="43" s="1"/>
  <c r="I43" i="43" s="1"/>
  <c r="G40" i="5"/>
  <c r="L89" i="12"/>
  <c r="D86" i="36"/>
  <c r="I19" i="40"/>
  <c r="G24" i="40"/>
  <c r="D61" i="42"/>
  <c r="D59" i="5"/>
  <c r="D61" i="5" s="1"/>
  <c r="H59" i="42"/>
  <c r="H61" i="42" s="1"/>
  <c r="F29" i="40"/>
  <c r="H27" i="40"/>
  <c r="H29" i="40" s="1"/>
  <c r="R642" i="44"/>
  <c r="T91" i="21"/>
  <c r="G29" i="33"/>
  <c r="I27" i="33"/>
  <c r="I29" i="33" s="1"/>
  <c r="H82" i="27"/>
  <c r="D72" i="33"/>
  <c r="H70" i="33"/>
  <c r="H72" i="33" s="1"/>
  <c r="L42" i="12"/>
  <c r="L43" i="12" s="1"/>
  <c r="D40" i="36"/>
  <c r="D42" i="36" s="1"/>
  <c r="D43" i="36" s="1"/>
  <c r="I86" i="36"/>
  <c r="I89" i="36" s="1"/>
  <c r="G89" i="36"/>
  <c r="M16" i="12"/>
  <c r="E11" i="36"/>
  <c r="E16" i="36" s="1"/>
  <c r="F24" i="41"/>
  <c r="H19" i="41"/>
  <c r="H24" i="41" s="1"/>
  <c r="M646" i="44"/>
  <c r="O91" i="25"/>
  <c r="D42" i="42"/>
  <c r="D43" i="42" s="1"/>
  <c r="D40" i="5"/>
  <c r="D42" i="5" s="1"/>
  <c r="D43" i="5" s="1"/>
  <c r="H40" i="42"/>
  <c r="H42" i="42" s="1"/>
  <c r="H43" i="42" s="1"/>
  <c r="H32" i="40"/>
  <c r="H36" i="40" s="1"/>
  <c r="F36" i="40"/>
  <c r="D42" i="27"/>
  <c r="D43" i="27" s="1"/>
  <c r="F40" i="39"/>
  <c r="H54" i="34"/>
  <c r="H56" i="34" s="1"/>
  <c r="F56" i="34"/>
  <c r="I64" i="35"/>
  <c r="I66" i="35" s="1"/>
  <c r="G66" i="35"/>
  <c r="E82" i="37"/>
  <c r="E91" i="37" s="1"/>
  <c r="H70" i="32"/>
  <c r="H72" i="32" s="1"/>
  <c r="F72" i="32"/>
  <c r="I32" i="40"/>
  <c r="I36" i="40" s="1"/>
  <c r="G36" i="40"/>
  <c r="L24" i="15"/>
  <c r="D19" i="39"/>
  <c r="D24" i="39" s="1"/>
  <c r="E40" i="5"/>
  <c r="E42" i="5" s="1"/>
  <c r="E43" i="5" s="1"/>
  <c r="E42" i="42"/>
  <c r="E43" i="42" s="1"/>
  <c r="I40" i="42"/>
  <c r="I42" i="42" s="1"/>
  <c r="I43" i="42" s="1"/>
  <c r="H54" i="38"/>
  <c r="H56" i="38" s="1"/>
  <c r="F56" i="38"/>
  <c r="F89" i="5"/>
  <c r="G56" i="12"/>
  <c r="F16" i="41"/>
  <c r="H11" i="41"/>
  <c r="H16" i="41" s="1"/>
  <c r="H82" i="41" s="1"/>
  <c r="I11" i="38"/>
  <c r="I16" i="38" s="1"/>
  <c r="G16" i="38"/>
  <c r="H41" i="42"/>
  <c r="F41" i="5"/>
  <c r="H41" i="5" s="1"/>
  <c r="F42" i="42"/>
  <c r="F43" i="42" s="1"/>
  <c r="I15" i="36"/>
  <c r="G56" i="42"/>
  <c r="I54" i="42"/>
  <c r="I56" i="42" s="1"/>
  <c r="G54" i="5"/>
  <c r="F61" i="35"/>
  <c r="H59" i="35"/>
  <c r="H61" i="35" s="1"/>
  <c r="N82" i="24"/>
  <c r="F24" i="15"/>
  <c r="F61" i="34"/>
  <c r="H59" i="34"/>
  <c r="H61" i="34" s="1"/>
  <c r="I19" i="38"/>
  <c r="I24" i="38" s="1"/>
  <c r="G24" i="38"/>
  <c r="I54" i="34"/>
  <c r="I56" i="34" s="1"/>
  <c r="G56" i="34"/>
  <c r="H82" i="15"/>
  <c r="H91" i="15" s="1"/>
  <c r="E82" i="31"/>
  <c r="I59" i="43"/>
  <c r="I61" i="43" s="1"/>
  <c r="G61" i="43"/>
  <c r="I81" i="5"/>
  <c r="L61" i="12"/>
  <c r="D59" i="36"/>
  <c r="D61" i="36" s="1"/>
  <c r="F24" i="42"/>
  <c r="H19" i="42"/>
  <c r="H24" i="42" s="1"/>
  <c r="F19" i="5"/>
  <c r="K642" i="44"/>
  <c r="M91" i="21"/>
  <c r="I70" i="41"/>
  <c r="I72" i="41" s="1"/>
  <c r="G72" i="41"/>
  <c r="D72" i="39"/>
  <c r="I40" i="38"/>
  <c r="I42" i="38" s="1"/>
  <c r="I43" i="38" s="1"/>
  <c r="H86" i="39"/>
  <c r="H89" i="39" s="1"/>
  <c r="F89" i="39"/>
  <c r="L24" i="12"/>
  <c r="D19" i="36"/>
  <c r="D24" i="36" s="1"/>
  <c r="I61" i="33"/>
  <c r="E22" i="5"/>
  <c r="E24" i="5" s="1"/>
  <c r="E24" i="40"/>
  <c r="I22" i="5"/>
  <c r="E36" i="27"/>
  <c r="G32" i="39"/>
  <c r="F24" i="38"/>
  <c r="H19" i="38"/>
  <c r="H24" i="38" s="1"/>
  <c r="M56" i="15"/>
  <c r="E54" i="39"/>
  <c r="E56" i="39" s="1"/>
  <c r="D54" i="39"/>
  <c r="D56" i="39" s="1"/>
  <c r="L56" i="15"/>
  <c r="D56" i="42"/>
  <c r="D54" i="5"/>
  <c r="D56" i="5" s="1"/>
  <c r="H54" i="42"/>
  <c r="H56" i="42" s="1"/>
  <c r="D70" i="5"/>
  <c r="D72" i="5" s="1"/>
  <c r="L36" i="12"/>
  <c r="D32" i="36"/>
  <c r="D36" i="36" s="1"/>
  <c r="E54" i="5"/>
  <c r="D27" i="5"/>
  <c r="D29" i="5" s="1"/>
  <c r="S82" i="24"/>
  <c r="I27" i="41"/>
  <c r="I29" i="41" s="1"/>
  <c r="G29" i="41"/>
  <c r="F56" i="33"/>
  <c r="H54" i="33"/>
  <c r="H56" i="33" s="1"/>
  <c r="E82" i="29"/>
  <c r="C23" i="4" s="1"/>
  <c r="E82" i="23"/>
  <c r="G91" i="24"/>
  <c r="H55" i="36"/>
  <c r="M42" i="12"/>
  <c r="M43" i="12" s="1"/>
  <c r="E40" i="36"/>
  <c r="E42" i="36" s="1"/>
  <c r="E43" i="36" s="1"/>
  <c r="D36" i="24"/>
  <c r="F32" i="36"/>
  <c r="I13" i="36"/>
  <c r="G82" i="11"/>
  <c r="H80" i="5"/>
  <c r="F61" i="37"/>
  <c r="H59" i="37"/>
  <c r="H61" i="37" s="1"/>
  <c r="Q642" i="44"/>
  <c r="S91" i="21"/>
  <c r="M66" i="12"/>
  <c r="E64" i="36"/>
  <c r="E66" i="36" s="1"/>
  <c r="I32" i="41"/>
  <c r="I36" i="41" s="1"/>
  <c r="G36" i="41"/>
  <c r="L82" i="10"/>
  <c r="E16" i="42"/>
  <c r="E11" i="5"/>
  <c r="E16" i="5" s="1"/>
  <c r="I11" i="42"/>
  <c r="I16" i="42" s="1"/>
  <c r="H12" i="39"/>
  <c r="E82" i="28"/>
  <c r="C19" i="4" s="1"/>
  <c r="I86" i="37"/>
  <c r="I89" i="37" s="1"/>
  <c r="I33" i="38"/>
  <c r="I36" i="38" s="1"/>
  <c r="G36" i="38"/>
  <c r="E65" i="5"/>
  <c r="E66" i="40"/>
  <c r="G55" i="5"/>
  <c r="F61" i="43"/>
  <c r="H59" i="43"/>
  <c r="H61" i="43" s="1"/>
  <c r="F59" i="5"/>
  <c r="D61" i="27"/>
  <c r="F59" i="39"/>
  <c r="Q648" i="44"/>
  <c r="S91" i="27"/>
  <c r="G29" i="15"/>
  <c r="I45" i="36"/>
  <c r="I19" i="41"/>
  <c r="I24" i="41" s="1"/>
  <c r="G24" i="41"/>
  <c r="H19" i="43"/>
  <c r="H24" i="43" s="1"/>
  <c r="F24" i="43"/>
  <c r="E60" i="5"/>
  <c r="I60" i="5" s="1"/>
  <c r="E61" i="33"/>
  <c r="H11" i="38"/>
  <c r="H16" i="38" s="1"/>
  <c r="F16" i="38"/>
  <c r="H35" i="36"/>
  <c r="H12" i="33"/>
  <c r="H16" i="33" s="1"/>
  <c r="H82" i="33" s="1"/>
  <c r="H91" i="33" s="1"/>
  <c r="K84" i="24"/>
  <c r="G61" i="36"/>
  <c r="W646" i="44"/>
  <c r="Y91" i="25"/>
  <c r="T645" i="44"/>
  <c r="V91" i="24"/>
  <c r="S642" i="44"/>
  <c r="U91" i="21"/>
  <c r="AA645" i="44"/>
  <c r="AC91" i="24"/>
  <c r="F27" i="39"/>
  <c r="D29" i="27"/>
  <c r="I20" i="5"/>
  <c r="H70" i="35"/>
  <c r="H72" i="35" s="1"/>
  <c r="F72" i="35"/>
  <c r="D17" i="4"/>
  <c r="H17" i="4"/>
  <c r="H648" i="44"/>
  <c r="J91" i="27"/>
  <c r="E72" i="33"/>
  <c r="I70" i="33"/>
  <c r="I72" i="33" s="1"/>
  <c r="D36" i="43"/>
  <c r="D32" i="5"/>
  <c r="D36" i="5" s="1"/>
  <c r="M82" i="19"/>
  <c r="J648" i="44"/>
  <c r="L91" i="27"/>
  <c r="D82" i="22"/>
  <c r="I72" i="43"/>
  <c r="D72" i="24"/>
  <c r="F70" i="36"/>
  <c r="D11" i="39"/>
  <c r="D16" i="39" s="1"/>
  <c r="L16" i="15"/>
  <c r="L82" i="16"/>
  <c r="L91" i="16" s="1"/>
  <c r="N82" i="27"/>
  <c r="M82" i="8"/>
  <c r="B11" i="4" s="1"/>
  <c r="I12" i="33"/>
  <c r="G12" i="5"/>
  <c r="I12" i="5" s="1"/>
  <c r="I49" i="39"/>
  <c r="AA82" i="27"/>
  <c r="F66" i="32"/>
  <c r="H64" i="32"/>
  <c r="H66" i="32" s="1"/>
  <c r="D56" i="27"/>
  <c r="F54" i="39"/>
  <c r="H45" i="5"/>
  <c r="M61" i="12"/>
  <c r="E59" i="36"/>
  <c r="E61" i="36" s="1"/>
  <c r="F36" i="41"/>
  <c r="H32" i="41"/>
  <c r="H36" i="41" s="1"/>
  <c r="AA642" i="44"/>
  <c r="AC91" i="21"/>
  <c r="I87" i="33"/>
  <c r="I89" i="33" s="1"/>
  <c r="G87" i="5"/>
  <c r="G89" i="33"/>
  <c r="I11" i="37"/>
  <c r="I16" i="37" s="1"/>
  <c r="G16" i="37"/>
  <c r="M29" i="12"/>
  <c r="E27" i="36"/>
  <c r="E29" i="36" s="1"/>
  <c r="G72" i="35"/>
  <c r="I70" i="35"/>
  <c r="I72" i="35" s="1"/>
  <c r="E56" i="24"/>
  <c r="G54" i="36"/>
  <c r="D82" i="40"/>
  <c r="M24" i="15"/>
  <c r="E19" i="39"/>
  <c r="E24" i="39" s="1"/>
  <c r="E66" i="24"/>
  <c r="G64" i="36"/>
  <c r="H59" i="38"/>
  <c r="H61" i="38" s="1"/>
  <c r="F61" i="38"/>
  <c r="G648" i="44"/>
  <c r="I91" i="27"/>
  <c r="K648" i="44"/>
  <c r="M91" i="27"/>
  <c r="G29" i="40"/>
  <c r="I27" i="40"/>
  <c r="I29" i="40" s="1"/>
  <c r="E70" i="5"/>
  <c r="E72" i="5" s="1"/>
  <c r="F36" i="15"/>
  <c r="F66" i="33"/>
  <c r="H64" i="33"/>
  <c r="H66" i="33" s="1"/>
  <c r="I33" i="33"/>
  <c r="N642" i="44"/>
  <c r="P91" i="21"/>
  <c r="F24" i="12"/>
  <c r="F82" i="12" s="1"/>
  <c r="F91" i="12" s="1"/>
  <c r="F42" i="15"/>
  <c r="F43" i="15" s="1"/>
  <c r="D61" i="24"/>
  <c r="F59" i="36"/>
  <c r="F36" i="33"/>
  <c r="H32" i="33"/>
  <c r="H36" i="33" s="1"/>
  <c r="D42" i="24"/>
  <c r="D43" i="24" s="1"/>
  <c r="F40" i="36"/>
  <c r="I59" i="42"/>
  <c r="I61" i="42" s="1"/>
  <c r="G61" i="42"/>
  <c r="G59" i="5"/>
  <c r="E64" i="39"/>
  <c r="E66" i="39" s="1"/>
  <c r="M66" i="15"/>
  <c r="I22" i="40"/>
  <c r="H642" i="44"/>
  <c r="J91" i="21"/>
  <c r="G40" i="39"/>
  <c r="E42" i="27"/>
  <c r="E43" i="27" s="1"/>
  <c r="M82" i="11"/>
  <c r="B14" i="4" s="1"/>
  <c r="H47" i="36"/>
  <c r="F66" i="41"/>
  <c r="H64" i="41"/>
  <c r="H66" i="41" s="1"/>
  <c r="G16" i="15"/>
  <c r="I33" i="39"/>
  <c r="D16" i="36"/>
  <c r="L72" i="12"/>
  <c r="D70" i="36"/>
  <c r="D72" i="36" s="1"/>
  <c r="D82" i="20"/>
  <c r="M42" i="15"/>
  <c r="M43" i="15" s="1"/>
  <c r="E40" i="39"/>
  <c r="E42" i="39" s="1"/>
  <c r="E43" i="39" s="1"/>
  <c r="H16" i="37"/>
  <c r="H82" i="37" s="1"/>
  <c r="H91" i="37" s="1"/>
  <c r="I55" i="38"/>
  <c r="F56" i="12"/>
  <c r="H19" i="35"/>
  <c r="H24" i="35" s="1"/>
  <c r="F24" i="35"/>
  <c r="I64" i="33"/>
  <c r="I66" i="33" s="1"/>
  <c r="G66" i="33"/>
  <c r="I11" i="33"/>
  <c r="I16" i="33" s="1"/>
  <c r="G16" i="33"/>
  <c r="I65" i="5"/>
  <c r="G61" i="37"/>
  <c r="I59" i="37"/>
  <c r="I61" i="37" s="1"/>
  <c r="I19" i="35"/>
  <c r="I24" i="35" s="1"/>
  <c r="G24" i="35"/>
  <c r="G72" i="15"/>
  <c r="I19" i="32"/>
  <c r="I24" i="32" s="1"/>
  <c r="G24" i="32"/>
  <c r="AB645" i="44"/>
  <c r="AD91" i="24"/>
  <c r="H40" i="35"/>
  <c r="H42" i="35" s="1"/>
  <c r="H43" i="35" s="1"/>
  <c r="H19" i="32"/>
  <c r="H24" i="32" s="1"/>
  <c r="F24" i="32"/>
  <c r="G16" i="40"/>
  <c r="I11" i="40"/>
  <c r="I16" i="40" s="1"/>
  <c r="AA646" i="44"/>
  <c r="AC91" i="25"/>
  <c r="H39" i="39"/>
  <c r="E89" i="27"/>
  <c r="E56" i="27"/>
  <c r="G54" i="39"/>
  <c r="M29" i="15"/>
  <c r="E27" i="39"/>
  <c r="E29" i="39" s="1"/>
  <c r="I24" i="42"/>
  <c r="I82" i="12"/>
  <c r="I91" i="12" s="1"/>
  <c r="D16" i="24"/>
  <c r="F11" i="36"/>
  <c r="H64" i="40"/>
  <c r="H66" i="40" s="1"/>
  <c r="F66" i="40"/>
  <c r="G72" i="38"/>
  <c r="I70" i="38"/>
  <c r="I72" i="38" s="1"/>
  <c r="E87" i="5"/>
  <c r="F29" i="34"/>
  <c r="H27" i="34"/>
  <c r="H29" i="34" s="1"/>
  <c r="E36" i="43"/>
  <c r="E82" i="43" s="1"/>
  <c r="E91" i="43" s="1"/>
  <c r="E33" i="5"/>
  <c r="I33" i="5" s="1"/>
  <c r="I33" i="43"/>
  <c r="D82" i="31"/>
  <c r="D91" i="31" s="1"/>
  <c r="E29" i="27"/>
  <c r="G27" i="39"/>
  <c r="G56" i="43"/>
  <c r="I54" i="43"/>
  <c r="I56" i="43" s="1"/>
  <c r="I40" i="32"/>
  <c r="I42" i="32" s="1"/>
  <c r="I43" i="32" s="1"/>
  <c r="G42" i="32"/>
  <c r="G43" i="32" s="1"/>
  <c r="E61" i="24"/>
  <c r="H27" i="38"/>
  <c r="H29" i="38" s="1"/>
  <c r="F29" i="38"/>
  <c r="M72" i="12"/>
  <c r="E70" i="36"/>
  <c r="E72" i="36" s="1"/>
  <c r="G11" i="39"/>
  <c r="E16" i="27"/>
  <c r="P642" i="44"/>
  <c r="R91" i="21"/>
  <c r="V646" i="44"/>
  <c r="X91" i="25"/>
  <c r="I11" i="34"/>
  <c r="I16" i="34" s="1"/>
  <c r="G16" i="34"/>
  <c r="G82" i="34" s="1"/>
  <c r="S646" i="44"/>
  <c r="U91" i="25"/>
  <c r="I27" i="42"/>
  <c r="I29" i="42" s="1"/>
  <c r="G29" i="42"/>
  <c r="G82" i="42" s="1"/>
  <c r="G27" i="5"/>
  <c r="F82" i="15"/>
  <c r="F91" i="15" s="1"/>
  <c r="V648" i="44"/>
  <c r="X91" i="27"/>
  <c r="E56" i="40"/>
  <c r="I54" i="40"/>
  <c r="I56" i="40" s="1"/>
  <c r="D20" i="4"/>
  <c r="H20" i="4"/>
  <c r="C35" i="4"/>
  <c r="D35" i="4" s="1"/>
  <c r="D82" i="29"/>
  <c r="G11" i="36"/>
  <c r="E16" i="24"/>
  <c r="E82" i="24" s="1"/>
  <c r="E91" i="24" s="1"/>
  <c r="I70" i="37"/>
  <c r="I72" i="37" s="1"/>
  <c r="G72" i="37"/>
  <c r="F12" i="4"/>
  <c r="F24" i="4" s="1"/>
  <c r="F27" i="4" s="1"/>
  <c r="G91" i="21"/>
  <c r="H40" i="33"/>
  <c r="H42" i="33" s="1"/>
  <c r="H43" i="33" s="1"/>
  <c r="F42" i="33"/>
  <c r="F43" i="33" s="1"/>
  <c r="D29" i="24"/>
  <c r="F27" i="36"/>
  <c r="M36" i="12"/>
  <c r="E32" i="36"/>
  <c r="E36" i="36" s="1"/>
  <c r="E36" i="24"/>
  <c r="G32" i="36"/>
  <c r="I82" i="24"/>
  <c r="R645" i="44"/>
  <c r="T91" i="24"/>
  <c r="F24" i="33"/>
  <c r="F82" i="33" s="1"/>
  <c r="F91" i="33" s="1"/>
  <c r="H19" i="33"/>
  <c r="H24" i="33" s="1"/>
  <c r="G36" i="35"/>
  <c r="I32" i="35"/>
  <c r="I36" i="35" s="1"/>
  <c r="I32" i="32"/>
  <c r="I36" i="32" s="1"/>
  <c r="G36" i="32"/>
  <c r="F21" i="4"/>
  <c r="G91" i="31"/>
  <c r="J646" i="44"/>
  <c r="L91" i="25"/>
  <c r="H40" i="32"/>
  <c r="H42" i="32" s="1"/>
  <c r="H43" i="32" s="1"/>
  <c r="F42" i="32"/>
  <c r="F43" i="32" s="1"/>
  <c r="B16" i="4"/>
  <c r="M91" i="13"/>
  <c r="M85" i="13"/>
  <c r="AA82" i="24"/>
  <c r="D82" i="42"/>
  <c r="I36" i="42"/>
  <c r="L29" i="12"/>
  <c r="D27" i="36"/>
  <c r="D29" i="36" s="1"/>
  <c r="F16" i="4"/>
  <c r="G91" i="25"/>
  <c r="I36" i="37"/>
  <c r="I27" i="35"/>
  <c r="I29" i="35" s="1"/>
  <c r="E82" i="38"/>
  <c r="H40" i="37"/>
  <c r="H42" i="37" s="1"/>
  <c r="H43" i="37" s="1"/>
  <c r="I60" i="36"/>
  <c r="I64" i="38"/>
  <c r="I66" i="38" s="1"/>
  <c r="G66" i="38"/>
  <c r="AC645" i="44"/>
  <c r="AE91" i="24"/>
  <c r="H32" i="34"/>
  <c r="H36" i="34" s="1"/>
  <c r="F36" i="34"/>
  <c r="G61" i="39"/>
  <c r="E42" i="24"/>
  <c r="E43" i="24" s="1"/>
  <c r="G40" i="36"/>
  <c r="G43" i="12"/>
  <c r="G36" i="12"/>
  <c r="E86" i="5"/>
  <c r="E89" i="5" s="1"/>
  <c r="E36" i="32"/>
  <c r="E82" i="32" s="1"/>
  <c r="E32" i="5"/>
  <c r="E36" i="5" s="1"/>
  <c r="H70" i="37"/>
  <c r="H72" i="37" s="1"/>
  <c r="F72" i="37"/>
  <c r="I32" i="33"/>
  <c r="G36" i="33"/>
  <c r="H22" i="5"/>
  <c r="AB646" i="44"/>
  <c r="AD91" i="25"/>
  <c r="D32" i="39"/>
  <c r="D36" i="39" s="1"/>
  <c r="L36" i="15"/>
  <c r="F91" i="27"/>
  <c r="G19" i="39"/>
  <c r="E24" i="27"/>
  <c r="D27" i="39"/>
  <c r="D29" i="39" s="1"/>
  <c r="L29" i="15"/>
  <c r="M642" i="44"/>
  <c r="O91" i="21"/>
  <c r="Y642" i="44"/>
  <c r="AA91" i="21"/>
  <c r="D66" i="43"/>
  <c r="D64" i="5"/>
  <c r="D66" i="5" s="1"/>
  <c r="W651" i="44"/>
  <c r="Y91" i="31"/>
  <c r="X642" i="44"/>
  <c r="Z91" i="21"/>
  <c r="I648" i="44"/>
  <c r="K91" i="27"/>
  <c r="H71" i="42"/>
  <c r="H72" i="42" s="1"/>
  <c r="F71" i="5"/>
  <c r="H71" i="5" s="1"/>
  <c r="F72" i="42"/>
  <c r="F11" i="39"/>
  <c r="D16" i="27"/>
  <c r="F16" i="40"/>
  <c r="H11" i="40"/>
  <c r="H16" i="40" s="1"/>
  <c r="G646" i="44"/>
  <c r="I91" i="25"/>
  <c r="M61" i="15"/>
  <c r="E59" i="39"/>
  <c r="E61" i="39" s="1"/>
  <c r="G56" i="15"/>
  <c r="F36" i="12"/>
  <c r="F36" i="43"/>
  <c r="H32" i="43"/>
  <c r="H36" i="43" s="1"/>
  <c r="F32" i="5"/>
  <c r="I54" i="32"/>
  <c r="I56" i="32" s="1"/>
  <c r="G56" i="32"/>
  <c r="X82" i="24"/>
  <c r="G61" i="32"/>
  <c r="I59" i="32"/>
  <c r="I61" i="32" s="1"/>
  <c r="M16" i="15"/>
  <c r="E11" i="39"/>
  <c r="E16" i="39" s="1"/>
  <c r="G29" i="43"/>
  <c r="I27" i="43"/>
  <c r="I29" i="43" s="1"/>
  <c r="L16" i="12"/>
  <c r="D24" i="24"/>
  <c r="F19" i="36"/>
  <c r="F42" i="43"/>
  <c r="F43" i="43" s="1"/>
  <c r="H40" i="43"/>
  <c r="H42" i="43" s="1"/>
  <c r="H43" i="43" s="1"/>
  <c r="F40" i="5"/>
  <c r="I70" i="32"/>
  <c r="I72" i="32" s="1"/>
  <c r="G72" i="32"/>
  <c r="H24" i="37"/>
  <c r="H646" i="44"/>
  <c r="J91" i="25"/>
  <c r="H11" i="32"/>
  <c r="H16" i="32" s="1"/>
  <c r="H82" i="32" s="1"/>
  <c r="F16" i="32"/>
  <c r="F82" i="32" s="1"/>
  <c r="F25" i="4"/>
  <c r="E91" i="7"/>
  <c r="F72" i="43"/>
  <c r="F70" i="5"/>
  <c r="H70" i="43"/>
  <c r="H72" i="43" s="1"/>
  <c r="W82" i="27"/>
  <c r="H89" i="37"/>
  <c r="F29" i="37"/>
  <c r="F82" i="37" s="1"/>
  <c r="F91" i="37" s="1"/>
  <c r="H27" i="37"/>
  <c r="H29" i="37" s="1"/>
  <c r="F36" i="35"/>
  <c r="H32" i="35"/>
  <c r="H36" i="35" s="1"/>
  <c r="D16" i="5"/>
  <c r="X646" i="44"/>
  <c r="Z91" i="25"/>
  <c r="E82" i="35"/>
  <c r="AB82" i="24"/>
  <c r="G24" i="33"/>
  <c r="I19" i="33"/>
  <c r="I24" i="33" s="1"/>
  <c r="E16" i="21"/>
  <c r="E82" i="21" s="1"/>
  <c r="E91" i="21" s="1"/>
  <c r="I40" i="41"/>
  <c r="I42" i="41" s="1"/>
  <c r="I43" i="41" s="1"/>
  <c r="G42" i="41"/>
  <c r="G43" i="41" s="1"/>
  <c r="F29" i="41"/>
  <c r="H27" i="41"/>
  <c r="H29" i="41" s="1"/>
  <c r="G72" i="34"/>
  <c r="I70" i="34"/>
  <c r="I72" i="34" s="1"/>
  <c r="G61" i="34"/>
  <c r="I59" i="34"/>
  <c r="I61" i="34" s="1"/>
  <c r="E82" i="22"/>
  <c r="C13" i="4" s="1"/>
  <c r="D24" i="43"/>
  <c r="D82" i="43" s="1"/>
  <c r="D21" i="5"/>
  <c r="H21" i="5" s="1"/>
  <c r="I28" i="36"/>
  <c r="I54" i="38"/>
  <c r="G56" i="38"/>
  <c r="O648" i="44"/>
  <c r="Q91" i="27"/>
  <c r="F66" i="34"/>
  <c r="H64" i="34"/>
  <c r="H66" i="34" s="1"/>
  <c r="I64" i="37"/>
  <c r="I66" i="37" s="1"/>
  <c r="G66" i="37"/>
  <c r="G89" i="39"/>
  <c r="G19" i="5"/>
  <c r="Z642" i="44"/>
  <c r="AB91" i="21"/>
  <c r="G16" i="12"/>
  <c r="G82" i="12" s="1"/>
  <c r="G91" i="12" s="1"/>
  <c r="D66" i="24"/>
  <c r="F64" i="36"/>
  <c r="H82" i="24"/>
  <c r="H54" i="41"/>
  <c r="H56" i="41" s="1"/>
  <c r="F56" i="41"/>
  <c r="G56" i="37"/>
  <c r="I54" i="37"/>
  <c r="I56" i="37" s="1"/>
  <c r="G29" i="37"/>
  <c r="I27" i="37"/>
  <c r="I29" i="37" s="1"/>
  <c r="D82" i="23"/>
  <c r="R82" i="24"/>
  <c r="F16" i="43"/>
  <c r="F11" i="5"/>
  <c r="H11" i="43"/>
  <c r="H16" i="43" s="1"/>
  <c r="H82" i="43" s="1"/>
  <c r="H91" i="43" s="1"/>
  <c r="H11" i="39" l="1"/>
  <c r="H16" i="39" s="1"/>
  <c r="F16" i="39"/>
  <c r="H27" i="36"/>
  <c r="H29" i="36" s="1"/>
  <c r="F29" i="36"/>
  <c r="D22" i="4"/>
  <c r="H22" i="4"/>
  <c r="D91" i="43"/>
  <c r="Y645" i="44"/>
  <c r="AA91" i="24"/>
  <c r="G82" i="15"/>
  <c r="G91" i="15" s="1"/>
  <c r="L82" i="15"/>
  <c r="L91" i="15" s="1"/>
  <c r="G36" i="39"/>
  <c r="I32" i="39"/>
  <c r="I36" i="39" s="1"/>
  <c r="H13" i="4"/>
  <c r="C32" i="4"/>
  <c r="D32" i="4" s="1"/>
  <c r="D13" i="4"/>
  <c r="L82" i="12"/>
  <c r="L91" i="12" s="1"/>
  <c r="I82" i="33"/>
  <c r="I91" i="33" s="1"/>
  <c r="I94" i="36" s="1"/>
  <c r="G82" i="37"/>
  <c r="G91" i="37" s="1"/>
  <c r="Q645" i="44"/>
  <c r="S91" i="24"/>
  <c r="G82" i="41"/>
  <c r="H82" i="35"/>
  <c r="H11" i="5"/>
  <c r="H16" i="5" s="1"/>
  <c r="F16" i="5"/>
  <c r="G645" i="44"/>
  <c r="I91" i="24"/>
  <c r="G82" i="40"/>
  <c r="I82" i="37"/>
  <c r="I91" i="37" s="1"/>
  <c r="H70" i="36"/>
  <c r="H72" i="36" s="1"/>
  <c r="F72" i="36"/>
  <c r="H59" i="5"/>
  <c r="H61" i="5" s="1"/>
  <c r="F61" i="5"/>
  <c r="F82" i="42"/>
  <c r="I70" i="36"/>
  <c r="I72" i="36" s="1"/>
  <c r="G72" i="36"/>
  <c r="H64" i="5"/>
  <c r="H66" i="5" s="1"/>
  <c r="F66" i="5"/>
  <c r="I27" i="36"/>
  <c r="I29" i="36" s="1"/>
  <c r="G24" i="36"/>
  <c r="I19" i="36"/>
  <c r="I24" i="36" s="1"/>
  <c r="H64" i="39"/>
  <c r="H66" i="39" s="1"/>
  <c r="F66" i="39"/>
  <c r="I32" i="5"/>
  <c r="I36" i="5" s="1"/>
  <c r="F82" i="35"/>
  <c r="F82" i="43"/>
  <c r="F91" i="43" s="1"/>
  <c r="F36" i="5"/>
  <c r="H32" i="5"/>
  <c r="H36" i="5" s="1"/>
  <c r="I19" i="39"/>
  <c r="I24" i="39" s="1"/>
  <c r="G24" i="39"/>
  <c r="I36" i="33"/>
  <c r="I40" i="36"/>
  <c r="I42" i="36" s="1"/>
  <c r="I43" i="36" s="1"/>
  <c r="G42" i="36"/>
  <c r="G43" i="36" s="1"/>
  <c r="I32" i="36"/>
  <c r="I36" i="36" s="1"/>
  <c r="G36" i="36"/>
  <c r="I54" i="39"/>
  <c r="I56" i="39" s="1"/>
  <c r="G56" i="39"/>
  <c r="H59" i="36"/>
  <c r="H61" i="36" s="1"/>
  <c r="F61" i="36"/>
  <c r="G56" i="36"/>
  <c r="I54" i="36"/>
  <c r="I56" i="36" s="1"/>
  <c r="D19" i="4"/>
  <c r="H19" i="4"/>
  <c r="C34" i="4"/>
  <c r="D34" i="4" s="1"/>
  <c r="C14" i="4"/>
  <c r="E84" i="24"/>
  <c r="E56" i="5"/>
  <c r="E82" i="40"/>
  <c r="L645" i="44"/>
  <c r="N91" i="24"/>
  <c r="H86" i="5"/>
  <c r="H89" i="5" s="1"/>
  <c r="C16" i="4"/>
  <c r="E91" i="25"/>
  <c r="F24" i="36"/>
  <c r="H19" i="36"/>
  <c r="H24" i="36" s="1"/>
  <c r="V645" i="44"/>
  <c r="X91" i="24"/>
  <c r="I82" i="34"/>
  <c r="G82" i="33"/>
  <c r="G91" i="33" s="1"/>
  <c r="G94" i="36" s="1"/>
  <c r="F24" i="5"/>
  <c r="H19" i="5"/>
  <c r="H24" i="5" s="1"/>
  <c r="I82" i="41"/>
  <c r="H70" i="5"/>
  <c r="H72" i="5" s="1"/>
  <c r="F72" i="5"/>
  <c r="Y648" i="44"/>
  <c r="AA91" i="27"/>
  <c r="C21" i="4"/>
  <c r="E91" i="31"/>
  <c r="E61" i="5"/>
  <c r="E82" i="5" s="1"/>
  <c r="E91" i="5" s="1"/>
  <c r="B25" i="4" s="1"/>
  <c r="F72" i="39"/>
  <c r="H70" i="39"/>
  <c r="H72" i="39" s="1"/>
  <c r="I86" i="39"/>
  <c r="I89" i="39" s="1"/>
  <c r="F42" i="5"/>
  <c r="F43" i="5" s="1"/>
  <c r="H40" i="5"/>
  <c r="H42" i="5" s="1"/>
  <c r="H43" i="5" s="1"/>
  <c r="E82" i="39"/>
  <c r="E91" i="39" s="1"/>
  <c r="H82" i="40"/>
  <c r="I59" i="5"/>
  <c r="I61" i="5" s="1"/>
  <c r="G61" i="5"/>
  <c r="I87" i="5"/>
  <c r="F82" i="38"/>
  <c r="D23" i="4"/>
  <c r="H23" i="4"/>
  <c r="C37" i="4"/>
  <c r="D37" i="4" s="1"/>
  <c r="H40" i="39"/>
  <c r="H42" i="39" s="1"/>
  <c r="H43" i="39" s="1"/>
  <c r="F42" i="39"/>
  <c r="F43" i="39" s="1"/>
  <c r="I24" i="40"/>
  <c r="I11" i="5"/>
  <c r="I16" i="5" s="1"/>
  <c r="G16" i="5"/>
  <c r="E66" i="5"/>
  <c r="C30" i="4"/>
  <c r="D11" i="4"/>
  <c r="H11" i="4"/>
  <c r="U648" i="44"/>
  <c r="W91" i="27"/>
  <c r="E82" i="36"/>
  <c r="E91" i="36" s="1"/>
  <c r="G72" i="39"/>
  <c r="I70" i="39"/>
  <c r="I72" i="39" s="1"/>
  <c r="O645" i="44"/>
  <c r="Q91" i="24"/>
  <c r="F24" i="39"/>
  <c r="H19" i="39"/>
  <c r="H24" i="39" s="1"/>
  <c r="I11" i="36"/>
  <c r="I16" i="36" s="1"/>
  <c r="G16" i="36"/>
  <c r="I27" i="39"/>
  <c r="I29" i="39" s="1"/>
  <c r="G29" i="39"/>
  <c r="H59" i="39"/>
  <c r="H61" i="39" s="1"/>
  <c r="F61" i="39"/>
  <c r="D82" i="39"/>
  <c r="D91" i="39" s="1"/>
  <c r="F648" i="44"/>
  <c r="H91" i="27"/>
  <c r="I27" i="5"/>
  <c r="I29" i="5" s="1"/>
  <c r="G29" i="5"/>
  <c r="F645" i="44"/>
  <c r="H91" i="24"/>
  <c r="H64" i="36"/>
  <c r="H66" i="36" s="1"/>
  <c r="F66" i="36"/>
  <c r="I56" i="38"/>
  <c r="I82" i="38" s="1"/>
  <c r="Z645" i="44"/>
  <c r="AB91" i="24"/>
  <c r="M82" i="15"/>
  <c r="M91" i="15" s="1"/>
  <c r="F82" i="40"/>
  <c r="I59" i="39"/>
  <c r="I61" i="39" s="1"/>
  <c r="E82" i="27"/>
  <c r="E91" i="27" s="1"/>
  <c r="H11" i="36"/>
  <c r="H16" i="36" s="1"/>
  <c r="F16" i="36"/>
  <c r="H54" i="39"/>
  <c r="H56" i="39" s="1"/>
  <c r="F56" i="39"/>
  <c r="H27" i="39"/>
  <c r="H29" i="39" s="1"/>
  <c r="F29" i="39"/>
  <c r="H82" i="38"/>
  <c r="I55" i="5"/>
  <c r="F36" i="36"/>
  <c r="H32" i="36"/>
  <c r="H36" i="36" s="1"/>
  <c r="G82" i="38"/>
  <c r="D89" i="36"/>
  <c r="H86" i="36"/>
  <c r="H89" i="36" s="1"/>
  <c r="I64" i="5"/>
  <c r="I66" i="5" s="1"/>
  <c r="G66" i="5"/>
  <c r="I82" i="43"/>
  <c r="K645" i="44"/>
  <c r="M91" i="24"/>
  <c r="D24" i="5"/>
  <c r="G16" i="32"/>
  <c r="G82" i="32" s="1"/>
  <c r="I11" i="32"/>
  <c r="I16" i="32" s="1"/>
  <c r="I82" i="32" s="1"/>
  <c r="I70" i="5"/>
  <c r="I72" i="5" s="1"/>
  <c r="F42" i="36"/>
  <c r="F43" i="36" s="1"/>
  <c r="H40" i="36"/>
  <c r="H42" i="36" s="1"/>
  <c r="H43" i="36" s="1"/>
  <c r="G42" i="5"/>
  <c r="G43" i="5" s="1"/>
  <c r="I40" i="5"/>
  <c r="I42" i="5" s="1"/>
  <c r="I43" i="5" s="1"/>
  <c r="F82" i="34"/>
  <c r="B21" i="4"/>
  <c r="B24" i="4" s="1"/>
  <c r="B27" i="4" s="1"/>
  <c r="M91" i="19"/>
  <c r="E82" i="42"/>
  <c r="F82" i="41"/>
  <c r="M82" i="12"/>
  <c r="M91" i="12" s="1"/>
  <c r="H54" i="36"/>
  <c r="H56" i="36" s="1"/>
  <c r="F56" i="36"/>
  <c r="D82" i="5"/>
  <c r="D91" i="5" s="1"/>
  <c r="I82" i="40"/>
  <c r="F56" i="5"/>
  <c r="H54" i="5"/>
  <c r="H56" i="5" s="1"/>
  <c r="G24" i="5"/>
  <c r="I19" i="5"/>
  <c r="I24" i="5" s="1"/>
  <c r="P645" i="44"/>
  <c r="R91" i="24"/>
  <c r="D82" i="27"/>
  <c r="D91" i="27" s="1"/>
  <c r="I11" i="39"/>
  <c r="I16" i="39" s="1"/>
  <c r="G16" i="39"/>
  <c r="G82" i="39" s="1"/>
  <c r="G91" i="39" s="1"/>
  <c r="D82" i="24"/>
  <c r="D91" i="24" s="1"/>
  <c r="D82" i="36"/>
  <c r="I40" i="39"/>
  <c r="I42" i="39" s="1"/>
  <c r="I43" i="39" s="1"/>
  <c r="G42" i="39"/>
  <c r="G43" i="39" s="1"/>
  <c r="I64" i="36"/>
  <c r="I66" i="36" s="1"/>
  <c r="G66" i="36"/>
  <c r="L648" i="44"/>
  <c r="N91" i="27"/>
  <c r="I59" i="36"/>
  <c r="I61" i="36" s="1"/>
  <c r="I82" i="42"/>
  <c r="G56" i="5"/>
  <c r="I54" i="5"/>
  <c r="I56" i="5" s="1"/>
  <c r="G82" i="35"/>
  <c r="M645" i="44"/>
  <c r="O91" i="24"/>
  <c r="G82" i="43"/>
  <c r="G91" i="43" s="1"/>
  <c r="I645" i="44"/>
  <c r="K91" i="24"/>
  <c r="I86" i="43"/>
  <c r="I89" i="43" s="1"/>
  <c r="G89" i="43"/>
  <c r="G86" i="5"/>
  <c r="H27" i="5"/>
  <c r="H29" i="5" s="1"/>
  <c r="F29" i="5"/>
  <c r="F36" i="39"/>
  <c r="H32" i="39"/>
  <c r="H36" i="39" s="1"/>
  <c r="H82" i="34"/>
  <c r="I82" i="39" l="1"/>
  <c r="I91" i="39" s="1"/>
  <c r="I86" i="5"/>
  <c r="I89" i="5" s="1"/>
  <c r="G89" i="5"/>
  <c r="G82" i="36"/>
  <c r="G91" i="36" s="1"/>
  <c r="G82" i="5"/>
  <c r="I82" i="36"/>
  <c r="I91" i="36" s="1"/>
  <c r="I82" i="5"/>
  <c r="H21" i="4"/>
  <c r="C36" i="4"/>
  <c r="D36" i="4" s="1"/>
  <c r="D21" i="4"/>
  <c r="D30" i="4"/>
  <c r="F82" i="36"/>
  <c r="F91" i="36" s="1"/>
  <c r="I91" i="43"/>
  <c r="H82" i="36"/>
  <c r="H91" i="36" s="1"/>
  <c r="C24" i="4"/>
  <c r="D14" i="4"/>
  <c r="D24" i="4" s="1"/>
  <c r="H14" i="4"/>
  <c r="H24" i="4" s="1"/>
  <c r="F82" i="5"/>
  <c r="F91" i="5" s="1"/>
  <c r="F82" i="39"/>
  <c r="F91" i="39" s="1"/>
  <c r="D91" i="36"/>
  <c r="C33" i="4"/>
  <c r="D33" i="4" s="1"/>
  <c r="D16" i="4"/>
  <c r="H16" i="4"/>
  <c r="H82" i="5"/>
  <c r="H91" i="5" s="1"/>
  <c r="H82" i="39"/>
  <c r="H91" i="39" s="1"/>
  <c r="I91" i="5" l="1"/>
  <c r="D25" i="4" s="1"/>
  <c r="D38" i="4"/>
  <c r="G91" i="5"/>
  <c r="C38" i="4"/>
  <c r="C25" i="4" l="1"/>
  <c r="C27" i="4" s="1"/>
  <c r="C39" i="4"/>
  <c r="C41" i="4" l="1"/>
  <c r="D39" i="4"/>
  <c r="D41" i="4" s="1"/>
</calcChain>
</file>

<file path=xl/comments1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2.xml><?xml version="1.0" encoding="utf-8"?>
<comments xmlns="http://schemas.openxmlformats.org/spreadsheetml/2006/main">
  <authors>
    <author>jlittle</author>
    <author>scarmic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AA54" authorId="1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6/99 prod
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booked in sept.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adj. To be reversed in June.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<sst xmlns="http://schemas.openxmlformats.org/spreadsheetml/2006/main" count="4787" uniqueCount="202">
  <si>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</si>
  <si>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</si>
  <si>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</si>
  <si>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</si>
  <si>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</si>
  <si>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</si>
  <si>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</si>
  <si>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</si>
  <si>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</si>
  <si>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</si>
  <si>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</si>
  <si>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</si>
  <si>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</si>
  <si>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</si>
  <si>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</si>
  <si>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</si>
  <si>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</si>
  <si>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</si>
  <si>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</si>
  <si>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</si>
  <si>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</si>
  <si>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</si>
  <si>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</si>
  <si>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</si>
  <si>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</si>
  <si>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</si>
  <si>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</si>
  <si>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</si>
  <si>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</si>
  <si>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</si>
  <si>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</si>
  <si>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</si>
  <si>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</si>
  <si>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</si>
  <si>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</si>
  <si>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</si>
  <si>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</si>
  <si>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</si>
  <si>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</si>
  <si>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</si>
  <si>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</si>
  <si>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</si>
  <si>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</si>
  <si>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</si>
  <si>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</si>
  <si>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</si>
  <si>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</si>
  <si>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</si>
  <si>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</si>
  <si>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</si>
  <si>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</si>
  <si>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</si>
  <si>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</si>
  <si>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</si>
  <si>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</si>
  <si>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</si>
  <si>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</si>
  <si>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</si>
  <si>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</si>
  <si>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</si>
  <si>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</si>
  <si>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</si>
  <si>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</si>
  <si>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</si>
  <si>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</si>
  <si>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</si>
  <si>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</si>
  <si>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</si>
  <si>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</si>
  <si>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</si>
  <si>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</si>
  <si>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</si>
  <si>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</si>
  <si>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</si>
  <si>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</si>
  <si>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</si>
  <si>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</si>
  <si>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</si>
  <si>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</si>
  <si>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</si>
  <si>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</si>
  <si>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</si>
  <si>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</si>
  <si>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</si>
  <si>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</si>
  <si>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</si>
  <si>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</si>
  <si>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</si>
  <si>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</si>
  <si>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</si>
  <si>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</si>
  <si>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</si>
  <si>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</si>
  <si>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</si>
  <si>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</si>
  <si>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</si>
  <si>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</si>
  <si>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</si>
  <si>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</si>
  <si>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</si>
  <si>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</si>
  <si>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</si>
  <si>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</si>
  <si>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</si>
  <si>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</si>
  <si>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</si>
  <si>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</si>
  <si>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</si>
  <si>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</si>
  <si>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</si>
  <si>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</si>
  <si>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</si>
  <si>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</si>
  <si>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</si>
  <si>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</si>
  <si>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</si>
  <si>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</si>
  <si>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</si>
  <si>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</si>
  <si>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</si>
  <si>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</si>
  <si>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</si>
  <si>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</si>
  <si>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</si>
  <si>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</si>
  <si>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</si>
  <si>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</si>
  <si>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</si>
  <si>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</si>
  <si>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</si>
  <si>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</si>
  <si>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</si>
  <si>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</si>
  <si>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</si>
  <si>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</si>
  <si>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</si>
  <si>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</si>
  <si>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</si>
  <si>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</si>
  <si>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</si>
  <si>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</si>
  <si>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</si>
  <si>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</si>
  <si>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</si>
  <si>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</si>
  <si>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</si>
  <si>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</si>
  <si>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</si>
  <si>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</si>
  <si>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</si>
  <si>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</si>
  <si>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</si>
  <si>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</si>
  <si>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</si>
  <si>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</si>
  <si>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</si>
  <si>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</si>
  <si>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</si>
  <si>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</si>
  <si>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</si>
  <si>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</si>
  <si>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</si>
  <si>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</si>
  <si>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</si>
  <si>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</si>
  <si>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</si>
  <si>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</si>
  <si>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</si>
  <si>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</si>
  <si>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May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</si>
  <si>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</si>
  <si>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</si>
  <si>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</si>
  <si>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</si>
  <si>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</si>
  <si>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</si>
  <si>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</si>
  <si>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</si>
  <si>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</si>
  <si>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</si>
  <si>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</si>
  <si>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</si>
  <si>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</si>
  <si>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</si>
  <si>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</si>
  <si>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</si>
  <si>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</si>
  <si>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PRODUCTION MONTH: 9905</t>
  </si>
  <si>
    <t>June</t>
  </si>
  <si>
    <t>9905V</t>
  </si>
  <si>
    <t>9905A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</si>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</sst>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11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8" fillId="0" borderId="2" xfId="1" applyNumberFormat="1" applyFont="1" applyBorder="1"/>
    <xf numFmtId="165" fontId="24" fillId="0" borderId="2" xfId="1" applyNumberFormat="1" applyFont="1" applyBorder="1"/>
    <xf numFmtId="165" fontId="26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6">
          <cell r="C46">
            <v>2831898.6700000013</v>
          </cell>
          <cell r="G46">
            <v>-110626.32999999868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3">
          <cell r="B43">
            <v>2463037</v>
          </cell>
          <cell r="C43">
            <v>-1588878</v>
          </cell>
          <cell r="D43">
            <v>0</v>
          </cell>
          <cell r="E43">
            <v>0</v>
          </cell>
          <cell r="F43">
            <v>0</v>
          </cell>
          <cell r="G43">
            <v>161444</v>
          </cell>
          <cell r="H43">
            <v>2265069</v>
          </cell>
          <cell r="I43">
            <v>0</v>
          </cell>
          <cell r="J43">
            <v>0</v>
          </cell>
          <cell r="K43">
            <v>0</v>
          </cell>
          <cell r="L43">
            <v>1206580</v>
          </cell>
          <cell r="M43">
            <v>-1933462</v>
          </cell>
          <cell r="O43">
            <v>368735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A85" sqref="A85:IV9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E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50782978</v>
      </c>
      <c r="E11" s="38">
        <v>118286936.95999998</v>
      </c>
      <c r="F11" s="65">
        <f>H11-D11</f>
        <v>0</v>
      </c>
      <c r="G11" s="63">
        <f>I11-E11</f>
        <v>0</v>
      </c>
      <c r="H11" s="65">
        <f>D11</f>
        <v>50782978</v>
      </c>
      <c r="I11" s="66">
        <f>E11</f>
        <v>118286936.95999998</v>
      </c>
      <c r="J11" s="60"/>
      <c r="K11" s="38"/>
      <c r="L11" s="60">
        <f t="shared" ref="L11:M15" si="0">H11+J11</f>
        <v>50782978</v>
      </c>
      <c r="M11" s="38">
        <f t="shared" si="0"/>
        <v>118286936.95999998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159944.9</v>
      </c>
      <c r="F13" s="65">
        <f t="shared" si="1"/>
        <v>0</v>
      </c>
      <c r="G13" s="63">
        <f t="shared" si="1"/>
        <v>0</v>
      </c>
      <c r="H13" s="65">
        <f t="shared" si="2"/>
        <v>71127</v>
      </c>
      <c r="I13" s="66">
        <f t="shared" si="2"/>
        <v>159944.9</v>
      </c>
      <c r="J13" s="60"/>
      <c r="K13" s="38"/>
      <c r="L13" s="60">
        <f t="shared" si="0"/>
        <v>71127</v>
      </c>
      <c r="M13" s="38">
        <f t="shared" si="0"/>
        <v>159944.9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50854105</v>
      </c>
      <c r="E16" s="39">
        <v>118446881.85999998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50854105</v>
      </c>
      <c r="I16" s="39">
        <f>SUM(I11:I15)</f>
        <v>118446881.85999998</v>
      </c>
      <c r="J16" s="61">
        <f t="shared" si="3"/>
        <v>0</v>
      </c>
      <c r="K16" s="39">
        <f t="shared" si="3"/>
        <v>0</v>
      </c>
      <c r="L16" s="61">
        <f t="shared" si="3"/>
        <v>50854105</v>
      </c>
      <c r="M16" s="39">
        <f t="shared" si="3"/>
        <v>118446881.85999998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-56565409</v>
      </c>
      <c r="E19" s="38">
        <v>-129583943.57000001</v>
      </c>
      <c r="F19" s="65">
        <f>H19-D19</f>
        <v>0</v>
      </c>
      <c r="G19" s="63">
        <f>I19-E19</f>
        <v>0</v>
      </c>
      <c r="H19" s="65">
        <f t="shared" si="4"/>
        <v>-56565409</v>
      </c>
      <c r="I19" s="66">
        <f t="shared" si="4"/>
        <v>-129583943.57000001</v>
      </c>
      <c r="J19" s="60"/>
      <c r="K19" s="38"/>
      <c r="L19" s="60">
        <f t="shared" ref="L19:M23" si="5">H19+J19</f>
        <v>-56565409</v>
      </c>
      <c r="M19" s="38">
        <f t="shared" si="5"/>
        <v>-129583943.57000001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-4472679.1100000003</v>
      </c>
      <c r="F21" s="65">
        <f t="shared" si="6"/>
        <v>0</v>
      </c>
      <c r="G21" s="63">
        <f t="shared" si="6"/>
        <v>0</v>
      </c>
      <c r="H21" s="65">
        <f t="shared" si="4"/>
        <v>-2052275</v>
      </c>
      <c r="I21" s="66">
        <f t="shared" si="4"/>
        <v>-4472679.1100000003</v>
      </c>
      <c r="J21" s="60"/>
      <c r="K21" s="38"/>
      <c r="L21" s="60">
        <f t="shared" si="5"/>
        <v>-2052275</v>
      </c>
      <c r="M21" s="38">
        <f t="shared" si="5"/>
        <v>-4472679.1100000003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-58617684</v>
      </c>
      <c r="E24" s="39">
        <v>-134056622.68000001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-58617684</v>
      </c>
      <c r="I24" s="39">
        <f>SUM(I19:I23)</f>
        <v>-134056622.68000001</v>
      </c>
      <c r="J24" s="61">
        <f t="shared" si="7"/>
        <v>0</v>
      </c>
      <c r="K24" s="39">
        <f t="shared" si="7"/>
        <v>0</v>
      </c>
      <c r="L24" s="61">
        <f t="shared" si="7"/>
        <v>-58617684</v>
      </c>
      <c r="M24" s="39">
        <f t="shared" si="7"/>
        <v>-134056622.68000001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5">
        <f>H27-D27</f>
        <v>0</v>
      </c>
      <c r="G27" s="63">
        <f>I27-E27</f>
        <v>0</v>
      </c>
      <c r="H27" s="65">
        <f>D27</f>
        <v>32997274</v>
      </c>
      <c r="I27" s="66">
        <f>E27</f>
        <v>74244674.739999995</v>
      </c>
      <c r="J27" s="60"/>
      <c r="K27" s="38"/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-74302955</v>
      </c>
      <c r="F28" s="65">
        <f>H28-D28</f>
        <v>0</v>
      </c>
      <c r="G28" s="63">
        <f>I28-E28</f>
        <v>0</v>
      </c>
      <c r="H28" s="65">
        <f>D28</f>
        <v>-33022074</v>
      </c>
      <c r="I28" s="66">
        <f>E28</f>
        <v>-74302955</v>
      </c>
      <c r="J28" s="60"/>
      <c r="K28" s="38"/>
      <c r="L28" s="60">
        <f>H28+J28</f>
        <v>-33022074</v>
      </c>
      <c r="M28" s="38">
        <f>I28+K28</f>
        <v>-74302955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-58280.260000005364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-24800</v>
      </c>
      <c r="I29" s="39">
        <f>SUM(I27:I28)</f>
        <v>-58280.260000005364</v>
      </c>
      <c r="J29" s="61">
        <f t="shared" si="8"/>
        <v>0</v>
      </c>
      <c r="K29" s="39">
        <f t="shared" si="8"/>
        <v>0</v>
      </c>
      <c r="L29" s="61">
        <f t="shared" si="8"/>
        <v>-24800</v>
      </c>
      <c r="M29" s="39">
        <f t="shared" si="8"/>
        <v>-58280.260000005364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1027777</v>
      </c>
      <c r="E33" s="38">
        <v>1867759.4615309306</v>
      </c>
      <c r="F33" s="65">
        <f t="shared" ref="F33:G35" si="11">H33-D33</f>
        <v>0</v>
      </c>
      <c r="G33" s="63">
        <f t="shared" si="11"/>
        <v>0</v>
      </c>
      <c r="H33" s="65">
        <f t="shared" si="9"/>
        <v>1027777</v>
      </c>
      <c r="I33" s="66">
        <f t="shared" si="9"/>
        <v>1867759.4615309306</v>
      </c>
      <c r="J33" s="60"/>
      <c r="K33" s="38"/>
      <c r="L33" s="60">
        <f t="shared" si="10"/>
        <v>1027777</v>
      </c>
      <c r="M33" s="38">
        <f t="shared" si="10"/>
        <v>1867759.4615309306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1027777</v>
      </c>
      <c r="E36" s="39">
        <v>1867759.4615309306</v>
      </c>
      <c r="F36" s="61">
        <f>SUM(F32:F35)</f>
        <v>0</v>
      </c>
      <c r="G36" s="39">
        <f>SUM(G32:G35)</f>
        <v>0</v>
      </c>
      <c r="H36" s="61">
        <f>SUM(H32:H35)</f>
        <v>1027777</v>
      </c>
      <c r="I36" s="39">
        <f>SUM(I32:I35)</f>
        <v>1867759.4615309306</v>
      </c>
      <c r="J36" s="61">
        <f>SUM(J32:J34)</f>
        <v>0</v>
      </c>
      <c r="K36" s="39">
        <f>SUM(K32:K34)</f>
        <v>0</v>
      </c>
      <c r="L36" s="61">
        <f>SUM(L32:L35)</f>
        <v>1027777</v>
      </c>
      <c r="M36" s="39">
        <f>SUM(M32:M35)</f>
        <v>1867759.4615309306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16945465.600000001</v>
      </c>
      <c r="F39" s="65">
        <f t="shared" ref="F39:G41" si="13">H39-D39</f>
        <v>0</v>
      </c>
      <c r="G39" s="63">
        <f t="shared" si="13"/>
        <v>0</v>
      </c>
      <c r="H39" s="65">
        <f t="shared" si="12"/>
        <v>7337145</v>
      </c>
      <c r="I39" s="66">
        <f t="shared" si="12"/>
        <v>16945465.600000001</v>
      </c>
      <c r="J39" s="60"/>
      <c r="K39" s="38"/>
      <c r="L39" s="60">
        <f t="shared" ref="L39:M41" si="14">H39+J39</f>
        <v>7337145</v>
      </c>
      <c r="M39" s="38">
        <f t="shared" si="14"/>
        <v>16945465.600000001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-1293656.32</v>
      </c>
      <c r="F40" s="65">
        <f t="shared" si="13"/>
        <v>0</v>
      </c>
      <c r="G40" s="63">
        <f t="shared" si="13"/>
        <v>0</v>
      </c>
      <c r="H40" s="65">
        <f t="shared" si="12"/>
        <v>-576543</v>
      </c>
      <c r="I40" s="66">
        <f t="shared" si="12"/>
        <v>-1293656.32</v>
      </c>
      <c r="J40" s="60"/>
      <c r="K40" s="38"/>
      <c r="L40" s="60">
        <f t="shared" si="14"/>
        <v>-576543</v>
      </c>
      <c r="M40" s="38">
        <f t="shared" si="14"/>
        <v>-1293656.32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-1293656.32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-576543</v>
      </c>
      <c r="I42" s="39">
        <f>SUM(I40:I41)</f>
        <v>-1293656.32</v>
      </c>
      <c r="J42" s="61">
        <f t="shared" si="15"/>
        <v>0</v>
      </c>
      <c r="K42" s="39">
        <f t="shared" si="15"/>
        <v>0</v>
      </c>
      <c r="L42" s="69">
        <f t="shared" si="15"/>
        <v>-576543</v>
      </c>
      <c r="M42" s="70">
        <f t="shared" si="15"/>
        <v>-1293656.32</v>
      </c>
    </row>
    <row r="43" spans="1:13" ht="21" customHeight="1" x14ac:dyDescent="0.2">
      <c r="A43" s="9"/>
      <c r="B43" s="7" t="s">
        <v>51</v>
      </c>
      <c r="C43" s="6"/>
      <c r="D43" s="60">
        <v>6760602</v>
      </c>
      <c r="E43" s="38">
        <v>15651809.280000001</v>
      </c>
      <c r="F43" s="61">
        <f t="shared" ref="F43:M43" si="16">F42+F39</f>
        <v>0</v>
      </c>
      <c r="G43" s="39">
        <f t="shared" si="16"/>
        <v>0</v>
      </c>
      <c r="H43" s="61">
        <f>H42+H39</f>
        <v>6760602</v>
      </c>
      <c r="I43" s="39">
        <f>I42+I39</f>
        <v>15651809.280000001</v>
      </c>
      <c r="J43" s="61">
        <f t="shared" si="16"/>
        <v>0</v>
      </c>
      <c r="K43" s="39">
        <f t="shared" si="16"/>
        <v>0</v>
      </c>
      <c r="L43" s="61">
        <f t="shared" si="16"/>
        <v>6760602</v>
      </c>
      <c r="M43" s="39">
        <f t="shared" si="16"/>
        <v>15651809.280000001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-992568.27</v>
      </c>
      <c r="J54" s="60"/>
      <c r="K54" s="38"/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-992568.27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250999.06</v>
      </c>
      <c r="J70" s="60"/>
      <c r="K70" s="38"/>
      <c r="L70" s="60">
        <f t="shared" si="20"/>
        <v>0</v>
      </c>
      <c r="M70" s="38">
        <f t="shared" si="20"/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-1054678</v>
      </c>
      <c r="J71" s="60"/>
      <c r="K71" s="38"/>
      <c r="L71" s="60">
        <f t="shared" si="20"/>
        <v>0</v>
      </c>
      <c r="M71" s="38">
        <f t="shared" si="20"/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-803678.94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1019748.41</v>
      </c>
      <c r="J74" s="60"/>
      <c r="K74" s="38"/>
      <c r="L74" s="60">
        <f t="shared" si="23"/>
        <v>0</v>
      </c>
      <c r="M74" s="38">
        <f t="shared" si="23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81200</v>
      </c>
      <c r="J75" s="60"/>
      <c r="K75" s="38"/>
      <c r="L75" s="60">
        <f t="shared" si="23"/>
        <v>0</v>
      </c>
      <c r="M75" s="38">
        <f t="shared" si="23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-4060</v>
      </c>
      <c r="J76" s="60"/>
      <c r="K76" s="38"/>
      <c r="L76" s="60">
        <f t="shared" si="23"/>
        <v>0</v>
      </c>
      <c r="M76" s="38">
        <f t="shared" si="23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-108300</v>
      </c>
      <c r="J77" s="60"/>
      <c r="K77" s="38"/>
      <c r="L77" s="60">
        <f t="shared" si="23"/>
        <v>0</v>
      </c>
      <c r="M77" s="38">
        <f t="shared" si="23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1018888.8615309033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1018888.8615309033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1018888.8615309033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  <c r="M85" s="45">
        <f>M82+'TX-HPL-FLSH'!M82</f>
        <v>1572168.0664456198</v>
      </c>
    </row>
    <row r="86" spans="1:67" s="3" customFormat="1" x14ac:dyDescent="0.2">
      <c r="A86" s="174"/>
      <c r="C86" s="10" t="s">
        <v>176</v>
      </c>
      <c r="D86" s="178">
        <v>0</v>
      </c>
      <c r="E86" s="178">
        <v>114066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114066</v>
      </c>
      <c r="J86" s="178"/>
      <c r="K86" s="178"/>
      <c r="L86" s="178">
        <f t="shared" ref="L86:M88" si="27">H86+J86</f>
        <v>0</v>
      </c>
      <c r="M86" s="178">
        <f t="shared" si="27"/>
        <v>114066</v>
      </c>
    </row>
    <row r="87" spans="1:67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67" s="3" customFormat="1" x14ac:dyDescent="0.2">
      <c r="A88" s="174"/>
      <c r="C88" s="10" t="s">
        <v>74</v>
      </c>
      <c r="D88" s="180">
        <v>0</v>
      </c>
      <c r="E88" s="180">
        <v>-113464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-113464</v>
      </c>
      <c r="J88" s="180"/>
      <c r="K88" s="180"/>
      <c r="L88" s="180">
        <f t="shared" si="27"/>
        <v>0</v>
      </c>
      <c r="M88" s="180">
        <f t="shared" si="27"/>
        <v>-113464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8">SUM(E86:E88)</f>
        <v>602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602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9">+E82+E89</f>
        <v>1019490.8615309033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1019490.8615309033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1019490.8615309033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942514</v>
      </c>
      <c r="E11" s="60">
        <v>2190441.0400000215</v>
      </c>
      <c r="F11" s="60">
        <f>H11-D11</f>
        <v>0</v>
      </c>
      <c r="G11" s="37">
        <f>I11-E11</f>
        <v>0</v>
      </c>
      <c r="H11" s="65">
        <f>D11</f>
        <v>942514</v>
      </c>
      <c r="I11" s="66">
        <f>E11</f>
        <v>2190441.0400000215</v>
      </c>
      <c r="J11" s="60"/>
      <c r="K11" s="38"/>
      <c r="L11" s="60">
        <f t="shared" ref="L11:M15" si="0">H11+J11</f>
        <v>942514</v>
      </c>
      <c r="M11" s="38">
        <f t="shared" si="0"/>
        <v>2190441.0400000215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-0.89999999999417923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-0.89999999999417923</v>
      </c>
      <c r="J13" s="60"/>
      <c r="K13" s="38"/>
      <c r="L13" s="60">
        <f t="shared" si="0"/>
        <v>0</v>
      </c>
      <c r="M13" s="38">
        <f t="shared" si="0"/>
        <v>-0.89999999999417923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942514</v>
      </c>
      <c r="E16" s="39">
        <v>2190440.1400000216</v>
      </c>
      <c r="F16" s="61">
        <f t="shared" ref="F16:M16" si="3">SUM(F11:F15)</f>
        <v>0</v>
      </c>
      <c r="G16" s="39">
        <f t="shared" si="3"/>
        <v>0</v>
      </c>
      <c r="H16" s="61">
        <f>SUM(H11:H15)</f>
        <v>942514</v>
      </c>
      <c r="I16" s="39">
        <f>SUM(I11:I15)</f>
        <v>2190440.1400000216</v>
      </c>
      <c r="J16" s="61">
        <f t="shared" si="3"/>
        <v>0</v>
      </c>
      <c r="K16" s="39">
        <f t="shared" si="3"/>
        <v>0</v>
      </c>
      <c r="L16" s="61">
        <f t="shared" si="3"/>
        <v>942514</v>
      </c>
      <c r="M16" s="39">
        <f t="shared" si="3"/>
        <v>2190440.1400000216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-1123944</v>
      </c>
      <c r="E19" s="60">
        <v>-2561345.4299999923</v>
      </c>
      <c r="F19" s="60">
        <f>H19-D19</f>
        <v>0</v>
      </c>
      <c r="G19" s="37">
        <f>I19-E19</f>
        <v>0</v>
      </c>
      <c r="H19" s="65">
        <f t="shared" si="4"/>
        <v>-1123944</v>
      </c>
      <c r="I19" s="66">
        <f t="shared" si="4"/>
        <v>-2561345.4299999923</v>
      </c>
      <c r="J19" s="60"/>
      <c r="K19" s="38"/>
      <c r="L19" s="60">
        <f t="shared" ref="L19:M23" si="5">H19+J19</f>
        <v>-1123944</v>
      </c>
      <c r="M19" s="38">
        <f t="shared" si="5"/>
        <v>-2561345.4299999923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0.10999999940395355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0.10999999940395355</v>
      </c>
      <c r="J21" s="60"/>
      <c r="K21" s="38"/>
      <c r="L21" s="60">
        <f t="shared" si="5"/>
        <v>0</v>
      </c>
      <c r="M21" s="38">
        <f t="shared" si="5"/>
        <v>0.10999999940395355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-1123944</v>
      </c>
      <c r="E24" s="39">
        <v>-2561345.3199999928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-1123944</v>
      </c>
      <c r="I24" s="39">
        <f>SUM(I19:I23)</f>
        <v>-2561345.3199999928</v>
      </c>
      <c r="J24" s="61">
        <f t="shared" si="7"/>
        <v>0</v>
      </c>
      <c r="K24" s="39">
        <f t="shared" si="7"/>
        <v>0</v>
      </c>
      <c r="L24" s="61">
        <f t="shared" si="7"/>
        <v>-1123944</v>
      </c>
      <c r="M24" s="39">
        <f t="shared" si="7"/>
        <v>-2561345.3199999928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2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2</v>
      </c>
      <c r="J28" s="60"/>
      <c r="K28" s="38"/>
      <c r="L28" s="60">
        <f>H28+J28</f>
        <v>0</v>
      </c>
      <c r="M28" s="38">
        <f>I28+K28</f>
        <v>2</v>
      </c>
    </row>
    <row r="29" spans="1:13" x14ac:dyDescent="0.2">
      <c r="A29" s="9"/>
      <c r="B29" s="7" t="s">
        <v>39</v>
      </c>
      <c r="C29" s="6"/>
      <c r="D29" s="61">
        <v>0</v>
      </c>
      <c r="E29" s="39">
        <v>2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2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181430</v>
      </c>
      <c r="E33" s="60">
        <v>899183.66491468926</v>
      </c>
      <c r="F33" s="60">
        <f t="shared" ref="F33:G35" si="11">H33-D33</f>
        <v>0</v>
      </c>
      <c r="G33" s="37">
        <f t="shared" si="11"/>
        <v>0</v>
      </c>
      <c r="H33" s="65">
        <f t="shared" si="9"/>
        <v>181430</v>
      </c>
      <c r="I33" s="66">
        <f t="shared" si="9"/>
        <v>899183.66491468926</v>
      </c>
      <c r="J33" s="60"/>
      <c r="K33" s="38"/>
      <c r="L33" s="60">
        <f t="shared" si="10"/>
        <v>181430</v>
      </c>
      <c r="M33" s="38">
        <f t="shared" si="10"/>
        <v>899183.66491468926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181430</v>
      </c>
      <c r="E36" s="39">
        <v>899183.66491468926</v>
      </c>
      <c r="F36" s="61">
        <f>SUM(F32:F35)</f>
        <v>0</v>
      </c>
      <c r="G36" s="39">
        <f>SUM(G32:G35)</f>
        <v>0</v>
      </c>
      <c r="H36" s="61">
        <f>SUM(H32:H35)</f>
        <v>181430</v>
      </c>
      <c r="I36" s="39">
        <f>SUM(I32:I35)</f>
        <v>899183.66491468926</v>
      </c>
      <c r="J36" s="61">
        <f>SUM(J32:J34)</f>
        <v>0</v>
      </c>
      <c r="K36" s="39">
        <f>SUM(K32:K34)</f>
        <v>0</v>
      </c>
      <c r="L36" s="61">
        <f>SUM(L32:L35)</f>
        <v>181430</v>
      </c>
      <c r="M36" s="39">
        <f>SUM(M32:M35)</f>
        <v>899183.66491468926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-0.60000000149011612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-0.60000000149011612</v>
      </c>
      <c r="J39" s="60"/>
      <c r="K39" s="38"/>
      <c r="L39" s="60">
        <f t="shared" ref="L39:M41" si="14">H39+J39</f>
        <v>0</v>
      </c>
      <c r="M39" s="38">
        <f t="shared" si="14"/>
        <v>-0.60000000149011612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-0.67999999993480742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-0.67999999993480742</v>
      </c>
      <c r="J40" s="60"/>
      <c r="K40" s="38"/>
      <c r="L40" s="60">
        <f t="shared" si="14"/>
        <v>0</v>
      </c>
      <c r="M40" s="38">
        <f t="shared" si="14"/>
        <v>-0.67999999993480742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-0.67999999993480742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-0.67999999993480742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-0.67999999993480742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-1.2800000014249235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-1.2800000014249235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-1.2800000014249235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553279.20491471654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553279.20491471654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553279.20491471654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51725492</v>
      </c>
      <c r="E11" s="38">
        <v>120477378</v>
      </c>
      <c r="F11" s="60">
        <f>H11-D11</f>
        <v>0</v>
      </c>
      <c r="G11" s="37">
        <f>I11-E11</f>
        <v>0</v>
      </c>
      <c r="H11" s="60">
        <f>'TX-EGM-FLSH'!H11+'TX-HPL-FLSH'!H11</f>
        <v>51725492</v>
      </c>
      <c r="I11" s="38">
        <f>'TX-EGM-FLSH'!I11+'TX-HPL-FLSH'!I11</f>
        <v>120477378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51725492</v>
      </c>
      <c r="M11" s="38">
        <f t="shared" si="0"/>
        <v>120477378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</v>
      </c>
      <c r="F13" s="60">
        <f t="shared" si="1"/>
        <v>0</v>
      </c>
      <c r="G13" s="37">
        <f t="shared" si="1"/>
        <v>0</v>
      </c>
      <c r="H13" s="60">
        <f>'TX-EGM-FLSH'!H13+'TX-HPL-FLSH'!H13</f>
        <v>71127</v>
      </c>
      <c r="I13" s="38">
        <f>'TX-EGM-FLSH'!I13+'TX-HPL-FLSH'!I13</f>
        <v>159944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71127</v>
      </c>
      <c r="M13" s="38">
        <f t="shared" si="0"/>
        <v>159944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51796619</v>
      </c>
      <c r="E16" s="39">
        <v>120637322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51796619</v>
      </c>
      <c r="I16" s="39">
        <f t="shared" si="2"/>
        <v>120637322</v>
      </c>
      <c r="J16" s="61">
        <f t="shared" si="2"/>
        <v>0</v>
      </c>
      <c r="K16" s="39">
        <f t="shared" si="2"/>
        <v>0</v>
      </c>
      <c r="L16" s="61">
        <f t="shared" si="2"/>
        <v>51796619</v>
      </c>
      <c r="M16" s="39">
        <f t="shared" si="2"/>
        <v>120637322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-57689353</v>
      </c>
      <c r="E19" s="38">
        <v>-132145289</v>
      </c>
      <c r="F19" s="60">
        <f>H19-D19</f>
        <v>0</v>
      </c>
      <c r="G19" s="37">
        <f>I19-E19</f>
        <v>0</v>
      </c>
      <c r="H19" s="60">
        <f>'TX-EGM-FLSH'!H19+'TX-HPL-FLSH'!H19</f>
        <v>-57689353</v>
      </c>
      <c r="I19" s="38">
        <f>'TX-EGM-FLSH'!I19+'TX-HPL-FLSH'!I19</f>
        <v>-132145289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-57689353</v>
      </c>
      <c r="M19" s="38">
        <f t="shared" si="3"/>
        <v>-132145289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</v>
      </c>
      <c r="F21" s="60">
        <f t="shared" si="4"/>
        <v>0</v>
      </c>
      <c r="G21" s="37">
        <f t="shared" si="4"/>
        <v>0</v>
      </c>
      <c r="H21" s="60">
        <f>'TX-EGM-FLSH'!H21+'TX-HPL-FLSH'!H21</f>
        <v>-2052275</v>
      </c>
      <c r="I21" s="38">
        <f>'TX-EGM-FLSH'!I21+'TX-HPL-FLSH'!I21</f>
        <v>-4472679.0000000009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-2052275</v>
      </c>
      <c r="M21" s="38">
        <f t="shared" si="3"/>
        <v>-4472679.0000000009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4"/>
        <v>0</v>
      </c>
      <c r="G23" s="37">
        <f t="shared" si="4"/>
        <v>0</v>
      </c>
      <c r="H23" s="60">
        <f>'TX-EGM-FLSH'!H23+'TX-HPL-FLSH'!H23</f>
        <v>0</v>
      </c>
      <c r="I23" s="38">
        <f>'TX-EGM-FLSH'!I23+'TX-HPL-FLSH'!I23</f>
        <v>0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35</v>
      </c>
      <c r="C24" s="6"/>
      <c r="D24" s="61">
        <v>-59741628</v>
      </c>
      <c r="E24" s="39">
        <v>-136617968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-59741628</v>
      </c>
      <c r="I24" s="39">
        <f t="shared" si="5"/>
        <v>-136617968</v>
      </c>
      <c r="J24" s="61">
        <f t="shared" si="5"/>
        <v>0</v>
      </c>
      <c r="K24" s="39">
        <f t="shared" si="5"/>
        <v>0</v>
      </c>
      <c r="L24" s="61">
        <f t="shared" si="5"/>
        <v>-59741628</v>
      </c>
      <c r="M24" s="39">
        <f t="shared" si="5"/>
        <v>-136617968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0">
        <f>H27-D27</f>
        <v>0</v>
      </c>
      <c r="G27" s="37">
        <f>I27-E27</f>
        <v>0</v>
      </c>
      <c r="H27" s="60">
        <f>'TX-EGM-FLSH'!H27+'TX-HPL-FLSH'!H27</f>
        <v>32997274</v>
      </c>
      <c r="I27" s="38">
        <f>'TX-EGM-FLSH'!I27+'TX-HPL-FLSH'!I27</f>
        <v>74244674.739999995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-74302953</v>
      </c>
      <c r="F28" s="60">
        <f>H28-D28</f>
        <v>0</v>
      </c>
      <c r="G28" s="37">
        <f>I28-E28</f>
        <v>0</v>
      </c>
      <c r="H28" s="60">
        <f>'TX-EGM-FLSH'!H28+'TX-HPL-FLSH'!H28</f>
        <v>-33022074</v>
      </c>
      <c r="I28" s="38">
        <f>'TX-EGM-FLSH'!I28+'TX-HPL-FLSH'!I28</f>
        <v>-74302953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-33022074</v>
      </c>
      <c r="M28" s="38">
        <f>I28+K28</f>
        <v>-74302953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-58278.260000005364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-24800</v>
      </c>
      <c r="I29" s="39">
        <f t="shared" si="6"/>
        <v>-58278.260000005364</v>
      </c>
      <c r="J29" s="61">
        <f t="shared" si="6"/>
        <v>0</v>
      </c>
      <c r="K29" s="39">
        <f t="shared" si="6"/>
        <v>0</v>
      </c>
      <c r="L29" s="61">
        <f t="shared" si="6"/>
        <v>-24800</v>
      </c>
      <c r="M29" s="39">
        <f t="shared" si="6"/>
        <v>-58278.260000005364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42</v>
      </c>
      <c r="D33" s="60">
        <v>1209207</v>
      </c>
      <c r="E33" s="38">
        <v>2766943.1264456199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1209207</v>
      </c>
      <c r="I33" s="38">
        <f>'TX-EGM-FLSH'!I33+'TX-HPL-FLSH'!I33</f>
        <v>2766943.1264456199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1209207</v>
      </c>
      <c r="M33" s="38">
        <f t="shared" si="7"/>
        <v>2766943.1264456199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45</v>
      </c>
      <c r="C36" s="6"/>
      <c r="D36" s="61">
        <v>1209207</v>
      </c>
      <c r="E36" s="39">
        <v>2766943.1264456199</v>
      </c>
      <c r="F36" s="61">
        <f>SUM(F32:F35)</f>
        <v>0</v>
      </c>
      <c r="G36" s="39">
        <f>SUM(G32:G35)</f>
        <v>0</v>
      </c>
      <c r="H36" s="61">
        <f>SUM(H32:H35)</f>
        <v>1209207</v>
      </c>
      <c r="I36" s="39">
        <f>SUM(I32:I35)</f>
        <v>2766943.1264456199</v>
      </c>
      <c r="J36" s="61">
        <f>SUM(J32:J34)</f>
        <v>0</v>
      </c>
      <c r="K36" s="39">
        <f>SUM(K32:K34)</f>
        <v>0</v>
      </c>
      <c r="L36" s="61">
        <f>SUM(L32:L35)</f>
        <v>1209207</v>
      </c>
      <c r="M36" s="39">
        <f>SUM(M32:M35)</f>
        <v>2766943.1264456199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</v>
      </c>
      <c r="F39" s="60">
        <f t="shared" ref="F39:G41" si="9">H39-D39</f>
        <v>0</v>
      </c>
      <c r="G39" s="37">
        <f t="shared" si="9"/>
        <v>0</v>
      </c>
      <c r="H39" s="60">
        <f>'TX-EGM-FLSH'!H39+'TX-HPL-FLSH'!H39</f>
        <v>7337145</v>
      </c>
      <c r="I39" s="38">
        <f>'TX-EGM-FLSH'!I39+'TX-HPL-FLSH'!I39</f>
        <v>16945465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7337145</v>
      </c>
      <c r="M39" s="38">
        <f t="shared" si="10"/>
        <v>16945465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-1293657</v>
      </c>
      <c r="F40" s="60">
        <f t="shared" si="9"/>
        <v>0</v>
      </c>
      <c r="G40" s="37">
        <f t="shared" si="9"/>
        <v>0</v>
      </c>
      <c r="H40" s="60">
        <f>'TX-EGM-FLSH'!H40+'TX-HPL-FLSH'!H40</f>
        <v>-576543</v>
      </c>
      <c r="I40" s="38">
        <f>'TX-EGM-FLSH'!I40+'TX-HPL-FLSH'!I40</f>
        <v>-1293657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-576543</v>
      </c>
      <c r="M40" s="38">
        <f t="shared" si="10"/>
        <v>-1293657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-1293657</v>
      </c>
      <c r="F42" s="61">
        <f t="shared" ref="F42:M42" si="11">SUM(F40:F41)</f>
        <v>0</v>
      </c>
      <c r="G42" s="39">
        <f t="shared" si="11"/>
        <v>0</v>
      </c>
      <c r="H42" s="61">
        <f t="shared" si="11"/>
        <v>-576543</v>
      </c>
      <c r="I42" s="39">
        <f t="shared" si="11"/>
        <v>-1293657</v>
      </c>
      <c r="J42" s="61">
        <f t="shared" si="11"/>
        <v>0</v>
      </c>
      <c r="K42" s="39">
        <f t="shared" si="11"/>
        <v>0</v>
      </c>
      <c r="L42" s="61">
        <f t="shared" si="11"/>
        <v>-576543</v>
      </c>
      <c r="M42" s="39">
        <f t="shared" si="11"/>
        <v>-1293657</v>
      </c>
    </row>
    <row r="43" spans="1:13" ht="21" customHeight="1" x14ac:dyDescent="0.2">
      <c r="A43" s="9"/>
      <c r="B43" s="7" t="s">
        <v>51</v>
      </c>
      <c r="C43" s="6"/>
      <c r="D43" s="61">
        <v>6760602</v>
      </c>
      <c r="E43" s="39">
        <v>15651808</v>
      </c>
      <c r="F43" s="61">
        <f t="shared" ref="F43:M43" si="12">F42+F39</f>
        <v>0</v>
      </c>
      <c r="G43" s="39">
        <f t="shared" si="12"/>
        <v>0</v>
      </c>
      <c r="H43" s="61">
        <f t="shared" si="12"/>
        <v>6760602</v>
      </c>
      <c r="I43" s="39">
        <f t="shared" si="12"/>
        <v>15651808</v>
      </c>
      <c r="J43" s="61">
        <f t="shared" si="12"/>
        <v>0</v>
      </c>
      <c r="K43" s="39">
        <f t="shared" si="12"/>
        <v>0</v>
      </c>
      <c r="L43" s="61">
        <f t="shared" si="12"/>
        <v>6760602</v>
      </c>
      <c r="M43" s="39">
        <f t="shared" si="12"/>
        <v>15651808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-992568.27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0</v>
      </c>
      <c r="H56" s="61">
        <f t="shared" si="13"/>
        <v>0</v>
      </c>
      <c r="I56" s="39">
        <f t="shared" si="13"/>
        <v>-992568.27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250999.06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-1054678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0</v>
      </c>
      <c r="H72" s="61">
        <f t="shared" si="16"/>
        <v>0</v>
      </c>
      <c r="I72" s="39">
        <f t="shared" si="16"/>
        <v>-803678.94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0</v>
      </c>
      <c r="H74" s="60">
        <f>'TX-EGM-FLSH'!H74+'TX-HPL-FLSH'!H74</f>
        <v>0</v>
      </c>
      <c r="I74" s="38">
        <f>'TX-EGM-FLSH'!I74+'TX-HPL-FLSH'!I74</f>
        <v>1019748.41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0">
        <f t="shared" si="18"/>
        <v>0</v>
      </c>
      <c r="G75" s="37">
        <f t="shared" si="18"/>
        <v>0</v>
      </c>
      <c r="H75" s="60">
        <f>'TX-EGM-FLSH'!H75+'TX-HPL-FLSH'!H75</f>
        <v>0</v>
      </c>
      <c r="I75" s="38">
        <f>'TX-EGM-FLSH'!I75+'TX-HPL-FLSH'!I75</f>
        <v>81200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0">
        <f t="shared" si="18"/>
        <v>0</v>
      </c>
      <c r="G76" s="37">
        <f t="shared" si="18"/>
        <v>0</v>
      </c>
      <c r="H76" s="60">
        <f>'TX-EGM-FLSH'!H76+'TX-HPL-FLSH'!H76</f>
        <v>0</v>
      </c>
      <c r="I76" s="38">
        <f>'TX-EGM-FLSH'!I76+'TX-HPL-FLSH'!I76</f>
        <v>-4060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'TX-EGM-FLSH'!H77+'TX-HPL-FLSH'!H77</f>
        <v>0</v>
      </c>
      <c r="I77" s="38">
        <f>'TX-EGM-FLSH'!I77+'TX-HPL-FLSH'!I77</f>
        <v>-108300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18"/>
        <v>0</v>
      </c>
      <c r="G81" s="37">
        <f t="shared" si="18"/>
        <v>0</v>
      </c>
      <c r="H81" s="60">
        <f>'TX-EGM-FLSH'!H81+'TX-HPL-FLSH'!H81</f>
        <v>0</v>
      </c>
      <c r="I81" s="38">
        <f>'TX-EGM-FLSH'!I81+'TX-HPL-FLSH'!I81</f>
        <v>0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1572168.0664456128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1572168.0664456128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174</v>
      </c>
      <c r="B85" s="3"/>
      <c r="E85" s="31">
        <f>+'TX-HPL-FLSH'!E82+'TX-EGM-FLSH'!E82</f>
        <v>1572168.0664456198</v>
      </c>
    </row>
    <row r="86" spans="1:67" s="3" customFormat="1" x14ac:dyDescent="0.2">
      <c r="A86" s="174"/>
      <c r="C86" s="10" t="s">
        <v>176</v>
      </c>
      <c r="D86" s="178">
        <f>'TX-EGM-FLSH'!D86+'TX-HPL-FLSH'!D86</f>
        <v>0</v>
      </c>
      <c r="E86" s="178">
        <f>'TX-EGM-FLSH'!E86+'TX-HPL-FLSH'!E86</f>
        <v>114066</v>
      </c>
      <c r="F86" s="178">
        <f>'TX-EGM-FLSH'!F86+'TX-HPL-FLSH'!F86</f>
        <v>0</v>
      </c>
      <c r="G86" s="178">
        <f>'TX-EGM-FLSH'!G86+'TX-HPL-FLSH'!G86</f>
        <v>0</v>
      </c>
      <c r="H86" s="178">
        <f>'TX-EGM-FLSH'!H86+'TX-HPL-FLSH'!H86</f>
        <v>0</v>
      </c>
      <c r="I86" s="178">
        <f>'TX-EGM-FLSH'!I86+'TX-HPL-FLSH'!I86</f>
        <v>114066</v>
      </c>
      <c r="J86" s="178">
        <f>'TX-EGM-FLSH'!J86+'TX-HPL-FLSH'!J86</f>
        <v>0</v>
      </c>
      <c r="K86" s="178">
        <f>'TX-EGM-FLSH'!K86+'TX-HPL-FLSH'!K86</f>
        <v>0</v>
      </c>
      <c r="L86" s="178">
        <f>'TX-EGM-FLSH'!L86+'TX-HPL-FLSH'!L86</f>
        <v>0</v>
      </c>
      <c r="M86" s="178">
        <f>'TX-EGM-FLSH'!M86+'TX-HPL-FLSH'!M86</f>
        <v>114066</v>
      </c>
    </row>
    <row r="87" spans="1:67" s="3" customFormat="1" x14ac:dyDescent="0.2">
      <c r="A87" s="174"/>
      <c r="C87" s="10" t="s">
        <v>73</v>
      </c>
      <c r="D87" s="179">
        <f>'TX-EGM-FLSH'!D87+'TX-HPL-FLSH'!D87</f>
        <v>0</v>
      </c>
      <c r="E87" s="179">
        <f>'TX-EGM-FLSH'!E87+'TX-HPL-FLSH'!E87</f>
        <v>0</v>
      </c>
      <c r="F87" s="179">
        <f>'TX-EGM-FLSH'!F87+'TX-HPL-FLSH'!F87</f>
        <v>0</v>
      </c>
      <c r="G87" s="179">
        <f>'TX-EGM-FLSH'!G87+'TX-HPL-FLSH'!G87</f>
        <v>0</v>
      </c>
      <c r="H87" s="179">
        <f>'TX-EGM-FLSH'!H87+'TX-HPL-FLSH'!H87</f>
        <v>0</v>
      </c>
      <c r="I87" s="179">
        <f>'TX-EGM-FLSH'!I87+'TX-HPL-FLSH'!I87</f>
        <v>0</v>
      </c>
      <c r="J87" s="179">
        <f>'TX-EGM-FLSH'!J87+'TX-HPL-FLSH'!J87</f>
        <v>0</v>
      </c>
      <c r="K87" s="179">
        <f>'TX-EGM-FLSH'!K87+'TX-HPL-FLSH'!K87</f>
        <v>0</v>
      </c>
      <c r="L87" s="179">
        <f>'TX-EGM-FLSH'!L87+'TX-HPL-FLSH'!L87</f>
        <v>0</v>
      </c>
      <c r="M87" s="179">
        <f>'TX-EGM-FLSH'!M87+'TX-HPL-FLSH'!M87</f>
        <v>0</v>
      </c>
    </row>
    <row r="88" spans="1:67" s="3" customFormat="1" x14ac:dyDescent="0.2">
      <c r="A88" s="174"/>
      <c r="C88" s="10" t="s">
        <v>74</v>
      </c>
      <c r="D88" s="180">
        <f>'TX-EGM-FLSH'!D88+'TX-HPL-FLSH'!D88</f>
        <v>0</v>
      </c>
      <c r="E88" s="180">
        <f>'TX-EGM-FLSH'!E88+'TX-HPL-FLSH'!E88</f>
        <v>-113464</v>
      </c>
      <c r="F88" s="180">
        <f>'TX-EGM-FLSH'!F88+'TX-HPL-FLSH'!F88</f>
        <v>0</v>
      </c>
      <c r="G88" s="180">
        <f>'TX-EGM-FLSH'!G88+'TX-HPL-FLSH'!G88</f>
        <v>0</v>
      </c>
      <c r="H88" s="180">
        <f>'TX-EGM-FLSH'!H88+'TX-HPL-FLSH'!H88</f>
        <v>0</v>
      </c>
      <c r="I88" s="180">
        <f>'TX-EGM-FLSH'!I88+'TX-HPL-FLSH'!I88</f>
        <v>-113464</v>
      </c>
      <c r="J88" s="180">
        <f>'TX-EGM-FLSH'!J88+'TX-HPL-FLSH'!J88</f>
        <v>0</v>
      </c>
      <c r="K88" s="180">
        <f>'TX-EGM-FLSH'!K88+'TX-HPL-FLSH'!K88</f>
        <v>0</v>
      </c>
      <c r="L88" s="180">
        <f>'TX-EGM-FLSH'!L88+'TX-HPL-FLSH'!L88</f>
        <v>0</v>
      </c>
      <c r="M88" s="180">
        <f>'TX-EGM-FLSH'!M88+'TX-HPL-FLSH'!M88</f>
        <v>-113464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19">SUM(E86:E88)</f>
        <v>602</v>
      </c>
      <c r="F89" s="185">
        <f t="shared" si="19"/>
        <v>0</v>
      </c>
      <c r="G89" s="185">
        <f t="shared" si="19"/>
        <v>0</v>
      </c>
      <c r="H89" s="185">
        <f t="shared" si="19"/>
        <v>0</v>
      </c>
      <c r="I89" s="185">
        <f t="shared" si="19"/>
        <v>602</v>
      </c>
      <c r="J89" s="185">
        <f t="shared" si="19"/>
        <v>0</v>
      </c>
      <c r="K89" s="185">
        <f t="shared" si="19"/>
        <v>0</v>
      </c>
      <c r="L89" s="185">
        <f t="shared" si="19"/>
        <v>0</v>
      </c>
      <c r="M89" s="185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0">+E82+E89</f>
        <v>1572770.0664456128</v>
      </c>
      <c r="F91" s="185">
        <f t="shared" si="20"/>
        <v>0</v>
      </c>
      <c r="G91" s="185">
        <f t="shared" si="20"/>
        <v>0</v>
      </c>
      <c r="H91" s="185">
        <f t="shared" si="20"/>
        <v>0</v>
      </c>
      <c r="I91" s="185">
        <f t="shared" si="20"/>
        <v>1572770.0664456128</v>
      </c>
      <c r="J91" s="185">
        <f t="shared" si="20"/>
        <v>0</v>
      </c>
      <c r="K91" s="185">
        <f t="shared" si="20"/>
        <v>0</v>
      </c>
      <c r="L91" s="185">
        <f t="shared" si="20"/>
        <v>0</v>
      </c>
      <c r="M91" s="185">
        <f t="shared" si="20"/>
        <v>1572770.0664456128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33032516</v>
      </c>
      <c r="E11" s="65">
        <v>69663094</v>
      </c>
      <c r="F11" s="60">
        <f>H11-D11</f>
        <v>0</v>
      </c>
      <c r="G11" s="37">
        <f>I11-E11</f>
        <v>0</v>
      </c>
      <c r="H11" s="65">
        <f>D11</f>
        <v>33032516</v>
      </c>
      <c r="I11" s="66">
        <f>E11</f>
        <v>69663094</v>
      </c>
      <c r="J11" s="60"/>
      <c r="K11" s="38"/>
      <c r="L11" s="60">
        <f t="shared" ref="L11:M15" si="0">H11+J11</f>
        <v>33032516</v>
      </c>
      <c r="M11" s="38">
        <f t="shared" si="0"/>
        <v>69663094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23503292</v>
      </c>
      <c r="E13" s="65">
        <v>49418174</v>
      </c>
      <c r="F13" s="60">
        <f t="shared" si="1"/>
        <v>0</v>
      </c>
      <c r="G13" s="37">
        <f t="shared" si="1"/>
        <v>0</v>
      </c>
      <c r="H13" s="65">
        <f t="shared" si="2"/>
        <v>23503292</v>
      </c>
      <c r="I13" s="66">
        <f t="shared" si="2"/>
        <v>49418174</v>
      </c>
      <c r="J13" s="60"/>
      <c r="K13" s="38"/>
      <c r="L13" s="60">
        <f t="shared" si="0"/>
        <v>23503292</v>
      </c>
      <c r="M13" s="38">
        <f t="shared" si="0"/>
        <v>49418174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56535808</v>
      </c>
      <c r="E16" s="39">
        <v>119081268</v>
      </c>
      <c r="F16" s="61">
        <f t="shared" ref="F16:M16" si="3">SUM(F11:F15)</f>
        <v>0</v>
      </c>
      <c r="G16" s="39">
        <f t="shared" si="3"/>
        <v>0</v>
      </c>
      <c r="H16" s="61">
        <f>SUM(H11:H15)</f>
        <v>56535808</v>
      </c>
      <c r="I16" s="39">
        <f>SUM(I11:I15)</f>
        <v>119081268</v>
      </c>
      <c r="J16" s="61">
        <f t="shared" si="3"/>
        <v>0</v>
      </c>
      <c r="K16" s="39">
        <f t="shared" si="3"/>
        <v>0</v>
      </c>
      <c r="L16" s="61">
        <f t="shared" si="3"/>
        <v>56535808</v>
      </c>
      <c r="M16" s="39">
        <f t="shared" si="3"/>
        <v>119081268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-32678947</v>
      </c>
      <c r="E19" s="65">
        <v>-67719283</v>
      </c>
      <c r="F19" s="60">
        <f>H19-D19</f>
        <v>0</v>
      </c>
      <c r="G19" s="37">
        <f>I19-E19</f>
        <v>0</v>
      </c>
      <c r="H19" s="65">
        <f t="shared" si="4"/>
        <v>-32678947</v>
      </c>
      <c r="I19" s="66">
        <f t="shared" si="4"/>
        <v>-67719283</v>
      </c>
      <c r="J19" s="60"/>
      <c r="K19" s="38"/>
      <c r="L19" s="60">
        <f t="shared" ref="L19:M23" si="5">H19+J19</f>
        <v>-32678947</v>
      </c>
      <c r="M19" s="38">
        <f t="shared" si="5"/>
        <v>-67719283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-24534760</v>
      </c>
      <c r="E21" s="65">
        <v>-51227196</v>
      </c>
      <c r="F21" s="60">
        <f t="shared" si="6"/>
        <v>0</v>
      </c>
      <c r="G21" s="37">
        <f t="shared" si="6"/>
        <v>0</v>
      </c>
      <c r="H21" s="65">
        <f t="shared" si="4"/>
        <v>-24534760</v>
      </c>
      <c r="I21" s="66">
        <f t="shared" si="4"/>
        <v>-51227196</v>
      </c>
      <c r="J21" s="60"/>
      <c r="K21" s="38"/>
      <c r="L21" s="60">
        <f t="shared" si="5"/>
        <v>-24534760</v>
      </c>
      <c r="M21" s="38">
        <f t="shared" si="5"/>
        <v>-51227196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290973</v>
      </c>
      <c r="E23" s="65">
        <v>574945</v>
      </c>
      <c r="F23" s="60">
        <f t="shared" si="6"/>
        <v>0</v>
      </c>
      <c r="G23" s="37">
        <f t="shared" si="6"/>
        <v>0</v>
      </c>
      <c r="H23" s="65">
        <f t="shared" si="4"/>
        <v>290973</v>
      </c>
      <c r="I23" s="66">
        <f t="shared" si="4"/>
        <v>574945</v>
      </c>
      <c r="J23" s="60"/>
      <c r="K23" s="38"/>
      <c r="L23" s="60">
        <f t="shared" si="5"/>
        <v>290973</v>
      </c>
      <c r="M23" s="38">
        <f t="shared" si="5"/>
        <v>574945</v>
      </c>
    </row>
    <row r="24" spans="1:13" x14ac:dyDescent="0.2">
      <c r="A24" s="9"/>
      <c r="B24" s="7" t="s">
        <v>35</v>
      </c>
      <c r="C24" s="6"/>
      <c r="D24" s="61">
        <v>-56922734</v>
      </c>
      <c r="E24" s="39">
        <v>-118371534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-56922734</v>
      </c>
      <c r="I24" s="39">
        <f>SUM(I19:I23)</f>
        <v>-118371534</v>
      </c>
      <c r="J24" s="61">
        <f t="shared" si="7"/>
        <v>0</v>
      </c>
      <c r="K24" s="39">
        <f t="shared" si="7"/>
        <v>0</v>
      </c>
      <c r="L24" s="61">
        <f t="shared" si="7"/>
        <v>-56922734</v>
      </c>
      <c r="M24" s="39">
        <f t="shared" si="7"/>
        <v>-118371534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64836</v>
      </c>
      <c r="E32" s="65">
        <v>131336</v>
      </c>
      <c r="F32" s="60">
        <f>H32-D32</f>
        <v>0</v>
      </c>
      <c r="G32" s="37">
        <f>I32-E32</f>
        <v>0</v>
      </c>
      <c r="H32" s="65">
        <f t="shared" ref="H32:I35" si="9">D32</f>
        <v>64836</v>
      </c>
      <c r="I32" s="66">
        <f t="shared" si="9"/>
        <v>131336</v>
      </c>
      <c r="J32" s="60"/>
      <c r="K32" s="38"/>
      <c r="L32" s="60">
        <f t="shared" ref="L32:M35" si="10">H32+J32</f>
        <v>64836</v>
      </c>
      <c r="M32" s="38">
        <f t="shared" si="10"/>
        <v>131336</v>
      </c>
    </row>
    <row r="33" spans="1:13" x14ac:dyDescent="0.2">
      <c r="A33" s="9">
        <v>14</v>
      </c>
      <c r="B33" s="7"/>
      <c r="C33" s="18" t="s">
        <v>42</v>
      </c>
      <c r="D33" s="65">
        <v>-107073</v>
      </c>
      <c r="E33" s="65">
        <v>-220434.15899343032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-107073</v>
      </c>
      <c r="I33" s="66">
        <f t="shared" si="9"/>
        <v>-220434.15899343032</v>
      </c>
      <c r="J33" s="60"/>
      <c r="K33" s="38"/>
      <c r="L33" s="60">
        <f t="shared" si="10"/>
        <v>-107073</v>
      </c>
      <c r="M33" s="38">
        <f t="shared" si="10"/>
        <v>-220434.15899343032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-42237</v>
      </c>
      <c r="E36" s="39">
        <v>-89098.158993430319</v>
      </c>
      <c r="F36" s="61">
        <f>SUM(F32:F35)</f>
        <v>0</v>
      </c>
      <c r="G36" s="39">
        <f>SUM(G32:G35)</f>
        <v>0</v>
      </c>
      <c r="H36" s="61">
        <f>SUM(H32:H35)</f>
        <v>-42237</v>
      </c>
      <c r="I36" s="39">
        <f>SUM(I32:I35)</f>
        <v>-89098.158993430319</v>
      </c>
      <c r="J36" s="61">
        <f>SUM(J32:J34)</f>
        <v>0</v>
      </c>
      <c r="K36" s="39">
        <f>SUM(K32:K34)</f>
        <v>0</v>
      </c>
      <c r="L36" s="61">
        <f>SUM(L32:L35)</f>
        <v>-42237</v>
      </c>
      <c r="M36" s="39">
        <f>SUM(M32:M35)</f>
        <v>-89098.158993430319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614004</v>
      </c>
      <c r="E39" s="65">
        <v>1324867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614004</v>
      </c>
      <c r="I39" s="66">
        <f t="shared" si="12"/>
        <v>1324867</v>
      </c>
      <c r="J39" s="60"/>
      <c r="K39" s="38"/>
      <c r="L39" s="60">
        <f t="shared" ref="L39:M41" si="14">H39+J39</f>
        <v>614004</v>
      </c>
      <c r="M39" s="38">
        <f t="shared" si="14"/>
        <v>1324867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-184841</v>
      </c>
      <c r="E40" s="65">
        <v>-356999</v>
      </c>
      <c r="F40" s="60">
        <f t="shared" si="13"/>
        <v>0</v>
      </c>
      <c r="G40" s="37">
        <f t="shared" si="13"/>
        <v>0</v>
      </c>
      <c r="H40" s="65">
        <f t="shared" si="12"/>
        <v>-184841</v>
      </c>
      <c r="I40" s="66">
        <f t="shared" si="12"/>
        <v>-356999</v>
      </c>
      <c r="J40" s="60"/>
      <c r="K40" s="38"/>
      <c r="L40" s="60">
        <f t="shared" si="14"/>
        <v>-184841</v>
      </c>
      <c r="M40" s="38">
        <f t="shared" si="14"/>
        <v>-356999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-184841</v>
      </c>
      <c r="E42" s="39">
        <v>-356999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-184841</v>
      </c>
      <c r="I42" s="39">
        <f>SUM(I40:I41)</f>
        <v>-356999</v>
      </c>
      <c r="J42" s="61">
        <f t="shared" si="15"/>
        <v>0</v>
      </c>
      <c r="K42" s="39">
        <f t="shared" si="15"/>
        <v>0</v>
      </c>
      <c r="L42" s="61">
        <f t="shared" si="15"/>
        <v>-184841</v>
      </c>
      <c r="M42" s="39">
        <f t="shared" si="15"/>
        <v>-356999</v>
      </c>
    </row>
    <row r="43" spans="1:13" ht="21" customHeight="1" x14ac:dyDescent="0.2">
      <c r="A43" s="9"/>
      <c r="B43" s="7" t="s">
        <v>51</v>
      </c>
      <c r="C43" s="6"/>
      <c r="D43" s="61">
        <v>429163</v>
      </c>
      <c r="E43" s="39">
        <v>967868</v>
      </c>
      <c r="F43" s="61">
        <f t="shared" ref="F43:M43" si="16">F42+F39</f>
        <v>0</v>
      </c>
      <c r="G43" s="39">
        <f t="shared" si="16"/>
        <v>0</v>
      </c>
      <c r="H43" s="61">
        <f>H42+H39</f>
        <v>429163</v>
      </c>
      <c r="I43" s="39">
        <f>I42+I39</f>
        <v>967868</v>
      </c>
      <c r="J43" s="61">
        <f t="shared" si="16"/>
        <v>0</v>
      </c>
      <c r="K43" s="39">
        <f t="shared" si="16"/>
        <v>0</v>
      </c>
      <c r="L43" s="61">
        <f t="shared" si="16"/>
        <v>429163</v>
      </c>
      <c r="M43" s="39">
        <f t="shared" si="16"/>
        <v>967868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-290973</v>
      </c>
      <c r="E51" s="65">
        <v>-574945</v>
      </c>
      <c r="F51" s="60">
        <f>H51-D51</f>
        <v>0</v>
      </c>
      <c r="G51" s="37">
        <f>I51-E51</f>
        <v>0</v>
      </c>
      <c r="H51" s="65">
        <f>D51</f>
        <v>-290973</v>
      </c>
      <c r="I51" s="66">
        <f>E51</f>
        <v>-574945</v>
      </c>
      <c r="J51" s="60"/>
      <c r="K51" s="38"/>
      <c r="L51" s="60">
        <f>H51+J51</f>
        <v>-290973</v>
      </c>
      <c r="M51" s="38">
        <f>I51+K51</f>
        <v>-574945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-242944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-242944</v>
      </c>
      <c r="J54" s="60"/>
      <c r="K54" s="38"/>
      <c r="L54" s="60">
        <f>H54+J54</f>
        <v>0</v>
      </c>
      <c r="M54" s="38">
        <f>I54+K54</f>
        <v>-242944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-2652722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-2652722</v>
      </c>
      <c r="J55" s="60"/>
      <c r="K55" s="38"/>
      <c r="L55" s="60">
        <f>H55+J55</f>
        <v>0</v>
      </c>
      <c r="M55" s="38">
        <f>I55+K55</f>
        <v>-2652722</v>
      </c>
    </row>
    <row r="56" spans="1:15" x14ac:dyDescent="0.2">
      <c r="A56" s="9"/>
      <c r="B56" s="7" t="s">
        <v>59</v>
      </c>
      <c r="C56" s="6"/>
      <c r="D56" s="61">
        <v>0</v>
      </c>
      <c r="E56" s="39">
        <v>-2895666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-2895666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-2895666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1493640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1493640</v>
      </c>
      <c r="J70" s="60"/>
      <c r="K70" s="38"/>
      <c r="L70" s="60">
        <f>H70+J70</f>
        <v>0</v>
      </c>
      <c r="M70" s="38">
        <f>I70+K70</f>
        <v>1493640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-709562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-709562</v>
      </c>
      <c r="J71" s="60"/>
      <c r="K71" s="38"/>
      <c r="L71" s="60">
        <f>H71+J71</f>
        <v>0</v>
      </c>
      <c r="M71" s="38">
        <f>I71+K71</f>
        <v>-709562</v>
      </c>
    </row>
    <row r="72" spans="1:13" x14ac:dyDescent="0.2">
      <c r="A72" s="9"/>
      <c r="B72" s="3"/>
      <c r="C72" s="55" t="s">
        <v>71</v>
      </c>
      <c r="D72" s="61">
        <v>0</v>
      </c>
      <c r="E72" s="39">
        <v>784078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784078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784078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-103453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-103453</v>
      </c>
      <c r="J74" s="60"/>
      <c r="K74" s="38"/>
      <c r="L74" s="60">
        <f t="shared" si="22"/>
        <v>0</v>
      </c>
      <c r="M74" s="38">
        <f t="shared" si="22"/>
        <v>-103453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111322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111322</v>
      </c>
      <c r="J75" s="60"/>
      <c r="K75" s="38"/>
      <c r="L75" s="60">
        <f t="shared" si="22"/>
        <v>0</v>
      </c>
      <c r="M75" s="38">
        <f t="shared" si="22"/>
        <v>111322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1642985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1642985</v>
      </c>
      <c r="J79" s="60"/>
      <c r="K79" s="38"/>
      <c r="L79" s="60">
        <f t="shared" si="22"/>
        <v>0</v>
      </c>
      <c r="M79" s="38">
        <f t="shared" si="22"/>
        <v>1642985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104136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104136</v>
      </c>
      <c r="J81" s="60"/>
      <c r="K81" s="38"/>
      <c r="L81" s="60">
        <f t="shared" si="22"/>
        <v>0</v>
      </c>
      <c r="M81" s="38">
        <f t="shared" si="22"/>
        <v>104136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656960.84100656956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656960.84100656956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656960.84100656956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181</v>
      </c>
      <c r="B85" s="3"/>
    </row>
    <row r="86" spans="1:67" s="3" customFormat="1" x14ac:dyDescent="0.2">
      <c r="A86" s="174"/>
      <c r="C86" s="10" t="s">
        <v>176</v>
      </c>
      <c r="D86" s="175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</row>
    <row r="87" spans="1:67" s="3" customFormat="1" x14ac:dyDescent="0.2">
      <c r="A87" s="174"/>
      <c r="C87" s="10" t="s">
        <v>73</v>
      </c>
      <c r="D87" s="176">
        <v>0</v>
      </c>
      <c r="E87" s="176"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</row>
    <row r="88" spans="1:67" s="3" customFormat="1" x14ac:dyDescent="0.2">
      <c r="A88" s="174"/>
      <c r="C88" s="10" t="s">
        <v>74</v>
      </c>
      <c r="D88" s="177">
        <v>0</v>
      </c>
      <c r="E88" s="177">
        <v>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4">SUM(E86:E88)</f>
        <v>0</v>
      </c>
      <c r="F89" s="185">
        <f t="shared" si="24"/>
        <v>0</v>
      </c>
      <c r="G89" s="185">
        <f t="shared" si="24"/>
        <v>0</v>
      </c>
      <c r="H89" s="185">
        <f t="shared" si="24"/>
        <v>0</v>
      </c>
      <c r="I89" s="185">
        <f t="shared" si="24"/>
        <v>0</v>
      </c>
      <c r="J89" s="185">
        <f t="shared" si="24"/>
        <v>0</v>
      </c>
      <c r="K89" s="185">
        <f t="shared" si="24"/>
        <v>0</v>
      </c>
      <c r="L89" s="185">
        <f t="shared" si="24"/>
        <v>0</v>
      </c>
      <c r="M89" s="18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5">+E82+E89</f>
        <v>656960.84100656956</v>
      </c>
      <c r="F91" s="185">
        <f t="shared" si="25"/>
        <v>0</v>
      </c>
      <c r="G91" s="185">
        <f t="shared" si="25"/>
        <v>0</v>
      </c>
      <c r="H91" s="185">
        <f t="shared" si="25"/>
        <v>0</v>
      </c>
      <c r="I91" s="185">
        <f t="shared" si="25"/>
        <v>656960.84100656956</v>
      </c>
      <c r="J91" s="185">
        <f t="shared" si="25"/>
        <v>0</v>
      </c>
      <c r="K91" s="185">
        <f t="shared" si="25"/>
        <v>0</v>
      </c>
      <c r="L91" s="185">
        <f t="shared" si="25"/>
        <v>0</v>
      </c>
      <c r="M91" s="185">
        <f t="shared" si="25"/>
        <v>656960.84100656956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70" activePane="bottomRight" state="frozen"/>
      <selection activeCell="A91" sqref="A91"/>
      <selection pane="topRight" activeCell="A91" sqref="A91"/>
      <selection pane="bottomLeft" activeCell="A91" sqref="A91"/>
      <selection pane="bottomRight" activeCell="M81" sqref="M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/>
      <c r="E70" s="38">
        <v>-3633759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-3633759</v>
      </c>
      <c r="J70" s="65"/>
      <c r="K70" s="38"/>
      <c r="L70" s="60">
        <f t="shared" si="21"/>
        <v>0</v>
      </c>
      <c r="M70" s="38">
        <f t="shared" si="21"/>
        <v>-3633759</v>
      </c>
    </row>
    <row r="71" spans="1:13" x14ac:dyDescent="0.2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-3633759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-3633759</v>
      </c>
    </row>
    <row r="73" spans="1:13" x14ac:dyDescent="0.2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6">
        <f t="shared" si="23"/>
        <v>3332759</v>
      </c>
      <c r="J81" s="60"/>
      <c r="K81" s="38"/>
      <c r="L81" s="60">
        <f t="shared" si="24"/>
        <v>0</v>
      </c>
      <c r="M81" s="38">
        <f t="shared" si="24"/>
        <v>3332759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-301000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-301000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7" zoomScale="75" workbookViewId="0">
      <selection activeCell="D93" sqref="D9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7020222</v>
      </c>
      <c r="E11" s="38">
        <v>16520575</v>
      </c>
      <c r="F11" s="60">
        <f>H11-D11</f>
        <v>0</v>
      </c>
      <c r="G11" s="37">
        <f>I11-E11</f>
        <v>0</v>
      </c>
      <c r="H11" s="65">
        <f>D11</f>
        <v>7020222</v>
      </c>
      <c r="I11" s="66">
        <f>E11</f>
        <v>16520575</v>
      </c>
      <c r="J11" s="60"/>
      <c r="K11" s="38"/>
      <c r="L11" s="60">
        <f t="shared" ref="L11:M15" si="0">H11+J11</f>
        <v>7020222</v>
      </c>
      <c r="M11" s="38">
        <f t="shared" si="0"/>
        <v>16520575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2232777</v>
      </c>
      <c r="E13" s="38">
        <v>5214825</v>
      </c>
      <c r="F13" s="60">
        <f t="shared" si="1"/>
        <v>0</v>
      </c>
      <c r="G13" s="37">
        <f t="shared" si="1"/>
        <v>0</v>
      </c>
      <c r="H13" s="65">
        <f t="shared" si="2"/>
        <v>2232777</v>
      </c>
      <c r="I13" s="66">
        <f t="shared" si="2"/>
        <v>5214825</v>
      </c>
      <c r="J13" s="60"/>
      <c r="K13" s="38"/>
      <c r="L13" s="60">
        <f t="shared" si="0"/>
        <v>2232777</v>
      </c>
      <c r="M13" s="38">
        <f t="shared" si="0"/>
        <v>5214825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9252999</v>
      </c>
      <c r="E16" s="39">
        <v>21735400</v>
      </c>
      <c r="F16" s="61">
        <f t="shared" ref="F16:M16" si="3">SUM(F11:F15)</f>
        <v>0</v>
      </c>
      <c r="G16" s="39">
        <f t="shared" si="3"/>
        <v>0</v>
      </c>
      <c r="H16" s="61">
        <f>SUM(H11:H15)</f>
        <v>9252999</v>
      </c>
      <c r="I16" s="39">
        <f>SUM(I11:I15)</f>
        <v>21735400</v>
      </c>
      <c r="J16" s="61">
        <f t="shared" si="3"/>
        <v>0</v>
      </c>
      <c r="K16" s="39">
        <f t="shared" si="3"/>
        <v>0</v>
      </c>
      <c r="L16" s="61">
        <f t="shared" si="3"/>
        <v>9252999</v>
      </c>
      <c r="M16" s="39">
        <f t="shared" si="3"/>
        <v>21735400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-6088585</v>
      </c>
      <c r="E19" s="38">
        <v>-14323204</v>
      </c>
      <c r="F19" s="60">
        <f>H19-D19</f>
        <v>0</v>
      </c>
      <c r="G19" s="37">
        <f>I19-E19</f>
        <v>0</v>
      </c>
      <c r="H19" s="65">
        <f t="shared" si="4"/>
        <v>-6088585</v>
      </c>
      <c r="I19" s="66">
        <f t="shared" si="4"/>
        <v>-14323204</v>
      </c>
      <c r="J19" s="60"/>
      <c r="K19" s="38"/>
      <c r="L19" s="60">
        <f t="shared" ref="L19:M23" si="5">H19+J19</f>
        <v>-6088585</v>
      </c>
      <c r="M19" s="38">
        <f t="shared" si="5"/>
        <v>-14323204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-2936881</v>
      </c>
      <c r="E21" s="38">
        <v>-6871475</v>
      </c>
      <c r="F21" s="60">
        <f t="shared" si="6"/>
        <v>0</v>
      </c>
      <c r="G21" s="37">
        <f t="shared" si="6"/>
        <v>0</v>
      </c>
      <c r="H21" s="65">
        <f t="shared" si="4"/>
        <v>-2936881</v>
      </c>
      <c r="I21" s="66">
        <f t="shared" si="4"/>
        <v>-6871475</v>
      </c>
      <c r="J21" s="60"/>
      <c r="K21" s="38"/>
      <c r="L21" s="60">
        <f t="shared" si="5"/>
        <v>-2936881</v>
      </c>
      <c r="M21" s="38">
        <f t="shared" si="5"/>
        <v>-6871475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-9025466</v>
      </c>
      <c r="E24" s="39">
        <v>-21194679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-9025466</v>
      </c>
      <c r="I24" s="39">
        <f>SUM(I19:I23)</f>
        <v>-21194679</v>
      </c>
      <c r="J24" s="61">
        <f t="shared" si="7"/>
        <v>0</v>
      </c>
      <c r="K24" s="39">
        <f t="shared" si="7"/>
        <v>0</v>
      </c>
      <c r="L24" s="61">
        <f t="shared" si="7"/>
        <v>-9025466</v>
      </c>
      <c r="M24" s="39">
        <f t="shared" si="7"/>
        <v>-21194679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-227533</v>
      </c>
      <c r="E33" s="38">
        <v>-532427.22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-227533</v>
      </c>
      <c r="I33" s="66">
        <f t="shared" si="9"/>
        <v>-532427.22</v>
      </c>
      <c r="J33" s="60"/>
      <c r="K33" s="38"/>
      <c r="L33" s="60">
        <f t="shared" si="10"/>
        <v>-227533</v>
      </c>
      <c r="M33" s="38">
        <f t="shared" si="10"/>
        <v>-532427.22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-227533</v>
      </c>
      <c r="E36" s="39">
        <v>-532427.22</v>
      </c>
      <c r="F36" s="61">
        <f>SUM(F32:F35)</f>
        <v>0</v>
      </c>
      <c r="G36" s="39">
        <f>SUM(G32:G35)</f>
        <v>0</v>
      </c>
      <c r="H36" s="61">
        <f>SUM(H32:H35)</f>
        <v>-227533</v>
      </c>
      <c r="I36" s="39">
        <f>SUM(I32:I35)</f>
        <v>-532427.22</v>
      </c>
      <c r="J36" s="61">
        <f>SUM(J32:J34)</f>
        <v>0</v>
      </c>
      <c r="K36" s="39">
        <f>SUM(K32:K34)</f>
        <v>0</v>
      </c>
      <c r="L36" s="61">
        <f>SUM(L32:L35)</f>
        <v>-227533</v>
      </c>
      <c r="M36" s="39">
        <f>SUM(M32:M35)</f>
        <v>-532427.22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-808256.63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-808256.63</v>
      </c>
      <c r="J70" s="65"/>
      <c r="K70" s="38"/>
      <c r="L70" s="60">
        <f t="shared" si="20"/>
        <v>0</v>
      </c>
      <c r="M70" s="38">
        <f t="shared" si="20"/>
        <v>-808256.63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952734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952734</v>
      </c>
      <c r="J71" s="65"/>
      <c r="K71" s="38"/>
      <c r="L71" s="60">
        <f t="shared" si="20"/>
        <v>0</v>
      </c>
      <c r="M71" s="38">
        <f t="shared" si="20"/>
        <v>952734</v>
      </c>
    </row>
    <row r="72" spans="1:13" x14ac:dyDescent="0.2">
      <c r="A72" s="9"/>
      <c r="B72" s="3"/>
      <c r="C72" s="55" t="s">
        <v>71</v>
      </c>
      <c r="D72" s="61">
        <v>0</v>
      </c>
      <c r="E72" s="39">
        <v>144477.37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144477.37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144477.37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80</v>
      </c>
      <c r="D81" s="60">
        <v>0</v>
      </c>
      <c r="E81" s="38">
        <v>-23232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-23232</v>
      </c>
      <c r="J81" s="60"/>
      <c r="K81" s="38"/>
      <c r="L81" s="60">
        <f t="shared" si="23"/>
        <v>0</v>
      </c>
      <c r="M81" s="38">
        <f t="shared" si="23"/>
        <v>-23232</v>
      </c>
    </row>
    <row r="82" spans="1:13" s="2" customFormat="1" ht="20.25" customHeight="1" thickBot="1" x14ac:dyDescent="0.25">
      <c r="A82" s="95"/>
      <c r="B82" s="30"/>
      <c r="C82" s="96" t="s">
        <v>178</v>
      </c>
      <c r="D82" s="73">
        <f>D16+D24+D29+D36+D43+D45+D47+D49</f>
        <v>0</v>
      </c>
      <c r="E82" s="74">
        <f>SUM(E72:E81)+E16+E24+E29+E36+E43+E45+E47+E49+E51+E56+E61+E66</f>
        <v>129539.15000000107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129539.15000000107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129539.15000000107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172</v>
      </c>
      <c r="B85" s="3"/>
      <c r="L85" s="45"/>
    </row>
    <row r="86" spans="1:13" s="3" customFormat="1" x14ac:dyDescent="0.2">
      <c r="A86" s="174"/>
      <c r="C86" s="10" t="s">
        <v>176</v>
      </c>
      <c r="D86" s="178">
        <v>0</v>
      </c>
      <c r="E86" s="178">
        <v>593800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593800</v>
      </c>
      <c r="J86" s="178"/>
      <c r="K86" s="178"/>
      <c r="L86" s="178">
        <f t="shared" ref="L86:M88" si="27">H86+J86</f>
        <v>0</v>
      </c>
      <c r="M86" s="178">
        <f t="shared" si="27"/>
        <v>593800</v>
      </c>
    </row>
    <row r="87" spans="1:13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13" s="3" customFormat="1" x14ac:dyDescent="0.2">
      <c r="A88" s="174"/>
      <c r="C88" s="10" t="s">
        <v>74</v>
      </c>
      <c r="D88" s="180">
        <v>0</v>
      </c>
      <c r="E88" s="180">
        <v>0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0</v>
      </c>
      <c r="J88" s="180"/>
      <c r="K88" s="180"/>
      <c r="L88" s="180">
        <f t="shared" si="27"/>
        <v>0</v>
      </c>
      <c r="M88" s="180">
        <f t="shared" si="27"/>
        <v>0</v>
      </c>
    </row>
    <row r="89" spans="1:13" s="2" customFormat="1" ht="20.25" customHeight="1" x14ac:dyDescent="0.2">
      <c r="A89" s="174"/>
      <c r="B89" s="4"/>
      <c r="C89" s="184" t="s">
        <v>179</v>
      </c>
      <c r="D89" s="185">
        <f>SUM(D86:D88)</f>
        <v>0</v>
      </c>
      <c r="E89" s="185">
        <f t="shared" ref="E89:M89" si="28">SUM(E86:E88)</f>
        <v>593800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593800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593800</v>
      </c>
    </row>
    <row r="90" spans="1:13" x14ac:dyDescent="0.2">
      <c r="A90" s="4"/>
      <c r="B90" s="3"/>
    </row>
    <row r="91" spans="1:13" s="2" customFormat="1" ht="20.25" customHeight="1" x14ac:dyDescent="0.2">
      <c r="A91" s="174"/>
      <c r="B91" s="4"/>
      <c r="C91" s="184" t="s">
        <v>177</v>
      </c>
      <c r="D91" s="185">
        <f>+D82+D89</f>
        <v>0</v>
      </c>
      <c r="E91" s="185">
        <f t="shared" ref="E91:M91" si="29">+E82+E89</f>
        <v>723339.15000000107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723339.15000000107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723339.15000000107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31" zoomScale="75" workbookViewId="0">
      <selection activeCell="E54" sqref="E5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6494610</v>
      </c>
      <c r="E11" s="65">
        <v>14058957</v>
      </c>
      <c r="F11" s="60">
        <f>H11-D11</f>
        <v>0</v>
      </c>
      <c r="G11" s="37">
        <f>I11-E11</f>
        <v>0</v>
      </c>
      <c r="H11" s="65">
        <f>D11</f>
        <v>6494610</v>
      </c>
      <c r="I11" s="66">
        <f>E11</f>
        <v>14058957</v>
      </c>
      <c r="J11" s="60"/>
      <c r="K11" s="38"/>
      <c r="L11" s="60">
        <f t="shared" ref="L11:M15" si="0">H11+J11</f>
        <v>6494610</v>
      </c>
      <c r="M11" s="38">
        <f t="shared" si="0"/>
        <v>14058957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22915213</v>
      </c>
      <c r="E13" s="65">
        <v>55028839</v>
      </c>
      <c r="F13" s="60">
        <f t="shared" si="1"/>
        <v>0</v>
      </c>
      <c r="G13" s="37">
        <f t="shared" si="1"/>
        <v>0</v>
      </c>
      <c r="H13" s="65">
        <f t="shared" si="2"/>
        <v>22915213</v>
      </c>
      <c r="I13" s="66">
        <f t="shared" si="2"/>
        <v>55028839</v>
      </c>
      <c r="J13" s="60"/>
      <c r="K13" s="38"/>
      <c r="L13" s="60">
        <f t="shared" si="0"/>
        <v>22915213</v>
      </c>
      <c r="M13" s="38">
        <f t="shared" si="0"/>
        <v>55028839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29409823</v>
      </c>
      <c r="E16" s="39">
        <v>69087796</v>
      </c>
      <c r="F16" s="61">
        <f t="shared" ref="F16:M16" si="3">SUM(F11:F15)</f>
        <v>0</v>
      </c>
      <c r="G16" s="39">
        <f t="shared" si="3"/>
        <v>0</v>
      </c>
      <c r="H16" s="61">
        <f>SUM(H11:H15)</f>
        <v>29409823</v>
      </c>
      <c r="I16" s="39">
        <f>SUM(I11:I15)</f>
        <v>69087796</v>
      </c>
      <c r="J16" s="61">
        <f t="shared" si="3"/>
        <v>0</v>
      </c>
      <c r="K16" s="39">
        <f t="shared" si="3"/>
        <v>0</v>
      </c>
      <c r="L16" s="61">
        <f t="shared" si="3"/>
        <v>29409823</v>
      </c>
      <c r="M16" s="39">
        <f t="shared" si="3"/>
        <v>69087796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-5863953</v>
      </c>
      <c r="E19" s="65">
        <v>-12124708</v>
      </c>
      <c r="F19" s="60">
        <f>H19-D19</f>
        <v>0</v>
      </c>
      <c r="G19" s="37">
        <f>I19-E19</f>
        <v>0</v>
      </c>
      <c r="H19" s="65">
        <f t="shared" si="4"/>
        <v>-5863953</v>
      </c>
      <c r="I19" s="66">
        <f t="shared" si="4"/>
        <v>-12124708</v>
      </c>
      <c r="J19" s="60"/>
      <c r="K19" s="38"/>
      <c r="L19" s="60">
        <f t="shared" ref="L19:M23" si="5">H19+J19</f>
        <v>-5863953</v>
      </c>
      <c r="M19" s="38">
        <f t="shared" si="5"/>
        <v>-12124708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-31274346</v>
      </c>
      <c r="E21" s="65">
        <v>-74695765</v>
      </c>
      <c r="F21" s="60">
        <f t="shared" si="6"/>
        <v>0</v>
      </c>
      <c r="G21" s="37">
        <f t="shared" si="6"/>
        <v>0</v>
      </c>
      <c r="H21" s="65">
        <f t="shared" si="4"/>
        <v>-31274346</v>
      </c>
      <c r="I21" s="66">
        <f t="shared" si="4"/>
        <v>-74695765</v>
      </c>
      <c r="J21" s="60"/>
      <c r="K21" s="38"/>
      <c r="L21" s="60">
        <f t="shared" si="5"/>
        <v>-31274346</v>
      </c>
      <c r="M21" s="38">
        <f t="shared" si="5"/>
        <v>-74695765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641864</v>
      </c>
      <c r="E23" s="65">
        <v>1467209</v>
      </c>
      <c r="F23" s="60">
        <f t="shared" si="6"/>
        <v>0</v>
      </c>
      <c r="G23" s="37">
        <f t="shared" si="6"/>
        <v>0</v>
      </c>
      <c r="H23" s="65">
        <f t="shared" si="4"/>
        <v>641864</v>
      </c>
      <c r="I23" s="66">
        <f t="shared" si="4"/>
        <v>1467209</v>
      </c>
      <c r="J23" s="60"/>
      <c r="K23" s="38"/>
      <c r="L23" s="60">
        <f t="shared" si="5"/>
        <v>641864</v>
      </c>
      <c r="M23" s="38">
        <f t="shared" si="5"/>
        <v>1467209</v>
      </c>
    </row>
    <row r="24" spans="1:13" x14ac:dyDescent="0.2">
      <c r="A24" s="9"/>
      <c r="B24" s="7" t="s">
        <v>35</v>
      </c>
      <c r="C24" s="6"/>
      <c r="D24" s="61">
        <v>-36496435</v>
      </c>
      <c r="E24" s="39">
        <v>-85353264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-36496435</v>
      </c>
      <c r="I24" s="39">
        <f>SUM(I19:I23)</f>
        <v>-85353264</v>
      </c>
      <c r="J24" s="61">
        <f t="shared" si="7"/>
        <v>0</v>
      </c>
      <c r="K24" s="39">
        <f t="shared" si="7"/>
        <v>0</v>
      </c>
      <c r="L24" s="61">
        <f t="shared" si="7"/>
        <v>-36496435</v>
      </c>
      <c r="M24" s="39">
        <f t="shared" si="7"/>
        <v>-85353264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5800</v>
      </c>
      <c r="E32" s="65">
        <v>14500</v>
      </c>
      <c r="F32" s="60">
        <f>H32-D32</f>
        <v>0</v>
      </c>
      <c r="G32" s="37">
        <f>I32-E32</f>
        <v>0</v>
      </c>
      <c r="H32" s="65">
        <f t="shared" ref="H32:I35" si="9">D32</f>
        <v>5800</v>
      </c>
      <c r="I32" s="66">
        <f t="shared" si="9"/>
        <v>14500</v>
      </c>
      <c r="J32" s="60"/>
      <c r="K32" s="38"/>
      <c r="L32" s="60">
        <f t="shared" ref="L32:M35" si="10">H32+J32</f>
        <v>5800</v>
      </c>
      <c r="M32" s="38">
        <f t="shared" si="10"/>
        <v>14500</v>
      </c>
    </row>
    <row r="33" spans="1:13" x14ac:dyDescent="0.2">
      <c r="A33" s="9">
        <v>14</v>
      </c>
      <c r="B33" s="7"/>
      <c r="C33" s="18" t="s">
        <v>42</v>
      </c>
      <c r="D33" s="65">
        <v>-237957</v>
      </c>
      <c r="E33" s="65">
        <v>-560626.69199999992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-237957</v>
      </c>
      <c r="I33" s="66">
        <f t="shared" si="9"/>
        <v>-560626.69199999992</v>
      </c>
      <c r="J33" s="60"/>
      <c r="K33" s="38"/>
      <c r="L33" s="60">
        <f t="shared" si="10"/>
        <v>-237957</v>
      </c>
      <c r="M33" s="38">
        <f t="shared" si="10"/>
        <v>-560626.69199999992</v>
      </c>
    </row>
    <row r="34" spans="1:13" x14ac:dyDescent="0.2">
      <c r="A34" s="9">
        <v>15</v>
      </c>
      <c r="B34" s="7"/>
      <c r="C34" s="18" t="s">
        <v>43</v>
      </c>
      <c r="D34" s="65">
        <v>3325</v>
      </c>
      <c r="E34" s="65">
        <v>8163</v>
      </c>
      <c r="F34" s="60">
        <f t="shared" si="11"/>
        <v>0</v>
      </c>
      <c r="G34" s="37">
        <f t="shared" si="11"/>
        <v>0</v>
      </c>
      <c r="H34" s="65">
        <f t="shared" si="9"/>
        <v>3325</v>
      </c>
      <c r="I34" s="66">
        <f t="shared" si="9"/>
        <v>8163</v>
      </c>
      <c r="J34" s="60"/>
      <c r="K34" s="38"/>
      <c r="L34" s="60">
        <f t="shared" si="10"/>
        <v>3325</v>
      </c>
      <c r="M34" s="38">
        <f t="shared" si="10"/>
        <v>8163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-228832</v>
      </c>
      <c r="E36" s="39">
        <v>-537963.69199999992</v>
      </c>
      <c r="F36" s="61">
        <f>SUM(F32:F35)</f>
        <v>0</v>
      </c>
      <c r="G36" s="39">
        <f>SUM(G32:G35)</f>
        <v>0</v>
      </c>
      <c r="H36" s="61">
        <f>SUM(H32:H35)</f>
        <v>-228832</v>
      </c>
      <c r="I36" s="39">
        <f>SUM(I32:I35)</f>
        <v>-537963.69199999992</v>
      </c>
      <c r="J36" s="61">
        <f>SUM(J32:J34)</f>
        <v>0</v>
      </c>
      <c r="K36" s="39">
        <f>SUM(K32:K34)</f>
        <v>0</v>
      </c>
      <c r="L36" s="61">
        <f>SUM(L32:L35)</f>
        <v>-228832</v>
      </c>
      <c r="M36" s="39">
        <f>SUM(M32:M35)</f>
        <v>-537963.69199999992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7315444</v>
      </c>
      <c r="E39" s="65">
        <v>18568485</v>
      </c>
      <c r="F39" s="60">
        <f t="shared" ref="F39:G41" si="13">H39-D39</f>
        <v>0</v>
      </c>
      <c r="G39" s="37">
        <f t="shared" si="13"/>
        <v>0</v>
      </c>
      <c r="H39" s="65">
        <f t="shared" si="12"/>
        <v>7315444</v>
      </c>
      <c r="I39" s="66">
        <f t="shared" si="12"/>
        <v>18568485</v>
      </c>
      <c r="J39" s="60"/>
      <c r="K39" s="38"/>
      <c r="L39" s="60">
        <f t="shared" ref="L39:M41" si="14">H39+J39</f>
        <v>7315444</v>
      </c>
      <c r="M39" s="38">
        <f t="shared" si="14"/>
        <v>18568485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7315444</v>
      </c>
      <c r="E43" s="39">
        <v>18568485</v>
      </c>
      <c r="F43" s="61">
        <f t="shared" ref="F43:M43" si="16">F42+F39</f>
        <v>0</v>
      </c>
      <c r="G43" s="39">
        <f t="shared" si="16"/>
        <v>0</v>
      </c>
      <c r="H43" s="61">
        <f>H42+H39</f>
        <v>7315444</v>
      </c>
      <c r="I43" s="39">
        <f>I42+I39</f>
        <v>18568485</v>
      </c>
      <c r="J43" s="61">
        <f t="shared" si="16"/>
        <v>0</v>
      </c>
      <c r="K43" s="39">
        <f t="shared" si="16"/>
        <v>0</v>
      </c>
      <c r="L43" s="61">
        <f t="shared" si="16"/>
        <v>7315444</v>
      </c>
      <c r="M43" s="39">
        <f t="shared" si="16"/>
        <v>18568485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-641864</v>
      </c>
      <c r="E51" s="65">
        <v>-1467209</v>
      </c>
      <c r="F51" s="60">
        <f>H51-D51</f>
        <v>0</v>
      </c>
      <c r="G51" s="37">
        <f>I51-E51</f>
        <v>0</v>
      </c>
      <c r="H51" s="65">
        <f>D51</f>
        <v>-641864</v>
      </c>
      <c r="I51" s="66">
        <f>E51</f>
        <v>-1467209</v>
      </c>
      <c r="J51" s="60"/>
      <c r="K51" s="38"/>
      <c r="L51" s="60">
        <f>H51+J51</f>
        <v>-641864</v>
      </c>
      <c r="M51" s="38">
        <f>I51+K51</f>
        <v>-1467209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-604318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-604318</v>
      </c>
      <c r="J54" s="60"/>
      <c r="K54" s="38"/>
      <c r="L54" s="60">
        <f>H54+J54</f>
        <v>0</v>
      </c>
      <c r="M54" s="38">
        <f>I54+K54</f>
        <v>-604318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-10559378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-10559378</v>
      </c>
      <c r="J55" s="60"/>
      <c r="K55" s="38"/>
      <c r="L55" s="60">
        <f>H55+J55</f>
        <v>0</v>
      </c>
      <c r="M55" s="38">
        <f>I55+K55</f>
        <v>-10559378</v>
      </c>
    </row>
    <row r="56" spans="1:15" x14ac:dyDescent="0.2">
      <c r="A56" s="9"/>
      <c r="B56" s="7" t="s">
        <v>59</v>
      </c>
      <c r="C56" s="6"/>
      <c r="D56" s="61">
        <v>0</v>
      </c>
      <c r="E56" s="39">
        <v>-11163696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-11163696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-11163696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5981501.7333007976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5981501.7333007976</v>
      </c>
      <c r="J70" s="65"/>
      <c r="K70" s="38"/>
      <c r="L70" s="60">
        <f t="shared" si="20"/>
        <v>0</v>
      </c>
      <c r="M70" s="38">
        <f t="shared" si="20"/>
        <v>5981501.7333007976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-7899743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-7899743</v>
      </c>
      <c r="J71" s="65"/>
      <c r="K71" s="38"/>
      <c r="L71" s="60">
        <f t="shared" si="20"/>
        <v>0</v>
      </c>
      <c r="M71" s="38">
        <f t="shared" si="20"/>
        <v>-7899743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-1918241.2666992024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-1918241.2666992024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-1918241.2666992024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2374526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2374526</v>
      </c>
      <c r="J74" s="60"/>
      <c r="K74" s="38"/>
      <c r="L74" s="60">
        <f t="shared" si="23"/>
        <v>0</v>
      </c>
      <c r="M74" s="38">
        <f t="shared" si="23"/>
        <v>2374526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10559378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10559378</v>
      </c>
      <c r="J79" s="60"/>
      <c r="K79" s="38"/>
      <c r="L79" s="60">
        <f t="shared" si="23"/>
        <v>0</v>
      </c>
      <c r="M79" s="38">
        <f t="shared" si="23"/>
        <v>10559378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149811.04130080529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149811.04130080529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149811.04130080529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Y46" activePane="bottomRight" state="frozen"/>
      <selection activeCell="X631" sqref="X631"/>
      <selection pane="topRight" activeCell="X631" sqref="X631"/>
      <selection pane="bottomLeft" activeCell="X631" sqref="X631"/>
      <selection pane="bottomRight" activeCell="AE75" sqref="AE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169</v>
      </c>
      <c r="I8" s="27"/>
      <c r="J8" s="26" t="s">
        <v>188</v>
      </c>
      <c r="K8" s="27"/>
      <c r="L8" s="26" t="s">
        <v>191</v>
      </c>
      <c r="M8" s="27"/>
      <c r="N8" s="26" t="s">
        <v>192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46988958</v>
      </c>
      <c r="E11" s="38">
        <f>SUM(G11,I11,K11,M11,O11,Q11,S11,U11,W11,Y11,AA11,AC11,AE11)</f>
        <v>113241030.24000001</v>
      </c>
      <c r="F11" s="60">
        <f>'TIE-OUT'!F11+RECLASS!F11</f>
        <v>0</v>
      </c>
      <c r="G11" s="38">
        <f>'TIE-OUT'!G11+RECLASS!G11</f>
        <v>-2280896</v>
      </c>
      <c r="H11" s="129">
        <f>+Actuals!E124</f>
        <v>45022264</v>
      </c>
      <c r="I11" s="130">
        <f>+Actuals!F124</f>
        <v>109975690.22</v>
      </c>
      <c r="J11" s="129">
        <f>+Actuals!G124</f>
        <v>1176371</v>
      </c>
      <c r="K11" s="130">
        <f>+Actuals!H124</f>
        <v>1201576.99</v>
      </c>
      <c r="L11" s="129">
        <f>+Actuals!I124</f>
        <v>741104</v>
      </c>
      <c r="M11" s="130">
        <f>+Actuals!J124</f>
        <v>3180462</v>
      </c>
      <c r="N11" s="129">
        <f>+Actuals!K124</f>
        <v>20702</v>
      </c>
      <c r="O11" s="130">
        <f>+Actuals!L124</f>
        <v>1081756.51</v>
      </c>
      <c r="P11" s="129">
        <f>+Actuals!M124</f>
        <v>0</v>
      </c>
      <c r="Q11" s="130">
        <f>+Actuals!N124</f>
        <v>0</v>
      </c>
      <c r="R11" s="129">
        <f>+Actuals!O124</f>
        <v>128</v>
      </c>
      <c r="S11" s="130">
        <f>+Actuals!P124</f>
        <v>290.43</v>
      </c>
      <c r="T11" s="129">
        <f>+Actuals!Q124</f>
        <v>2196</v>
      </c>
      <c r="U11" s="130">
        <f>+Actuals!R124</f>
        <v>5028.84</v>
      </c>
      <c r="V11" s="129">
        <f>+Actuals!S124</f>
        <v>1614</v>
      </c>
      <c r="W11" s="130">
        <f>+Actuals!T124</f>
        <v>3728.84</v>
      </c>
      <c r="X11" s="129">
        <f>+Actuals!U164</f>
        <v>-2</v>
      </c>
      <c r="Y11" s="130">
        <f>+Actuals!V164</f>
        <v>15325.1</v>
      </c>
      <c r="Z11" s="129">
        <f>+Actuals!W164</f>
        <v>25035</v>
      </c>
      <c r="AA11" s="130">
        <f>+Actuals!X164</f>
        <v>58936.75</v>
      </c>
      <c r="AB11" s="129">
        <f>+Actuals!Y164</f>
        <v>0</v>
      </c>
      <c r="AC11" s="130">
        <f>+Actuals!Z164</f>
        <v>0</v>
      </c>
      <c r="AD11" s="129">
        <f>+Actuals!AA164</f>
        <v>-454</v>
      </c>
      <c r="AE11" s="130">
        <f>+Actuals!AB164</f>
        <v>-869.44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-4081461.65</v>
      </c>
      <c r="F12" s="60">
        <f>'TIE-OUT'!F12+RECLASS!F12</f>
        <v>0</v>
      </c>
      <c r="G12" s="38">
        <f>'TIE-OUT'!G12+RECLASS!G12</f>
        <v>-4202208.63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+Actuals!H125-128590.52+249337.5</f>
        <v>120746.98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+Actuals!Y165</f>
        <v>0</v>
      </c>
      <c r="AC12" s="130">
        <f>+Actuals!Z165</f>
        <v>0</v>
      </c>
      <c r="AD12" s="129">
        <f>+Actuals!AA165</f>
        <v>0</v>
      </c>
      <c r="AE12" s="130">
        <f>+Actuals!AB165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19030434</v>
      </c>
      <c r="E13" s="38">
        <f t="shared" si="0"/>
        <v>43171267</v>
      </c>
      <c r="F13" s="60">
        <f>'TIE-OUT'!F13+RECLASS!F13</f>
        <v>0</v>
      </c>
      <c r="G13" s="38">
        <f>'TIE-OUT'!G13+RECLASS!G13</f>
        <v>0</v>
      </c>
      <c r="H13" s="129">
        <f>+Actuals!E126</f>
        <v>19030434</v>
      </c>
      <c r="I13" s="130">
        <f>+Actuals!F126</f>
        <v>43171267</v>
      </c>
      <c r="J13" s="129">
        <f>+Actuals!G126</f>
        <v>-239056</v>
      </c>
      <c r="K13" s="130">
        <f>+Actuals!H126</f>
        <v>-520123</v>
      </c>
      <c r="L13" s="129">
        <f>+Actuals!I126</f>
        <v>0</v>
      </c>
      <c r="M13" s="130">
        <f>+Actuals!J126</f>
        <v>0</v>
      </c>
      <c r="N13" s="129">
        <f>+Actuals!K126</f>
        <v>32147</v>
      </c>
      <c r="O13" s="130">
        <f>+Actuals!L126</f>
        <v>68236</v>
      </c>
      <c r="P13" s="129">
        <f>+Actuals!M126</f>
        <v>0</v>
      </c>
      <c r="Q13" s="130">
        <f>+Actuals!N126</f>
        <v>0</v>
      </c>
      <c r="R13" s="129">
        <f>+Actuals!O126</f>
        <v>1671369</v>
      </c>
      <c r="S13" s="130">
        <f>+Actuals!P126</f>
        <v>3786699</v>
      </c>
      <c r="T13" s="129">
        <f>+Actuals!Q126</f>
        <v>1671369</v>
      </c>
      <c r="U13" s="130">
        <f>+Actuals!R126</f>
        <v>3786699</v>
      </c>
      <c r="V13" s="129">
        <f>+Actuals!S126</f>
        <v>-3135829</v>
      </c>
      <c r="W13" s="130">
        <f>+Actuals!T126</f>
        <v>-7121511</v>
      </c>
      <c r="X13" s="129">
        <f>+Actuals!U166</f>
        <v>3135829</v>
      </c>
      <c r="Y13" s="130">
        <f>+Actuals!V166</f>
        <v>7121511</v>
      </c>
      <c r="Z13" s="129">
        <f>+Actuals!W166</f>
        <v>0</v>
      </c>
      <c r="AA13" s="130">
        <f>+Actuals!X166</f>
        <v>0</v>
      </c>
      <c r="AB13" s="129">
        <f>+Actuals!Y166</f>
        <v>-3135829</v>
      </c>
      <c r="AC13" s="130">
        <f>+Actuals!Z166</f>
        <v>-7121511</v>
      </c>
      <c r="AD13" s="129">
        <f>+Actuals!AA166</f>
        <v>0</v>
      </c>
      <c r="AE13" s="130">
        <f>+Actuals!AB166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+Actuals!Y167</f>
        <v>0</v>
      </c>
      <c r="AC14" s="130">
        <f>+Actuals!Z167</f>
        <v>0</v>
      </c>
      <c r="AD14" s="129">
        <f>+Actuals!AA167</f>
        <v>0</v>
      </c>
      <c r="AE14" s="130">
        <f>+Actuals!AB167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-1243774.74</v>
      </c>
      <c r="F15" s="81">
        <f>'TIE-OUT'!F15+RECLASS!F15</f>
        <v>0</v>
      </c>
      <c r="G15" s="82">
        <f>'TIE-OUT'!G15+RECLASS!G15</f>
        <v>-1452777.74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209000</v>
      </c>
      <c r="R15" s="129">
        <f>+Actuals!O128</f>
        <v>0</v>
      </c>
      <c r="S15" s="131">
        <f>+Actuals!P128</f>
        <v>0</v>
      </c>
      <c r="T15" s="129">
        <f>+Actuals!Q128</f>
        <v>0</v>
      </c>
      <c r="U15" s="131">
        <f>+Actuals!R128</f>
        <v>0</v>
      </c>
      <c r="V15" s="129">
        <f>+Actuals!S128</f>
        <v>0</v>
      </c>
      <c r="W15" s="131">
        <f>+Actuals!T128</f>
        <v>0</v>
      </c>
      <c r="X15" s="129">
        <f>+Actuals!U168</f>
        <v>0</v>
      </c>
      <c r="Y15" s="130">
        <f>+Actuals!V168</f>
        <v>0</v>
      </c>
      <c r="Z15" s="129">
        <f>+Actuals!W168</f>
        <v>0</v>
      </c>
      <c r="AA15" s="131">
        <f>+Actuals!X168</f>
        <v>3</v>
      </c>
      <c r="AB15" s="129">
        <f>+Actuals!Y168</f>
        <v>0</v>
      </c>
      <c r="AC15" s="131">
        <f>+Actuals!Z168</f>
        <v>0</v>
      </c>
      <c r="AD15" s="129">
        <f>+Actuals!AA168</f>
        <v>0</v>
      </c>
      <c r="AE15" s="131">
        <f>+Actuals!AB168</f>
        <v>0</v>
      </c>
    </row>
    <row r="16" spans="1:31" x14ac:dyDescent="0.2">
      <c r="A16" s="9"/>
      <c r="B16" s="7" t="s">
        <v>32</v>
      </c>
      <c r="C16" s="6"/>
      <c r="D16" s="61">
        <f t="shared" ref="D16:I16" si="1">SUM(D11:D15)</f>
        <v>66019392</v>
      </c>
      <c r="E16" s="39">
        <f t="shared" si="1"/>
        <v>151087060.84999999</v>
      </c>
      <c r="F16" s="61">
        <f t="shared" si="1"/>
        <v>0</v>
      </c>
      <c r="G16" s="39">
        <f t="shared" si="1"/>
        <v>-7935882.3700000001</v>
      </c>
      <c r="H16" s="61">
        <f t="shared" si="1"/>
        <v>64052698</v>
      </c>
      <c r="I16" s="82">
        <f t="shared" si="1"/>
        <v>153146957.22</v>
      </c>
      <c r="J16" s="61">
        <f t="shared" ref="J16:Y16" si="2">SUM(J11:J15)</f>
        <v>937315</v>
      </c>
      <c r="K16" s="82">
        <f t="shared" si="2"/>
        <v>802200.97</v>
      </c>
      <c r="L16" s="61">
        <f t="shared" si="2"/>
        <v>741104</v>
      </c>
      <c r="M16" s="82">
        <f t="shared" si="2"/>
        <v>3180462</v>
      </c>
      <c r="N16" s="61">
        <f t="shared" si="2"/>
        <v>52849</v>
      </c>
      <c r="O16" s="82">
        <f t="shared" si="2"/>
        <v>1149992.51</v>
      </c>
      <c r="P16" s="61">
        <f t="shared" si="2"/>
        <v>0</v>
      </c>
      <c r="Q16" s="82">
        <f t="shared" si="2"/>
        <v>209000</v>
      </c>
      <c r="R16" s="61">
        <f t="shared" si="2"/>
        <v>1671497</v>
      </c>
      <c r="S16" s="82">
        <f t="shared" si="2"/>
        <v>3786989.43</v>
      </c>
      <c r="T16" s="61">
        <f t="shared" si="2"/>
        <v>1673565</v>
      </c>
      <c r="U16" s="82">
        <f t="shared" si="2"/>
        <v>3791727.84</v>
      </c>
      <c r="V16" s="61">
        <f t="shared" si="2"/>
        <v>-3134215</v>
      </c>
      <c r="W16" s="82">
        <f t="shared" si="2"/>
        <v>-7117782.1600000001</v>
      </c>
      <c r="X16" s="61">
        <f t="shared" si="2"/>
        <v>3135827</v>
      </c>
      <c r="Y16" s="39">
        <f t="shared" si="2"/>
        <v>7136836.0999999996</v>
      </c>
      <c r="Z16" s="61">
        <f t="shared" ref="Z16:AE16" si="3">SUM(Z11:Z15)</f>
        <v>25035</v>
      </c>
      <c r="AA16" s="82">
        <f t="shared" si="3"/>
        <v>58939.75</v>
      </c>
      <c r="AB16" s="61">
        <f t="shared" si="3"/>
        <v>-3135829</v>
      </c>
      <c r="AC16" s="82">
        <f t="shared" si="3"/>
        <v>-7121511</v>
      </c>
      <c r="AD16" s="61">
        <f t="shared" si="3"/>
        <v>-454</v>
      </c>
      <c r="AE16" s="82">
        <f t="shared" si="3"/>
        <v>-869.44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SUM(F19,H19,J19,L19,N19,P19,R19,T19,V19,X19,Z19,AB19,AD19)</f>
        <v>-47210656</v>
      </c>
      <c r="E19" s="38">
        <f t="shared" si="4"/>
        <v>-103773340.03999996</v>
      </c>
      <c r="F19" s="64">
        <f>'TIE-OUT'!F19+RECLASS!F19</f>
        <v>0</v>
      </c>
      <c r="G19" s="68">
        <f>'TIE-OUT'!G19+RECLASS!G19</f>
        <v>0</v>
      </c>
      <c r="H19" s="129">
        <f>+Actuals!E129</f>
        <v>-47340701</v>
      </c>
      <c r="I19" s="130">
        <f>+Actuals!F129</f>
        <v>-104702378.75999999</v>
      </c>
      <c r="J19" s="129">
        <f>+Actuals!G129</f>
        <v>524002</v>
      </c>
      <c r="K19" s="130">
        <f>+Actuals!H129</f>
        <v>986906.3</v>
      </c>
      <c r="L19" s="129">
        <f>+Actuals!I129</f>
        <v>-373578</v>
      </c>
      <c r="M19" s="130">
        <f>+Actuals!J129</f>
        <v>-471056.82</v>
      </c>
      <c r="N19" s="129">
        <f>+Actuals!K129</f>
        <v>13233</v>
      </c>
      <c r="O19" s="130">
        <f>+Actuals!L129</f>
        <v>17164</v>
      </c>
      <c r="P19" s="129">
        <f>+Actuals!M129</f>
        <v>-894</v>
      </c>
      <c r="Q19" s="130">
        <f>+Actuals!N129</f>
        <v>457324.54</v>
      </c>
      <c r="R19" s="129">
        <f>+Actuals!O129</f>
        <v>-20265</v>
      </c>
      <c r="S19" s="130">
        <f>+Actuals!P129</f>
        <v>-43791.16</v>
      </c>
      <c r="T19" s="129">
        <f>+Actuals!Q129</f>
        <v>0</v>
      </c>
      <c r="U19" s="130">
        <f>+Actuals!R129</f>
        <v>1300.429999999993</v>
      </c>
      <c r="V19" s="129">
        <f>+Actuals!S129</f>
        <v>-15000</v>
      </c>
      <c r="W19" s="130">
        <f>+Actuals!T129</f>
        <v>-19842.88</v>
      </c>
      <c r="X19" s="129">
        <f>+Actuals!U169</f>
        <v>2203</v>
      </c>
      <c r="Y19" s="130">
        <f>+Actuals!V169</f>
        <v>1729.33</v>
      </c>
      <c r="Z19" s="129">
        <f>+Actuals!W169</f>
        <v>0</v>
      </c>
      <c r="AA19" s="130">
        <f>+Actuals!X169</f>
        <v>0.28999999999999998</v>
      </c>
      <c r="AB19" s="129">
        <f>+Actuals!Y169</f>
        <v>-140</v>
      </c>
      <c r="AC19" s="130">
        <f>+Actuals!Z169</f>
        <v>-1588.04</v>
      </c>
      <c r="AD19" s="129">
        <f>+Actuals!AA169</f>
        <v>484</v>
      </c>
      <c r="AE19" s="130">
        <f>+Actuals!AB169</f>
        <v>892.73</v>
      </c>
    </row>
    <row r="20" spans="1:3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-874736.80999999994</v>
      </c>
      <c r="F20" s="60">
        <f>'TIE-OUT'!F20+RECLASS!F20</f>
        <v>0</v>
      </c>
      <c r="G20" s="38">
        <f>'TIE-OUT'!G20+RECLASS!G20</f>
        <v>-874736.80999999994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+Actuals!Y170</f>
        <v>0</v>
      </c>
      <c r="AC20" s="130">
        <f>+Actuals!Z170</f>
        <v>0</v>
      </c>
      <c r="AD20" s="129">
        <f>+Actuals!AA170</f>
        <v>0</v>
      </c>
      <c r="AE20" s="130">
        <f>+Actuals!AB170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4"/>
        <v>-18815314</v>
      </c>
      <c r="E21" s="38">
        <f t="shared" si="4"/>
        <v>-42663071</v>
      </c>
      <c r="F21" s="60">
        <f>'TIE-OUT'!F21+RECLASS!F21</f>
        <v>0</v>
      </c>
      <c r="G21" s="38">
        <f>'TIE-OUT'!G21+RECLASS!G21</f>
        <v>0</v>
      </c>
      <c r="H21" s="129">
        <f>+Actuals!E131</f>
        <v>-18815314</v>
      </c>
      <c r="I21" s="130">
        <f>+Actuals!F131</f>
        <v>-42663071</v>
      </c>
      <c r="J21" s="129">
        <f>+Actuals!G131</f>
        <v>489499</v>
      </c>
      <c r="K21" s="130">
        <f>+Actuals!H131</f>
        <v>1090332</v>
      </c>
      <c r="L21" s="129">
        <f>+Actuals!I131</f>
        <v>0</v>
      </c>
      <c r="M21" s="130">
        <f>+Actuals!J131</f>
        <v>0</v>
      </c>
      <c r="N21" s="129">
        <f>+Actuals!K131</f>
        <v>-46369</v>
      </c>
      <c r="O21" s="130">
        <f>+Actuals!L131</f>
        <v>-107582</v>
      </c>
      <c r="P21" s="129">
        <f>+Actuals!M131</f>
        <v>0</v>
      </c>
      <c r="Q21" s="130">
        <f>+Actuals!N131</f>
        <v>0</v>
      </c>
      <c r="R21" s="129">
        <f>+Actuals!O131</f>
        <v>-1671369</v>
      </c>
      <c r="S21" s="130">
        <f>+Actuals!P131</f>
        <v>-3786699</v>
      </c>
      <c r="T21" s="129">
        <f>+Actuals!Q131</f>
        <v>-1671369</v>
      </c>
      <c r="U21" s="130">
        <f>+Actuals!R131</f>
        <v>-3786699</v>
      </c>
      <c r="V21" s="129">
        <f>+Actuals!S131</f>
        <v>2899608</v>
      </c>
      <c r="W21" s="130">
        <f>+Actuals!T131</f>
        <v>6590648</v>
      </c>
      <c r="X21" s="129">
        <f>+Actuals!U171</f>
        <v>-2899608</v>
      </c>
      <c r="Y21" s="130">
        <f>+Actuals!V171</f>
        <v>-6590648</v>
      </c>
      <c r="Z21" s="129">
        <f>+Actuals!W171</f>
        <v>0</v>
      </c>
      <c r="AA21" s="130">
        <f>+Actuals!X171</f>
        <v>0</v>
      </c>
      <c r="AB21" s="129">
        <f>+Actuals!Y171</f>
        <v>2899608</v>
      </c>
      <c r="AC21" s="130">
        <f>+Actuals!Z171</f>
        <v>6590648</v>
      </c>
      <c r="AD21" s="129">
        <f>+Actuals!AA171</f>
        <v>0</v>
      </c>
      <c r="AE21" s="130">
        <f>+Actuals!AB171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+Actuals!Y172</f>
        <v>0</v>
      </c>
      <c r="AC22" s="130">
        <f>+Actuals!Z172</f>
        <v>0</v>
      </c>
      <c r="AD22" s="129">
        <f>+Actuals!AA172</f>
        <v>0</v>
      </c>
      <c r="AE22" s="130">
        <f>+Actuals!AB172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4"/>
        <v>552798</v>
      </c>
      <c r="E23" s="38">
        <f t="shared" si="4"/>
        <v>1252640.2660000001</v>
      </c>
      <c r="F23" s="81">
        <f>'TIE-OUT'!F23+RECLASS!F23</f>
        <v>0</v>
      </c>
      <c r="G23" s="82">
        <f>'TIE-OUT'!G23+RECLASS!G23</f>
        <v>0</v>
      </c>
      <c r="H23" s="129">
        <f>+Actuals!E133</f>
        <v>540180</v>
      </c>
      <c r="I23" s="131">
        <f>+Actuals!F133</f>
        <v>1224047.8799999999</v>
      </c>
      <c r="J23" s="129">
        <f>+Actuals!G133</f>
        <v>18158</v>
      </c>
      <c r="K23" s="131">
        <f>+Actuals!H133</f>
        <v>41146.03</v>
      </c>
      <c r="L23" s="129">
        <f>+Actuals!I133</f>
        <v>-5231</v>
      </c>
      <c r="M23" s="131">
        <f>+Actuals!J133</f>
        <v>-11853.45</v>
      </c>
      <c r="N23" s="129">
        <f>+Actuals!K133</f>
        <v>-258</v>
      </c>
      <c r="O23" s="131">
        <f>+Actuals!L133</f>
        <v>-584.62800000000004</v>
      </c>
      <c r="P23" s="129">
        <f>+Actuals!M133</f>
        <v>0</v>
      </c>
      <c r="Q23" s="131">
        <f>+Actuals!N133</f>
        <v>0</v>
      </c>
      <c r="R23" s="129">
        <f>+Actuals!O133</f>
        <v>229</v>
      </c>
      <c r="S23" s="131">
        <f>+Actuals!P133</f>
        <v>518.91399999999999</v>
      </c>
      <c r="T23" s="129">
        <f>+Actuals!Q133</f>
        <v>17</v>
      </c>
      <c r="U23" s="131">
        <f>+Actuals!R133</f>
        <v>38.521999999999998</v>
      </c>
      <c r="V23" s="129">
        <f>+Actuals!S133</f>
        <v>-552</v>
      </c>
      <c r="W23" s="131">
        <f>+Actuals!T133</f>
        <v>-1250.8320000000001</v>
      </c>
      <c r="X23" s="129">
        <f>+Actuals!U173</f>
        <v>230</v>
      </c>
      <c r="Y23" s="130">
        <f>+Actuals!V173</f>
        <v>521.17999999999995</v>
      </c>
      <c r="Z23" s="129">
        <f>+Actuals!W173</f>
        <v>0</v>
      </c>
      <c r="AA23" s="131">
        <f>+Actuals!X173</f>
        <v>0</v>
      </c>
      <c r="AB23" s="129">
        <f>+Actuals!Y173</f>
        <v>25</v>
      </c>
      <c r="AC23" s="131">
        <f>+Actuals!Z173</f>
        <v>56.65</v>
      </c>
      <c r="AD23" s="129">
        <f>+Actuals!AA173</f>
        <v>0</v>
      </c>
      <c r="AE23" s="131">
        <f>+Actuals!AB173</f>
        <v>0</v>
      </c>
    </row>
    <row r="24" spans="1:31" x14ac:dyDescent="0.2">
      <c r="A24" s="9"/>
      <c r="B24" s="7" t="s">
        <v>35</v>
      </c>
      <c r="C24" s="6"/>
      <c r="D24" s="61">
        <f t="shared" ref="D24:I24" si="5">SUM(D19:D23)</f>
        <v>-65473172</v>
      </c>
      <c r="E24" s="39">
        <f t="shared" si="5"/>
        <v>-146058507.58399996</v>
      </c>
      <c r="F24" s="61">
        <f t="shared" si="5"/>
        <v>0</v>
      </c>
      <c r="G24" s="39">
        <f t="shared" si="5"/>
        <v>-874736.80999999994</v>
      </c>
      <c r="H24" s="61">
        <f t="shared" si="5"/>
        <v>-65615835</v>
      </c>
      <c r="I24" s="39">
        <f t="shared" si="5"/>
        <v>-146141401.88</v>
      </c>
      <c r="J24" s="61">
        <f t="shared" ref="J24:Y24" si="6">SUM(J19:J23)</f>
        <v>1031659</v>
      </c>
      <c r="K24" s="39">
        <f t="shared" si="6"/>
        <v>2118384.33</v>
      </c>
      <c r="L24" s="61">
        <f t="shared" si="6"/>
        <v>-378809</v>
      </c>
      <c r="M24" s="39">
        <f t="shared" si="6"/>
        <v>-482910.27</v>
      </c>
      <c r="N24" s="61">
        <f t="shared" si="6"/>
        <v>-33394</v>
      </c>
      <c r="O24" s="39">
        <f t="shared" si="6"/>
        <v>-91002.627999999997</v>
      </c>
      <c r="P24" s="61">
        <f t="shared" si="6"/>
        <v>-894</v>
      </c>
      <c r="Q24" s="39">
        <f t="shared" si="6"/>
        <v>457324.54</v>
      </c>
      <c r="R24" s="61">
        <f t="shared" si="6"/>
        <v>-1691405</v>
      </c>
      <c r="S24" s="39">
        <f t="shared" si="6"/>
        <v>-3829971.2460000003</v>
      </c>
      <c r="T24" s="61">
        <f t="shared" si="6"/>
        <v>-1671352</v>
      </c>
      <c r="U24" s="39">
        <f t="shared" si="6"/>
        <v>-3785360.048</v>
      </c>
      <c r="V24" s="61">
        <f t="shared" si="6"/>
        <v>2884056</v>
      </c>
      <c r="W24" s="39">
        <f t="shared" si="6"/>
        <v>6569554.2879999997</v>
      </c>
      <c r="X24" s="61">
        <f t="shared" si="6"/>
        <v>-2897175</v>
      </c>
      <c r="Y24" s="39">
        <f t="shared" si="6"/>
        <v>-6588397.4900000002</v>
      </c>
      <c r="Z24" s="61">
        <f t="shared" ref="Z24:AE24" si="7">SUM(Z19:Z23)</f>
        <v>0</v>
      </c>
      <c r="AA24" s="39">
        <f t="shared" si="7"/>
        <v>0.28999999999999998</v>
      </c>
      <c r="AB24" s="61">
        <f t="shared" si="7"/>
        <v>2899493</v>
      </c>
      <c r="AC24" s="39">
        <f t="shared" si="7"/>
        <v>6589116.6100000003</v>
      </c>
      <c r="AD24" s="61">
        <f t="shared" si="7"/>
        <v>484</v>
      </c>
      <c r="AE24" s="39">
        <f t="shared" si="7"/>
        <v>892.73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8901</v>
      </c>
      <c r="E27" s="38">
        <f>SUM(G27,I27,K27,M27,O27,Q27,S27,U27,W27,Y27,AA27,AC27,AE27)</f>
        <v>19849.23</v>
      </c>
      <c r="F27" s="64">
        <f>'TIE-OUT'!F27+RECLASS!F27</f>
        <v>0</v>
      </c>
      <c r="G27" s="68">
        <f>'TIE-OUT'!G27+RECLASS!G27</f>
        <v>0</v>
      </c>
      <c r="H27" s="129">
        <f>+Actuals!E134</f>
        <v>8901</v>
      </c>
      <c r="I27" s="130">
        <f>+Actuals!F134</f>
        <v>19849.23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+Actuals!Y174</f>
        <v>0</v>
      </c>
      <c r="AC27" s="130">
        <f>+Actuals!Z174</f>
        <v>0</v>
      </c>
      <c r="AD27" s="129">
        <f>+Actuals!AA174</f>
        <v>0</v>
      </c>
      <c r="AE27" s="130">
        <f>+Actuals!AB174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-18600</v>
      </c>
      <c r="E28" s="38">
        <f>SUM(G28,I28,K28,M28,O28,Q28,S28,U28,W28,Y28,AA28,AC28,AE28)</f>
        <v>-42180.15</v>
      </c>
      <c r="F28" s="81">
        <f>'TIE-OUT'!F28+RECLASS!F28</f>
        <v>0</v>
      </c>
      <c r="G28" s="82">
        <f>'TIE-OUT'!G28+RECLASS!G28</f>
        <v>0</v>
      </c>
      <c r="H28" s="129">
        <f>+Actuals!E135</f>
        <v>-18600</v>
      </c>
      <c r="I28" s="130">
        <f>+Actuals!F135</f>
        <v>-42180.15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+Actuals!U175</f>
        <v>0</v>
      </c>
      <c r="Y28" s="130">
        <f>+Actuals!V175</f>
        <v>0</v>
      </c>
      <c r="Z28" s="129">
        <f>+Actuals!W175</f>
        <v>0</v>
      </c>
      <c r="AA28" s="130">
        <f>+Actuals!X175</f>
        <v>0</v>
      </c>
      <c r="AB28" s="129">
        <f>+Actuals!Y175</f>
        <v>0</v>
      </c>
      <c r="AC28" s="130">
        <f>+Actuals!Z175</f>
        <v>0</v>
      </c>
      <c r="AD28" s="129">
        <f>+Actuals!AA175</f>
        <v>0</v>
      </c>
      <c r="AE28" s="130">
        <f>+Actuals!AB175</f>
        <v>0</v>
      </c>
    </row>
    <row r="29" spans="1:31" x14ac:dyDescent="0.2">
      <c r="A29" s="9"/>
      <c r="B29" s="7" t="s">
        <v>39</v>
      </c>
      <c r="C29" s="18"/>
      <c r="D29" s="61">
        <f t="shared" ref="D29:I29" si="8">SUM(D27:D28)</f>
        <v>-9699</v>
      </c>
      <c r="E29" s="39">
        <f t="shared" si="8"/>
        <v>-22330.920000000002</v>
      </c>
      <c r="F29" s="61">
        <f t="shared" si="8"/>
        <v>0</v>
      </c>
      <c r="G29" s="39">
        <f t="shared" si="8"/>
        <v>0</v>
      </c>
      <c r="H29" s="61">
        <f t="shared" si="8"/>
        <v>-9699</v>
      </c>
      <c r="I29" s="39">
        <f t="shared" si="8"/>
        <v>-22330.920000000002</v>
      </c>
      <c r="J29" s="61">
        <f t="shared" ref="J29:Y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SUM(F32,H32,J32,L32,N32,P32,R32,T32,V32,X32,Z32,AB32,AD32)</f>
        <v>-234691</v>
      </c>
      <c r="E32" s="38">
        <f t="shared" si="11"/>
        <v>-532329.47799999977</v>
      </c>
      <c r="F32" s="64">
        <f>'TIE-OUT'!F32+RECLASS!F32</f>
        <v>0</v>
      </c>
      <c r="G32" s="68">
        <f>'TIE-OUT'!G32+RECLASS!G32</f>
        <v>0</v>
      </c>
      <c r="H32" s="129">
        <f>+Actuals!E136</f>
        <v>105792</v>
      </c>
      <c r="I32" s="130">
        <f>+Actuals!F136</f>
        <v>239724.67</v>
      </c>
      <c r="J32" s="129">
        <f>+Actuals!G136</f>
        <v>-138715</v>
      </c>
      <c r="K32" s="130">
        <f>+Actuals!H136</f>
        <v>-310897.61</v>
      </c>
      <c r="L32" s="129">
        <f>+Actuals!I136</f>
        <v>21442</v>
      </c>
      <c r="M32" s="130">
        <f>+Actuals!J136</f>
        <v>47729.89</v>
      </c>
      <c r="N32" s="129">
        <f>+Actuals!K136</f>
        <v>-41689</v>
      </c>
      <c r="O32" s="130">
        <f>+Actuals!L136</f>
        <v>-62514.272000000004</v>
      </c>
      <c r="P32" s="129">
        <f>+Actuals!M136</f>
        <v>-20905</v>
      </c>
      <c r="Q32" s="130">
        <f>+Actuals!N136</f>
        <v>-90770.559999999998</v>
      </c>
      <c r="R32" s="129">
        <f>+Actuals!O136</f>
        <v>29777</v>
      </c>
      <c r="S32" s="130">
        <f>+Actuals!P136</f>
        <v>79779.13</v>
      </c>
      <c r="T32" s="129">
        <f>+Actuals!Q136</f>
        <v>-213605</v>
      </c>
      <c r="U32" s="130">
        <f>+Actuals!R136</f>
        <v>-484548.54</v>
      </c>
      <c r="V32" s="129">
        <f>+Actuals!S136</f>
        <v>-2018</v>
      </c>
      <c r="W32" s="130">
        <f>+Actuals!T136</f>
        <v>-4572.7879999999996</v>
      </c>
      <c r="X32" s="129">
        <f>+Actuals!U176</f>
        <v>-10992</v>
      </c>
      <c r="Y32" s="130">
        <f>+Actuals!V176</f>
        <v>-24907.871999999999</v>
      </c>
      <c r="Z32" s="129">
        <f>+Actuals!W176</f>
        <v>31538</v>
      </c>
      <c r="AA32" s="130">
        <f>+Actuals!X176</f>
        <v>68034.53</v>
      </c>
      <c r="AB32" s="129">
        <f>+Actuals!Y176</f>
        <v>4714</v>
      </c>
      <c r="AC32" s="130">
        <f>+Actuals!Z176</f>
        <v>10681.924000000001</v>
      </c>
      <c r="AD32" s="129">
        <f>+Actuals!AA176</f>
        <v>-30</v>
      </c>
      <c r="AE32" s="130">
        <f>+Actuals!AB176</f>
        <v>-67.98</v>
      </c>
    </row>
    <row r="33" spans="1:31" x14ac:dyDescent="0.2">
      <c r="A33" s="9">
        <v>14</v>
      </c>
      <c r="B33" s="7"/>
      <c r="C33" s="18" t="s">
        <v>42</v>
      </c>
      <c r="D33" s="60">
        <f t="shared" si="11"/>
        <v>-19231</v>
      </c>
      <c r="E33" s="38">
        <f t="shared" si="11"/>
        <v>-44195.33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0</v>
      </c>
      <c r="O33" s="130">
        <f>+Actuals!L137</f>
        <v>0</v>
      </c>
      <c r="P33" s="129">
        <f>+Actuals!M137</f>
        <v>0</v>
      </c>
      <c r="Q33" s="130">
        <f>+Actuals!N137</f>
        <v>0</v>
      </c>
      <c r="R33" s="129">
        <f>+Actuals!O137</f>
        <v>-1908</v>
      </c>
      <c r="S33" s="130">
        <f>+Actuals!P137</f>
        <v>-5784.87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+Actuals!U177</f>
        <v>-15040</v>
      </c>
      <c r="Y33" s="130">
        <f>+Actuals!V177</f>
        <v>-33403.839999999997</v>
      </c>
      <c r="Z33" s="129">
        <f>+Actuals!W177</f>
        <v>0</v>
      </c>
      <c r="AA33" s="130">
        <f>+Actuals!X177</f>
        <v>0</v>
      </c>
      <c r="AB33" s="129">
        <f>+Actuals!Y177</f>
        <v>-2283</v>
      </c>
      <c r="AC33" s="130">
        <f>+Actuals!Z177</f>
        <v>-5006.62</v>
      </c>
      <c r="AD33" s="129">
        <f>+Actuals!AA177</f>
        <v>0</v>
      </c>
      <c r="AE33" s="130">
        <f>+Actuals!AB177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11"/>
        <v>1046</v>
      </c>
      <c r="E34" s="38">
        <f t="shared" si="11"/>
        <v>2322.9499999999998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0</v>
      </c>
      <c r="O34" s="130">
        <f>+Actuals!L138</f>
        <v>0</v>
      </c>
      <c r="P34" s="129">
        <f>+Actuals!M138</f>
        <v>0</v>
      </c>
      <c r="Q34" s="130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1041</v>
      </c>
      <c r="W34" s="130">
        <f>+Actuals!T138</f>
        <v>2311.85</v>
      </c>
      <c r="X34" s="129">
        <f>+Actuals!U178</f>
        <v>5</v>
      </c>
      <c r="Y34" s="130">
        <f>+Actuals!V178</f>
        <v>11.1</v>
      </c>
      <c r="Z34" s="129">
        <f>+Actuals!W178</f>
        <v>0</v>
      </c>
      <c r="AA34" s="130">
        <f>+Actuals!X178</f>
        <v>0</v>
      </c>
      <c r="AB34" s="129">
        <f>+Actuals!Y178</f>
        <v>0</v>
      </c>
      <c r="AC34" s="130">
        <f>+Actuals!Z178</f>
        <v>0</v>
      </c>
      <c r="AD34" s="129">
        <f>+Actuals!AA178</f>
        <v>0</v>
      </c>
      <c r="AE34" s="130">
        <f>+Actuals!AB178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-0.02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0</v>
      </c>
      <c r="K35" s="130">
        <f>+Actuals!H139</f>
        <v>0</v>
      </c>
      <c r="L35" s="129">
        <f>+Actuals!I139</f>
        <v>218793</v>
      </c>
      <c r="M35" s="130">
        <f>+Actuals!J139</f>
        <v>0</v>
      </c>
      <c r="N35" s="129">
        <f>+Actuals!K139</f>
        <v>-218793</v>
      </c>
      <c r="O35" s="130">
        <f>+Actuals!L139</f>
        <v>-0.01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+Actuals!Y179</f>
        <v>0</v>
      </c>
      <c r="AC35" s="130">
        <f>+Actuals!Z179</f>
        <v>0</v>
      </c>
      <c r="AD35" s="129">
        <f>+Actuals!AA179</f>
        <v>0</v>
      </c>
      <c r="AE35" s="130">
        <f>+Actuals!AB179</f>
        <v>0</v>
      </c>
    </row>
    <row r="36" spans="1:31" x14ac:dyDescent="0.2">
      <c r="A36" s="9"/>
      <c r="B36" s="7" t="s">
        <v>45</v>
      </c>
      <c r="C36" s="6"/>
      <c r="D36" s="61">
        <f t="shared" ref="D36:I36" si="12">SUM(D32:D35)</f>
        <v>-252876</v>
      </c>
      <c r="E36" s="39">
        <f t="shared" si="12"/>
        <v>-574201.87799999979</v>
      </c>
      <c r="F36" s="61">
        <f t="shared" si="12"/>
        <v>0</v>
      </c>
      <c r="G36" s="39">
        <f t="shared" si="12"/>
        <v>0</v>
      </c>
      <c r="H36" s="61">
        <f t="shared" si="12"/>
        <v>105792</v>
      </c>
      <c r="I36" s="39">
        <f t="shared" si="12"/>
        <v>239724.66</v>
      </c>
      <c r="J36" s="61">
        <f t="shared" ref="J36:Y36" si="13">SUM(J32:J35)</f>
        <v>-138715</v>
      </c>
      <c r="K36" s="39">
        <f t="shared" si="13"/>
        <v>-310897.61</v>
      </c>
      <c r="L36" s="61">
        <f t="shared" si="13"/>
        <v>240235</v>
      </c>
      <c r="M36" s="39">
        <f t="shared" si="13"/>
        <v>47729.89</v>
      </c>
      <c r="N36" s="61">
        <f t="shared" si="13"/>
        <v>-260482</v>
      </c>
      <c r="O36" s="39">
        <f t="shared" si="13"/>
        <v>-62514.282000000007</v>
      </c>
      <c r="P36" s="61">
        <f t="shared" si="13"/>
        <v>-20905</v>
      </c>
      <c r="Q36" s="39">
        <f t="shared" si="13"/>
        <v>-90770.559999999998</v>
      </c>
      <c r="R36" s="61">
        <f t="shared" si="13"/>
        <v>27869</v>
      </c>
      <c r="S36" s="39">
        <f t="shared" si="13"/>
        <v>73994.260000000009</v>
      </c>
      <c r="T36" s="61">
        <f t="shared" si="13"/>
        <v>-213605</v>
      </c>
      <c r="U36" s="39">
        <f t="shared" si="13"/>
        <v>-484548.54</v>
      </c>
      <c r="V36" s="61">
        <f t="shared" si="13"/>
        <v>-977</v>
      </c>
      <c r="W36" s="39">
        <f t="shared" si="13"/>
        <v>-2260.9379999999996</v>
      </c>
      <c r="X36" s="61">
        <f t="shared" si="13"/>
        <v>-26027</v>
      </c>
      <c r="Y36" s="39">
        <f t="shared" si="13"/>
        <v>-58300.612000000001</v>
      </c>
      <c r="Z36" s="61">
        <f t="shared" ref="Z36:AE36" si="14">SUM(Z32:Z35)</f>
        <v>31538</v>
      </c>
      <c r="AA36" s="39">
        <f t="shared" si="14"/>
        <v>68034.53</v>
      </c>
      <c r="AB36" s="61">
        <f t="shared" si="14"/>
        <v>2431</v>
      </c>
      <c r="AC36" s="39">
        <f t="shared" si="14"/>
        <v>5675.304000000001</v>
      </c>
      <c r="AD36" s="61">
        <f t="shared" si="14"/>
        <v>-30</v>
      </c>
      <c r="AE36" s="39">
        <f t="shared" si="14"/>
        <v>-67.98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SUM(F39,H39,J39,L39,N39,P39,R39,T39,V39,X39,Z39,AB39,AD39)</f>
        <v>86548</v>
      </c>
      <c r="E39" s="38">
        <f t="shared" si="15"/>
        <v>195532.79999999996</v>
      </c>
      <c r="F39" s="64">
        <f>'TIE-OUT'!F39+RECLASS!F39</f>
        <v>0</v>
      </c>
      <c r="G39" s="68">
        <f>'TIE-OUT'!G39+RECLASS!G39</f>
        <v>0</v>
      </c>
      <c r="H39" s="129">
        <f>+Actuals!E140</f>
        <v>13907</v>
      </c>
      <c r="I39" s="130">
        <f>+Actuals!F140</f>
        <v>31513.26</v>
      </c>
      <c r="J39" s="129">
        <f>+Actuals!G140</f>
        <v>12233</v>
      </c>
      <c r="K39" s="130">
        <f>+Actuals!H140</f>
        <v>27719.98</v>
      </c>
      <c r="L39" s="129">
        <f>+Actuals!I140</f>
        <v>64882</v>
      </c>
      <c r="M39" s="130">
        <f>+Actuals!J140</f>
        <v>147022.60999999999</v>
      </c>
      <c r="N39" s="129">
        <f>+Actuals!K140</f>
        <v>4474</v>
      </c>
      <c r="O39" s="130">
        <f>+Actuals!L140</f>
        <v>10138.08</v>
      </c>
      <c r="P39" s="129">
        <f>+Actuals!M140</f>
        <v>-8948</v>
      </c>
      <c r="Q39" s="130">
        <f>+Actuals!N140</f>
        <v>-20276.16</v>
      </c>
      <c r="R39" s="129">
        <f>+Actuals!O140</f>
        <v>0</v>
      </c>
      <c r="S39" s="130">
        <f>+Actuals!P140</f>
        <v>0</v>
      </c>
      <c r="T39" s="129">
        <f>+Actuals!Q140</f>
        <v>0</v>
      </c>
      <c r="U39" s="130">
        <f>+Actuals!R140</f>
        <v>0</v>
      </c>
      <c r="V39" s="129">
        <f>+Actuals!S140</f>
        <v>0</v>
      </c>
      <c r="W39" s="130">
        <f>+Actuals!T140</f>
        <v>0</v>
      </c>
      <c r="X39" s="129">
        <f>+Actuals!U180</f>
        <v>-15000</v>
      </c>
      <c r="Y39" s="130">
        <f>+Actuals!V180</f>
        <v>-33990</v>
      </c>
      <c r="Z39" s="129">
        <f>+Actuals!W180</f>
        <v>15000</v>
      </c>
      <c r="AA39" s="130">
        <f>+Actuals!X180</f>
        <v>33405.03</v>
      </c>
      <c r="AB39" s="129">
        <f>+Actuals!Y180</f>
        <v>0</v>
      </c>
      <c r="AC39" s="130">
        <f>+Actuals!Z180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5"/>
        <v>11</v>
      </c>
      <c r="E40" s="38">
        <f t="shared" si="15"/>
        <v>24.929999999999836</v>
      </c>
      <c r="F40" s="60">
        <f>'TIE-OUT'!F40+RECLASS!F40</f>
        <v>0</v>
      </c>
      <c r="G40" s="38">
        <f>'TIE-OUT'!G40+RECLASS!G40</f>
        <v>0</v>
      </c>
      <c r="H40" s="129">
        <f>+Actuals!E141</f>
        <v>-871</v>
      </c>
      <c r="I40" s="130">
        <f>+Actuals!F141</f>
        <v>-1973.69</v>
      </c>
      <c r="J40" s="129">
        <f>+Actuals!G141</f>
        <v>882</v>
      </c>
      <c r="K40" s="130">
        <f>+Actuals!H141</f>
        <v>1998.62</v>
      </c>
      <c r="L40" s="129">
        <f>+Actuals!I141</f>
        <v>0</v>
      </c>
      <c r="M40" s="130">
        <f>+Actuals!J141</f>
        <v>0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+Actuals!S141</f>
        <v>0</v>
      </c>
      <c r="W40" s="130">
        <f>+Actuals!T141</f>
        <v>0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+Actuals!Y181</f>
        <v>0</v>
      </c>
      <c r="AC40" s="130">
        <f>+Actuals!Z181</f>
        <v>0</v>
      </c>
      <c r="AD40" s="129">
        <f>+Actuals!AA181</f>
        <v>0</v>
      </c>
      <c r="AE40" s="130">
        <f>+Actuals!AB181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+Actuals!Y182</f>
        <v>0</v>
      </c>
      <c r="AC41" s="130">
        <f>+Actuals!Z182</f>
        <v>0</v>
      </c>
      <c r="AD41" s="129">
        <f>+Actuals!AA182</f>
        <v>0</v>
      </c>
      <c r="AE41" s="130">
        <f>+Actuals!AB182</f>
        <v>0</v>
      </c>
    </row>
    <row r="42" spans="1:31" x14ac:dyDescent="0.2">
      <c r="A42" s="9"/>
      <c r="B42" s="7"/>
      <c r="C42" s="53" t="s">
        <v>50</v>
      </c>
      <c r="D42" s="61">
        <f t="shared" ref="D42:I42" si="16">SUM(D40:D41)</f>
        <v>11</v>
      </c>
      <c r="E42" s="39">
        <f t="shared" si="16"/>
        <v>24.929999999999836</v>
      </c>
      <c r="F42" s="61">
        <f t="shared" si="16"/>
        <v>0</v>
      </c>
      <c r="G42" s="39">
        <f t="shared" si="16"/>
        <v>0</v>
      </c>
      <c r="H42" s="61">
        <f t="shared" si="16"/>
        <v>-871</v>
      </c>
      <c r="I42" s="39">
        <f t="shared" si="16"/>
        <v>-1973.69</v>
      </c>
      <c r="J42" s="61">
        <f t="shared" ref="J42:Y42" si="17">SUM(J40:J41)</f>
        <v>882</v>
      </c>
      <c r="K42" s="39">
        <f t="shared" si="17"/>
        <v>1998.62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I43" si="19">D42+D39</f>
        <v>86559</v>
      </c>
      <c r="E43" s="39">
        <f t="shared" si="19"/>
        <v>195557.72999999995</v>
      </c>
      <c r="F43" s="61">
        <f t="shared" si="19"/>
        <v>0</v>
      </c>
      <c r="G43" s="39">
        <f t="shared" si="19"/>
        <v>0</v>
      </c>
      <c r="H43" s="61">
        <f t="shared" si="19"/>
        <v>13036</v>
      </c>
      <c r="I43" s="39">
        <f t="shared" si="19"/>
        <v>29539.57</v>
      </c>
      <c r="J43" s="61">
        <f t="shared" ref="J43:Y43" si="20">J42+J39</f>
        <v>13115</v>
      </c>
      <c r="K43" s="39">
        <f t="shared" si="20"/>
        <v>29718.6</v>
      </c>
      <c r="L43" s="61">
        <f t="shared" si="20"/>
        <v>64882</v>
      </c>
      <c r="M43" s="39">
        <f t="shared" si="20"/>
        <v>147022.60999999999</v>
      </c>
      <c r="N43" s="61">
        <f t="shared" si="20"/>
        <v>4474</v>
      </c>
      <c r="O43" s="39">
        <f t="shared" si="20"/>
        <v>10138.08</v>
      </c>
      <c r="P43" s="61">
        <f t="shared" si="20"/>
        <v>-8948</v>
      </c>
      <c r="Q43" s="39">
        <f t="shared" si="20"/>
        <v>-20276.16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-15000</v>
      </c>
      <c r="Y43" s="39">
        <f t="shared" si="20"/>
        <v>-33990</v>
      </c>
      <c r="Z43" s="61">
        <f t="shared" ref="Z43:AE43" si="21">Z42+Z39</f>
        <v>15000</v>
      </c>
      <c r="AA43" s="39">
        <f t="shared" si="21"/>
        <v>33405.03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+Actuals!Y183</f>
        <v>0</v>
      </c>
      <c r="AC45" s="130">
        <f>+Actuals!Z183</f>
        <v>0</v>
      </c>
      <c r="AD45" s="129">
        <f>+Actuals!AA183</f>
        <v>0</v>
      </c>
      <c r="AE45" s="130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+Actuals!Y184</f>
        <v>0</v>
      </c>
      <c r="AC47" s="130">
        <f>+Actuals!Z184</f>
        <v>0</v>
      </c>
      <c r="AD47" s="129">
        <f>+Actuals!AA184</f>
        <v>0</v>
      </c>
      <c r="AE47" s="130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-370204</v>
      </c>
      <c r="E49" s="38">
        <f>SUM(G49,I49,K49,M49,O49,Q49,S49,U49,W49,Y49,AA49,AC49,AE49)</f>
        <v>-838882.26399999997</v>
      </c>
      <c r="F49" s="60">
        <f>'TIE-OUT'!F49+RECLASS!F49</f>
        <v>0</v>
      </c>
      <c r="G49" s="38">
        <f>'TIE-OUT'!G49+RECLASS!G49</f>
        <v>0</v>
      </c>
      <c r="H49" s="129">
        <f>+Actuals!E145</f>
        <v>1454008</v>
      </c>
      <c r="I49" s="130">
        <f>+Actuals!F145</f>
        <v>3294782.128</v>
      </c>
      <c r="J49" s="129">
        <f>+Actuals!G145</f>
        <v>-1843374</v>
      </c>
      <c r="K49" s="130">
        <f>+Actuals!H145</f>
        <v>-4177085.4840000002</v>
      </c>
      <c r="L49" s="129">
        <f>+Actuals!I145</f>
        <v>-667412</v>
      </c>
      <c r="M49" s="130">
        <f>+Actuals!J145</f>
        <v>-1512355.5919999999</v>
      </c>
      <c r="N49" s="129">
        <f>+Actuals!K145</f>
        <v>236553</v>
      </c>
      <c r="O49" s="130">
        <f>+Actuals!L145</f>
        <v>536029.098</v>
      </c>
      <c r="P49" s="129">
        <f>+Actuals!M145</f>
        <v>30747</v>
      </c>
      <c r="Q49" s="130">
        <f>+Actuals!N145</f>
        <v>69672.702000000005</v>
      </c>
      <c r="R49" s="129">
        <f>+Actuals!O145</f>
        <v>-7961</v>
      </c>
      <c r="S49" s="130">
        <f>+Actuals!P145</f>
        <v>-18039.626</v>
      </c>
      <c r="T49" s="129">
        <f>+Actuals!Q145</f>
        <v>211392</v>
      </c>
      <c r="U49" s="130">
        <f>+Actuals!R145</f>
        <v>479014.272</v>
      </c>
      <c r="V49" s="129">
        <f>+Actuals!S145</f>
        <v>251136</v>
      </c>
      <c r="W49" s="130">
        <f>+Actuals!T145</f>
        <v>569074.17599999998</v>
      </c>
      <c r="X49" s="129">
        <f>+Actuals!U185</f>
        <v>-197625</v>
      </c>
      <c r="Y49" s="130">
        <f>+Actuals!V185</f>
        <v>-447818.25</v>
      </c>
      <c r="Z49" s="129">
        <f>+Actuals!W185</f>
        <v>-71573</v>
      </c>
      <c r="AA49" s="130">
        <f>+Actuals!X185</f>
        <v>-162184.41800000001</v>
      </c>
      <c r="AB49" s="129">
        <f>+Actuals!Y185</f>
        <v>233905</v>
      </c>
      <c r="AC49" s="130">
        <f>+Actuals!Z185</f>
        <v>530028.73</v>
      </c>
      <c r="AD49" s="129">
        <f>+Actuals!AA185</f>
        <v>0</v>
      </c>
      <c r="AE49" s="130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-552798</v>
      </c>
      <c r="E51" s="38">
        <f>SUM(G51,I51,K51,M51,O51,Q51,S51,U51,W51,Y51,AA51,AC51,AE51)</f>
        <v>-1271531.2660000001</v>
      </c>
      <c r="F51" s="60">
        <f>'TIE-OUT'!F51+RECLASS!F51</f>
        <v>0</v>
      </c>
      <c r="G51" s="38">
        <f>'TIE-OUT'!G51+RECLASS!G51</f>
        <v>-18891</v>
      </c>
      <c r="H51" s="129">
        <f>+Actuals!E146</f>
        <v>-540180</v>
      </c>
      <c r="I51" s="130">
        <f>+Actuals!F146</f>
        <v>-1224047.8799999999</v>
      </c>
      <c r="J51" s="129">
        <f>+Actuals!G146</f>
        <v>-18158</v>
      </c>
      <c r="K51" s="130">
        <f>+Actuals!H146</f>
        <v>-41146.03</v>
      </c>
      <c r="L51" s="129">
        <f>+Actuals!I146</f>
        <v>5231</v>
      </c>
      <c r="M51" s="130">
        <f>+Actuals!J146</f>
        <v>11853.45</v>
      </c>
      <c r="N51" s="129">
        <f>+Actuals!K146</f>
        <v>258</v>
      </c>
      <c r="O51" s="130">
        <f>+Actuals!L146</f>
        <v>584.62800000000004</v>
      </c>
      <c r="P51" s="129">
        <f>+Actuals!M146</f>
        <v>0</v>
      </c>
      <c r="Q51" s="130">
        <f>+Actuals!N146</f>
        <v>0</v>
      </c>
      <c r="R51" s="129">
        <f>+Actuals!O146</f>
        <v>-229</v>
      </c>
      <c r="S51" s="130">
        <f>+Actuals!P146</f>
        <v>-518.91399999999999</v>
      </c>
      <c r="T51" s="129">
        <f>+Actuals!Q146</f>
        <v>-17</v>
      </c>
      <c r="U51" s="130">
        <f>+Actuals!R146</f>
        <v>-38.521999999999998</v>
      </c>
      <c r="V51" s="129">
        <f>+Actuals!S146</f>
        <v>552</v>
      </c>
      <c r="W51" s="130">
        <f>+Actuals!T146</f>
        <v>1250.8320000000001</v>
      </c>
      <c r="X51" s="129">
        <f>+Actuals!U186</f>
        <v>-230</v>
      </c>
      <c r="Y51" s="130">
        <f>+Actuals!V186</f>
        <v>-521.17999999999995</v>
      </c>
      <c r="Z51" s="129">
        <f>+Actuals!W186</f>
        <v>0</v>
      </c>
      <c r="AA51" s="130">
        <f>+Actuals!X186</f>
        <v>0</v>
      </c>
      <c r="AB51" s="129">
        <f>+Actuals!Y186</f>
        <v>-25</v>
      </c>
      <c r="AC51" s="130">
        <f>+Actuals!Z186</f>
        <v>-56.65</v>
      </c>
      <c r="AD51" s="129">
        <f>+Actuals!AA186</f>
        <v>0</v>
      </c>
      <c r="AE51" s="130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-28058459</v>
      </c>
      <c r="E54" s="38">
        <f>SUM(G54,I54,K54,M54,O54,Q54,S54,U54,W54,Y54,AA54,AC54,AE54)</f>
        <v>-3146258.4599999995</v>
      </c>
      <c r="F54" s="64">
        <f>'TIE-OUT'!F54+RECLASS!F54</f>
        <v>0</v>
      </c>
      <c r="G54" s="68">
        <f>'TIE-OUT'!G54+RECLASS!G54</f>
        <v>-44824</v>
      </c>
      <c r="H54" s="129">
        <f>+Actuals!E147</f>
        <v>-21698185</v>
      </c>
      <c r="I54" s="130">
        <f>+Actuals!F147</f>
        <v>-1999784.65</v>
      </c>
      <c r="J54" s="129">
        <f>+Actuals!G147</f>
        <v>-5384737</v>
      </c>
      <c r="K54" s="130">
        <f>+Actuals!H147</f>
        <v>-1533870.19</v>
      </c>
      <c r="L54" s="129">
        <f>+Actuals!I147</f>
        <v>2613979</v>
      </c>
      <c r="M54" s="130">
        <f>+Actuals!J147</f>
        <v>415553.88</v>
      </c>
      <c r="N54" s="129">
        <f>+Actuals!K147</f>
        <v>-5294976</v>
      </c>
      <c r="O54" s="130">
        <f>+Actuals!L147</f>
        <v>-85062.23</v>
      </c>
      <c r="P54" s="129">
        <f>+Actuals!M147</f>
        <v>2195988</v>
      </c>
      <c r="Q54" s="130">
        <f>+Actuals!N147</f>
        <v>68495.09</v>
      </c>
      <c r="R54" s="129">
        <f>+Actuals!O147</f>
        <v>102814</v>
      </c>
      <c r="S54" s="130">
        <f>+Actuals!P147</f>
        <v>19027.04</v>
      </c>
      <c r="T54" s="129">
        <f>+Actuals!Q147</f>
        <v>1569</v>
      </c>
      <c r="U54" s="130">
        <f>+Actuals!R147</f>
        <v>-5115.9399999999996</v>
      </c>
      <c r="V54" s="129">
        <f>+Actuals!S147</f>
        <v>20206</v>
      </c>
      <c r="W54" s="130">
        <f>+Actuals!T147</f>
        <v>1772.43</v>
      </c>
      <c r="X54" s="129">
        <f>+Actuals!U187</f>
        <v>-33316</v>
      </c>
      <c r="Y54" s="130">
        <f>+Actuals!V187</f>
        <v>7317.97</v>
      </c>
      <c r="Z54" s="129">
        <f>+Actuals!W187</f>
        <v>0</v>
      </c>
      <c r="AA54" s="130">
        <f>+Actuals!X187</f>
        <v>-825.41</v>
      </c>
      <c r="AB54" s="129">
        <f>+Actuals!Y187</f>
        <v>-2431</v>
      </c>
      <c r="AC54" s="130">
        <f>+Actuals!Z187</f>
        <v>825.41</v>
      </c>
      <c r="AD54" s="129">
        <f>+Actuals!AA187</f>
        <v>-579370</v>
      </c>
      <c r="AE54" s="130">
        <f>+Actuals!AB187</f>
        <v>10232.14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999813.00999999989</v>
      </c>
      <c r="F55" s="81">
        <f>'TIE-OUT'!F55+RECLASS!F55</f>
        <v>0</v>
      </c>
      <c r="G55" s="82">
        <f>'TIE-OUT'!G55+RECLASS!G55</f>
        <v>2117344</v>
      </c>
      <c r="H55" s="129">
        <f>+Actuals!E148</f>
        <v>0</v>
      </c>
      <c r="I55" s="130">
        <f>+Actuals!F148</f>
        <v>-11085.06</v>
      </c>
      <c r="J55" s="129">
        <f>+Actuals!G148</f>
        <v>0</v>
      </c>
      <c r="K55" s="130">
        <f>+Actuals!H148</f>
        <v>-1111557.54</v>
      </c>
      <c r="L55" s="129">
        <f>+Actuals!I148</f>
        <v>0</v>
      </c>
      <c r="M55" s="130">
        <f>+Actuals!J148</f>
        <v>0</v>
      </c>
      <c r="N55" s="129">
        <f>+Actuals!K148</f>
        <v>0</v>
      </c>
      <c r="O55" s="130">
        <f>+Actuals!L148</f>
        <v>0</v>
      </c>
      <c r="P55" s="129">
        <f>+Actuals!M148</f>
        <v>0</v>
      </c>
      <c r="Q55" s="130">
        <f>+Actuals!N148</f>
        <v>17475</v>
      </c>
      <c r="R55" s="129">
        <f>+Actuals!O148</f>
        <v>0</v>
      </c>
      <c r="S55" s="130">
        <f>+Actuals!P148</f>
        <v>-45725</v>
      </c>
      <c r="T55" s="129">
        <f>+Actuals!Q148</f>
        <v>0</v>
      </c>
      <c r="U55" s="130">
        <f>+Actuals!R148</f>
        <v>45973.98</v>
      </c>
      <c r="V55" s="129">
        <f>+Actuals!S148</f>
        <v>0</v>
      </c>
      <c r="W55" s="130">
        <f>+Actuals!T148</f>
        <v>-3298.37</v>
      </c>
      <c r="X55" s="129">
        <f>+Actuals!U188</f>
        <v>0</v>
      </c>
      <c r="Y55" s="130">
        <f>+Actuals!V188</f>
        <v>686</v>
      </c>
      <c r="Z55" s="129">
        <f>+Actuals!W188</f>
        <v>0</v>
      </c>
      <c r="AA55" s="130">
        <f>+Actuals!X188</f>
        <v>-10000</v>
      </c>
      <c r="AB55" s="129">
        <f>+Actuals!Y188</f>
        <v>0</v>
      </c>
      <c r="AC55" s="130">
        <f>+Actuals!Z188</f>
        <v>0</v>
      </c>
      <c r="AD55" s="129">
        <f>+Actuals!AA188</f>
        <v>0</v>
      </c>
      <c r="AE55" s="130">
        <f>+Actuals!AB188</f>
        <v>0</v>
      </c>
    </row>
    <row r="56" spans="1:31" x14ac:dyDescent="0.2">
      <c r="A56" s="9"/>
      <c r="B56" s="7" t="s">
        <v>59</v>
      </c>
      <c r="C56" s="6"/>
      <c r="D56" s="61">
        <f t="shared" ref="D56:I56" si="22">SUM(D54:D55)</f>
        <v>-28058459</v>
      </c>
      <c r="E56" s="39">
        <f t="shared" si="22"/>
        <v>-2146445.4499999997</v>
      </c>
      <c r="F56" s="61">
        <f t="shared" si="22"/>
        <v>0</v>
      </c>
      <c r="G56" s="39">
        <f t="shared" si="22"/>
        <v>2072520</v>
      </c>
      <c r="H56" s="61">
        <f t="shared" si="22"/>
        <v>-21698185</v>
      </c>
      <c r="I56" s="39">
        <f t="shared" si="22"/>
        <v>-2010869.71</v>
      </c>
      <c r="J56" s="61">
        <f t="shared" ref="J56:Y56" si="23">SUM(J54:J55)</f>
        <v>-5384737</v>
      </c>
      <c r="K56" s="39">
        <f t="shared" si="23"/>
        <v>-2645427.73</v>
      </c>
      <c r="L56" s="61">
        <f t="shared" si="23"/>
        <v>2613979</v>
      </c>
      <c r="M56" s="39">
        <f t="shared" si="23"/>
        <v>415553.88</v>
      </c>
      <c r="N56" s="61">
        <f t="shared" si="23"/>
        <v>-5294976</v>
      </c>
      <c r="O56" s="39">
        <f t="shared" si="23"/>
        <v>-85062.23</v>
      </c>
      <c r="P56" s="61">
        <f t="shared" si="23"/>
        <v>2195988</v>
      </c>
      <c r="Q56" s="39">
        <f t="shared" si="23"/>
        <v>85970.09</v>
      </c>
      <c r="R56" s="61">
        <f t="shared" si="23"/>
        <v>102814</v>
      </c>
      <c r="S56" s="39">
        <f t="shared" si="23"/>
        <v>-26697.96</v>
      </c>
      <c r="T56" s="61">
        <f t="shared" si="23"/>
        <v>1569</v>
      </c>
      <c r="U56" s="39">
        <f t="shared" si="23"/>
        <v>40858.04</v>
      </c>
      <c r="V56" s="61">
        <f t="shared" si="23"/>
        <v>20206</v>
      </c>
      <c r="W56" s="39">
        <f t="shared" si="23"/>
        <v>-1525.9399999999998</v>
      </c>
      <c r="X56" s="61">
        <f t="shared" si="23"/>
        <v>-33316</v>
      </c>
      <c r="Y56" s="39">
        <f t="shared" si="23"/>
        <v>8003.97</v>
      </c>
      <c r="Z56" s="61">
        <f t="shared" ref="Z56:AE56" si="24">SUM(Z54:Z55)</f>
        <v>0</v>
      </c>
      <c r="AA56" s="39">
        <f t="shared" si="24"/>
        <v>-10825.41</v>
      </c>
      <c r="AB56" s="61">
        <f t="shared" si="24"/>
        <v>-2431</v>
      </c>
      <c r="AC56" s="39">
        <f t="shared" si="24"/>
        <v>825.41</v>
      </c>
      <c r="AD56" s="61">
        <f t="shared" si="24"/>
        <v>-579370</v>
      </c>
      <c r="AE56" s="39">
        <f t="shared" si="24"/>
        <v>10232.14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-8137.5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-8137.5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+Actuals!Y189</f>
        <v>0</v>
      </c>
      <c r="AC59" s="130">
        <f>+Actuals!Z189</f>
        <v>0</v>
      </c>
      <c r="AD59" s="129">
        <f>+Actuals!AA189</f>
        <v>0</v>
      </c>
      <c r="AE59" s="130">
        <f>+Actuals!AB189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+Actuals!Y190</f>
        <v>0</v>
      </c>
      <c r="AC60" s="130">
        <f>+Actuals!Z190</f>
        <v>0</v>
      </c>
      <c r="AD60" s="129">
        <f>+Actuals!AA190</f>
        <v>0</v>
      </c>
      <c r="AE60" s="130">
        <f>+Actuals!AB190</f>
        <v>0</v>
      </c>
    </row>
    <row r="61" spans="1:31" x14ac:dyDescent="0.2">
      <c r="A61" s="9"/>
      <c r="B61" s="62" t="s">
        <v>63</v>
      </c>
      <c r="C61" s="6"/>
      <c r="D61" s="61">
        <f t="shared" ref="D61:I61" si="25">SUM(D59:D60)</f>
        <v>0</v>
      </c>
      <c r="E61" s="39">
        <f t="shared" si="25"/>
        <v>-8137.5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Y61" si="26">SUM(J59:J60)</f>
        <v>0</v>
      </c>
      <c r="K61" s="39">
        <f t="shared" si="26"/>
        <v>-8137.5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+Actuals!Y191</f>
        <v>0</v>
      </c>
      <c r="AC64" s="130">
        <f>+Actuals!Z191</f>
        <v>0</v>
      </c>
      <c r="AD64" s="129">
        <f>+Actuals!AA191</f>
        <v>0</v>
      </c>
      <c r="AE64" s="130">
        <f>+Actuals!AB191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+Actuals!Y192</f>
        <v>0</v>
      </c>
      <c r="AC65" s="130">
        <f>+Actuals!Z192</f>
        <v>0</v>
      </c>
      <c r="AD65" s="129">
        <f>+Actuals!AA192</f>
        <v>0</v>
      </c>
      <c r="AE65" s="130">
        <f>+Actuals!AB192</f>
        <v>0</v>
      </c>
    </row>
    <row r="66" spans="1:31" x14ac:dyDescent="0.2">
      <c r="A66" s="9"/>
      <c r="B66" s="7" t="s">
        <v>66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Y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1086087</v>
      </c>
      <c r="F70" s="64">
        <f>'TIE-OUT'!F70+RECLASS!F70</f>
        <v>0</v>
      </c>
      <c r="G70" s="68">
        <f>'TIE-OUT'!G70+RECLASS!G70</f>
        <v>1086087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+Actuals!Y193</f>
        <v>0</v>
      </c>
      <c r="AC70" s="130">
        <f>+Actuals!Z193</f>
        <v>0</v>
      </c>
      <c r="AD70" s="129">
        <f>+Actuals!AA193</f>
        <v>0</v>
      </c>
      <c r="AE70" s="130">
        <f>+Actuals!AB193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-1513816.64</v>
      </c>
      <c r="F71" s="81">
        <f>'TIE-OUT'!F71+RECLASS!F71</f>
        <v>0</v>
      </c>
      <c r="G71" s="82">
        <f>'TIE-OUT'!G71+RECLASS!G71</f>
        <v>-1513816.64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+Actuals!Y194</f>
        <v>0</v>
      </c>
      <c r="AC71" s="130">
        <f>+Actuals!Z194</f>
        <v>0</v>
      </c>
      <c r="AD71" s="129">
        <f>+Actuals!AA194</f>
        <v>0</v>
      </c>
      <c r="AE71" s="130">
        <f>+Actuals!AB194</f>
        <v>0</v>
      </c>
    </row>
    <row r="72" spans="1:31" x14ac:dyDescent="0.2">
      <c r="A72" s="9"/>
      <c r="B72" s="3"/>
      <c r="C72" s="55" t="s">
        <v>71</v>
      </c>
      <c r="D72" s="61">
        <f t="shared" ref="D72:I72" si="31">SUM(D70:D71)</f>
        <v>0</v>
      </c>
      <c r="E72" s="39">
        <f t="shared" si="31"/>
        <v>-427729.6399999999</v>
      </c>
      <c r="F72" s="61">
        <f t="shared" si="31"/>
        <v>0</v>
      </c>
      <c r="G72" s="39">
        <f t="shared" si="31"/>
        <v>-427729.6399999999</v>
      </c>
      <c r="H72" s="61">
        <f t="shared" si="31"/>
        <v>0</v>
      </c>
      <c r="I72" s="39">
        <f t="shared" si="31"/>
        <v>0</v>
      </c>
      <c r="J72" s="61">
        <f t="shared" ref="J72:Y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+Actuals!Y195</f>
        <v>0</v>
      </c>
      <c r="AC73" s="130">
        <f>+Actuals!Z195</f>
        <v>0</v>
      </c>
      <c r="AD73" s="129">
        <f>+Actuals!AA195</f>
        <v>0</v>
      </c>
      <c r="AE73" s="130">
        <f>+Actuals!AB195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34"/>
        <v>0</v>
      </c>
      <c r="E74" s="38">
        <f t="shared" si="34"/>
        <v>2342273</v>
      </c>
      <c r="F74" s="60">
        <f>'TIE-OUT'!F74+RECLASS!F74</f>
        <v>0</v>
      </c>
      <c r="G74" s="60">
        <f>'TIE-OUT'!G74+RECLASS!G74</f>
        <v>1139340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f>+Actuals!H156</f>
        <v>0</v>
      </c>
      <c r="L74" s="129">
        <f>+Actuals!I156</f>
        <v>0</v>
      </c>
      <c r="M74" s="130">
        <f>+Actuals!J156+23000</f>
        <v>23000</v>
      </c>
      <c r="N74" s="129">
        <f>+Actuals!K156</f>
        <v>0</v>
      </c>
      <c r="O74" s="130">
        <f>+Actuals!L156</f>
        <v>0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+Actuals!Y196</f>
        <v>0</v>
      </c>
      <c r="AC74" s="162">
        <f>+Actuals!Z196+1179933</f>
        <v>1179933</v>
      </c>
      <c r="AD74" s="129">
        <f>+Actuals!AA196</f>
        <v>0</v>
      </c>
      <c r="AE74" s="130">
        <f>+Actuals!AB196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34"/>
        <v>0</v>
      </c>
      <c r="E75" s="38">
        <f t="shared" si="34"/>
        <v>106300</v>
      </c>
      <c r="F75" s="60">
        <f>'TIE-OUT'!F75+RECLASS!F75</f>
        <v>0</v>
      </c>
      <c r="G75" s="60">
        <f>'TIE-OUT'!G75+RECLASS!G75</f>
        <v>106300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+Actuals!Y197</f>
        <v>0</v>
      </c>
      <c r="AC75" s="130">
        <f>+Actuals!Z197</f>
        <v>0</v>
      </c>
      <c r="AD75" s="129">
        <f>+Actuals!AA197</f>
        <v>0</v>
      </c>
      <c r="AE75" s="130">
        <f>+Actuals!AB197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34"/>
        <v>0</v>
      </c>
      <c r="E76" s="38">
        <f t="shared" si="34"/>
        <v>-10200.48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-10536.98</v>
      </c>
      <c r="J76" s="129">
        <f>+Actuals!G158</f>
        <v>0</v>
      </c>
      <c r="K76" s="130">
        <f>+Actuals!H158</f>
        <v>-18241.62</v>
      </c>
      <c r="L76" s="129">
        <f>+Actuals!I158</f>
        <v>0</v>
      </c>
      <c r="M76" s="130">
        <f>+Actuals!J158</f>
        <v>184.5</v>
      </c>
      <c r="N76" s="129">
        <f>+Actuals!K158</f>
        <v>0</v>
      </c>
      <c r="O76" s="130">
        <f>+Actuals!L158</f>
        <v>0</v>
      </c>
      <c r="P76" s="129">
        <f>+Actuals!M158</f>
        <v>0</v>
      </c>
      <c r="Q76" s="130">
        <f>+Actuals!N158</f>
        <v>18393.62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+Actuals!Y198</f>
        <v>0</v>
      </c>
      <c r="AC76" s="130">
        <f>+Actuals!Z198</f>
        <v>0</v>
      </c>
      <c r="AD76" s="129">
        <f>+Actuals!AA198</f>
        <v>0</v>
      </c>
      <c r="AE76" s="130">
        <f>+Actuals!AB198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+Actuals!Y199</f>
        <v>0</v>
      </c>
      <c r="AC77" s="130">
        <f>+Actuals!Z199</f>
        <v>0</v>
      </c>
      <c r="AD77" s="129">
        <f>+Actuals!AA199</f>
        <v>0</v>
      </c>
      <c r="AE77" s="130">
        <f>+Actuals!AB199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+Actuals!Y200</f>
        <v>0</v>
      </c>
      <c r="AC78" s="130">
        <f>+Actuals!Z200</f>
        <v>0</v>
      </c>
      <c r="AD78" s="129">
        <f>+Actuals!AA200</f>
        <v>0</v>
      </c>
      <c r="AE78" s="130">
        <f>+Actuals!AB200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+Actuals!Y201</f>
        <v>0</v>
      </c>
      <c r="AC79" s="130">
        <f>+Actuals!Z201</f>
        <v>0</v>
      </c>
      <c r="AD79" s="129">
        <f>+Actuals!AA201</f>
        <v>0</v>
      </c>
      <c r="AE79" s="130">
        <f>+Actuals!AB201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+Actuals!Y202</f>
        <v>0</v>
      </c>
      <c r="AC80" s="130">
        <f>+Actuals!Z202</f>
        <v>0</v>
      </c>
      <c r="AD80" s="129">
        <f>+Actuals!AA202</f>
        <v>0</v>
      </c>
      <c r="AE80" s="130">
        <f>+Actuals!AB202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0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+Actuals!Y203</f>
        <v>0</v>
      </c>
      <c r="AC81" s="130">
        <f>+Actuals!Z203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2373224.5980000277</v>
      </c>
      <c r="F82" s="92">
        <f>F16+F24+F29+F36+F43+F45+F47+F49</f>
        <v>0</v>
      </c>
      <c r="G82" s="93">
        <f>SUM(G72:G81)+G16+G24+G29+G36+G43+G45+G47+G49+G51+G56+G61+G66</f>
        <v>-5939079.8199999994</v>
      </c>
      <c r="H82" s="92">
        <f>H16+H24+H29+H36+H43+H45+H47+H49</f>
        <v>0</v>
      </c>
      <c r="I82" s="160">
        <f>SUM(I72:I81)+I16+I24+I29+I36+I43+I45+I47+I49+I51+I56+I61+I66</f>
        <v>7301816.2080000164</v>
      </c>
      <c r="J82" s="92">
        <f>J16+J24+J29+J36+J43+J45+J47+J49</f>
        <v>0</v>
      </c>
      <c r="K82" s="160">
        <f>SUM(K72:K81)+K16+K24+K29+K36+K43+K45+K47+K49+K51+K56+K61+K66</f>
        <v>-4250632.074</v>
      </c>
      <c r="L82" s="92">
        <f>L16+L24+L29+L36+L43+L45+L47+L49</f>
        <v>0</v>
      </c>
      <c r="M82" s="93">
        <f>SUM(M72:M81)+M16+M24+M29+M36+M43+M45+M47+M49+M51+M56+M61+M66</f>
        <v>1830540.4679999999</v>
      </c>
      <c r="N82" s="92">
        <f>N16+N24+N29+N36+N43+N45+N47+N49</f>
        <v>0</v>
      </c>
      <c r="O82" s="93">
        <f>SUM(O72:O81)+O16+O24+O29+O36+O43+O45+O47+O49+O51+O56+O61+O66</f>
        <v>1458165.176</v>
      </c>
      <c r="P82" s="92">
        <f>P16+P24+P29+P36+P43+P45+P47+P49</f>
        <v>0</v>
      </c>
      <c r="Q82" s="93">
        <f>SUM(Q72:Q81)+Q16+Q24+Q29+Q36+Q43+Q45+Q47+Q49+Q51+Q56+Q61+Q66</f>
        <v>729314.23199999984</v>
      </c>
      <c r="R82" s="92">
        <f>R16+R24+R29+R36+R43+R45+R47+R49</f>
        <v>0</v>
      </c>
      <c r="S82" s="93">
        <f>SUM(S72:S81)+S16+S24+S29+S36+S43+S45+S47+S49+S51+S56+S61+S66</f>
        <v>-14244.056000000099</v>
      </c>
      <c r="T82" s="92">
        <f>T16+T24+T29+T36+T43+T45+T47+T49</f>
        <v>0</v>
      </c>
      <c r="U82" s="93">
        <f>SUM(U72:U81)+U16+U24+U29+U36+U43+U45+U47+U49+U51+U56+U61+U66</f>
        <v>41653.041999999921</v>
      </c>
      <c r="V82" s="92">
        <f>V16+V24+V29+V36+V43+V45+V47+V49</f>
        <v>0</v>
      </c>
      <c r="W82" s="93">
        <f>SUM(W72:W81)+W16+W24+W29+W36+W43+W45+W47+W49+W51+W56+W61+W66</f>
        <v>18310.257999999572</v>
      </c>
      <c r="X82" s="92">
        <f>X16+X24+X29+X36+X43+X45+X47+X49</f>
        <v>0</v>
      </c>
      <c r="Y82" s="93">
        <f>SUM(Y72:Y81)+Y16+Y24+Y29+Y36+Y43+Y45+Y47+Y49+Y51+Y56+Y61+Y66</f>
        <v>15812.537999999382</v>
      </c>
      <c r="Z82" s="92">
        <f>Z16+Z24+Z29+Z36+Z43+Z45+Z47+Z49</f>
        <v>0</v>
      </c>
      <c r="AA82" s="93">
        <f>SUM(AA72:AA81)+AA16+AA24+AA29+AA36+AA43+AA45+AA47+AA49+AA51+AA56+AA61+AA66</f>
        <v>-12630.227999999999</v>
      </c>
      <c r="AB82" s="92">
        <f>AB16+AB24+AB29+AB36+AB43+AB45+AB47+AB49</f>
        <v>0</v>
      </c>
      <c r="AC82" s="93">
        <f>SUM(AC72:AC81)+AC16+AC24+AC29+AC36+AC43+AC45+AC47+AC49+AC51+AC56+AC61+AC66</f>
        <v>1184011.4040000003</v>
      </c>
      <c r="AD82" s="92">
        <f>AD16+AD24+AD29+AD36+AD43+AD45+AD47+AD49</f>
        <v>0</v>
      </c>
      <c r="AE82" s="93">
        <f>SUM(AE72:AE81)+AE16+AE24+AE29+AE36+AE43+AE45+AE47+AE49+AE51+AE56+AE61+AE66</f>
        <v>10187.449999999999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U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85213112</v>
      </c>
      <c r="E11" s="38">
        <f>SUM(G11,I11,K11,M11,O11,Q11,S11,U11,W11,Y11,AA11,AC11,AE11)</f>
        <v>207548370.57999998</v>
      </c>
      <c r="F11" s="60">
        <f>'TIE-OUT'!H11+RECLASS!H11</f>
        <v>0</v>
      </c>
      <c r="G11" s="38">
        <f>'TIE-OUT'!I11+RECLASS!I11</f>
        <v>0</v>
      </c>
      <c r="H11" s="129">
        <f>+Actuals!E164</f>
        <v>85051560</v>
      </c>
      <c r="I11" s="130">
        <f>+Actuals!F164</f>
        <v>201168861.69999999</v>
      </c>
      <c r="J11" s="129">
        <f>+Actuals!G164</f>
        <v>-279996</v>
      </c>
      <c r="K11" s="149">
        <f>+Actuals!H164</f>
        <v>19125174.07</v>
      </c>
      <c r="L11" s="129">
        <f>+Actuals!I164</f>
        <v>-3918</v>
      </c>
      <c r="M11" s="130">
        <f>+Actuals!J164</f>
        <v>627343.05000000005</v>
      </c>
      <c r="N11" s="129">
        <f>+Actuals!K164</f>
        <v>0</v>
      </c>
      <c r="O11" s="130">
        <f>+Actuals!L164</f>
        <v>276260.31</v>
      </c>
      <c r="P11" s="129">
        <f>+Actuals!M164</f>
        <v>0</v>
      </c>
      <c r="Q11" s="130">
        <f>+Actuals!N164</f>
        <v>-74</v>
      </c>
      <c r="R11" s="129">
        <f>+Actuals!O164</f>
        <v>445466</v>
      </c>
      <c r="S11" s="130">
        <f>+Actuals!P164</f>
        <v>-13611673.25</v>
      </c>
      <c r="T11" s="129">
        <f>+Actuals!Q164</f>
        <v>0</v>
      </c>
      <c r="U11" s="130">
        <f>+Actuals!R164</f>
        <v>0</v>
      </c>
      <c r="V11" s="129">
        <f>+Actuals!S164</f>
        <v>0</v>
      </c>
      <c r="W11" s="130">
        <f>+Actuals!T164</f>
        <v>0</v>
      </c>
      <c r="X11" s="129">
        <f>+Actuals!U244</f>
        <v>0</v>
      </c>
      <c r="Y11" s="130">
        <f>+Actuals!V244</f>
        <v>-37521.300000000003</v>
      </c>
      <c r="Z11" s="129">
        <f>+Actuals!W244</f>
        <v>0</v>
      </c>
      <c r="AA11" s="130">
        <f>+Actuals!X244</f>
        <v>0</v>
      </c>
      <c r="AB11" s="129">
        <f>+Actuals!Y244</f>
        <v>0</v>
      </c>
      <c r="AC11" s="130">
        <f>+Actuals!Z244</f>
        <v>0</v>
      </c>
      <c r="AD11" s="129">
        <f>+Actuals!AA244</f>
        <v>0</v>
      </c>
      <c r="AE11" s="130">
        <f>+Actuals!AB244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-1670858.48</v>
      </c>
      <c r="F12" s="60">
        <f>'TIE-OUT'!H12+RECLASS!H12</f>
        <v>0</v>
      </c>
      <c r="G12" s="38">
        <f>'TIE-OUT'!I12+RECLASS!I12</f>
        <v>-1694562.08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+Actuals!H165+310-10717.1+34110.7</f>
        <v>23703.599999999999</v>
      </c>
      <c r="L12" s="129">
        <f>+Actuals!I165</f>
        <v>0</v>
      </c>
      <c r="M12" s="130">
        <f>+Actuals!J165</f>
        <v>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+Actuals!Q165</f>
        <v>0</v>
      </c>
      <c r="U12" s="130">
        <f>+Actuals!R165</f>
        <v>0</v>
      </c>
      <c r="V12" s="129">
        <f>+Actuals!S165</f>
        <v>0</v>
      </c>
      <c r="W12" s="130">
        <f>+Actuals!T165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+Actuals!Y245</f>
        <v>0</v>
      </c>
      <c r="AC12" s="130">
        <f>+Actuals!Z245</f>
        <v>0</v>
      </c>
      <c r="AD12" s="129">
        <f>+Actuals!AA245</f>
        <v>0</v>
      </c>
      <c r="AE12" s="130">
        <f>+Actuals!AB245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'TIE-OUT'!H13+RECLASS!H13</f>
        <v>0</v>
      </c>
      <c r="G13" s="38">
        <f>'TIE-OUT'!I13+RECLASS!I13</f>
        <v>0</v>
      </c>
      <c r="H13" s="129">
        <f>+Actuals!E166</f>
        <v>48098747</v>
      </c>
      <c r="I13" s="130">
        <f>+Actuals!F166</f>
        <v>110384760</v>
      </c>
      <c r="J13" s="129">
        <f>+Actuals!G166</f>
        <v>-77304</v>
      </c>
      <c r="K13" s="149">
        <f>+Actuals!H166</f>
        <v>-170702</v>
      </c>
      <c r="L13" s="129">
        <f>+Actuals!I166</f>
        <v>0</v>
      </c>
      <c r="M13" s="130">
        <f>+Actuals!J166</f>
        <v>0</v>
      </c>
      <c r="N13" s="129">
        <f>+Actuals!K166</f>
        <v>0</v>
      </c>
      <c r="O13" s="130">
        <f>+Actuals!L166</f>
        <v>0</v>
      </c>
      <c r="P13" s="129">
        <f>+Actuals!M166</f>
        <v>0</v>
      </c>
      <c r="Q13" s="130">
        <f>+Actuals!N166</f>
        <v>0</v>
      </c>
      <c r="R13" s="129">
        <f>+Actuals!O166</f>
        <v>384967</v>
      </c>
      <c r="S13" s="130">
        <f>+Actuals!P166</f>
        <v>843693</v>
      </c>
      <c r="T13" s="129">
        <f>+Actuals!Q166</f>
        <v>545699</v>
      </c>
      <c r="U13" s="130">
        <f>+Actuals!R166</f>
        <v>1199034</v>
      </c>
      <c r="V13" s="129">
        <f>+Actuals!S166</f>
        <v>-853362</v>
      </c>
      <c r="W13" s="130">
        <f>+Actuals!T166</f>
        <v>-1872025</v>
      </c>
      <c r="X13" s="129">
        <f>+Actuals!U246</f>
        <v>853362</v>
      </c>
      <c r="Y13" s="130">
        <f>+Actuals!V246</f>
        <v>1872025</v>
      </c>
      <c r="Z13" s="129">
        <f>+Actuals!W246</f>
        <v>0</v>
      </c>
      <c r="AA13" s="130">
        <f>+Actuals!X246</f>
        <v>0</v>
      </c>
      <c r="AB13" s="129">
        <f>+Actuals!Y246</f>
        <v>-853362</v>
      </c>
      <c r="AC13" s="130">
        <f>+Actuals!Z246</f>
        <v>-1872025</v>
      </c>
      <c r="AD13" s="129">
        <f>+Actuals!AA246</f>
        <v>0</v>
      </c>
      <c r="AE13" s="130">
        <f>+Actuals!AB246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+Actuals!Q167</f>
        <v>0</v>
      </c>
      <c r="U14" s="130">
        <f>+Actuals!R167</f>
        <v>0</v>
      </c>
      <c r="V14" s="129">
        <f>+Actuals!S167</f>
        <v>0</v>
      </c>
      <c r="W14" s="130">
        <f>+Actuals!T167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+Actuals!Y247</f>
        <v>0</v>
      </c>
      <c r="AC14" s="130">
        <f>+Actuals!Z247</f>
        <v>0</v>
      </c>
      <c r="AD14" s="129">
        <f>+Actuals!AA247</f>
        <v>0</v>
      </c>
      <c r="AE14" s="130">
        <f>+Actuals!AB247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0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+Actuals!Q168</f>
        <v>0</v>
      </c>
      <c r="U15" s="130">
        <f>+Actuals!R168</f>
        <v>0</v>
      </c>
      <c r="V15" s="129">
        <f>+Actuals!S168</f>
        <v>0</v>
      </c>
      <c r="W15" s="130">
        <f>+Actuals!T168</f>
        <v>0</v>
      </c>
      <c r="X15" s="129">
        <f>+Actuals!U248</f>
        <v>0</v>
      </c>
      <c r="Y15" s="130">
        <f>+Actuals!V248</f>
        <v>0</v>
      </c>
      <c r="Z15" s="129">
        <f>+Actuals!W248</f>
        <v>0</v>
      </c>
      <c r="AA15" s="130">
        <f>+Actuals!X248</f>
        <v>0</v>
      </c>
      <c r="AB15" s="129">
        <f>+Actuals!Y248</f>
        <v>0</v>
      </c>
      <c r="AC15" s="130">
        <f>+Actuals!Z248</f>
        <v>0</v>
      </c>
      <c r="AD15" s="129">
        <f>+Actuals!AA248</f>
        <v>0</v>
      </c>
      <c r="AE15" s="130">
        <f>+Actuals!AB248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133311859</v>
      </c>
      <c r="E16" s="39">
        <f t="shared" si="1"/>
        <v>316262272.10000002</v>
      </c>
      <c r="F16" s="61">
        <f t="shared" si="1"/>
        <v>0</v>
      </c>
      <c r="G16" s="39">
        <f t="shared" si="1"/>
        <v>-1694562.08</v>
      </c>
      <c r="H16" s="61">
        <f t="shared" si="1"/>
        <v>133150307</v>
      </c>
      <c r="I16" s="39">
        <f t="shared" si="1"/>
        <v>311553621.69999999</v>
      </c>
      <c r="J16" s="61">
        <f t="shared" si="1"/>
        <v>-357300</v>
      </c>
      <c r="K16" s="150">
        <f t="shared" si="1"/>
        <v>18978175.670000002</v>
      </c>
      <c r="L16" s="61">
        <f t="shared" si="1"/>
        <v>-3918</v>
      </c>
      <c r="M16" s="39">
        <f t="shared" si="1"/>
        <v>627343.05000000005</v>
      </c>
      <c r="N16" s="61">
        <f t="shared" si="1"/>
        <v>0</v>
      </c>
      <c r="O16" s="39">
        <f t="shared" si="1"/>
        <v>276260.31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-12767980.25</v>
      </c>
      <c r="T16" s="61">
        <f t="shared" si="1"/>
        <v>545699</v>
      </c>
      <c r="U16" s="39">
        <f t="shared" si="1"/>
        <v>1199034</v>
      </c>
      <c r="V16" s="61">
        <f t="shared" si="1"/>
        <v>-853362</v>
      </c>
      <c r="W16" s="39">
        <f t="shared" si="1"/>
        <v>-1872025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-853362</v>
      </c>
      <c r="AC16" s="39">
        <f t="shared" si="2"/>
        <v>-1872025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-91658498</v>
      </c>
      <c r="E19" s="38">
        <f t="shared" si="3"/>
        <v>-214688081.88000003</v>
      </c>
      <c r="F19" s="64">
        <f>'TIE-OUT'!H19+RECLASS!H19</f>
        <v>0</v>
      </c>
      <c r="G19" s="68">
        <f>'TIE-OUT'!I19+RECLASS!I19</f>
        <v>0</v>
      </c>
      <c r="H19" s="129">
        <f>+Actuals!E169</f>
        <v>-97232704</v>
      </c>
      <c r="I19" s="130">
        <f>+Actuals!F169</f>
        <v>-223386900.94</v>
      </c>
      <c r="J19" s="129">
        <f>+Actuals!G169</f>
        <v>-702262</v>
      </c>
      <c r="K19" s="149">
        <f>+Actuals!H169</f>
        <v>-4216276.3600000003</v>
      </c>
      <c r="L19" s="129">
        <f>+Actuals!I169</f>
        <v>-141326</v>
      </c>
      <c r="M19" s="130">
        <f>+Actuals!J169</f>
        <v>-283178.55</v>
      </c>
      <c r="N19" s="129">
        <f>+Actuals!K169</f>
        <v>543109</v>
      </c>
      <c r="O19" s="130">
        <f>+Actuals!L169</f>
        <v>1303481.8600000001</v>
      </c>
      <c r="P19" s="129">
        <f>+Actuals!M169</f>
        <v>-1127</v>
      </c>
      <c r="Q19" s="130">
        <f>+Actuals!N169</f>
        <v>-2813.43</v>
      </c>
      <c r="R19" s="129">
        <f>+Actuals!O169</f>
        <v>5858506</v>
      </c>
      <c r="S19" s="130">
        <f>+Actuals!P169</f>
        <v>11859393.890000001</v>
      </c>
      <c r="T19" s="129">
        <f>+Actuals!Q169</f>
        <v>0</v>
      </c>
      <c r="U19" s="130">
        <f>+Actuals!R169</f>
        <v>0</v>
      </c>
      <c r="V19" s="129">
        <f>+Actuals!S169</f>
        <v>0</v>
      </c>
      <c r="W19" s="130">
        <f>+Actuals!T169</f>
        <v>0</v>
      </c>
      <c r="X19" s="129">
        <f>+Actuals!U249</f>
        <v>17306</v>
      </c>
      <c r="Y19" s="130">
        <f>+Actuals!V249</f>
        <v>38211.65</v>
      </c>
      <c r="Z19" s="129">
        <f>+Actuals!W249</f>
        <v>0</v>
      </c>
      <c r="AA19" s="130">
        <f>+Actuals!X249</f>
        <v>0</v>
      </c>
      <c r="AB19" s="129">
        <f>+Actuals!Y249</f>
        <v>0</v>
      </c>
      <c r="AC19" s="130">
        <f>+Actuals!Z249</f>
        <v>0</v>
      </c>
      <c r="AD19" s="129">
        <f>+Actuals!AA249</f>
        <v>0</v>
      </c>
      <c r="AE19" s="130">
        <f>+Actuals!AB249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-3291131.21</v>
      </c>
      <c r="F20" s="60">
        <f>'TIE-OUT'!H20+RECLASS!H20</f>
        <v>0</v>
      </c>
      <c r="G20" s="38">
        <f>'TIE-OUT'!I20+RECLASS!I20</f>
        <v>-3291131.21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+Actuals!Q170</f>
        <v>0</v>
      </c>
      <c r="U20" s="130">
        <f>+Actuals!R170</f>
        <v>0</v>
      </c>
      <c r="V20" s="129">
        <f>+Actuals!S170</f>
        <v>0</v>
      </c>
      <c r="W20" s="130">
        <f>+Actuals!T170</f>
        <v>0</v>
      </c>
      <c r="X20" s="129">
        <f>+Actuals!U250</f>
        <v>0</v>
      </c>
      <c r="Y20" s="130">
        <f>+Actuals!V250</f>
        <v>0</v>
      </c>
      <c r="Z20" s="129">
        <f>+Actuals!W250</f>
        <v>0</v>
      </c>
      <c r="AA20" s="130">
        <f>+Actuals!X250</f>
        <v>0</v>
      </c>
      <c r="AB20" s="129">
        <f>+Actuals!Y250</f>
        <v>0</v>
      </c>
      <c r="AC20" s="130">
        <f>+Actuals!Z250</f>
        <v>0</v>
      </c>
      <c r="AD20" s="129">
        <f>+Actuals!AA250</f>
        <v>0</v>
      </c>
      <c r="AE20" s="130">
        <f>+Actuals!AB250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'TIE-OUT'!H21+RECLASS!H21</f>
        <v>0</v>
      </c>
      <c r="G21" s="38">
        <f>'TIE-OUT'!I21+RECLASS!I21</f>
        <v>0</v>
      </c>
      <c r="H21" s="129">
        <f>+Actuals!E171</f>
        <v>-40530677</v>
      </c>
      <c r="I21" s="130">
        <f>+Actuals!F171</f>
        <v>-92564051</v>
      </c>
      <c r="J21" s="129">
        <f>+Actuals!G171</f>
        <v>0</v>
      </c>
      <c r="K21" s="149">
        <f>+Actuals!H171</f>
        <v>0</v>
      </c>
      <c r="L21" s="129">
        <f>+Actuals!I171</f>
        <v>0</v>
      </c>
      <c r="M21" s="130">
        <f>+Actuals!J171</f>
        <v>0</v>
      </c>
      <c r="N21" s="129">
        <f>+Actuals!K171</f>
        <v>0</v>
      </c>
      <c r="O21" s="130">
        <f>+Actuals!L171</f>
        <v>0</v>
      </c>
      <c r="P21" s="129">
        <f>+Actuals!M171</f>
        <v>0</v>
      </c>
      <c r="Q21" s="130">
        <f>+Actuals!N171</f>
        <v>0</v>
      </c>
      <c r="R21" s="129">
        <f>+Actuals!O171</f>
        <v>-384967</v>
      </c>
      <c r="S21" s="130">
        <f>+Actuals!P171</f>
        <v>-843693</v>
      </c>
      <c r="T21" s="129">
        <f>+Actuals!Q171</f>
        <v>-545699</v>
      </c>
      <c r="U21" s="130">
        <f>+Actuals!R171</f>
        <v>-1199034</v>
      </c>
      <c r="V21" s="129">
        <f>+Actuals!S171</f>
        <v>930666</v>
      </c>
      <c r="W21" s="130">
        <f>+Actuals!T171</f>
        <v>2042727</v>
      </c>
      <c r="X21" s="129">
        <f>+Actuals!U251</f>
        <v>-930666</v>
      </c>
      <c r="Y21" s="130">
        <f>+Actuals!V251</f>
        <v>-2042727</v>
      </c>
      <c r="Z21" s="129">
        <f>+Actuals!W251</f>
        <v>0</v>
      </c>
      <c r="AA21" s="130">
        <f>+Actuals!X251</f>
        <v>0</v>
      </c>
      <c r="AB21" s="129">
        <f>+Actuals!Y251</f>
        <v>930666</v>
      </c>
      <c r="AC21" s="130">
        <f>+Actuals!Z251</f>
        <v>2042727</v>
      </c>
      <c r="AD21" s="129">
        <f>+Actuals!AA251</f>
        <v>0</v>
      </c>
      <c r="AE21" s="130">
        <f>+Actuals!AB251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+Actuals!Q172</f>
        <v>0</v>
      </c>
      <c r="U22" s="130">
        <f>+Actuals!R172</f>
        <v>0</v>
      </c>
      <c r="V22" s="129">
        <f>+Actuals!S172</f>
        <v>0</v>
      </c>
      <c r="W22" s="130">
        <f>+Actuals!T172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+Actuals!Y252</f>
        <v>0</v>
      </c>
      <c r="AC22" s="130">
        <f>+Actuals!Z252</f>
        <v>0</v>
      </c>
      <c r="AD22" s="129">
        <f>+Actuals!AA252</f>
        <v>0</v>
      </c>
      <c r="AE22" s="130">
        <f>+Actuals!AB252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309807</v>
      </c>
      <c r="E23" s="38">
        <f t="shared" si="3"/>
        <v>729595.46</v>
      </c>
      <c r="F23" s="81">
        <f>'TIE-OUT'!H23+RECLASS!H23</f>
        <v>0</v>
      </c>
      <c r="G23" s="82">
        <f>'TIE-OUT'!I23+RECLASS!I23</f>
        <v>0</v>
      </c>
      <c r="H23" s="129">
        <f>+Actuals!E173</f>
        <v>303533</v>
      </c>
      <c r="I23" s="130">
        <f>+Actuals!F173</f>
        <v>714820.22</v>
      </c>
      <c r="J23" s="129">
        <f>+Actuals!G173</f>
        <v>-2495</v>
      </c>
      <c r="K23" s="149">
        <f>+Actuals!H173</f>
        <v>-5875.7250000000004</v>
      </c>
      <c r="L23" s="129">
        <f>+Actuals!I173</f>
        <v>8769</v>
      </c>
      <c r="M23" s="130">
        <f>+Actuals!J173</f>
        <v>20650.965</v>
      </c>
      <c r="N23" s="129">
        <f>+Actuals!K173</f>
        <v>0</v>
      </c>
      <c r="O23" s="130">
        <f>+Actuals!L173</f>
        <v>0</v>
      </c>
      <c r="P23" s="129">
        <f>+Actuals!M173</f>
        <v>0</v>
      </c>
      <c r="Q23" s="130">
        <f>+Actuals!N173</f>
        <v>0</v>
      </c>
      <c r="R23" s="129">
        <f>+Actuals!O173</f>
        <v>0</v>
      </c>
      <c r="S23" s="130">
        <f>+Actuals!P173</f>
        <v>0</v>
      </c>
      <c r="T23" s="129">
        <f>+Actuals!Q173</f>
        <v>0</v>
      </c>
      <c r="U23" s="130">
        <f>+Actuals!R173</f>
        <v>0</v>
      </c>
      <c r="V23" s="129">
        <f>+Actuals!S173</f>
        <v>0</v>
      </c>
      <c r="W23" s="130">
        <f>+Actuals!T173</f>
        <v>0</v>
      </c>
      <c r="X23" s="129">
        <f>+Actuals!U253</f>
        <v>0</v>
      </c>
      <c r="Y23" s="130">
        <f>+Actuals!V253</f>
        <v>0</v>
      </c>
      <c r="Z23" s="129">
        <f>+Actuals!W253</f>
        <v>0</v>
      </c>
      <c r="AA23" s="130">
        <f>+Actuals!X253</f>
        <v>0</v>
      </c>
      <c r="AB23" s="129">
        <f>+Actuals!Y253</f>
        <v>0</v>
      </c>
      <c r="AC23" s="130">
        <f>+Actuals!Z253</f>
        <v>0</v>
      </c>
      <c r="AD23" s="129">
        <f>+Actuals!AA253</f>
        <v>0</v>
      </c>
      <c r="AE23" s="130">
        <f>+Actuals!AB253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-131879368</v>
      </c>
      <c r="E24" s="39">
        <f t="shared" si="4"/>
        <v>-309813668.63000005</v>
      </c>
      <c r="F24" s="61">
        <f t="shared" si="4"/>
        <v>0</v>
      </c>
      <c r="G24" s="39">
        <f t="shared" si="4"/>
        <v>-3291131.21</v>
      </c>
      <c r="H24" s="61">
        <f t="shared" si="4"/>
        <v>-137459848</v>
      </c>
      <c r="I24" s="39">
        <f t="shared" si="4"/>
        <v>-315236131.71999997</v>
      </c>
      <c r="J24" s="61">
        <f t="shared" si="4"/>
        <v>-704757</v>
      </c>
      <c r="K24" s="150">
        <f t="shared" si="4"/>
        <v>-4222152.085</v>
      </c>
      <c r="L24" s="61">
        <f t="shared" si="4"/>
        <v>-132557</v>
      </c>
      <c r="M24" s="39">
        <f t="shared" si="4"/>
        <v>-262527.58499999996</v>
      </c>
      <c r="N24" s="61">
        <f t="shared" si="4"/>
        <v>543109</v>
      </c>
      <c r="O24" s="39">
        <f t="shared" si="4"/>
        <v>1303481.8600000001</v>
      </c>
      <c r="P24" s="61">
        <f t="shared" si="4"/>
        <v>-1127</v>
      </c>
      <c r="Q24" s="39">
        <f t="shared" si="4"/>
        <v>-2813.43</v>
      </c>
      <c r="R24" s="61">
        <f t="shared" si="4"/>
        <v>5473539</v>
      </c>
      <c r="S24" s="39">
        <f t="shared" si="4"/>
        <v>11015700.890000001</v>
      </c>
      <c r="T24" s="61">
        <f t="shared" si="4"/>
        <v>-545699</v>
      </c>
      <c r="U24" s="39">
        <f t="shared" si="4"/>
        <v>-1199034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-27001</v>
      </c>
      <c r="E27" s="38">
        <f>SUM(G27,I27,K27,M27,O27,Q27,S27,U27,W27,Y27,AA27,AC27,AE27)</f>
        <v>-62507.23</v>
      </c>
      <c r="F27" s="64">
        <f>'TIE-OUT'!H27+RECLASS!H27</f>
        <v>0</v>
      </c>
      <c r="G27" s="68">
        <f>'TIE-OUT'!I27+RECLASS!I27</f>
        <v>0</v>
      </c>
      <c r="H27" s="129">
        <f>+Actuals!E174</f>
        <v>0</v>
      </c>
      <c r="I27" s="130">
        <f>+Actuals!F174</f>
        <v>0</v>
      </c>
      <c r="J27" s="129">
        <f>+Actuals!G174</f>
        <v>0</v>
      </c>
      <c r="K27" s="149">
        <f>+Actuals!H174</f>
        <v>0</v>
      </c>
      <c r="L27" s="129">
        <f>+Actuals!I174</f>
        <v>-27001</v>
      </c>
      <c r="M27" s="130">
        <f>+Actuals!J174</f>
        <v>-62507.23</v>
      </c>
      <c r="N27" s="129">
        <f>+Actuals!K174</f>
        <v>0</v>
      </c>
      <c r="O27" s="130">
        <f>+Actuals!L174</f>
        <v>0</v>
      </c>
      <c r="P27" s="129">
        <f>+Actuals!M174</f>
        <v>0</v>
      </c>
      <c r="Q27" s="130">
        <f>+Actuals!N174</f>
        <v>0</v>
      </c>
      <c r="R27" s="129">
        <f>+Actuals!O174</f>
        <v>0</v>
      </c>
      <c r="S27" s="130">
        <f>+Actuals!P174</f>
        <v>0</v>
      </c>
      <c r="T27" s="129">
        <f>+Actuals!Q174</f>
        <v>0</v>
      </c>
      <c r="U27" s="130">
        <f>+Actuals!R174</f>
        <v>0</v>
      </c>
      <c r="V27" s="129">
        <f>+Actuals!S174</f>
        <v>0</v>
      </c>
      <c r="W27" s="130">
        <f>+Actuals!T174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+Actuals!Y254</f>
        <v>0</v>
      </c>
      <c r="AC27" s="130">
        <f>+Actuals!Z254</f>
        <v>0</v>
      </c>
      <c r="AD27" s="129">
        <f>+Actuals!AA254</f>
        <v>0</v>
      </c>
      <c r="AE27" s="130">
        <f>+Actuals!AB254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-3076342</v>
      </c>
      <c r="E28" s="38">
        <f>SUM(G28,I28,K28,M28,O28,Q28,S28,U28,W28,Y28,AA28,AC28,AE28)</f>
        <v>-6935034.3099999996</v>
      </c>
      <c r="F28" s="81">
        <f>'TIE-OUT'!H28+RECLASS!H28</f>
        <v>0</v>
      </c>
      <c r="G28" s="82">
        <f>'TIE-OUT'!I28+RECLASS!I28</f>
        <v>0</v>
      </c>
      <c r="H28" s="129">
        <f>+Actuals!E175</f>
        <v>-3090333</v>
      </c>
      <c r="I28" s="130">
        <f>+Actuals!F175</f>
        <v>-6966533.8799999999</v>
      </c>
      <c r="J28" s="129">
        <f>+Actuals!G175</f>
        <v>13991</v>
      </c>
      <c r="K28" s="149">
        <f>+Actuals!H175</f>
        <v>31499.57</v>
      </c>
      <c r="L28" s="129">
        <f>+Actuals!I175</f>
        <v>0</v>
      </c>
      <c r="M28" s="130">
        <f>+Actuals!J175</f>
        <v>0</v>
      </c>
      <c r="N28" s="129">
        <f>+Actuals!K175</f>
        <v>0</v>
      </c>
      <c r="O28" s="130">
        <f>+Actuals!L175</f>
        <v>0</v>
      </c>
      <c r="P28" s="129">
        <f>+Actuals!M175</f>
        <v>0</v>
      </c>
      <c r="Q28" s="130">
        <f>+Actuals!N175</f>
        <v>0</v>
      </c>
      <c r="R28" s="129">
        <f>+Actuals!O175</f>
        <v>0</v>
      </c>
      <c r="S28" s="130">
        <f>+Actuals!P175</f>
        <v>0</v>
      </c>
      <c r="T28" s="129">
        <f>+Actuals!Q175</f>
        <v>0</v>
      </c>
      <c r="U28" s="130">
        <f>+Actuals!R175</f>
        <v>0</v>
      </c>
      <c r="V28" s="129">
        <f>+Actuals!S175</f>
        <v>0</v>
      </c>
      <c r="W28" s="130">
        <f>+Actuals!T175</f>
        <v>0</v>
      </c>
      <c r="X28" s="129">
        <f>+Actuals!U255</f>
        <v>0</v>
      </c>
      <c r="Y28" s="130">
        <f>+Actuals!V255</f>
        <v>0</v>
      </c>
      <c r="Z28" s="129">
        <f>+Actuals!W255</f>
        <v>0</v>
      </c>
      <c r="AA28" s="130">
        <f>+Actuals!X255</f>
        <v>0</v>
      </c>
      <c r="AB28" s="129">
        <f>+Actuals!Y255</f>
        <v>0</v>
      </c>
      <c r="AC28" s="130">
        <f>+Actuals!Z255</f>
        <v>0</v>
      </c>
      <c r="AD28" s="129">
        <f>+Actuals!AA255</f>
        <v>0</v>
      </c>
      <c r="AE28" s="130">
        <f>+Actuals!AB255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-3103343</v>
      </c>
      <c r="E29" s="39">
        <f t="shared" si="6"/>
        <v>-6997541.54</v>
      </c>
      <c r="F29" s="61">
        <f t="shared" si="6"/>
        <v>0</v>
      </c>
      <c r="G29" s="39">
        <f t="shared" si="6"/>
        <v>0</v>
      </c>
      <c r="H29" s="61">
        <f t="shared" si="6"/>
        <v>-3090333</v>
      </c>
      <c r="I29" s="39">
        <f t="shared" si="6"/>
        <v>-6966533.8799999999</v>
      </c>
      <c r="J29" s="61">
        <f t="shared" si="6"/>
        <v>13991</v>
      </c>
      <c r="K29" s="150">
        <f t="shared" si="6"/>
        <v>31499.57</v>
      </c>
      <c r="L29" s="61">
        <f t="shared" si="6"/>
        <v>-27001</v>
      </c>
      <c r="M29" s="39">
        <f t="shared" si="6"/>
        <v>-62507.23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390442</v>
      </c>
      <c r="E32" s="38">
        <f t="shared" si="8"/>
        <v>919491.57499999995</v>
      </c>
      <c r="F32" s="64">
        <f>'TIE-OUT'!H32+RECLASS!H32</f>
        <v>0</v>
      </c>
      <c r="G32" s="68">
        <f>'TIE-OUT'!I32+RECLASS!I32</f>
        <v>0</v>
      </c>
      <c r="H32" s="129">
        <f>+Actuals!E176</f>
        <v>214361</v>
      </c>
      <c r="I32" s="130">
        <f>+Actuals!F176</f>
        <v>504820.15</v>
      </c>
      <c r="J32" s="129">
        <f>+Actuals!G176</f>
        <v>-240869</v>
      </c>
      <c r="K32" s="149">
        <f>+Actuals!H176</f>
        <v>-563906.49199999997</v>
      </c>
      <c r="L32" s="129">
        <f>+Actuals!I176</f>
        <v>246722</v>
      </c>
      <c r="M32" s="130">
        <f>+Actuals!J176</f>
        <v>557871.04200000002</v>
      </c>
      <c r="N32" s="129">
        <f>+Actuals!K176</f>
        <v>142143</v>
      </c>
      <c r="O32" s="130">
        <f>+Actuals!L176</f>
        <v>542266.951</v>
      </c>
      <c r="P32" s="129">
        <f>+Actuals!M176</f>
        <v>1127</v>
      </c>
      <c r="Q32" s="130">
        <f>+Actuals!N176</f>
        <v>1189825.4339999999</v>
      </c>
      <c r="R32" s="129">
        <f>+Actuals!O176</f>
        <v>26958</v>
      </c>
      <c r="S32" s="130">
        <f>+Actuals!P176</f>
        <v>-1311385.51</v>
      </c>
      <c r="T32" s="129">
        <f>+Actuals!Q176</f>
        <v>0</v>
      </c>
      <c r="U32" s="130">
        <f>+Actuals!R176</f>
        <v>0</v>
      </c>
      <c r="V32" s="129">
        <f>+Actuals!S176</f>
        <v>0</v>
      </c>
      <c r="W32" s="130">
        <f>+Actuals!T176</f>
        <v>0</v>
      </c>
      <c r="X32" s="129">
        <f>+Actuals!U256</f>
        <v>0</v>
      </c>
      <c r="Y32" s="130">
        <f>+Actuals!V256</f>
        <v>0</v>
      </c>
      <c r="Z32" s="129">
        <f>+Actuals!W256</f>
        <v>0</v>
      </c>
      <c r="AA32" s="130">
        <f>+Actuals!X256</f>
        <v>0</v>
      </c>
      <c r="AB32" s="129">
        <f>+Actuals!Y256</f>
        <v>0</v>
      </c>
      <c r="AC32" s="130">
        <f>+Actuals!Z256</f>
        <v>0</v>
      </c>
      <c r="AD32" s="129">
        <f>+Actuals!AA256</f>
        <v>0</v>
      </c>
      <c r="AE32" s="130">
        <f>+Actuals!AB256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-54530</v>
      </c>
      <c r="K33" s="149">
        <f>+Actuals!H177</f>
        <v>-121627.77</v>
      </c>
      <c r="L33" s="129">
        <f>+Actuals!I177</f>
        <v>-65324</v>
      </c>
      <c r="M33" s="130">
        <f>+Actuals!J177</f>
        <v>-148053.85999999999</v>
      </c>
      <c r="N33" s="129">
        <f>+Actuals!K177</f>
        <v>-81351</v>
      </c>
      <c r="O33" s="130">
        <f>+Actuals!L177</f>
        <v>-200258.79</v>
      </c>
      <c r="P33" s="129">
        <f>+Actuals!M177</f>
        <v>0</v>
      </c>
      <c r="Q33" s="130">
        <f>+Actuals!N177</f>
        <v>0</v>
      </c>
      <c r="R33" s="129">
        <f>+Actuals!O177</f>
        <v>-2</v>
      </c>
      <c r="S33" s="130">
        <f>+Actuals!P177</f>
        <v>-4.4400000000000004</v>
      </c>
      <c r="T33" s="129">
        <f>+Actuals!Q177</f>
        <v>0</v>
      </c>
      <c r="U33" s="130">
        <f>+Actuals!R177</f>
        <v>0</v>
      </c>
      <c r="V33" s="129">
        <f>+Actuals!S177</f>
        <v>0</v>
      </c>
      <c r="W33" s="130">
        <f>+Actuals!T177</f>
        <v>0</v>
      </c>
      <c r="X33" s="129">
        <f>+Actuals!U257</f>
        <v>0</v>
      </c>
      <c r="Y33" s="130">
        <f>+Actuals!V257</f>
        <v>0</v>
      </c>
      <c r="Z33" s="129">
        <f>+Actuals!W257</f>
        <v>0</v>
      </c>
      <c r="AA33" s="130">
        <f>+Actuals!X257</f>
        <v>0</v>
      </c>
      <c r="AB33" s="129">
        <f>+Actuals!Y257</f>
        <v>0</v>
      </c>
      <c r="AC33" s="130">
        <f>+Actuals!Z257</f>
        <v>0</v>
      </c>
      <c r="AD33" s="129">
        <f>+Actuals!AA257</f>
        <v>0</v>
      </c>
      <c r="AE33" s="130">
        <f>+Actuals!AB257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117646</v>
      </c>
      <c r="K34" s="149">
        <f>+Actuals!H178</f>
        <v>256659.93</v>
      </c>
      <c r="L34" s="129">
        <f>+Actuals!I178</f>
        <v>6264</v>
      </c>
      <c r="M34" s="130">
        <f>+Actuals!J178</f>
        <v>14006.31</v>
      </c>
      <c r="N34" s="129">
        <f>+Actuals!K178</f>
        <v>5556</v>
      </c>
      <c r="O34" s="130">
        <f>+Actuals!L178</f>
        <v>12435.55</v>
      </c>
      <c r="P34" s="129">
        <f>+Actuals!M178</f>
        <v>0</v>
      </c>
      <c r="Q34" s="130">
        <f>+Actuals!N178</f>
        <v>0</v>
      </c>
      <c r="R34" s="129">
        <f>+Actuals!O178</f>
        <v>5329</v>
      </c>
      <c r="S34" s="130">
        <f>+Actuals!P178</f>
        <v>11324.66</v>
      </c>
      <c r="T34" s="129">
        <f>+Actuals!Q178</f>
        <v>0</v>
      </c>
      <c r="U34" s="130">
        <f>+Actuals!R178</f>
        <v>0</v>
      </c>
      <c r="V34" s="129">
        <f>+Actuals!S178</f>
        <v>0</v>
      </c>
      <c r="W34" s="130">
        <f>+Actuals!T178</f>
        <v>0</v>
      </c>
      <c r="X34" s="129">
        <f>+Actuals!U258</f>
        <v>0</v>
      </c>
      <c r="Y34" s="130">
        <f>+Actuals!V258</f>
        <v>0</v>
      </c>
      <c r="Z34" s="129">
        <f>+Actuals!W258</f>
        <v>0</v>
      </c>
      <c r="AA34" s="130">
        <f>+Actuals!X258</f>
        <v>0</v>
      </c>
      <c r="AB34" s="129">
        <f>+Actuals!Y258</f>
        <v>0</v>
      </c>
      <c r="AC34" s="130">
        <f>+Actuals!Z258</f>
        <v>0</v>
      </c>
      <c r="AD34" s="129">
        <f>+Actuals!AA258</f>
        <v>0</v>
      </c>
      <c r="AE34" s="130">
        <f>+Actuals!AB258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'TIE-OUT'!H35+RECLASS!H35</f>
        <v>0</v>
      </c>
      <c r="G35" s="82">
        <f>'TIE-OUT'!I35+RECLASS!I35</f>
        <v>0</v>
      </c>
      <c r="H35" s="129">
        <f>+Actuals!E179</f>
        <v>-499999</v>
      </c>
      <c r="I35" s="130">
        <f>+Actuals!F179</f>
        <v>-0.01</v>
      </c>
      <c r="J35" s="129">
        <f>+Actuals!G179</f>
        <v>1</v>
      </c>
      <c r="K35" s="149">
        <f>+Actuals!H179</f>
        <v>0</v>
      </c>
      <c r="L35" s="129">
        <f>+Actuals!I179</f>
        <v>999998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0</v>
      </c>
      <c r="R35" s="129">
        <f>+Actuals!O179</f>
        <v>0</v>
      </c>
      <c r="S35" s="130">
        <f>+Actuals!P179</f>
        <v>1177500</v>
      </c>
      <c r="T35" s="129">
        <f>+Actuals!Q179</f>
        <v>0</v>
      </c>
      <c r="U35" s="130">
        <f>+Actuals!R179</f>
        <v>0</v>
      </c>
      <c r="V35" s="129">
        <f>+Actuals!S179</f>
        <v>0</v>
      </c>
      <c r="W35" s="130">
        <f>+Actuals!T179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+Actuals!Y259</f>
        <v>0</v>
      </c>
      <c r="AC35" s="130">
        <f>+Actuals!Z259</f>
        <v>0</v>
      </c>
      <c r="AD35" s="129">
        <f>+Actuals!AA259</f>
        <v>0</v>
      </c>
      <c r="AE35" s="130">
        <f>+Actuals!AB259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824030</v>
      </c>
      <c r="E36" s="39">
        <f t="shared" si="9"/>
        <v>1921473.1549999998</v>
      </c>
      <c r="F36" s="61">
        <f t="shared" si="9"/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-177752</v>
      </c>
      <c r="K36" s="150">
        <f t="shared" si="9"/>
        <v>-428874.33199999999</v>
      </c>
      <c r="L36" s="61">
        <f t="shared" si="9"/>
        <v>1187660</v>
      </c>
      <c r="M36" s="39">
        <f t="shared" si="9"/>
        <v>423823.49200000003</v>
      </c>
      <c r="N36" s="61">
        <f t="shared" si="9"/>
        <v>66348</v>
      </c>
      <c r="O36" s="39">
        <f t="shared" si="9"/>
        <v>354443.71099999995</v>
      </c>
      <c r="P36" s="61">
        <f t="shared" si="9"/>
        <v>1127</v>
      </c>
      <c r="Q36" s="39">
        <f t="shared" si="9"/>
        <v>1189825.4339999999</v>
      </c>
      <c r="R36" s="61">
        <f t="shared" si="9"/>
        <v>32285</v>
      </c>
      <c r="S36" s="39">
        <f t="shared" si="9"/>
        <v>-122565.29000000004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29">
        <f>+Actuals!E180</f>
        <v>499972</v>
      </c>
      <c r="I39" s="130">
        <f>+Actuals!F180</f>
        <v>1299894.75</v>
      </c>
      <c r="J39" s="129">
        <f>+Actuals!G180</f>
        <v>0</v>
      </c>
      <c r="K39" s="149">
        <f>+Actuals!H180</f>
        <v>0</v>
      </c>
      <c r="L39" s="129">
        <f>+Actuals!I180</f>
        <v>-499972</v>
      </c>
      <c r="M39" s="130">
        <f>+Actuals!J180</f>
        <v>-1299894.75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+Actuals!Q180</f>
        <v>0</v>
      </c>
      <c r="U39" s="130">
        <f>+Actuals!R180</f>
        <v>0</v>
      </c>
      <c r="V39" s="129">
        <f>+Actuals!S180</f>
        <v>0</v>
      </c>
      <c r="W39" s="130">
        <f>+Actuals!T180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+Actuals!Y260</f>
        <v>0</v>
      </c>
      <c r="AC39" s="130">
        <f>+Actuals!Z260</f>
        <v>0</v>
      </c>
      <c r="AD39" s="129">
        <f>+Actuals!AA260</f>
        <v>0</v>
      </c>
      <c r="AE39" s="130">
        <f>+Actuals!AB260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0</v>
      </c>
      <c r="O40" s="130">
        <f>+Actuals!L181</f>
        <v>0</v>
      </c>
      <c r="P40" s="129">
        <f>+Actuals!M181</f>
        <v>0</v>
      </c>
      <c r="Q40" s="130">
        <f>+Actuals!N181</f>
        <v>0</v>
      </c>
      <c r="R40" s="129">
        <f>+Actuals!O181</f>
        <v>0</v>
      </c>
      <c r="S40" s="130">
        <f>+Actuals!P181</f>
        <v>0</v>
      </c>
      <c r="T40" s="129">
        <f>+Actuals!Q181</f>
        <v>0</v>
      </c>
      <c r="U40" s="130">
        <f>+Actuals!R181</f>
        <v>0</v>
      </c>
      <c r="V40" s="129">
        <f>+Actuals!S181</f>
        <v>0</v>
      </c>
      <c r="W40" s="130">
        <f>+Actuals!T181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+Actuals!Y261</f>
        <v>0</v>
      </c>
      <c r="AC40" s="130">
        <f>+Actuals!Z261</f>
        <v>0</v>
      </c>
      <c r="AD40" s="129">
        <f>+Actuals!AA261</f>
        <v>0</v>
      </c>
      <c r="AE40" s="130">
        <f>+Actuals!AB261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+Actuals!Q182</f>
        <v>0</v>
      </c>
      <c r="U41" s="130">
        <f>+Actuals!R182</f>
        <v>0</v>
      </c>
      <c r="V41" s="129">
        <f>+Actuals!S182</f>
        <v>0</v>
      </c>
      <c r="W41" s="130">
        <f>+Actuals!T182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+Actuals!Y262</f>
        <v>0</v>
      </c>
      <c r="AC41" s="130">
        <f>+Actuals!Z262</f>
        <v>0</v>
      </c>
      <c r="AD41" s="129">
        <f>+Actuals!AA262</f>
        <v>0</v>
      </c>
      <c r="AE41" s="130">
        <f>+Actuals!AB262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0</v>
      </c>
      <c r="K43" s="150">
        <f t="shared" si="14"/>
        <v>0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+Actuals!Q183</f>
        <v>0</v>
      </c>
      <c r="U45" s="130">
        <f>+Actuals!R183</f>
        <v>0</v>
      </c>
      <c r="V45" s="129">
        <f>+Actuals!S183</f>
        <v>0</v>
      </c>
      <c r="W45" s="130">
        <f>+Actuals!T183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+Actuals!Y263</f>
        <v>0</v>
      </c>
      <c r="AC45" s="130">
        <f>+Actuals!Z263</f>
        <v>0</v>
      </c>
      <c r="AD45" s="129">
        <f>+Actuals!AA263</f>
        <v>0</v>
      </c>
      <c r="AE45" s="130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+Actuals!Q184</f>
        <v>0</v>
      </c>
      <c r="U47" s="130">
        <f>+Actuals!R184</f>
        <v>0</v>
      </c>
      <c r="V47" s="129">
        <f>+Actuals!S184</f>
        <v>0</v>
      </c>
      <c r="W47" s="130">
        <f>+Actuals!T184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+Actuals!Y264</f>
        <v>0</v>
      </c>
      <c r="AC47" s="130">
        <f>+Actuals!Z264</f>
        <v>0</v>
      </c>
      <c r="AD47" s="129">
        <f>+Actuals!AA264</f>
        <v>0</v>
      </c>
      <c r="AE47" s="130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846822</v>
      </c>
      <c r="E49" s="38">
        <f>SUM(G49,I49,K49,M49,O49,Q49,S49,U49,W49,Y49,AA49,AC49,AE49)</f>
        <v>1994265.8099999996</v>
      </c>
      <c r="F49" s="60">
        <f>'TIE-OUT'!H49+RECLASS!H49</f>
        <v>0</v>
      </c>
      <c r="G49" s="38">
        <f>'TIE-OUT'!I49+RECLASS!I49</f>
        <v>0</v>
      </c>
      <c r="H49" s="129">
        <f>+Actuals!E185</f>
        <v>7185540</v>
      </c>
      <c r="I49" s="130">
        <f>+Actuals!F185</f>
        <v>16921946.699999999</v>
      </c>
      <c r="J49" s="129">
        <f>+Actuals!G185</f>
        <v>1225818</v>
      </c>
      <c r="K49" s="149">
        <f>+Actuals!H185</f>
        <v>2886801.39</v>
      </c>
      <c r="L49" s="129">
        <f>+Actuals!I185</f>
        <v>-524212</v>
      </c>
      <c r="M49" s="130">
        <f>+Actuals!J185</f>
        <v>-1234519.26</v>
      </c>
      <c r="N49" s="129">
        <f>+Actuals!K185</f>
        <v>-609457</v>
      </c>
      <c r="O49" s="130">
        <f>+Actuals!L185</f>
        <v>-1435271.2350000001</v>
      </c>
      <c r="P49" s="129">
        <f>+Actuals!M185</f>
        <v>0</v>
      </c>
      <c r="Q49" s="130">
        <f>+Actuals!N185</f>
        <v>0</v>
      </c>
      <c r="R49" s="129">
        <f>+Actuals!O185</f>
        <v>-6336257</v>
      </c>
      <c r="S49" s="130">
        <f>+Actuals!P185</f>
        <v>-14921885.234999999</v>
      </c>
      <c r="T49" s="129">
        <f>+Actuals!Q185</f>
        <v>0</v>
      </c>
      <c r="U49" s="130">
        <f>+Actuals!R185</f>
        <v>0</v>
      </c>
      <c r="V49" s="129">
        <f>+Actuals!S185</f>
        <v>-77304</v>
      </c>
      <c r="W49" s="130">
        <f>+Actuals!T185</f>
        <v>-182050.92</v>
      </c>
      <c r="X49" s="129">
        <f>+Actuals!U265</f>
        <v>59998</v>
      </c>
      <c r="Y49" s="130">
        <f>+Actuals!V265</f>
        <v>141295.29</v>
      </c>
      <c r="Z49" s="129">
        <f>+Actuals!W265</f>
        <v>0</v>
      </c>
      <c r="AA49" s="130">
        <f>+Actuals!X265</f>
        <v>0</v>
      </c>
      <c r="AB49" s="129">
        <f>+Actuals!Y265</f>
        <v>-77304</v>
      </c>
      <c r="AC49" s="130">
        <f>+Actuals!Z265</f>
        <v>-182050.92</v>
      </c>
      <c r="AD49" s="129">
        <f>+Actuals!AA265</f>
        <v>0</v>
      </c>
      <c r="AE49" s="130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-397034</v>
      </c>
      <c r="E51" s="38">
        <f>SUM(G51,I51,K51,M51,O51,Q51,S51,U51,W51,Y51,AA51,AC51,AE51)</f>
        <v>-729666.14</v>
      </c>
      <c r="F51" s="60">
        <f>'TIE-OUT'!H51+RECLASS!H51</f>
        <v>0</v>
      </c>
      <c r="G51" s="38">
        <f>'TIE-OUT'!I51+RECLASS!I51</f>
        <v>0</v>
      </c>
      <c r="H51" s="129">
        <f>+Actuals!E186</f>
        <v>-303533</v>
      </c>
      <c r="I51" s="130">
        <f>+Actuals!F186</f>
        <v>-714820.22</v>
      </c>
      <c r="J51" s="129">
        <f>+Actuals!G186</f>
        <v>2495</v>
      </c>
      <c r="K51" s="149">
        <f>+Actuals!H186</f>
        <v>5875.7250000000004</v>
      </c>
      <c r="L51" s="129">
        <f>+Actuals!I186</f>
        <v>-8799</v>
      </c>
      <c r="M51" s="130">
        <f>+Actuals!J186</f>
        <v>-20721.645</v>
      </c>
      <c r="N51" s="129">
        <f>+Actuals!K186</f>
        <v>0</v>
      </c>
      <c r="O51" s="130">
        <f>+Actuals!L186</f>
        <v>0</v>
      </c>
      <c r="P51" s="129">
        <f>+Actuals!M186</f>
        <v>0</v>
      </c>
      <c r="Q51" s="130">
        <f>+Actuals!N186</f>
        <v>0</v>
      </c>
      <c r="R51" s="129">
        <f>+Actuals!O186</f>
        <v>-87197</v>
      </c>
      <c r="S51" s="130">
        <f>+Actuals!P186</f>
        <v>0</v>
      </c>
      <c r="T51" s="129">
        <f>+Actuals!Q186</f>
        <v>0</v>
      </c>
      <c r="U51" s="130">
        <f>+Actuals!R186</f>
        <v>0</v>
      </c>
      <c r="V51" s="129">
        <f>+Actuals!S186</f>
        <v>0</v>
      </c>
      <c r="W51" s="130">
        <f>+Actuals!T186</f>
        <v>0</v>
      </c>
      <c r="X51" s="129">
        <f>+Actuals!U266</f>
        <v>0</v>
      </c>
      <c r="Y51" s="130">
        <f>+Actuals!V266</f>
        <v>0</v>
      </c>
      <c r="Z51" s="129">
        <f>+Actuals!W266</f>
        <v>0</v>
      </c>
      <c r="AA51" s="130">
        <f>+Actuals!X266</f>
        <v>0</v>
      </c>
      <c r="AB51" s="129">
        <f>+Actuals!Y266</f>
        <v>0</v>
      </c>
      <c r="AC51" s="130">
        <f>+Actuals!Z266</f>
        <v>0</v>
      </c>
      <c r="AD51" s="129">
        <f>+Actuals!AA266</f>
        <v>0</v>
      </c>
      <c r="AE51" s="130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-27579579</v>
      </c>
      <c r="E54" s="38">
        <f>SUM(G54,I54,K54,M54,O54,Q54,S54,U54,W54,Y54,AA54,AC54,AE54)</f>
        <v>-535671.41</v>
      </c>
      <c r="F54" s="64">
        <f>'TIE-OUT'!H54+RECLASS!H54</f>
        <v>0</v>
      </c>
      <c r="G54" s="68">
        <f>'TIE-OUT'!I54+RECLASS!I54</f>
        <v>0</v>
      </c>
      <c r="H54" s="129">
        <f>+Actuals!E187</f>
        <v>-26801603</v>
      </c>
      <c r="I54" s="130">
        <f>+Actuals!F187</f>
        <v>-623460.05000000005</v>
      </c>
      <c r="J54" s="129">
        <f>+Actuals!G187</f>
        <v>-2259004</v>
      </c>
      <c r="K54" s="149">
        <f>+Actuals!H187</f>
        <v>-126882.25</v>
      </c>
      <c r="L54" s="129">
        <f>+Actuals!I187</f>
        <v>1518915</v>
      </c>
      <c r="M54" s="130">
        <f>+Actuals!J187</f>
        <v>15225.4</v>
      </c>
      <c r="N54" s="129">
        <f>+Actuals!K187</f>
        <v>-37788</v>
      </c>
      <c r="O54" s="130">
        <f>+Actuals!L187</f>
        <v>-462.36</v>
      </c>
      <c r="P54" s="129">
        <f>+Actuals!M187</f>
        <v>-99</v>
      </c>
      <c r="Q54" s="130">
        <f>+Actuals!N187</f>
        <v>-2.15</v>
      </c>
      <c r="R54" s="129">
        <f>+Actuals!O187</f>
        <v>0</v>
      </c>
      <c r="S54" s="130">
        <f>+Actuals!P187</f>
        <v>0</v>
      </c>
      <c r="T54" s="129">
        <f>+Actuals!Q187</f>
        <v>0</v>
      </c>
      <c r="U54" s="130">
        <f>+Actuals!R187</f>
        <v>0</v>
      </c>
      <c r="V54" s="129">
        <f>+Actuals!S187</f>
        <v>0</v>
      </c>
      <c r="W54" s="130">
        <f>+Actuals!T187</f>
        <v>0</v>
      </c>
      <c r="X54" s="129">
        <f>+Actuals!U267</f>
        <v>0</v>
      </c>
      <c r="Y54" s="130">
        <f>+Actuals!V267+99955</f>
        <v>99955</v>
      </c>
      <c r="Z54" s="129">
        <f>+Actuals!W267</f>
        <v>0</v>
      </c>
      <c r="AA54" s="208">
        <v>99955</v>
      </c>
      <c r="AB54" s="129">
        <f>+Actuals!Y267</f>
        <v>0</v>
      </c>
      <c r="AC54" s="129">
        <f>+Actuals!Z267</f>
        <v>0</v>
      </c>
      <c r="AD54" s="129">
        <f>+Actuals!AA267</f>
        <v>0</v>
      </c>
      <c r="AE54" s="130">
        <f>+Actuals!AB267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'TIE-OUT'!H55+RECLASS!H55</f>
        <v>0</v>
      </c>
      <c r="G55" s="82">
        <f>'TIE-OUT'!I55+RECLASS!I55</f>
        <v>643108.63</v>
      </c>
      <c r="H55" s="129">
        <f>+Actuals!E188</f>
        <v>0</v>
      </c>
      <c r="I55" s="130">
        <f>+Actuals!F188</f>
        <v>-3499026.12</v>
      </c>
      <c r="J55" s="129">
        <f>+Actuals!G188</f>
        <v>0</v>
      </c>
      <c r="K55" s="149">
        <f>+Actuals!H188</f>
        <v>208173.31</v>
      </c>
      <c r="L55" s="129">
        <f>+Actuals!I188</f>
        <v>0</v>
      </c>
      <c r="M55" s="130">
        <f>+Actuals!J188</f>
        <v>-4606.45</v>
      </c>
      <c r="N55" s="129">
        <f>+Actuals!K188</f>
        <v>0</v>
      </c>
      <c r="O55" s="130">
        <f>+Actuals!L188</f>
        <v>0</v>
      </c>
      <c r="P55" s="129">
        <f>+Actuals!M188</f>
        <v>0</v>
      </c>
      <c r="Q55" s="130">
        <f>+Actuals!N188</f>
        <v>11411.4</v>
      </c>
      <c r="R55" s="129">
        <f>+Actuals!O188</f>
        <v>0</v>
      </c>
      <c r="S55" s="130">
        <f>+Actuals!P188</f>
        <v>0</v>
      </c>
      <c r="T55" s="129">
        <f>+Actuals!Q188</f>
        <v>0</v>
      </c>
      <c r="U55" s="130">
        <f>+Actuals!R188</f>
        <v>0</v>
      </c>
      <c r="V55" s="129">
        <f>+Actuals!S188</f>
        <v>0</v>
      </c>
      <c r="W55" s="130">
        <f>+Actuals!T188</f>
        <v>0</v>
      </c>
      <c r="X55" s="129">
        <f>+Actuals!U268</f>
        <v>0</v>
      </c>
      <c r="Y55" s="130">
        <f>+Actuals!V268</f>
        <v>0</v>
      </c>
      <c r="Z55" s="129">
        <f>+Actuals!W268</f>
        <v>0</v>
      </c>
      <c r="AA55" s="130">
        <f>+Actuals!X268</f>
        <v>0</v>
      </c>
      <c r="AB55" s="129">
        <f>+Actuals!Y268</f>
        <v>0</v>
      </c>
      <c r="AC55" s="130">
        <f>+Actuals!Z268</f>
        <v>0</v>
      </c>
      <c r="AD55" s="129">
        <f>+Actuals!AA268</f>
        <v>0</v>
      </c>
      <c r="AE55" s="130">
        <f>+Actuals!AB268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-27579579</v>
      </c>
      <c r="E56" s="39">
        <f t="shared" si="16"/>
        <v>-3176610.6400000006</v>
      </c>
      <c r="F56" s="61">
        <f t="shared" si="16"/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-4122486.17</v>
      </c>
      <c r="J56" s="61">
        <f t="shared" si="16"/>
        <v>-2259004</v>
      </c>
      <c r="K56" s="150">
        <f t="shared" si="16"/>
        <v>81291.06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0</v>
      </c>
      <c r="J59" s="129">
        <f>+Actuals!G189</f>
        <v>0</v>
      </c>
      <c r="K59" s="149">
        <f>+Actuals!H189</f>
        <v>0</v>
      </c>
      <c r="L59" s="129">
        <f>+Actuals!I189</f>
        <v>0</v>
      </c>
      <c r="M59" s="130">
        <f>+Actuals!J189</f>
        <v>0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0</v>
      </c>
      <c r="R59" s="129">
        <f>+Actuals!O189</f>
        <v>0</v>
      </c>
      <c r="S59" s="130">
        <f>+Actuals!P189</f>
        <v>0</v>
      </c>
      <c r="T59" s="129">
        <f>+Actuals!Q189</f>
        <v>0</v>
      </c>
      <c r="U59" s="130">
        <f>+Actuals!R189</f>
        <v>0</v>
      </c>
      <c r="V59" s="129">
        <f>+Actuals!S189</f>
        <v>0</v>
      </c>
      <c r="W59" s="130">
        <f>+Actuals!T189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+Actuals!Y269</f>
        <v>0</v>
      </c>
      <c r="AC59" s="130">
        <f>+Actuals!Z269</f>
        <v>0</v>
      </c>
      <c r="AD59" s="129">
        <f>+Actuals!AA269</f>
        <v>0</v>
      </c>
      <c r="AE59" s="130">
        <f>+Actuals!AB269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+Actuals!Q190</f>
        <v>0</v>
      </c>
      <c r="U60" s="130">
        <f>+Actuals!R190</f>
        <v>0</v>
      </c>
      <c r="V60" s="129">
        <f>+Actuals!S190</f>
        <v>0</v>
      </c>
      <c r="W60" s="130">
        <f>+Actuals!T190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+Actuals!Y270</f>
        <v>0</v>
      </c>
      <c r="AC60" s="130">
        <f>+Actuals!Z270</f>
        <v>0</v>
      </c>
      <c r="AD60" s="129">
        <f>+Actuals!AA270</f>
        <v>0</v>
      </c>
      <c r="AE60" s="130">
        <f>+Actuals!AB270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+Actuals!Q191</f>
        <v>0</v>
      </c>
      <c r="U64" s="130">
        <f>+Actuals!R191</f>
        <v>0</v>
      </c>
      <c r="V64" s="129">
        <f>+Actuals!S191</f>
        <v>0</v>
      </c>
      <c r="W64" s="130">
        <f>+Actuals!T191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+Actuals!Y271</f>
        <v>0</v>
      </c>
      <c r="AC64" s="130">
        <f>+Actuals!Z271</f>
        <v>0</v>
      </c>
      <c r="AD64" s="129">
        <f>+Actuals!AA271</f>
        <v>0</v>
      </c>
      <c r="AE64" s="130">
        <f>+Actuals!AB271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+Actuals!Q192</f>
        <v>0</v>
      </c>
      <c r="U65" s="130">
        <f>+Actuals!R192</f>
        <v>0</v>
      </c>
      <c r="V65" s="129">
        <f>+Actuals!S192</f>
        <v>0</v>
      </c>
      <c r="W65" s="130">
        <f>+Actuals!T192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+Actuals!Y272</f>
        <v>0</v>
      </c>
      <c r="AC65" s="130">
        <f>+Actuals!Z272</f>
        <v>0</v>
      </c>
      <c r="AD65" s="129">
        <f>+Actuals!AA272</f>
        <v>0</v>
      </c>
      <c r="AE65" s="130">
        <f>+Actuals!AB272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'TIE-OUT'!H70+RECLASS!H70</f>
        <v>0</v>
      </c>
      <c r="G70" s="68">
        <f>'TIE-OUT'!I70+RECLASS!I70</f>
        <v>2978874.85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+Actuals!Q193</f>
        <v>0</v>
      </c>
      <c r="U70" s="130">
        <f>+Actuals!R193</f>
        <v>0</v>
      </c>
      <c r="V70" s="129">
        <f>+Actuals!S193</f>
        <v>0</v>
      </c>
      <c r="W70" s="130">
        <f>+Actuals!T193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+Actuals!Y273</f>
        <v>0</v>
      </c>
      <c r="AC70" s="130">
        <f>+Actuals!Z273</f>
        <v>0</v>
      </c>
      <c r="AD70" s="129">
        <f>+Actuals!AA273</f>
        <v>0</v>
      </c>
      <c r="AE70" s="130">
        <f>+Actuals!AB273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'TIE-OUT'!H71+RECLASS!H71</f>
        <v>0</v>
      </c>
      <c r="G71" s="82">
        <f>'TIE-OUT'!I71+RECLASS!I71</f>
        <v>196194.06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+Actuals!Q194</f>
        <v>0</v>
      </c>
      <c r="U71" s="130">
        <f>+Actuals!R194</f>
        <v>0</v>
      </c>
      <c r="V71" s="129">
        <f>+Actuals!S194</f>
        <v>0</v>
      </c>
      <c r="W71" s="130">
        <f>+Actuals!T194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+Actuals!Y274</f>
        <v>0</v>
      </c>
      <c r="AC71" s="130">
        <f>+Actuals!Z274</f>
        <v>0</v>
      </c>
      <c r="AD71" s="129">
        <f>+Actuals!AA274</f>
        <v>0</v>
      </c>
      <c r="AE71" s="130">
        <f>+Actuals!AB274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3175068.91</v>
      </c>
      <c r="F72" s="61">
        <f t="shared" si="22"/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+Actuals!Q195</f>
        <v>0</v>
      </c>
      <c r="U73" s="130">
        <f>+Actuals!R195</f>
        <v>0</v>
      </c>
      <c r="V73" s="129">
        <f>+Actuals!S195</f>
        <v>0</v>
      </c>
      <c r="W73" s="130">
        <f>+Actuals!T195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+Actuals!Y275</f>
        <v>0</v>
      </c>
      <c r="AC73" s="130">
        <f>+Actuals!Z275</f>
        <v>0</v>
      </c>
      <c r="AD73" s="129">
        <f>+Actuals!AA275</f>
        <v>0</v>
      </c>
      <c r="AE73" s="130">
        <f>+Actuals!AB275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'TIE-OUT'!H74+RECLASS!H74</f>
        <v>0</v>
      </c>
      <c r="G74" s="60">
        <f>'TIE-OUT'!I74+RECLASS!I74</f>
        <v>-2994798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f>+Actuals!H196</f>
        <v>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30">
        <f>+Actuals!L196</f>
        <v>0</v>
      </c>
      <c r="P74" s="129">
        <f>+Actuals!M196</f>
        <v>0</v>
      </c>
      <c r="Q74" s="159">
        <f>-22431.85-45661.5</f>
        <v>-68093.350000000006</v>
      </c>
      <c r="R74" s="129">
        <f>+Actuals!O196</f>
        <v>0</v>
      </c>
      <c r="S74" s="130">
        <f>+Actuals!P196</f>
        <v>0</v>
      </c>
      <c r="T74" s="129">
        <f>+Actuals!Q196</f>
        <v>0</v>
      </c>
      <c r="U74" s="130">
        <f>+Actuals!R196</f>
        <v>0</v>
      </c>
      <c r="V74" s="129">
        <f>+Actuals!S196</f>
        <v>0</v>
      </c>
      <c r="W74" s="130">
        <f>+Actuals!T196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+Actuals!Y276</f>
        <v>0</v>
      </c>
      <c r="AC74" s="130">
        <f>+Actuals!Z276</f>
        <v>0</v>
      </c>
      <c r="AD74" s="129">
        <f>+Actuals!AA276</f>
        <v>0</v>
      </c>
      <c r="AE74" s="130">
        <f>+Actuals!AB276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'TIE-OUT'!H75+RECLASS!H75</f>
        <v>0</v>
      </c>
      <c r="G75" s="60">
        <f>'TIE-OUT'!I75+RECLASS!I75</f>
        <v>667700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+Actuals!Q197</f>
        <v>0</v>
      </c>
      <c r="U75" s="130">
        <f>+Actuals!R197</f>
        <v>0</v>
      </c>
      <c r="V75" s="129">
        <f>+Actuals!S197</f>
        <v>0</v>
      </c>
      <c r="W75" s="130">
        <f>+Actuals!T197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+Actuals!Y277</f>
        <v>0</v>
      </c>
      <c r="AC75" s="130">
        <f>+Actuals!Z277</f>
        <v>0</v>
      </c>
      <c r="AD75" s="129">
        <f>+Actuals!AA277</f>
        <v>0</v>
      </c>
      <c r="AE75" s="130">
        <f>+Actuals!AB277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-7453.19</v>
      </c>
      <c r="J76" s="129">
        <f>+Actuals!G198</f>
        <v>0</v>
      </c>
      <c r="K76" s="149">
        <f>+Actuals!H198</f>
        <v>-276384.33</v>
      </c>
      <c r="L76" s="129">
        <f>+Actuals!I198</f>
        <v>0</v>
      </c>
      <c r="M76" s="130">
        <f>+Actuals!J198</f>
        <v>0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0</v>
      </c>
      <c r="T76" s="129">
        <f>+Actuals!Q198</f>
        <v>0</v>
      </c>
      <c r="U76" s="130">
        <f>+Actuals!R198</f>
        <v>0</v>
      </c>
      <c r="V76" s="129">
        <f>+Actuals!S198</f>
        <v>0</v>
      </c>
      <c r="W76" s="130">
        <f>+Actuals!T198</f>
        <v>0</v>
      </c>
      <c r="X76" s="129">
        <f>+Actuals!U278</f>
        <v>0</v>
      </c>
      <c r="Y76" s="130">
        <f>+Actuals!V278</f>
        <v>0</v>
      </c>
      <c r="Z76" s="129">
        <f>+Actuals!W278</f>
        <v>0</v>
      </c>
      <c r="AA76" s="130">
        <f>+Actuals!X278</f>
        <v>0</v>
      </c>
      <c r="AB76" s="129">
        <f>+Actuals!Y278</f>
        <v>0</v>
      </c>
      <c r="AC76" s="130">
        <f>+Actuals!Z278</f>
        <v>0</v>
      </c>
      <c r="AD76" s="129">
        <f>+Actuals!AA278</f>
        <v>0</v>
      </c>
      <c r="AE76" s="130">
        <f>+Actuals!AB278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'TIE-OUT'!H77+RECLASS!H77</f>
        <v>0</v>
      </c>
      <c r="G77" s="60">
        <f>'TIE-OUT'!I77+RECLASS!I77</f>
        <v>-3226809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+Actuals!Q199</f>
        <v>0</v>
      </c>
      <c r="U77" s="130">
        <f>+Actuals!R199</f>
        <v>0</v>
      </c>
      <c r="V77" s="129">
        <f>+Actuals!S199</f>
        <v>0</v>
      </c>
      <c r="W77" s="130">
        <f>+Actuals!T199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+Actuals!Y279</f>
        <v>0</v>
      </c>
      <c r="AC77" s="130">
        <f>+Actuals!Z279</f>
        <v>0</v>
      </c>
      <c r="AD77" s="129">
        <f>+Actuals!AA279</f>
        <v>0</v>
      </c>
      <c r="AE77" s="130">
        <f>+Actuals!AB279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+Actuals!Q200</f>
        <v>0</v>
      </c>
      <c r="U78" s="130">
        <f>+Actuals!R200</f>
        <v>0</v>
      </c>
      <c r="V78" s="129">
        <f>+Actuals!S200</f>
        <v>0</v>
      </c>
      <c r="W78" s="130">
        <f>+Actuals!T200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+Actuals!Y280</f>
        <v>0</v>
      </c>
      <c r="AC78" s="130">
        <f>+Actuals!Z280</f>
        <v>0</v>
      </c>
      <c r="AD78" s="129">
        <f>+Actuals!AA280</f>
        <v>0</v>
      </c>
      <c r="AE78" s="130">
        <f>+Actuals!AB280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+Actuals!Q201</f>
        <v>0</v>
      </c>
      <c r="U79" s="130">
        <f>+Actuals!R201</f>
        <v>0</v>
      </c>
      <c r="V79" s="129">
        <f>+Actuals!S201</f>
        <v>0</v>
      </c>
      <c r="W79" s="130">
        <f>+Actuals!T201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+Actuals!Y281</f>
        <v>0</v>
      </c>
      <c r="AC79" s="130">
        <f>+Actuals!Z281</f>
        <v>0</v>
      </c>
      <c r="AD79" s="129">
        <f>+Actuals!AA281</f>
        <v>0</v>
      </c>
      <c r="AE79" s="130">
        <f>+Actuals!AB281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+Actuals!Q202</f>
        <v>0</v>
      </c>
      <c r="U80" s="130">
        <f>+Actuals!R202</f>
        <v>0</v>
      </c>
      <c r="V80" s="129">
        <f>+Actuals!S202</f>
        <v>0</v>
      </c>
      <c r="W80" s="130">
        <f>+Actuals!T202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+Actuals!Y282</f>
        <v>0</v>
      </c>
      <c r="AC80" s="130">
        <f>+Actuals!Z282</f>
        <v>0</v>
      </c>
      <c r="AD80" s="129">
        <f>+Actuals!AA282</f>
        <v>0</v>
      </c>
      <c r="AE80" s="130">
        <f>+Actuals!AB282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849655.87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787515.44</v>
      </c>
      <c r="J81" s="129">
        <f>+Actuals!G203</f>
        <v>0</v>
      </c>
      <c r="K81" s="149">
        <f>+Actuals!H203</f>
        <v>62140.43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+Actuals!Q203</f>
        <v>0</v>
      </c>
      <c r="U81" s="130">
        <f>+Actuals!R203</f>
        <v>0</v>
      </c>
      <c r="V81" s="129">
        <f>+Actuals!S203</f>
        <v>0</v>
      </c>
      <c r="W81" s="130">
        <f>+Actuals!T203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+Actuals!Y283</f>
        <v>0</v>
      </c>
      <c r="AC81" s="130">
        <f>+Actuals!Z283</f>
        <v>0</v>
      </c>
      <c r="AD81" s="129">
        <f>+Actuals!AA283</f>
        <v>0</v>
      </c>
      <c r="AE81" s="130">
        <f>+Actuals!AB283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-2420588.9750000061</v>
      </c>
      <c r="F82" s="92">
        <f>F16+F24+F29+F36+F43+F45+F47+F49</f>
        <v>0</v>
      </c>
      <c r="G82" s="93">
        <f>SUM(G72:G81)+G16+G24+G29+G36+G43+G45+G47+G49+G51+G56+G61+G66</f>
        <v>-6721422.75</v>
      </c>
      <c r="H82" s="92">
        <f>H16+H24+H29+H36+H43+H45+H47+H49</f>
        <v>0</v>
      </c>
      <c r="I82" s="93">
        <f>SUM(I72:I81)+I16+I24+I29+I36+I43+I45+I47+I49+I51+I56+I61+I66</f>
        <v>4020373.5500000203</v>
      </c>
      <c r="J82" s="92">
        <f>J16+J24+J29+J36+J43+J45+J47+J49</f>
        <v>0</v>
      </c>
      <c r="K82" s="160">
        <f>SUM(K72:K81)+K16+K24+K29+K36+K43+K45+K47+K49+K51+K56+K61+K66</f>
        <v>17118373.098000001</v>
      </c>
      <c r="L82" s="92">
        <f>L16+L24+L29+L36+L43+L45+L47+L49</f>
        <v>0</v>
      </c>
      <c r="M82" s="93">
        <f>SUM(M72:M81)+M16+M24+M29+M36+M43+M45+M47+M49+M51+M56+M61+M66</f>
        <v>-1818384.9779999999</v>
      </c>
      <c r="N82" s="92">
        <f>N16+N24+N29+N36+N43+N45+N47+N49</f>
        <v>0</v>
      </c>
      <c r="O82" s="93">
        <f>SUM(O72:O81)+O16+O24+O29+O36+O43+O45+O47+O49+O51+O56+O61+O66</f>
        <v>498452.28599999996</v>
      </c>
      <c r="P82" s="92">
        <f>P16+P24+P29+P36+P43+P45+P47+P49</f>
        <v>0</v>
      </c>
      <c r="Q82" s="93">
        <f>SUM(Q72:Q81)+Q16+Q24+Q29+Q36+Q43+Q45+Q47+Q49+Q51+Q56+Q61+Q66</f>
        <v>1130253.9039999999</v>
      </c>
      <c r="R82" s="92">
        <f>R16+R24+R29+R36+R43+R45+R47+R49</f>
        <v>0</v>
      </c>
      <c r="S82" s="93">
        <f>SUM(S72:S81)+S16+S24+S29+S36+S43+S45+S47+S49+S51+S56+S61+S66</f>
        <v>-16796729.884999998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-11348.920000000013</v>
      </c>
      <c r="X82" s="92">
        <f>X16+X24+X29+X36+X43+X45+X47+X49</f>
        <v>0</v>
      </c>
      <c r="Y82" s="93">
        <f>SUM(Y72:Y81)+Y16+Y24+Y29+Y36+Y43+Y45+Y47+Y49+Y51+Y56+Y61+Y66</f>
        <v>71238.639999999868</v>
      </c>
      <c r="Z82" s="92">
        <f>Z16+Z24+Z29+Z36+Z43+Z45+Z47+Z49</f>
        <v>0</v>
      </c>
      <c r="AA82" s="93">
        <f>SUM(AA72:AA81)+AA16+AA24+AA29+AA36+AA43+AA45+AA47+AA49+AA51+AA56+AA61+AA66</f>
        <v>99955</v>
      </c>
      <c r="AB82" s="92">
        <f>AB16+AB24+AB29+AB36+AB43+AB45+AB47+AB49</f>
        <v>0</v>
      </c>
      <c r="AC82" s="93">
        <f>SUM(AC72:AC81)+AC16+AC24+AC29+AC36+AC43+AC45+AC47+AC49+AC51+AC56+AC61+AC66</f>
        <v>-11348.920000000013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173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'TIE-OUT'!H86+RECLASS!H86</f>
        <v>0</v>
      </c>
      <c r="G86" s="175">
        <f>'TIE-OUT'!I86+RECLASS!I86</f>
        <v>812.96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-200000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31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'TIE-OUT'!H87+RECLASS!H87</f>
        <v>0</v>
      </c>
      <c r="G87" s="176">
        <f>'TIE-OUT'!I87+RECLASS!I87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31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'TIE-OUT'!H88+RECLASS!H88</f>
        <v>0</v>
      </c>
      <c r="G88" s="177">
        <f>'TIE-OUT'!I88+RECLASS!I88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31" s="145" customFormat="1" ht="20.25" customHeight="1" x14ac:dyDescent="0.2">
      <c r="A89" s="188"/>
      <c r="B89" s="189"/>
      <c r="C89" s="187" t="s">
        <v>179</v>
      </c>
      <c r="D89" s="190">
        <f>SUM(D86:D88)</f>
        <v>0</v>
      </c>
      <c r="E89" s="190">
        <f t="shared" ref="E89:M89" si="26">SUM(E86:E88)</f>
        <v>-199187.04</v>
      </c>
      <c r="F89" s="190">
        <f t="shared" si="26"/>
        <v>0</v>
      </c>
      <c r="G89" s="190">
        <f t="shared" si="26"/>
        <v>812.96</v>
      </c>
      <c r="H89" s="190">
        <f t="shared" si="26"/>
        <v>0</v>
      </c>
      <c r="I89" s="190">
        <f t="shared" si="26"/>
        <v>0</v>
      </c>
      <c r="J89" s="190">
        <f t="shared" si="26"/>
        <v>0</v>
      </c>
      <c r="K89" s="190">
        <f t="shared" si="26"/>
        <v>0</v>
      </c>
      <c r="L89" s="190">
        <f t="shared" si="26"/>
        <v>0</v>
      </c>
      <c r="M89" s="190">
        <f t="shared" si="26"/>
        <v>0</v>
      </c>
      <c r="N89" s="190">
        <f t="shared" ref="N89:AE89" si="27">SUM(N86:N88)</f>
        <v>0</v>
      </c>
      <c r="O89" s="190">
        <f t="shared" si="27"/>
        <v>-200000</v>
      </c>
      <c r="P89" s="190">
        <f t="shared" si="27"/>
        <v>0</v>
      </c>
      <c r="Q89" s="190">
        <f t="shared" si="27"/>
        <v>0</v>
      </c>
      <c r="R89" s="190">
        <f t="shared" si="27"/>
        <v>0</v>
      </c>
      <c r="S89" s="190">
        <f t="shared" si="27"/>
        <v>0</v>
      </c>
      <c r="T89" s="190">
        <f t="shared" si="27"/>
        <v>0</v>
      </c>
      <c r="U89" s="190">
        <f t="shared" si="27"/>
        <v>0</v>
      </c>
      <c r="V89" s="190">
        <f t="shared" si="27"/>
        <v>0</v>
      </c>
      <c r="W89" s="190">
        <f t="shared" si="27"/>
        <v>0</v>
      </c>
      <c r="X89" s="190">
        <f t="shared" si="27"/>
        <v>0</v>
      </c>
      <c r="Y89" s="190">
        <f t="shared" si="27"/>
        <v>0</v>
      </c>
      <c r="Z89" s="190">
        <f t="shared" si="27"/>
        <v>0</v>
      </c>
      <c r="AA89" s="190">
        <f t="shared" si="27"/>
        <v>0</v>
      </c>
      <c r="AB89" s="190">
        <f t="shared" si="27"/>
        <v>0</v>
      </c>
      <c r="AC89" s="190">
        <f t="shared" si="27"/>
        <v>0</v>
      </c>
      <c r="AD89" s="190">
        <f t="shared" si="27"/>
        <v>0</v>
      </c>
      <c r="AE89" s="190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">
      <c r="A91" s="188"/>
      <c r="B91" s="189"/>
      <c r="C91" s="187" t="s">
        <v>182</v>
      </c>
      <c r="D91" s="190">
        <f>+D82+D89</f>
        <v>0</v>
      </c>
      <c r="E91" s="190">
        <f t="shared" ref="E91:M91" si="28">+E82+E89</f>
        <v>-2619776.0150000062</v>
      </c>
      <c r="F91" s="190">
        <f t="shared" si="28"/>
        <v>0</v>
      </c>
      <c r="G91" s="190">
        <f t="shared" si="28"/>
        <v>-6720609.79</v>
      </c>
      <c r="H91" s="190">
        <f t="shared" si="28"/>
        <v>0</v>
      </c>
      <c r="I91" s="190">
        <f t="shared" si="28"/>
        <v>4020373.5500000203</v>
      </c>
      <c r="J91" s="190">
        <f t="shared" si="28"/>
        <v>0</v>
      </c>
      <c r="K91" s="190">
        <f t="shared" si="28"/>
        <v>17118373.098000001</v>
      </c>
      <c r="L91" s="190">
        <f t="shared" si="28"/>
        <v>0</v>
      </c>
      <c r="M91" s="190">
        <f t="shared" si="28"/>
        <v>-1818384.9779999999</v>
      </c>
      <c r="N91" s="190">
        <f t="shared" ref="N91:AE91" si="29">+N82+N89</f>
        <v>0</v>
      </c>
      <c r="O91" s="190">
        <f t="shared" si="29"/>
        <v>298452.28599999996</v>
      </c>
      <c r="P91" s="190">
        <f t="shared" si="29"/>
        <v>0</v>
      </c>
      <c r="Q91" s="190">
        <f t="shared" si="29"/>
        <v>1130253.9039999999</v>
      </c>
      <c r="R91" s="190">
        <f t="shared" si="29"/>
        <v>0</v>
      </c>
      <c r="S91" s="190">
        <f t="shared" si="29"/>
        <v>-16796729.884999998</v>
      </c>
      <c r="T91" s="190">
        <f t="shared" si="29"/>
        <v>0</v>
      </c>
      <c r="U91" s="190">
        <f t="shared" si="29"/>
        <v>0</v>
      </c>
      <c r="V91" s="190">
        <f t="shared" si="29"/>
        <v>0</v>
      </c>
      <c r="W91" s="190">
        <f t="shared" si="29"/>
        <v>-11348.920000000013</v>
      </c>
      <c r="X91" s="190">
        <f t="shared" si="29"/>
        <v>0</v>
      </c>
      <c r="Y91" s="190">
        <f t="shared" si="29"/>
        <v>71238.639999999868</v>
      </c>
      <c r="Z91" s="190">
        <f t="shared" si="29"/>
        <v>0</v>
      </c>
      <c r="AA91" s="190">
        <f t="shared" si="29"/>
        <v>99955</v>
      </c>
      <c r="AB91" s="190">
        <f t="shared" si="29"/>
        <v>0</v>
      </c>
      <c r="AC91" s="190">
        <f t="shared" si="29"/>
        <v>-11348.920000000013</v>
      </c>
      <c r="AD91" s="190">
        <f t="shared" si="29"/>
        <v>0</v>
      </c>
      <c r="AE91" s="190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tabSelected="1" topLeftCell="A18" zoomScale="75" workbookViewId="0">
      <selection activeCell="C20" sqref="C20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7" width="10.5703125" bestFit="1" customWidth="1"/>
    <col min="8" max="8" width="11" customWidth="1"/>
  </cols>
  <sheetData>
    <row r="1" spans="1:9" s="33" customFormat="1" x14ac:dyDescent="0.2">
      <c r="A1" s="1" t="s">
        <v>5</v>
      </c>
      <c r="B1" s="50"/>
      <c r="C1" s="50"/>
      <c r="D1" s="50"/>
      <c r="F1" s="50"/>
    </row>
    <row r="2" spans="1:9" s="33" customFormat="1" x14ac:dyDescent="0.2">
      <c r="A2" s="5" t="s">
        <v>11</v>
      </c>
      <c r="B2" s="50"/>
      <c r="C2" s="50"/>
      <c r="D2" s="50"/>
      <c r="F2" s="50"/>
    </row>
    <row r="3" spans="1:9" s="33" customFormat="1" x14ac:dyDescent="0.2">
      <c r="A3" s="1" t="s">
        <v>6</v>
      </c>
      <c r="B3" s="50"/>
      <c r="C3" s="50"/>
      <c r="D3" s="50"/>
      <c r="F3" s="50"/>
    </row>
    <row r="4" spans="1:9" s="33" customFormat="1" x14ac:dyDescent="0.2">
      <c r="A4" s="51" t="s">
        <v>7</v>
      </c>
      <c r="B4" s="50"/>
      <c r="C4" s="50"/>
      <c r="D4" s="50"/>
      <c r="F4" s="50"/>
    </row>
    <row r="5" spans="1:9" s="33" customFormat="1" x14ac:dyDescent="0.2">
      <c r="A5" s="5" t="s">
        <v>187</v>
      </c>
      <c r="B5" s="50"/>
      <c r="C5" s="50"/>
      <c r="D5" s="50"/>
      <c r="F5" s="50"/>
    </row>
    <row r="9" spans="1:9" ht="13.5" thickBot="1" x14ac:dyDescent="0.25"/>
    <row r="10" spans="1:9" s="87" customFormat="1" ht="18.75" thickBot="1" x14ac:dyDescent="0.3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9" x14ac:dyDescent="0.2">
      <c r="A11" s="102" t="s">
        <v>14</v>
      </c>
      <c r="B11" s="142">
        <f>'CE-FLSH'!$M$82</f>
        <v>1173945.5243835263</v>
      </c>
      <c r="C11" s="207">
        <f>CE_GL!$E$82</f>
        <v>2373224.5980000277</v>
      </c>
      <c r="D11" s="108">
        <f t="shared" ref="D11:D19" si="0">C11-B11</f>
        <v>1199279.0736165014</v>
      </c>
      <c r="E11" s="31"/>
      <c r="F11" s="31">
        <f>CE_GL!G82</f>
        <v>-5939079.8199999994</v>
      </c>
      <c r="G11" s="31">
        <v>1106046</v>
      </c>
      <c r="H11" s="31">
        <f>+C11-G11</f>
        <v>1267178.5980000277</v>
      </c>
      <c r="I11">
        <f>109834-41653</f>
        <v>68181</v>
      </c>
    </row>
    <row r="12" spans="1:9" x14ac:dyDescent="0.2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-6721422.75</v>
      </c>
      <c r="G12" s="31">
        <v>0</v>
      </c>
      <c r="H12" s="31">
        <f t="shared" ref="H12:H23" si="1">+C12-G12</f>
        <v>0</v>
      </c>
    </row>
    <row r="13" spans="1:9" x14ac:dyDescent="0.2">
      <c r="A13" s="102" t="s">
        <v>162</v>
      </c>
      <c r="B13" s="141">
        <f>'BGC-EGM-FLSH'!$M$82+'EAST-EGM-FLSH'!M82</f>
        <v>1098249.9531987011</v>
      </c>
      <c r="C13" s="207">
        <f>'BGC-EGM-GL'!$E$82+'EAST-EGM-GL'!E82</f>
        <v>-2420588.9750000061</v>
      </c>
      <c r="D13" s="108">
        <f t="shared" si="0"/>
        <v>-3518838.9281987073</v>
      </c>
      <c r="E13" s="31"/>
      <c r="F13" s="31">
        <f>'BGC-EGM-GL'!G82</f>
        <v>0</v>
      </c>
      <c r="G13" s="31">
        <v>-2569085</v>
      </c>
      <c r="H13" s="31">
        <f t="shared" si="1"/>
        <v>148496.02499999385</v>
      </c>
    </row>
    <row r="14" spans="1:9" x14ac:dyDescent="0.2">
      <c r="A14" s="102" t="s">
        <v>163</v>
      </c>
      <c r="B14" s="141">
        <f>'EAST-LRC-FLSH'!$M$82</f>
        <v>-2895910.9391440554</v>
      </c>
      <c r="C14" s="207">
        <f>'EAST-LRC-GL'!$E$82</f>
        <v>1030261.1249999925</v>
      </c>
      <c r="D14" s="108">
        <f t="shared" si="0"/>
        <v>3926172.0641440479</v>
      </c>
      <c r="E14" s="31"/>
      <c r="F14" s="31">
        <f>'EAST-LRC-GL'!G82</f>
        <v>16940.22</v>
      </c>
      <c r="G14" s="31">
        <v>1024861</v>
      </c>
      <c r="H14" s="31">
        <f t="shared" si="1"/>
        <v>5400.1249999925494</v>
      </c>
    </row>
    <row r="15" spans="1:9" x14ac:dyDescent="0.2">
      <c r="A15" s="102" t="s">
        <v>173</v>
      </c>
      <c r="B15" s="141">
        <f>+'EAST-EGM-FLSH'!M89</f>
        <v>-199187</v>
      </c>
      <c r="C15" s="207">
        <f>+'EAST-EGM-GL'!E89</f>
        <v>-199187.04</v>
      </c>
      <c r="D15" s="108">
        <f>C15-B15</f>
        <v>-4.0000000008149073E-2</v>
      </c>
      <c r="E15" s="31"/>
      <c r="F15" s="31">
        <f>'EAST-LRC-GL'!G83</f>
        <v>0</v>
      </c>
      <c r="G15" s="31">
        <v>-199187</v>
      </c>
      <c r="H15" s="31">
        <f t="shared" si="1"/>
        <v>-4.0000000008149073E-2</v>
      </c>
    </row>
    <row r="16" spans="1:9" x14ac:dyDescent="0.2">
      <c r="A16" s="102" t="s">
        <v>17</v>
      </c>
      <c r="B16" s="141">
        <f>'TX-EGM-FLSH'!$M$82</f>
        <v>1018888.8615309033</v>
      </c>
      <c r="C16" s="60">
        <f>'TX-EGM-GL'!$E$82</f>
        <v>2660596.9240000192</v>
      </c>
      <c r="D16" s="108">
        <f t="shared" si="0"/>
        <v>1641708.0624691159</v>
      </c>
      <c r="E16" s="31"/>
      <c r="F16" s="31">
        <f>'TX-EGM-GL'!G82</f>
        <v>-1137488.8399999999</v>
      </c>
      <c r="G16" s="31">
        <v>2550467</v>
      </c>
      <c r="H16" s="31">
        <f t="shared" si="1"/>
        <v>110129.92400001921</v>
      </c>
    </row>
    <row r="17" spans="1:8" x14ac:dyDescent="0.2">
      <c r="A17" s="102" t="s">
        <v>18</v>
      </c>
      <c r="B17" s="141">
        <f>'TX-HPL-FLSH'!$M$82</f>
        <v>553279.20491471654</v>
      </c>
      <c r="C17" s="60">
        <f>'TX-HPL-GL '!$E$82</f>
        <v>-576398.24179999996</v>
      </c>
      <c r="D17" s="108">
        <f t="shared" si="0"/>
        <v>-1129677.4467147165</v>
      </c>
      <c r="E17" s="31"/>
      <c r="F17" s="31">
        <f>'TX-HPL-GL '!G82</f>
        <v>-1190392.3599999999</v>
      </c>
      <c r="G17" s="31">
        <v>-575425</v>
      </c>
      <c r="H17" s="31">
        <f t="shared" si="1"/>
        <v>-973.24179999995977</v>
      </c>
    </row>
    <row r="18" spans="1:8" x14ac:dyDescent="0.2">
      <c r="A18" s="102" t="s">
        <v>186</v>
      </c>
      <c r="B18" s="141">
        <f>'TX-EGM-FLSH'!$M$89</f>
        <v>602</v>
      </c>
      <c r="C18" s="60">
        <f>+'TX-EGM-GL'!E89</f>
        <v>33730.429999999993</v>
      </c>
      <c r="D18" s="108">
        <f>C18-B18</f>
        <v>33128.429999999993</v>
      </c>
      <c r="E18" s="31"/>
      <c r="F18" s="31">
        <f>'WE-GL '!G81</f>
        <v>0</v>
      </c>
      <c r="G18" s="31">
        <v>33730</v>
      </c>
      <c r="H18" s="31">
        <f t="shared" si="1"/>
        <v>0.42999999999301508</v>
      </c>
    </row>
    <row r="19" spans="1:8" x14ac:dyDescent="0.2">
      <c r="A19" s="102" t="s">
        <v>19</v>
      </c>
      <c r="B19" s="141">
        <f>'WE-FLSH'!$M$82</f>
        <v>656960.84100656956</v>
      </c>
      <c r="C19" s="207">
        <f>'WE-GL '!$E$82</f>
        <v>1227418.4250000047</v>
      </c>
      <c r="D19" s="108">
        <f t="shared" si="0"/>
        <v>570457.58399343514</v>
      </c>
      <c r="E19" s="31"/>
      <c r="F19" s="31">
        <f>'WE-GL '!G82</f>
        <v>1604472.3400000003</v>
      </c>
      <c r="G19" s="31">
        <v>2266640</v>
      </c>
      <c r="H19" s="31">
        <f t="shared" si="1"/>
        <v>-1039221.5749999953</v>
      </c>
    </row>
    <row r="20" spans="1:8" x14ac:dyDescent="0.2">
      <c r="A20" s="102" t="s">
        <v>20</v>
      </c>
      <c r="B20" s="141">
        <f>STG_FLSH!$M$82</f>
        <v>-301000</v>
      </c>
      <c r="C20" s="207">
        <f>STG_GL!$E$82</f>
        <v>-1933462</v>
      </c>
      <c r="D20" s="108">
        <f>C20-B20</f>
        <v>-1632462</v>
      </c>
      <c r="E20" s="31"/>
      <c r="F20" s="31">
        <f>STG_GL!G82</f>
        <v>14125017</v>
      </c>
      <c r="G20" s="31">
        <v>-2034243</v>
      </c>
      <c r="H20" s="31">
        <f t="shared" si="1"/>
        <v>100781</v>
      </c>
    </row>
    <row r="21" spans="1:8" x14ac:dyDescent="0.2">
      <c r="A21" s="102" t="s">
        <v>166</v>
      </c>
      <c r="B21" s="141">
        <f>ONT_FLSH!$M$82</f>
        <v>129539.15000000107</v>
      </c>
      <c r="C21" s="207">
        <f>'ONT_GL '!$E$82</f>
        <v>-118942.58999999985</v>
      </c>
      <c r="D21" s="108">
        <f>C21-B21</f>
        <v>-248481.74000000092</v>
      </c>
      <c r="E21" s="31"/>
      <c r="F21" s="31">
        <f>'ONT_GL '!G82</f>
        <v>-1935342.5899999999</v>
      </c>
      <c r="G21" s="31">
        <v>-637931</v>
      </c>
      <c r="H21" s="31">
        <f t="shared" si="1"/>
        <v>518988.41000000015</v>
      </c>
    </row>
    <row r="22" spans="1:8" x14ac:dyDescent="0.2">
      <c r="A22" s="102" t="s">
        <v>172</v>
      </c>
      <c r="B22" s="141">
        <f>ONT_FLSH!$M$89</f>
        <v>593800</v>
      </c>
      <c r="C22" s="207">
        <f>+'ONT_GL '!E89</f>
        <v>593800</v>
      </c>
      <c r="D22" s="108">
        <f>C22-B22</f>
        <v>0</v>
      </c>
      <c r="E22" s="31"/>
      <c r="F22" s="31">
        <f>'ONT_GL '!G83</f>
        <v>0</v>
      </c>
      <c r="G22" s="31">
        <v>593800</v>
      </c>
      <c r="H22" s="31">
        <f t="shared" si="1"/>
        <v>0</v>
      </c>
    </row>
    <row r="23" spans="1:8" x14ac:dyDescent="0.2">
      <c r="A23" s="161" t="s">
        <v>115</v>
      </c>
      <c r="B23" s="141">
        <f>+BUG_FLSH!M82</f>
        <v>149811.04130080529</v>
      </c>
      <c r="C23" s="207">
        <f>+BUG_GL!E82</f>
        <v>161443.73000000417</v>
      </c>
      <c r="D23" s="108">
        <f>C23-B23</f>
        <v>11632.688699198887</v>
      </c>
      <c r="E23" s="31"/>
      <c r="F23" s="31">
        <f>+BUG_GL!G82</f>
        <v>456284.73000000045</v>
      </c>
      <c r="G23" s="31">
        <v>343463</v>
      </c>
      <c r="H23" s="31">
        <f t="shared" si="1"/>
        <v>-182019.26999999583</v>
      </c>
    </row>
    <row r="24" spans="1:8" ht="21.75" customHeight="1" thickBot="1" x14ac:dyDescent="0.25">
      <c r="A24" s="102" t="s">
        <v>10</v>
      </c>
      <c r="B24" s="61">
        <f>SUM(B11:B23)</f>
        <v>1978978.6371911678</v>
      </c>
      <c r="C24" s="61">
        <f>SUM(C11:C23)</f>
        <v>2831896.3852000423</v>
      </c>
      <c r="D24" s="109">
        <f>SUM(D11:D23)</f>
        <v>852917.74800887448</v>
      </c>
      <c r="E24" s="31"/>
      <c r="F24" s="61">
        <f>SUM(F11:F23)</f>
        <v>-721012.06999999844</v>
      </c>
      <c r="G24" s="31">
        <f>SUM(G11:G23)</f>
        <v>1903136</v>
      </c>
      <c r="H24" s="31">
        <f>SUM(H11:H23)</f>
        <v>928760.38520004228</v>
      </c>
    </row>
    <row r="25" spans="1:8" ht="21" customHeight="1" thickBot="1" x14ac:dyDescent="0.25">
      <c r="A25" s="103" t="s">
        <v>21</v>
      </c>
      <c r="B25" s="104">
        <f>TOTAL!$E$91</f>
        <v>1978978.637191195</v>
      </c>
      <c r="C25" s="104">
        <f>TOTAL!$G$91</f>
        <v>2831896.3851999575</v>
      </c>
      <c r="D25" s="110">
        <f>TOTAL!$I$91</f>
        <v>852917.74800886307</v>
      </c>
      <c r="E25" s="31"/>
      <c r="F25" s="31">
        <f>'TIE-OUT'!E82+RECLASS!E82</f>
        <v>-721012.0699999989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-2.7241185307502747E-8</v>
      </c>
      <c r="C27" s="45">
        <f>+C24-C25</f>
        <v>8.4750354290008545E-8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158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2">
        <f>+'[2]ST Warroom 99'!$B$43</f>
        <v>2463037</v>
      </c>
      <c r="C30" s="163">
        <f>C11</f>
        <v>2373224.5980000277</v>
      </c>
      <c r="D30" s="108">
        <f t="shared" ref="D30:D37" si="2">C30-B30</f>
        <v>-89812.401999972295</v>
      </c>
    </row>
    <row r="31" spans="1:8" x14ac:dyDescent="0.2">
      <c r="A31" s="102" t="s">
        <v>15</v>
      </c>
      <c r="B31" s="142">
        <v>0</v>
      </c>
      <c r="C31" s="60">
        <f>C12</f>
        <v>0</v>
      </c>
      <c r="D31" s="108">
        <f t="shared" si="2"/>
        <v>0</v>
      </c>
    </row>
    <row r="32" spans="1:8" x14ac:dyDescent="0.2">
      <c r="A32" s="102" t="s">
        <v>164</v>
      </c>
      <c r="B32" s="141">
        <f>+'[2]ST Warroom 99'!$C$43+'[2]ST Warroom 99'!$D$43+'[2]ST Warroom 99'!$E$43+'[2]ST Warroom 99'!$F$43</f>
        <v>-1588878</v>
      </c>
      <c r="C32" s="163">
        <f>C13+C14+C15</f>
        <v>-1589514.8900000136</v>
      </c>
      <c r="D32" s="108">
        <f t="shared" si="2"/>
        <v>-636.89000001363456</v>
      </c>
    </row>
    <row r="33" spans="1:4" x14ac:dyDescent="0.2">
      <c r="A33" s="102" t="s">
        <v>159</v>
      </c>
      <c r="B33" s="141">
        <f>+'[2]ST Warroom 99'!$H$43+'[2]ST Warroom 99'!$I$43+'[2]ST Warroom 99'!$J$43+'[2]ST Warroom 99'!$K$43</f>
        <v>2265069</v>
      </c>
      <c r="C33" s="60">
        <f>C16+C17+C18</f>
        <v>2117929.1122000194</v>
      </c>
      <c r="D33" s="108">
        <f t="shared" si="2"/>
        <v>-147139.88779998058</v>
      </c>
    </row>
    <row r="34" spans="1:4" x14ac:dyDescent="0.2">
      <c r="A34" s="102" t="s">
        <v>19</v>
      </c>
      <c r="B34" s="141">
        <f>+'[2]ST Warroom 99'!$L$43</f>
        <v>1206580</v>
      </c>
      <c r="C34" s="163">
        <f>C19</f>
        <v>1227418.4250000047</v>
      </c>
      <c r="D34" s="108">
        <f t="shared" si="2"/>
        <v>20838.425000004703</v>
      </c>
    </row>
    <row r="35" spans="1:4" x14ac:dyDescent="0.2">
      <c r="A35" s="102" t="s">
        <v>20</v>
      </c>
      <c r="B35" s="141">
        <f>+'[2]ST Warroom 99'!$M$43</f>
        <v>-1933462</v>
      </c>
      <c r="C35" s="60">
        <f>C20</f>
        <v>-1933462</v>
      </c>
      <c r="D35" s="108">
        <f t="shared" si="2"/>
        <v>0</v>
      </c>
    </row>
    <row r="36" spans="1:4" x14ac:dyDescent="0.2">
      <c r="A36" s="102" t="s">
        <v>166</v>
      </c>
      <c r="B36" s="141">
        <f>+'[2]ST Warroom 99'!$O$43</f>
        <v>368735</v>
      </c>
      <c r="C36" s="163">
        <f>+C21+C22</f>
        <v>474857.41000000015</v>
      </c>
      <c r="D36" s="108">
        <f t="shared" si="2"/>
        <v>106122.41000000015</v>
      </c>
    </row>
    <row r="37" spans="1:4" x14ac:dyDescent="0.2">
      <c r="A37" s="161" t="s">
        <v>115</v>
      </c>
      <c r="B37" s="141">
        <f>+'[2]ST Warroom 99'!$G$43</f>
        <v>161444</v>
      </c>
      <c r="C37" s="163">
        <f>C23</f>
        <v>161443.73000000417</v>
      </c>
      <c r="D37" s="108">
        <f t="shared" si="2"/>
        <v>-0.26999999582767487</v>
      </c>
    </row>
    <row r="38" spans="1:4" ht="13.5" thickBot="1" x14ac:dyDescent="0.25">
      <c r="A38" s="102" t="s">
        <v>10</v>
      </c>
      <c r="B38" s="61">
        <f>SUM(B30:B37)</f>
        <v>2942525</v>
      </c>
      <c r="C38" s="61">
        <f>SUM(C30:C37)</f>
        <v>2831896.3852000423</v>
      </c>
      <c r="D38" s="109">
        <f>SUM(D30:D37)</f>
        <v>-110628.61479995749</v>
      </c>
    </row>
    <row r="39" spans="1:4" ht="13.5" thickBot="1" x14ac:dyDescent="0.25">
      <c r="A39" s="103" t="s">
        <v>160</v>
      </c>
      <c r="B39" s="104">
        <f>+B38</f>
        <v>2942525</v>
      </c>
      <c r="C39" s="104">
        <f>TOTAL!$G$91</f>
        <v>2831896.3851999575</v>
      </c>
      <c r="D39" s="110">
        <f>C39-B39</f>
        <v>-110628.61480004247</v>
      </c>
    </row>
    <row r="41" spans="1:4" x14ac:dyDescent="0.2">
      <c r="C41" s="45">
        <f>C39-[1]OAvsACT!$C$46</f>
        <v>-2.2848000437952578</v>
      </c>
      <c r="D41" s="157">
        <f>-D39+[1]OAvsACT!$G$46</f>
        <v>2.2848000437952578</v>
      </c>
    </row>
    <row r="42" spans="1:4" x14ac:dyDescent="0.2">
      <c r="C42" s="45"/>
      <c r="D42" s="158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7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  <col min="75" max="92" width="0" hidden="1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8540664</v>
      </c>
      <c r="E11" s="38">
        <f>SUM(G11,I11,K11,M11,O11,Q11,S11,U11,W11,Y11,AA11,AC11,AE11)</f>
        <v>20328942.759999998</v>
      </c>
      <c r="F11" s="58">
        <f>'TIE-OUT'!J11+RECLASS!J11</f>
        <v>0</v>
      </c>
      <c r="G11" s="15">
        <f>'TIE-OUT'!K11+RECLASS!K11</f>
        <v>0</v>
      </c>
      <c r="H11" s="129">
        <f>+Actuals!E44</f>
        <v>8530497</v>
      </c>
      <c r="I11" s="130">
        <f>+Actuals!F44</f>
        <v>20291918.389999997</v>
      </c>
      <c r="J11" s="129">
        <f>+Actuals!G44</f>
        <v>-98192</v>
      </c>
      <c r="K11" s="149">
        <f>+Actuals!H44</f>
        <v>-212815.14</v>
      </c>
      <c r="L11" s="129">
        <f>+Actuals!I44</f>
        <v>89333</v>
      </c>
      <c r="M11" s="130">
        <f>+Actuals!J44</f>
        <v>206332.13</v>
      </c>
      <c r="N11" s="129">
        <f>+Actuals!K44</f>
        <v>-297102</v>
      </c>
      <c r="O11" s="130">
        <f>+Actuals!L44</f>
        <v>-721957.86</v>
      </c>
      <c r="P11" s="129">
        <f>+Actuals!M44</f>
        <v>0</v>
      </c>
      <c r="Q11" s="130">
        <f>+Actuals!N44</f>
        <v>0</v>
      </c>
      <c r="R11" s="129">
        <f>+Actuals!O44</f>
        <v>0</v>
      </c>
      <c r="S11" s="130">
        <f>+Actuals!P44</f>
        <v>1239.98</v>
      </c>
      <c r="T11" s="129">
        <f>+Actuals!Q44</f>
        <v>297102</v>
      </c>
      <c r="U11" s="130">
        <f>+Actuals!R44</f>
        <v>721957.86</v>
      </c>
      <c r="V11" s="129">
        <f>+Actuals!S44</f>
        <v>0</v>
      </c>
      <c r="W11" s="130">
        <f>+Actuals!T44</f>
        <v>-1492.4</v>
      </c>
      <c r="X11" s="129">
        <f>+Actuals!U44</f>
        <v>0</v>
      </c>
      <c r="Y11" s="130">
        <f>+Actuals!V44</f>
        <v>0</v>
      </c>
      <c r="Z11" s="129">
        <f>+Actuals!W44</f>
        <v>0</v>
      </c>
      <c r="AA11" s="130">
        <f>+Actuals!X44</f>
        <v>0</v>
      </c>
      <c r="AB11" s="129">
        <f>+Actuals!Y44</f>
        <v>19026</v>
      </c>
      <c r="AC11" s="130">
        <f>+Actuals!Z44</f>
        <v>43759.8</v>
      </c>
      <c r="AD11" s="129">
        <f>+Actuals!AA44</f>
        <v>0</v>
      </c>
      <c r="AE11" s="130">
        <f>+Actuals!AB44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19314.579999999998</v>
      </c>
      <c r="F12" s="58">
        <f>'TIE-OUT'!J12+RECLASS!J12</f>
        <v>0</v>
      </c>
      <c r="G12" s="15">
        <f>'TIE-OUT'!K12+RECLASS!K12</f>
        <v>14751.38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+Actuals!H45+4563.2</f>
        <v>4563.2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">
      <c r="A16" s="9"/>
      <c r="B16" s="7" t="s">
        <v>32</v>
      </c>
      <c r="C16" s="6"/>
      <c r="D16" s="61">
        <f>SUM(D11:D15)</f>
        <v>8540664</v>
      </c>
      <c r="E16" s="39">
        <f>SUM(E11:E15)</f>
        <v>20348257.339999996</v>
      </c>
      <c r="F16" s="59">
        <f t="shared" ref="F16:Y16" si="1">SUM(F11:F15)</f>
        <v>0</v>
      </c>
      <c r="G16" s="23">
        <f t="shared" si="1"/>
        <v>14751.38</v>
      </c>
      <c r="H16" s="61">
        <f t="shared" si="1"/>
        <v>8530497</v>
      </c>
      <c r="I16" s="39">
        <f t="shared" si="1"/>
        <v>20291918.389999997</v>
      </c>
      <c r="J16" s="61">
        <f t="shared" si="1"/>
        <v>-98192</v>
      </c>
      <c r="K16" s="150">
        <f t="shared" si="1"/>
        <v>-208251.94</v>
      </c>
      <c r="L16" s="61">
        <f t="shared" si="1"/>
        <v>89333</v>
      </c>
      <c r="M16" s="39">
        <f t="shared" si="1"/>
        <v>206332.13</v>
      </c>
      <c r="N16" s="61">
        <f t="shared" si="1"/>
        <v>-297102</v>
      </c>
      <c r="O16" s="39">
        <f t="shared" si="1"/>
        <v>-721957.86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1239.98</v>
      </c>
      <c r="T16" s="61">
        <f t="shared" si="1"/>
        <v>297102</v>
      </c>
      <c r="U16" s="39">
        <f t="shared" si="1"/>
        <v>721957.86</v>
      </c>
      <c r="V16" s="61">
        <f t="shared" si="1"/>
        <v>0</v>
      </c>
      <c r="W16" s="39">
        <f t="shared" si="1"/>
        <v>-1492.4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19026</v>
      </c>
      <c r="AC16" s="39">
        <f t="shared" si="2"/>
        <v>43759.8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-939754</v>
      </c>
      <c r="E19" s="38">
        <f t="shared" si="3"/>
        <v>-2183142.54</v>
      </c>
      <c r="F19" s="84">
        <f>'TIE-OUT'!J19+RECLASS!J19</f>
        <v>0</v>
      </c>
      <c r="G19" s="85">
        <f>'TIE-OUT'!K19+RECLASS!K19</f>
        <v>0</v>
      </c>
      <c r="H19" s="129">
        <f>+Actuals!E49</f>
        <v>-583400</v>
      </c>
      <c r="I19" s="130">
        <f>+Actuals!F49</f>
        <v>-1342296.35</v>
      </c>
      <c r="J19" s="129">
        <f>+Actuals!G49+8777</f>
        <v>-358025</v>
      </c>
      <c r="K19" s="149">
        <f>+Actuals!H49+19789</f>
        <v>-845078.54</v>
      </c>
      <c r="L19" s="129">
        <f>+Actuals!I49</f>
        <v>-843</v>
      </c>
      <c r="M19" s="130">
        <f>+Actuals!J49</f>
        <v>-2075.4899999999998</v>
      </c>
      <c r="N19" s="129">
        <f>+Actuals!K49</f>
        <v>154</v>
      </c>
      <c r="O19" s="130">
        <f>+Actuals!L49</f>
        <v>354.2</v>
      </c>
      <c r="P19" s="129">
        <f>+Actuals!M49</f>
        <v>0</v>
      </c>
      <c r="Q19" s="130">
        <f>+Actuals!N49</f>
        <v>390.18</v>
      </c>
      <c r="R19" s="129">
        <f>+Actuals!O49</f>
        <v>0</v>
      </c>
      <c r="S19" s="130">
        <f>+Actuals!P49</f>
        <v>0</v>
      </c>
      <c r="T19" s="129">
        <f>+Actuals!Q49</f>
        <v>0</v>
      </c>
      <c r="U19" s="130">
        <f>+Actuals!R49</f>
        <v>135.46</v>
      </c>
      <c r="V19" s="129">
        <f>+Actuals!S49</f>
        <v>0</v>
      </c>
      <c r="W19" s="130">
        <f>+Actuals!T49</f>
        <v>0</v>
      </c>
      <c r="X19" s="129">
        <f>+Actuals!U49</f>
        <v>0</v>
      </c>
      <c r="Y19" s="130">
        <f>+Actuals!V49</f>
        <v>0</v>
      </c>
      <c r="Z19" s="129">
        <f>+Actuals!W49</f>
        <v>2360</v>
      </c>
      <c r="AA19" s="130">
        <f>+Actuals!X49</f>
        <v>5428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2188.84</v>
      </c>
      <c r="F20" s="58">
        <f>'TIE-OUT'!J20+RECLASS!J20</f>
        <v>0</v>
      </c>
      <c r="G20" s="15">
        <f>'TIE-OUT'!K20+RECLASS!K20</f>
        <v>2188.84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29643</v>
      </c>
      <c r="E23" s="38">
        <f t="shared" si="3"/>
        <v>67271.51999999999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</f>
        <v>29643</v>
      </c>
      <c r="K23" s="149">
        <f>+Actuals!H53</f>
        <v>66834.59</v>
      </c>
      <c r="L23" s="129">
        <f>+Actuals!I53</f>
        <v>0</v>
      </c>
      <c r="M23" s="130">
        <f>+Actuals!J53</f>
        <v>0</v>
      </c>
      <c r="N23" s="129">
        <f>+Actuals!K53</f>
        <v>0</v>
      </c>
      <c r="O23" s="130">
        <f>+Actuals!L53</f>
        <v>0</v>
      </c>
      <c r="P23" s="129">
        <f>+Actuals!M53</f>
        <v>0</v>
      </c>
      <c r="Q23" s="130">
        <f>+Actuals!N53</f>
        <v>0</v>
      </c>
      <c r="R23" s="129">
        <f>+Actuals!O53</f>
        <v>0</v>
      </c>
      <c r="S23" s="130">
        <f>+Actuals!P53+463</f>
        <v>436.93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0</v>
      </c>
      <c r="Y23" s="130">
        <f>+Actuals!V53</f>
        <v>0</v>
      </c>
      <c r="Z23" s="129">
        <f>+Actuals!W53</f>
        <v>0</v>
      </c>
      <c r="AA23" s="130">
        <f>+Actuals!X53</f>
        <v>0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">
      <c r="A24" s="9"/>
      <c r="B24" s="7" t="s">
        <v>35</v>
      </c>
      <c r="C24" s="6"/>
      <c r="D24" s="61">
        <f>SUM(D19:D23)</f>
        <v>-910111</v>
      </c>
      <c r="E24" s="39">
        <f>SUM(E19:E23)</f>
        <v>-2113682.1800000002</v>
      </c>
      <c r="F24" s="59">
        <f t="shared" ref="F24:Y24" si="4">SUM(F19:F23)</f>
        <v>0</v>
      </c>
      <c r="G24" s="23">
        <f t="shared" si="4"/>
        <v>2188.84</v>
      </c>
      <c r="H24" s="61">
        <f t="shared" si="4"/>
        <v>-583400</v>
      </c>
      <c r="I24" s="39">
        <f t="shared" si="4"/>
        <v>-1342296.35</v>
      </c>
      <c r="J24" s="61">
        <f t="shared" si="4"/>
        <v>-328382</v>
      </c>
      <c r="K24" s="150">
        <f t="shared" si="4"/>
        <v>-778243.95000000007</v>
      </c>
      <c r="L24" s="61">
        <f t="shared" si="4"/>
        <v>-843</v>
      </c>
      <c r="M24" s="39">
        <f t="shared" si="4"/>
        <v>-2075.4899999999998</v>
      </c>
      <c r="N24" s="61">
        <f t="shared" si="4"/>
        <v>154</v>
      </c>
      <c r="O24" s="39">
        <f t="shared" si="4"/>
        <v>354.2</v>
      </c>
      <c r="P24" s="61">
        <f t="shared" si="4"/>
        <v>0</v>
      </c>
      <c r="Q24" s="39">
        <f t="shared" si="4"/>
        <v>390.18</v>
      </c>
      <c r="R24" s="61">
        <f t="shared" si="4"/>
        <v>0</v>
      </c>
      <c r="S24" s="39">
        <f t="shared" si="4"/>
        <v>436.93</v>
      </c>
      <c r="T24" s="61">
        <f t="shared" si="4"/>
        <v>0</v>
      </c>
      <c r="U24" s="39">
        <f t="shared" si="4"/>
        <v>135.46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3209792</v>
      </c>
      <c r="E27" s="38">
        <f>SUM(G27,I27,K27,M27,O27,Q27,S27,U27,W27,Y27,AA27,AC27,AE27)</f>
        <v>7225555.830000001</v>
      </c>
      <c r="F27" s="84">
        <f>'TIE-OUT'!J27+RECLASS!J27</f>
        <v>0</v>
      </c>
      <c r="G27" s="85">
        <f>'TIE-OUT'!K27+RECLASS!K27</f>
        <v>0</v>
      </c>
      <c r="H27" s="129">
        <f>+Actuals!E54+27187</f>
        <v>3992712</v>
      </c>
      <c r="I27" s="130">
        <f>+Actuals!F54+54374</f>
        <v>8804010.3499999996</v>
      </c>
      <c r="J27" s="129">
        <f>+Actuals!G54-19849</f>
        <v>-212916</v>
      </c>
      <c r="K27" s="149">
        <f>+Actuals!H54-37478</f>
        <v>-324694.62</v>
      </c>
      <c r="L27" s="129">
        <f>+Actuals!I54</f>
        <v>-38420</v>
      </c>
      <c r="M27" s="130">
        <f>+Actuals!J54</f>
        <v>-87060.74</v>
      </c>
      <c r="N27" s="129">
        <f>+Actuals!K54</f>
        <v>3120</v>
      </c>
      <c r="O27" s="130">
        <f>+Actuals!L54</f>
        <v>7152.3</v>
      </c>
      <c r="P27" s="129">
        <f>+Actuals!M54</f>
        <v>-286224</v>
      </c>
      <c r="Q27" s="130">
        <f>+Actuals!N54</f>
        <v>-646938.46</v>
      </c>
      <c r="R27" s="129">
        <f>+Actuals!O54</f>
        <v>126026</v>
      </c>
      <c r="S27" s="130">
        <f>+Actuals!P54</f>
        <v>276607.63</v>
      </c>
      <c r="T27" s="129">
        <f>+Actuals!Q54</f>
        <v>-82237</v>
      </c>
      <c r="U27" s="130">
        <f>+Actuals!R54</f>
        <v>-140547.6</v>
      </c>
      <c r="V27" s="129">
        <f>+Actuals!S54</f>
        <v>-292269</v>
      </c>
      <c r="W27" s="130">
        <f>+Actuals!T54</f>
        <v>-662988.79</v>
      </c>
      <c r="X27" s="129">
        <f>+Actuals!U54</f>
        <v>0</v>
      </c>
      <c r="Y27" s="130">
        <f>+Actuals!V54</f>
        <v>0</v>
      </c>
      <c r="Z27" s="129">
        <f>+Actuals!W54</f>
        <v>0</v>
      </c>
      <c r="AA27" s="130">
        <f>+Actuals!X54</f>
        <v>0.84</v>
      </c>
      <c r="AB27" s="129">
        <f>+Actuals!Y54</f>
        <v>-3127</v>
      </c>
      <c r="AC27" s="130">
        <f>+Actuals!Z54</f>
        <v>-7055.42</v>
      </c>
      <c r="AD27" s="129">
        <f>+Actuals!AA54</f>
        <v>3127</v>
      </c>
      <c r="AE27" s="130">
        <f>+Actuals!AB54</f>
        <v>7070.34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-11381875</v>
      </c>
      <c r="E28" s="38">
        <f>SUM(G28,I28,K28,M28,O28,Q28,S28,U28,W28,Y28,AA28,AC28,AE28)</f>
        <v>-25670940.670000006</v>
      </c>
      <c r="F28" s="98">
        <f>'TIE-OUT'!J28+RECLASS!J28</f>
        <v>0</v>
      </c>
      <c r="G28" s="99">
        <f>'TIE-OUT'!K28+RECLASS!K28</f>
        <v>0</v>
      </c>
      <c r="H28" s="129">
        <f>+Actuals!E55-27187</f>
        <v>-12149240</v>
      </c>
      <c r="I28" s="130">
        <f>+Actuals!F55-54374</f>
        <v>-27262464.780000001</v>
      </c>
      <c r="J28" s="129">
        <f>+Actuals!G55+11671-8777</f>
        <v>235372</v>
      </c>
      <c r="K28" s="149">
        <f>+Actuals!H55+18611-19789</f>
        <v>426958</v>
      </c>
      <c r="L28" s="129">
        <f>+Actuals!I55</f>
        <v>3503</v>
      </c>
      <c r="M28" s="130">
        <f>+Actuals!J55</f>
        <v>66808.88</v>
      </c>
      <c r="N28" s="129">
        <f>+Actuals!K55</f>
        <v>1570</v>
      </c>
      <c r="O28" s="130">
        <f>+Actuals!L55</f>
        <v>3024.8</v>
      </c>
      <c r="P28" s="129">
        <f>+Actuals!M55</f>
        <v>343958</v>
      </c>
      <c r="Q28" s="130">
        <f>+Actuals!N55</f>
        <v>770424.13</v>
      </c>
      <c r="R28" s="129">
        <f>+Actuals!O55</f>
        <v>-188450</v>
      </c>
      <c r="S28" s="130">
        <f>+Actuals!P55-463</f>
        <v>-472169.8</v>
      </c>
      <c r="T28" s="129">
        <f>+Actuals!Q55</f>
        <v>82301</v>
      </c>
      <c r="U28" s="130">
        <f>+Actuals!R55</f>
        <v>140685.32999999999</v>
      </c>
      <c r="V28" s="129">
        <f>+Actuals!S55</f>
        <v>292238</v>
      </c>
      <c r="W28" s="130">
        <f>+Actuals!T55</f>
        <v>662871.98</v>
      </c>
      <c r="X28" s="129">
        <f>+Actuals!U55</f>
        <v>0</v>
      </c>
      <c r="Y28" s="130">
        <f>+Actuals!V55</f>
        <v>54.86</v>
      </c>
      <c r="Z28" s="129">
        <f>+Actuals!W55</f>
        <v>0</v>
      </c>
      <c r="AA28" s="130">
        <f>+Actuals!X55</f>
        <v>-0.84</v>
      </c>
      <c r="AB28" s="129">
        <f>+Actuals!Y55</f>
        <v>-3127</v>
      </c>
      <c r="AC28" s="130">
        <f>+Actuals!Z55</f>
        <v>-7133.23</v>
      </c>
      <c r="AD28" s="129">
        <f>+Actuals!AA55</f>
        <v>0</v>
      </c>
      <c r="AE28" s="130">
        <f>+Actuals!AB55</f>
        <v>0</v>
      </c>
    </row>
    <row r="29" spans="1:31" x14ac:dyDescent="0.2">
      <c r="A29" s="9"/>
      <c r="B29" s="7" t="s">
        <v>39</v>
      </c>
      <c r="C29" s="18"/>
      <c r="D29" s="61">
        <f>SUM(D27:D28)</f>
        <v>-8172083</v>
      </c>
      <c r="E29" s="39">
        <f>SUM(E27:E28)</f>
        <v>-18445384.840000004</v>
      </c>
      <c r="F29" s="59">
        <f t="shared" ref="F29:Y29" si="6">SUM(F27:F28)</f>
        <v>0</v>
      </c>
      <c r="G29" s="23">
        <f t="shared" si="6"/>
        <v>0</v>
      </c>
      <c r="H29" s="61">
        <f t="shared" si="6"/>
        <v>-8156528</v>
      </c>
      <c r="I29" s="39">
        <f t="shared" si="6"/>
        <v>-18458454.43</v>
      </c>
      <c r="J29" s="61">
        <f t="shared" si="6"/>
        <v>22456</v>
      </c>
      <c r="K29" s="150">
        <f t="shared" si="6"/>
        <v>102263.38</v>
      </c>
      <c r="L29" s="61">
        <f t="shared" si="6"/>
        <v>-34917</v>
      </c>
      <c r="M29" s="39">
        <f t="shared" si="6"/>
        <v>-20251.86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97465</v>
      </c>
      <c r="E32" s="38">
        <f t="shared" si="8"/>
        <v>229530.07500000001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-25192</v>
      </c>
      <c r="K32" s="149">
        <f>+Actuals!H56</f>
        <v>-59327.16</v>
      </c>
      <c r="L32" s="129">
        <f>+Actuals!I56</f>
        <v>103000</v>
      </c>
      <c r="M32" s="130">
        <f>+Actuals!J56</f>
        <v>232761.19200000001</v>
      </c>
      <c r="N32" s="129">
        <f>+Actuals!K56</f>
        <v>0</v>
      </c>
      <c r="O32" s="130">
        <f>+Actuals!L56</f>
        <v>2801.0880000000002</v>
      </c>
      <c r="P32" s="129">
        <f>+Actuals!M56</f>
        <v>0</v>
      </c>
      <c r="Q32" s="130">
        <f>+Actuals!N56</f>
        <v>27154.991999999998</v>
      </c>
      <c r="R32" s="129">
        <f>+Actuals!O56</f>
        <v>0</v>
      </c>
      <c r="S32" s="130">
        <f>+Actuals!P56</f>
        <v>22097.472000000002</v>
      </c>
      <c r="T32" s="129">
        <f>+Actuals!Q56</f>
        <v>-625</v>
      </c>
      <c r="U32" s="130">
        <f>+Actuals!R56</f>
        <v>-43721.618999999999</v>
      </c>
      <c r="V32" s="129">
        <f>+Actuals!S56</f>
        <v>676</v>
      </c>
      <c r="W32" s="130">
        <f>+Actuals!T56</f>
        <v>1591.98</v>
      </c>
      <c r="X32" s="129">
        <f>+Actuals!U56</f>
        <v>0</v>
      </c>
      <c r="Y32" s="130">
        <f>+Actuals!V56</f>
        <v>0</v>
      </c>
      <c r="Z32" s="129">
        <f>+Actuals!W56</f>
        <v>-55211</v>
      </c>
      <c r="AA32" s="130">
        <f>+Actuals!X56</f>
        <v>-130021.905</v>
      </c>
      <c r="AB32" s="129">
        <f>+Actuals!Y56</f>
        <v>74817</v>
      </c>
      <c r="AC32" s="130">
        <f>+Actuals!Z56</f>
        <v>176194.035</v>
      </c>
      <c r="AD32" s="129">
        <f>+Actuals!AA56</f>
        <v>0</v>
      </c>
      <c r="AE32" s="130">
        <f>+Actuals!AB56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">
      <c r="A36" s="9"/>
      <c r="B36" s="7" t="s">
        <v>45</v>
      </c>
      <c r="C36" s="6"/>
      <c r="D36" s="61">
        <f>SUM(D32:D35)</f>
        <v>97465</v>
      </c>
      <c r="E36" s="39">
        <f>SUM(E32:E35)</f>
        <v>229530.07500000001</v>
      </c>
      <c r="F36" s="59">
        <f t="shared" ref="F36:Y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-25192</v>
      </c>
      <c r="K36" s="150">
        <f t="shared" si="9"/>
        <v>-59327.16</v>
      </c>
      <c r="L36" s="61">
        <f t="shared" si="9"/>
        <v>103000</v>
      </c>
      <c r="M36" s="39">
        <f t="shared" si="9"/>
        <v>232761.19200000001</v>
      </c>
      <c r="N36" s="61">
        <f t="shared" si="9"/>
        <v>0</v>
      </c>
      <c r="O36" s="39">
        <f t="shared" si="9"/>
        <v>2801.0880000000002</v>
      </c>
      <c r="P36" s="61">
        <f t="shared" si="9"/>
        <v>0</v>
      </c>
      <c r="Q36" s="39">
        <f t="shared" si="9"/>
        <v>27154.991999999998</v>
      </c>
      <c r="R36" s="61">
        <f t="shared" si="9"/>
        <v>0</v>
      </c>
      <c r="S36" s="39">
        <f t="shared" si="9"/>
        <v>22097.472000000002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997496</v>
      </c>
      <c r="K39" s="149">
        <f>+Actuals!H60</f>
        <v>2344115.6</v>
      </c>
      <c r="L39" s="129">
        <f>+Actuals!I60</f>
        <v>0</v>
      </c>
      <c r="M39" s="130">
        <f>+Actuals!J60</f>
        <v>0</v>
      </c>
      <c r="N39" s="129">
        <f>+Actuals!K60</f>
        <v>0</v>
      </c>
      <c r="O39" s="130">
        <f>+Actuals!L60</f>
        <v>0</v>
      </c>
      <c r="P39" s="129">
        <f>+Actuals!M60</f>
        <v>0</v>
      </c>
      <c r="Q39" s="130">
        <f>+Actuals!N60</f>
        <v>0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-596031</v>
      </c>
      <c r="K40" s="149">
        <f>+Actuals!H61</f>
        <v>-1400672.85</v>
      </c>
      <c r="L40" s="129">
        <f>+Actuals!I61</f>
        <v>0</v>
      </c>
      <c r="M40" s="130">
        <f>+Actuals!J61</f>
        <v>0</v>
      </c>
      <c r="N40" s="129">
        <f>+Actuals!K61</f>
        <v>0</v>
      </c>
      <c r="O40" s="130">
        <f>+Actuals!L61</f>
        <v>0</v>
      </c>
      <c r="P40" s="129">
        <f>+Actuals!M61</f>
        <v>0</v>
      </c>
      <c r="Q40" s="130">
        <f>+Actuals!N61</f>
        <v>0</v>
      </c>
      <c r="R40" s="129">
        <f>+Actuals!O61</f>
        <v>0</v>
      </c>
      <c r="S40" s="130">
        <f>+Actuals!P61</f>
        <v>0</v>
      </c>
      <c r="T40" s="129">
        <f>+Actuals!Q61</f>
        <v>-33</v>
      </c>
      <c r="U40" s="130">
        <f>+Actuals!R61</f>
        <v>-77.55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59">
        <f t="shared" ref="F42:Y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150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59">
        <f t="shared" ref="F43:Y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401465</v>
      </c>
      <c r="K43" s="150">
        <f t="shared" si="14"/>
        <v>943442.75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20900</v>
      </c>
      <c r="K45" s="149">
        <f>+Actuals!H63</f>
        <v>40337</v>
      </c>
      <c r="L45" s="129">
        <f>+Actuals!I63</f>
        <v>0</v>
      </c>
      <c r="M45" s="130">
        <f>+Actuals!J63</f>
        <v>0</v>
      </c>
      <c r="N45" s="129">
        <f>+Actuals!K63</f>
        <v>0</v>
      </c>
      <c r="O45" s="130">
        <f>+Actuals!L63</f>
        <v>0</v>
      </c>
      <c r="P45" s="129">
        <f>+Actuals!M63</f>
        <v>0</v>
      </c>
      <c r="Q45" s="130">
        <f>+Actuals!N63</f>
        <v>0</v>
      </c>
      <c r="R45" s="129">
        <f>+Actuals!O63</f>
        <v>82301</v>
      </c>
      <c r="S45" s="130">
        <f>+Actuals!P63</f>
        <v>136074.79</v>
      </c>
      <c r="T45" s="129">
        <f>+Actuals!Q63</f>
        <v>-82301</v>
      </c>
      <c r="U45" s="130">
        <f>+Actuals!R63</f>
        <v>-140685.32999999999</v>
      </c>
      <c r="V45" s="129">
        <f>+Actuals!S63</f>
        <v>0</v>
      </c>
      <c r="W45" s="130">
        <f>+Actuals!T63</f>
        <v>0</v>
      </c>
      <c r="X45" s="129">
        <f>+Actuals!U63</f>
        <v>0</v>
      </c>
      <c r="Y45" s="130">
        <f>+Actuals!V63</f>
        <v>0</v>
      </c>
      <c r="Z45" s="129">
        <f>+Actuals!W63</f>
        <v>0</v>
      </c>
      <c r="AA45" s="130">
        <f>+Actuals!X63</f>
        <v>0.84</v>
      </c>
      <c r="AB45" s="129">
        <f>+Actuals!Y63</f>
        <v>0</v>
      </c>
      <c r="AC45" s="130">
        <f>+Actuals!Z63</f>
        <v>0.84</v>
      </c>
      <c r="AD45" s="129">
        <f>+Actuals!AA63</f>
        <v>0</v>
      </c>
      <c r="AE45" s="130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89334</v>
      </c>
      <c r="K47" s="149">
        <f>+Actuals!H64</f>
        <v>209934.9</v>
      </c>
      <c r="L47" s="129">
        <f>+Actuals!I64</f>
        <v>-89334</v>
      </c>
      <c r="M47" s="130">
        <f>+Actuals!J64</f>
        <v>-209934.9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13555</v>
      </c>
      <c r="E49" s="38">
        <f>SUM(G49,I49,K49,M49,O49,Q49,S49,U49,W49,Y49,AA49,AC49,AE49)</f>
        <v>31922.019999999953</v>
      </c>
      <c r="F49" s="58">
        <f>'TIE-OUT'!J49+RECLASS!J49</f>
        <v>0</v>
      </c>
      <c r="G49" s="15">
        <f>'TIE-OUT'!K49+RECLASS!K49</f>
        <v>0</v>
      </c>
      <c r="H49" s="129">
        <f>+Actuals!E65</f>
        <v>209431</v>
      </c>
      <c r="I49" s="130">
        <f>+Actuals!F65</f>
        <v>493210.005</v>
      </c>
      <c r="J49" s="129">
        <f>+Actuals!G65</f>
        <v>-90567</v>
      </c>
      <c r="K49" s="149">
        <f>+Actuals!H65</f>
        <v>-213285.29</v>
      </c>
      <c r="L49" s="129">
        <f>+Actuals!I65</f>
        <v>-67239</v>
      </c>
      <c r="M49" s="130">
        <f>+Actuals!J65</f>
        <v>-158347.845</v>
      </c>
      <c r="N49" s="129">
        <f>+Actuals!K65</f>
        <v>292258</v>
      </c>
      <c r="O49" s="130">
        <f>+Actuals!L65</f>
        <v>688267.59</v>
      </c>
      <c r="P49" s="129">
        <f>+Actuals!M65</f>
        <v>-57734</v>
      </c>
      <c r="Q49" s="130">
        <f>+Actuals!N65</f>
        <v>-135963.57</v>
      </c>
      <c r="R49" s="129">
        <f>+Actuals!O65</f>
        <v>-19877</v>
      </c>
      <c r="S49" s="130">
        <f>+Actuals!P65</f>
        <v>-46810.334999999999</v>
      </c>
      <c r="T49" s="129">
        <f>+Actuals!Q65</f>
        <v>-214207</v>
      </c>
      <c r="U49" s="130">
        <f>+Actuals!R65</f>
        <v>-504457.48499999999</v>
      </c>
      <c r="V49" s="129">
        <f>+Actuals!S65</f>
        <v>-645</v>
      </c>
      <c r="W49" s="130">
        <f>+Actuals!T65</f>
        <v>-1518.9749999999999</v>
      </c>
      <c r="X49" s="129">
        <f>+Actuals!U65</f>
        <v>0</v>
      </c>
      <c r="Y49" s="130">
        <f>+Actuals!V65</f>
        <v>0</v>
      </c>
      <c r="Z49" s="129">
        <f>+Actuals!W65</f>
        <v>52851</v>
      </c>
      <c r="AA49" s="130">
        <f>+Actuals!X65</f>
        <v>124464.105</v>
      </c>
      <c r="AB49" s="129">
        <f>+Actuals!Y65</f>
        <v>-87589</v>
      </c>
      <c r="AC49" s="130">
        <f>+Actuals!Z65</f>
        <v>-206272.095</v>
      </c>
      <c r="AD49" s="129">
        <f>+Actuals!AA65</f>
        <v>-3127</v>
      </c>
      <c r="AE49" s="130">
        <f>+Actuals!AB65</f>
        <v>-7364.085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-38420</v>
      </c>
      <c r="E51" s="38">
        <f>SUM(G51,I51,K51,M51,O51,Q51,S51,U51,W51,Y51,AA51,AC51,AE51)</f>
        <v>-87136.51999999999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+Actuals!G66-8777</f>
        <v>-38420</v>
      </c>
      <c r="K51" s="149">
        <f>+Actuals!H66-19789</f>
        <v>-86623.59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</f>
        <v>0</v>
      </c>
      <c r="P51" s="129">
        <f>+Actuals!M66</f>
        <v>0</v>
      </c>
      <c r="Q51" s="130">
        <f>+Actuals!N66</f>
        <v>0</v>
      </c>
      <c r="R51" s="129">
        <f>+Actuals!O66</f>
        <v>0</v>
      </c>
      <c r="S51" s="130">
        <f>+Actuals!P66-463</f>
        <v>-436.93</v>
      </c>
      <c r="T51" s="129">
        <f>+Actuals!Q66</f>
        <v>0</v>
      </c>
      <c r="U51" s="130">
        <v>-76</v>
      </c>
      <c r="V51" s="129">
        <f>+Actuals!S66</f>
        <v>0</v>
      </c>
      <c r="W51" s="130">
        <f>+Actuals!T66</f>
        <v>0</v>
      </c>
      <c r="X51" s="129">
        <f>+Actuals!U66</f>
        <v>0</v>
      </c>
      <c r="Y51" s="130">
        <f>+Actuals!V66</f>
        <v>0</v>
      </c>
      <c r="Z51" s="129">
        <f>+Actuals!W66</f>
        <v>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-11444</v>
      </c>
      <c r="E54" s="38">
        <f>SUM(G54,I54,K54,M54,O54,Q54,S54,U54,W54,Y54,AA54,AC54,AE54)</f>
        <v>29294.05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29925.17</v>
      </c>
      <c r="J54" s="129">
        <f>+Actuals!G67</f>
        <v>0</v>
      </c>
      <c r="K54" s="149">
        <f>+Actuals!H67</f>
        <v>-287.8</v>
      </c>
      <c r="L54" s="129">
        <f>+Actuals!I67</f>
        <v>0</v>
      </c>
      <c r="M54" s="130">
        <f>+Actuals!J67</f>
        <v>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0</v>
      </c>
      <c r="AA54" s="130">
        <f>+Actuals!X67</f>
        <v>0</v>
      </c>
      <c r="AB54" s="129">
        <f>+Actuals!Y67</f>
        <v>0</v>
      </c>
      <c r="AC54" s="130">
        <f>+Actuals!Z67</f>
        <v>0</v>
      </c>
      <c r="AD54" s="129">
        <f>+Actuals!AA67</f>
        <v>-11444</v>
      </c>
      <c r="AE54" s="130">
        <f>+Actuals!AB67</f>
        <v>-343.32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">
      <c r="A56" s="9"/>
      <c r="B56" s="7" t="s">
        <v>59</v>
      </c>
      <c r="C56" s="6"/>
      <c r="D56" s="61">
        <f>SUM(D54:D55)</f>
        <v>-11444</v>
      </c>
      <c r="E56" s="39">
        <f>SUM(E54:E55)</f>
        <v>29294.05</v>
      </c>
      <c r="F56" s="59">
        <f t="shared" ref="F56:Y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29925.17</v>
      </c>
      <c r="J56" s="61">
        <f t="shared" si="16"/>
        <v>0</v>
      </c>
      <c r="K56" s="150">
        <f t="shared" si="16"/>
        <v>-287.8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84">
        <f>'TIE-OUT'!J59+RECLASS!J59</f>
        <v>0</v>
      </c>
      <c r="G59" s="85">
        <f>'TIE-OUT'!K59+RECLASS!K59</f>
        <v>0</v>
      </c>
      <c r="H59" s="129">
        <f>+Actuals!E69</f>
        <v>3021382</v>
      </c>
      <c r="I59" s="130">
        <f>+Actuals!F69</f>
        <v>107024.23</v>
      </c>
      <c r="J59" s="129">
        <f>+Actuals!G69</f>
        <v>-57059</v>
      </c>
      <c r="K59" s="149">
        <f>+Actuals!H69</f>
        <v>-3531.04</v>
      </c>
      <c r="L59" s="129">
        <f>+Actuals!I69</f>
        <v>50296</v>
      </c>
      <c r="M59" s="130">
        <f>+Actuals!J69</f>
        <v>0</v>
      </c>
      <c r="N59" s="129">
        <f>+Actuals!K69</f>
        <v>3120</v>
      </c>
      <c r="O59" s="130">
        <f>+Actuals!L69</f>
        <v>0</v>
      </c>
      <c r="P59" s="129">
        <f>+Actuals!M69</f>
        <v>0</v>
      </c>
      <c r="Q59" s="130">
        <f>+Actuals!N69</f>
        <v>-20065.349999999999</v>
      </c>
      <c r="R59" s="129">
        <f>+Actuals!O69</f>
        <v>0</v>
      </c>
      <c r="S59" s="130">
        <f>+Actuals!P69</f>
        <v>0</v>
      </c>
      <c r="T59" s="129">
        <f>+Actuals!Q69</f>
        <v>625</v>
      </c>
      <c r="U59" s="130">
        <f>+Actuals!R69</f>
        <v>-25060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16281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59">
        <f t="shared" ref="F61:Y61" si="18">SUM(F59:F60)</f>
        <v>0</v>
      </c>
      <c r="G61" s="23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150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-22171519</v>
      </c>
      <c r="E64" s="38">
        <f>SUM(G64,I64,K64,M64,O64,Q64,S64,U64,W64,Y64,AA64,AC64,AE64)</f>
        <v>-2470573.3600000003</v>
      </c>
      <c r="F64" s="84">
        <f>'TIE-OUT'!J64+RECLASS!J64</f>
        <v>0</v>
      </c>
      <c r="G64" s="85">
        <f>'TIE-OUT'!K64+RECLASS!K64</f>
        <v>0</v>
      </c>
      <c r="H64" s="129">
        <f>+Actuals!E71</f>
        <v>-14155711</v>
      </c>
      <c r="I64" s="130">
        <f>+Actuals!F71</f>
        <v>-2252204.7000000002</v>
      </c>
      <c r="J64" s="129">
        <f>+Actuals!G71</f>
        <v>-8175472</v>
      </c>
      <c r="K64" s="149">
        <f>+Actuals!H71</f>
        <v>-234335.06</v>
      </c>
      <c r="L64" s="129">
        <f>+Actuals!I71</f>
        <v>0</v>
      </c>
      <c r="M64" s="130">
        <f>+Actuals!J71</f>
        <v>-0.01</v>
      </c>
      <c r="N64" s="129">
        <f>+Actuals!K71</f>
        <v>0</v>
      </c>
      <c r="O64" s="130">
        <f>+Actuals!L71</f>
        <v>0.01</v>
      </c>
      <c r="P64" s="129">
        <f>+Actuals!M71</f>
        <v>0</v>
      </c>
      <c r="Q64" s="130">
        <f>+Actuals!N71</f>
        <v>0</v>
      </c>
      <c r="R64" s="129">
        <f>+Actuals!O71</f>
        <v>0</v>
      </c>
      <c r="S64" s="130">
        <f>+Actuals!P71</f>
        <v>969284.32</v>
      </c>
      <c r="T64" s="129">
        <f>+Actuals!Q71</f>
        <v>0</v>
      </c>
      <c r="U64" s="130">
        <f>+Actuals!R71</f>
        <v>-969284.32</v>
      </c>
      <c r="V64" s="129">
        <f>+Actuals!S71</f>
        <v>159664</v>
      </c>
      <c r="W64" s="130">
        <f>+Actuals!T71</f>
        <v>15966.39</v>
      </c>
      <c r="X64" s="129">
        <f>+Actuals!U71</f>
        <v>0</v>
      </c>
      <c r="Y64" s="130">
        <f>+Actuals!V71</f>
        <v>0</v>
      </c>
      <c r="Z64" s="129">
        <f>+Actuals!W71</f>
        <v>0</v>
      </c>
      <c r="AA64" s="130">
        <f>+Actuals!X71</f>
        <v>0</v>
      </c>
      <c r="AB64" s="129">
        <f>+Actuals!Y71</f>
        <v>0</v>
      </c>
      <c r="AC64" s="130">
        <f>+Actuals!Z71</f>
        <v>0.01</v>
      </c>
      <c r="AD64" s="129">
        <f>+Actuals!AA71</f>
        <v>0</v>
      </c>
      <c r="AE64" s="130">
        <f>+Actuals!AB71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22202788</v>
      </c>
      <c r="E65" s="38">
        <f>SUM(G65,I65,K65,M65,O65,Q65,S65,U65,W65,Y65,AA65,AC65,AE65)</f>
        <v>2300573.36</v>
      </c>
      <c r="F65" s="98">
        <f>'TIE-OUT'!J65+RECLASS!J65</f>
        <v>0</v>
      </c>
      <c r="G65" s="99">
        <f>'TIE-OUT'!K65+RECLASS!K65</f>
        <v>0</v>
      </c>
      <c r="H65" s="129">
        <f>+Actuals!E72+1028765</f>
        <v>14146690</v>
      </c>
      <c r="I65" s="130">
        <f>+Actuals!F72+450000</f>
        <v>2251533.0099999998</v>
      </c>
      <c r="J65" s="129">
        <f>+Actuals!G72</f>
        <v>8215762</v>
      </c>
      <c r="K65" s="149">
        <f>+Actuals!H72-170000</f>
        <v>65006.75</v>
      </c>
      <c r="L65" s="129">
        <f>+Actuals!I72</f>
        <v>0</v>
      </c>
      <c r="M65" s="130">
        <f>+Actuals!J72</f>
        <v>0</v>
      </c>
      <c r="N65" s="129">
        <f>+Actuals!K72</f>
        <v>0</v>
      </c>
      <c r="O65" s="130">
        <f>+Actuals!L72</f>
        <v>0</v>
      </c>
      <c r="P65" s="129">
        <f>+Actuals!M72</f>
        <v>0</v>
      </c>
      <c r="Q65" s="130">
        <f>+Actuals!N72</f>
        <v>0</v>
      </c>
      <c r="R65" s="129">
        <f>+Actuals!O72</f>
        <v>0</v>
      </c>
      <c r="S65" s="130">
        <f>+Actuals!P72</f>
        <v>-969284.32</v>
      </c>
      <c r="T65" s="129">
        <f>+Actuals!Q72</f>
        <v>0</v>
      </c>
      <c r="U65" s="130">
        <f>+Actuals!R72</f>
        <v>969284.32</v>
      </c>
      <c r="V65" s="129">
        <f>+Actuals!S72</f>
        <v>-159664</v>
      </c>
      <c r="W65" s="130">
        <f>+Actuals!T72</f>
        <v>-15966.4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59">
        <f t="shared" ref="F66:Y66" si="20">SUM(F64:F65)</f>
        <v>0</v>
      </c>
      <c r="G66" s="23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150">
        <f t="shared" si="20"/>
        <v>-169328.31</v>
      </c>
      <c r="L66" s="61">
        <f t="shared" si="20"/>
        <v>0</v>
      </c>
      <c r="M66" s="39">
        <f t="shared" si="20"/>
        <v>-0.01</v>
      </c>
      <c r="N66" s="61">
        <f t="shared" si="20"/>
        <v>0</v>
      </c>
      <c r="O66" s="39">
        <f t="shared" si="20"/>
        <v>0.01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-1.0000000000218279E-2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0.01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Y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170000</v>
      </c>
      <c r="F81" s="58">
        <f>'TIE-OUT'!J81+RECLASS!J81</f>
        <v>0</v>
      </c>
      <c r="G81" s="58">
        <f>'TIE-OUT'!K81+RECLASS!K81</f>
        <v>0</v>
      </c>
      <c r="H81" s="129">
        <f>+Actuals!E83</f>
        <v>0</v>
      </c>
      <c r="I81" s="130">
        <v>170000</v>
      </c>
      <c r="J81" s="129">
        <f>+Actuals!G83-31269</f>
        <v>-31269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1030261.1249999925</v>
      </c>
      <c r="F82" s="92">
        <f>F16+F24+F29+F36+F43+F45+F47+F49</f>
        <v>0</v>
      </c>
      <c r="G82" s="93">
        <f>SUM(G72:G81)+G16+G24+G29+G36+G43+G45+G47+G49+G51+G56+G61+G66</f>
        <v>16940.22</v>
      </c>
      <c r="H82" s="92">
        <f>H16+H24+H29+H36+H43+H45+H47+H49</f>
        <v>0</v>
      </c>
      <c r="I82" s="93">
        <f>SUM(I72:I81)+I16+I24+I29+I36+I43+I45+I47+I49+I51+I56+I61+I66</f>
        <v>1290655.3249999951</v>
      </c>
      <c r="J82" s="92">
        <f>J16+J24+J29+J36+J43+J45+J47+J49</f>
        <v>-8178</v>
      </c>
      <c r="K82" s="112">
        <f>SUM(K72:K81)+K16+K24+K29+K36+K43+K45+K47+K49+K51+K56+K61+K66</f>
        <v>-222901.05000000016</v>
      </c>
      <c r="L82" s="92">
        <f>L16+L24+L29+L36+L43+L45+L47+L49</f>
        <v>0</v>
      </c>
      <c r="M82" s="93">
        <f>SUM(M72:M81)+M16+M24+M29+M36+M43+M45+M47+M49+M51+M56+M61+M66</f>
        <v>48483.21700000007</v>
      </c>
      <c r="N82" s="92">
        <f>N16+N24+N29+N36+N43+N45+N47+N49</f>
        <v>0</v>
      </c>
      <c r="O82" s="93">
        <f>SUM(O72:O81)+O16+O24+O29+O36+O43+O45+O47+O49+O51+O56+O61+O66</f>
        <v>-20357.872000000101</v>
      </c>
      <c r="P82" s="92">
        <f>P16+P24+P29+P36+P43+P45+P47+P49</f>
        <v>0</v>
      </c>
      <c r="Q82" s="93">
        <f>SUM(Q72:Q81)+Q16+Q24+Q29+Q36+Q43+Q45+Q47+Q49+Q51+Q56+Q61+Q66</f>
        <v>-4998.0779999999722</v>
      </c>
      <c r="R82" s="92">
        <f>R16+R24+R29+R36+R43+R45+R47+R49</f>
        <v>0</v>
      </c>
      <c r="S82" s="93">
        <f>SUM(S72:S81)+S16+S24+S29+S36+S43+S45+S47+S49+S51+S56+S61+S66</f>
        <v>-82960.262999999948</v>
      </c>
      <c r="T82" s="92">
        <f>T16+T24+T29+T36+T43+T45+T47+T49</f>
        <v>0</v>
      </c>
      <c r="U82" s="93">
        <f>SUM(U72:U81)+U16+U24+U29+U36+U43+U45+U47+U49+U51+U56+U61+U66</f>
        <v>8153.0659999999916</v>
      </c>
      <c r="V82" s="92">
        <f>V16+V24+V29+V36+V43+V45+V47+V49</f>
        <v>0</v>
      </c>
      <c r="W82" s="93">
        <f>SUM(W72:W81)+W16+W24+W29+W36+W43+W45+W47+W49+W51+W56+W61+W66</f>
        <v>-1536.2150000000561</v>
      </c>
      <c r="X82" s="92">
        <f>X16+X24+X29+X36+X43+X45+X47+X49</f>
        <v>0</v>
      </c>
      <c r="Y82" s="93">
        <f>SUM(Y72:Y81)+Y16+Y24+Y29+Y36+Y43+Y45+Y47+Y49+Y51+Y56+Y61+Y66</f>
        <v>54.86</v>
      </c>
      <c r="Z82" s="92">
        <f>Z16+Z24+Z29+Z36+Z43+Z45+Z47+Z49</f>
        <v>0</v>
      </c>
      <c r="AA82" s="93">
        <f>SUM(AA72:AA81)+AA16+AA24+AA29+AA36+AA43+AA45+AA47+AA49+AA51+AA56+AA61+AA66</f>
        <v>-128.9600000000064</v>
      </c>
      <c r="AB82" s="92">
        <f>AB16+AB24+AB29+AB36+AB43+AB45+AB47+AB49</f>
        <v>0</v>
      </c>
      <c r="AC82" s="93">
        <f>SUM(AC72:AC81)+AC16+AC24+AC29+AC36+AC43+AC45+AC47+AC49+AC51+AC56+AC61+AC66</f>
        <v>-506.06000000000699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1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D79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93753776</v>
      </c>
      <c r="E11" s="38">
        <f>SUM(G11,I11,K11,M11,O11,Q11,S11,U11,W11,Y11,AA11,AC11,AE11)</f>
        <v>227877313.33999997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93582057</v>
      </c>
      <c r="I11" s="38">
        <f>'EAST-EGM-GL'!I11+'EAST-LRC-GL'!I11</f>
        <v>221460780.08999997</v>
      </c>
      <c r="J11" s="60">
        <f>'EAST-EGM-GL'!J11+'EAST-LRC-GL'!J11</f>
        <v>-378188</v>
      </c>
      <c r="K11" s="38">
        <f>'EAST-EGM-GL'!K11+'EAST-LRC-GL'!K11</f>
        <v>18912358.93</v>
      </c>
      <c r="L11" s="60">
        <f>'EAST-EGM-GL'!L11+'EAST-LRC-GL'!L11</f>
        <v>85415</v>
      </c>
      <c r="M11" s="38">
        <f>'EAST-EGM-GL'!M11+'EAST-LRC-GL'!M11</f>
        <v>833675.18</v>
      </c>
      <c r="N11" s="60">
        <f>'EAST-EGM-GL'!N11+'EAST-LRC-GL'!N11</f>
        <v>-297102</v>
      </c>
      <c r="O11" s="38">
        <f>'EAST-EGM-GL'!O11+'EAST-LRC-GL'!O11</f>
        <v>-445697.55</v>
      </c>
      <c r="P11" s="60">
        <f>'EAST-EGM-GL'!P11+'EAST-LRC-GL'!P11</f>
        <v>0</v>
      </c>
      <c r="Q11" s="38">
        <f>'EAST-EGM-GL'!Q11+'EAST-LRC-GL'!Q11</f>
        <v>-74</v>
      </c>
      <c r="R11" s="60">
        <f>'EAST-EGM-GL'!R11+'EAST-LRC-GL'!R11</f>
        <v>445466</v>
      </c>
      <c r="S11" s="38">
        <f>'EAST-EGM-GL'!S11+'EAST-LRC-GL'!S11</f>
        <v>-13610433.27</v>
      </c>
      <c r="T11" s="60">
        <f>'EAST-EGM-GL'!T11+'EAST-LRC-GL'!T11</f>
        <v>297102</v>
      </c>
      <c r="U11" s="38">
        <f>'EAST-EGM-GL'!U11+'EAST-LRC-GL'!U11</f>
        <v>721957.86</v>
      </c>
      <c r="V11" s="60">
        <f>'EAST-EGM-GL'!V11+'EAST-LRC-GL'!V11</f>
        <v>0</v>
      </c>
      <c r="W11" s="38">
        <f>'EAST-EGM-GL'!W11+'EAST-LRC-GL'!W11</f>
        <v>-1492.4</v>
      </c>
      <c r="X11" s="60">
        <f>'EAST-EGM-GL'!X11+'EAST-LRC-GL'!X11</f>
        <v>0</v>
      </c>
      <c r="Y11" s="38">
        <f>'EAST-EGM-GL'!Y11+'EAST-LRC-GL'!Y11</f>
        <v>-37521.300000000003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19026</v>
      </c>
      <c r="AC11" s="38">
        <f>'EAST-EGM-GL'!AC11+'EAST-LRC-GL'!AC11</f>
        <v>43759.8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-1651543.9000000001</v>
      </c>
      <c r="F12" s="60">
        <f>('TIE-OUT'!J12+'TIE-OUT'!H12)+(RECLASS!J12+RECLASS!H12)</f>
        <v>0</v>
      </c>
      <c r="G12" s="38">
        <f>('TIE-OUT'!K12+'TIE-OUT'!I12)+(RECLASS!K12+RECLASS!I12)</f>
        <v>-1679810.7000000002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28266.799999999999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48098747</v>
      </c>
      <c r="I13" s="38">
        <f>'EAST-EGM-GL'!I13+'EAST-LRC-GL'!I13</f>
        <v>110384760</v>
      </c>
      <c r="J13" s="60">
        <f>'EAST-EGM-GL'!J13+'EAST-LRC-GL'!J13</f>
        <v>-77304</v>
      </c>
      <c r="K13" s="38">
        <f>'EAST-EGM-GL'!K13+'EAST-LRC-GL'!K13</f>
        <v>-170702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384967</v>
      </c>
      <c r="S13" s="38">
        <f>'EAST-EGM-GL'!S13+'EAST-LRC-GL'!S13</f>
        <v>843693</v>
      </c>
      <c r="T13" s="60">
        <f>'EAST-EGM-GL'!T13+'EAST-LRC-GL'!T13</f>
        <v>545699</v>
      </c>
      <c r="U13" s="38">
        <f>'EAST-EGM-GL'!U13+'EAST-LRC-GL'!U13</f>
        <v>1199034</v>
      </c>
      <c r="V13" s="60">
        <f>'EAST-EGM-GL'!V13+'EAST-LRC-GL'!V13</f>
        <v>-853362</v>
      </c>
      <c r="W13" s="38">
        <f>'EAST-EGM-GL'!W13+'EAST-LRC-GL'!W13</f>
        <v>-1872025</v>
      </c>
      <c r="X13" s="60">
        <f>'EAST-EGM-GL'!X13+'EAST-LRC-GL'!X13</f>
        <v>853362</v>
      </c>
      <c r="Y13" s="38">
        <f>'EAST-EGM-GL'!Y13+'EAST-LRC-GL'!Y13</f>
        <v>1872025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-853362</v>
      </c>
      <c r="AC13" s="38">
        <f>'EAST-EGM-GL'!AC13+'EAST-LRC-GL'!AC13</f>
        <v>-1872025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32</v>
      </c>
      <c r="C16" s="6"/>
      <c r="D16" s="61">
        <f>SUM(D11:D15)</f>
        <v>141852523</v>
      </c>
      <c r="E16" s="39">
        <f>SUM(E11:E15)</f>
        <v>336610529.43999994</v>
      </c>
      <c r="F16" s="61">
        <f t="shared" ref="F16:Y16" si="1">SUM(F11:F15)</f>
        <v>0</v>
      </c>
      <c r="G16" s="39">
        <f t="shared" si="1"/>
        <v>-1679810.7000000002</v>
      </c>
      <c r="H16" s="61">
        <f t="shared" si="1"/>
        <v>141680804</v>
      </c>
      <c r="I16" s="39">
        <f t="shared" si="1"/>
        <v>331845540.08999997</v>
      </c>
      <c r="J16" s="61">
        <f t="shared" si="1"/>
        <v>-455492</v>
      </c>
      <c r="K16" s="39">
        <f t="shared" si="1"/>
        <v>18769923.73</v>
      </c>
      <c r="L16" s="61">
        <f t="shared" si="1"/>
        <v>85415</v>
      </c>
      <c r="M16" s="39">
        <f t="shared" si="1"/>
        <v>833675.18</v>
      </c>
      <c r="N16" s="61">
        <f t="shared" si="1"/>
        <v>-297102</v>
      </c>
      <c r="O16" s="39">
        <f t="shared" si="1"/>
        <v>-445697.55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-12766740.27</v>
      </c>
      <c r="T16" s="61">
        <f t="shared" si="1"/>
        <v>842801</v>
      </c>
      <c r="U16" s="39">
        <f t="shared" si="1"/>
        <v>1920991.8599999999</v>
      </c>
      <c r="V16" s="61">
        <f t="shared" si="1"/>
        <v>-853362</v>
      </c>
      <c r="W16" s="39">
        <f t="shared" si="1"/>
        <v>-1873517.4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-834336</v>
      </c>
      <c r="AC16" s="39">
        <f t="shared" si="2"/>
        <v>-1828265.2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-92598252</v>
      </c>
      <c r="E19" s="38">
        <f t="shared" si="3"/>
        <v>-216871224.41999996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-97816104</v>
      </c>
      <c r="I19" s="38">
        <f>'EAST-EGM-GL'!I19+'EAST-LRC-GL'!I19</f>
        <v>-224729197.28999999</v>
      </c>
      <c r="J19" s="60">
        <f>'EAST-EGM-GL'!J19+'EAST-LRC-GL'!J19</f>
        <v>-1060287</v>
      </c>
      <c r="K19" s="38">
        <f>'EAST-EGM-GL'!K19+'EAST-LRC-GL'!K19</f>
        <v>-5061354.9000000004</v>
      </c>
      <c r="L19" s="60">
        <f>'EAST-EGM-GL'!L19+'EAST-LRC-GL'!L19</f>
        <v>-142169</v>
      </c>
      <c r="M19" s="38">
        <f>'EAST-EGM-GL'!M19+'EAST-LRC-GL'!M19</f>
        <v>-285254.03999999998</v>
      </c>
      <c r="N19" s="60">
        <f>'EAST-EGM-GL'!N19+'EAST-LRC-GL'!N19</f>
        <v>543263</v>
      </c>
      <c r="O19" s="38">
        <f>'EAST-EGM-GL'!O19+'EAST-LRC-GL'!O19</f>
        <v>1303836.06</v>
      </c>
      <c r="P19" s="60">
        <f>'EAST-EGM-GL'!P19+'EAST-LRC-GL'!P19</f>
        <v>-1127</v>
      </c>
      <c r="Q19" s="38">
        <f>'EAST-EGM-GL'!Q19+'EAST-LRC-GL'!Q19</f>
        <v>-2423.25</v>
      </c>
      <c r="R19" s="60">
        <f>'EAST-EGM-GL'!R19+'EAST-LRC-GL'!R19</f>
        <v>5858506</v>
      </c>
      <c r="S19" s="38">
        <f>'EAST-EGM-GL'!S19+'EAST-LRC-GL'!S19</f>
        <v>11859393.890000001</v>
      </c>
      <c r="T19" s="60">
        <f>'EAST-EGM-GL'!T19+'EAST-LRC-GL'!T19</f>
        <v>0</v>
      </c>
      <c r="U19" s="38">
        <f>'EAST-EGM-GL'!U19+'EAST-LRC-GL'!U19</f>
        <v>135.46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17306</v>
      </c>
      <c r="Y19" s="38">
        <f>'EAST-EGM-GL'!Y19+'EAST-LRC-GL'!Y19</f>
        <v>38211.65</v>
      </c>
      <c r="Z19" s="60">
        <f>'EAST-EGM-GL'!Z19+'EAST-LRC-GL'!Z19</f>
        <v>2360</v>
      </c>
      <c r="AA19" s="38">
        <f>'EAST-EGM-GL'!AA19+'EAST-LRC-GL'!AA19</f>
        <v>5428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-3288942.37</v>
      </c>
      <c r="F20" s="60">
        <f>('TIE-OUT'!J20+'TIE-OUT'!H20)+(RECLASS!J20+RECLASS!H20)</f>
        <v>0</v>
      </c>
      <c r="G20" s="38">
        <f>('TIE-OUT'!K20+'TIE-OUT'!I20)+(RECLASS!K20+RECLASS!I20)</f>
        <v>-3288942.37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-40530677</v>
      </c>
      <c r="I21" s="38">
        <f>'EAST-EGM-GL'!I21+'EAST-LRC-GL'!I21</f>
        <v>-92564051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-384967</v>
      </c>
      <c r="S21" s="38">
        <f>'EAST-EGM-GL'!S21+'EAST-LRC-GL'!S21</f>
        <v>-843693</v>
      </c>
      <c r="T21" s="60">
        <f>'EAST-EGM-GL'!T21+'EAST-LRC-GL'!T21</f>
        <v>-545699</v>
      </c>
      <c r="U21" s="38">
        <f>'EAST-EGM-GL'!U21+'EAST-LRC-GL'!U21</f>
        <v>-1199034</v>
      </c>
      <c r="V21" s="60">
        <f>'EAST-EGM-GL'!V21+'EAST-LRC-GL'!V21</f>
        <v>930666</v>
      </c>
      <c r="W21" s="38">
        <f>'EAST-EGM-GL'!W21+'EAST-LRC-GL'!W21</f>
        <v>2042727</v>
      </c>
      <c r="X21" s="60">
        <f>'EAST-EGM-GL'!X21+'EAST-LRC-GL'!X21</f>
        <v>-930666</v>
      </c>
      <c r="Y21" s="38">
        <f>'EAST-EGM-GL'!Y21+'EAST-LRC-GL'!Y21</f>
        <v>-2042727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930666</v>
      </c>
      <c r="AC21" s="38">
        <f>'EAST-EGM-GL'!AC21+'EAST-LRC-GL'!AC21</f>
        <v>2042727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339450</v>
      </c>
      <c r="E23" s="38">
        <f t="shared" si="3"/>
        <v>796866.98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303533</v>
      </c>
      <c r="I23" s="38">
        <f>'EAST-EGM-GL'!I23+'EAST-LRC-GL'!I23</f>
        <v>714820.22</v>
      </c>
      <c r="J23" s="60">
        <f>'EAST-EGM-GL'!J23+'EAST-LRC-GL'!J23</f>
        <v>27148</v>
      </c>
      <c r="K23" s="38">
        <f>'EAST-EGM-GL'!K23+'EAST-LRC-GL'!K23</f>
        <v>60958.864999999998</v>
      </c>
      <c r="L23" s="60">
        <f>'EAST-EGM-GL'!L23+'EAST-LRC-GL'!L23</f>
        <v>8769</v>
      </c>
      <c r="M23" s="38">
        <f>'EAST-EGM-GL'!M23+'EAST-LRC-GL'!M23</f>
        <v>20650.965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436.93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35</v>
      </c>
      <c r="C24" s="6"/>
      <c r="D24" s="61">
        <f>SUM(D19:D23)</f>
        <v>-132789479</v>
      </c>
      <c r="E24" s="39">
        <f>SUM(E19:E23)</f>
        <v>-311927350.80999994</v>
      </c>
      <c r="F24" s="61">
        <f t="shared" ref="F24:Y24" si="4">SUM(F19:F23)</f>
        <v>0</v>
      </c>
      <c r="G24" s="39">
        <f t="shared" si="4"/>
        <v>-3288942.37</v>
      </c>
      <c r="H24" s="61">
        <f t="shared" si="4"/>
        <v>-138043248</v>
      </c>
      <c r="I24" s="39">
        <f t="shared" si="4"/>
        <v>-316578428.06999993</v>
      </c>
      <c r="J24" s="61">
        <f t="shared" si="4"/>
        <v>-1033139</v>
      </c>
      <c r="K24" s="39">
        <f t="shared" si="4"/>
        <v>-5000396.0350000001</v>
      </c>
      <c r="L24" s="61">
        <f t="shared" si="4"/>
        <v>-133400</v>
      </c>
      <c r="M24" s="39">
        <f t="shared" si="4"/>
        <v>-264603.07499999995</v>
      </c>
      <c r="N24" s="61">
        <f t="shared" si="4"/>
        <v>543263</v>
      </c>
      <c r="O24" s="39">
        <f t="shared" si="4"/>
        <v>1303836.06</v>
      </c>
      <c r="P24" s="61">
        <f t="shared" si="4"/>
        <v>-1127</v>
      </c>
      <c r="Q24" s="39">
        <f t="shared" si="4"/>
        <v>-2423.25</v>
      </c>
      <c r="R24" s="61">
        <f t="shared" si="4"/>
        <v>5473539</v>
      </c>
      <c r="S24" s="39">
        <f t="shared" si="4"/>
        <v>11016137.82</v>
      </c>
      <c r="T24" s="61">
        <f t="shared" si="4"/>
        <v>-545699</v>
      </c>
      <c r="U24" s="39">
        <f t="shared" si="4"/>
        <v>-1198898.54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3182791</v>
      </c>
      <c r="E27" s="38">
        <f>SUM(G27,I27,K27,M27,O27,Q27,S27,U27,W27,Y27,AA27,AC27,AE27)</f>
        <v>7163048.6000000006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3992712</v>
      </c>
      <c r="I27" s="38">
        <f>'EAST-EGM-GL'!I27+'EAST-LRC-GL'!I27</f>
        <v>8804010.3499999996</v>
      </c>
      <c r="J27" s="60">
        <f>'EAST-EGM-GL'!J27+'EAST-LRC-GL'!J27</f>
        <v>-212916</v>
      </c>
      <c r="K27" s="38">
        <f>'EAST-EGM-GL'!K27+'EAST-LRC-GL'!K27</f>
        <v>-324694.62</v>
      </c>
      <c r="L27" s="60">
        <f>'EAST-EGM-GL'!L27+'EAST-LRC-GL'!L27</f>
        <v>-65421</v>
      </c>
      <c r="M27" s="38">
        <f>'EAST-EGM-GL'!M27+'EAST-LRC-GL'!M27</f>
        <v>-149567.97</v>
      </c>
      <c r="N27" s="60">
        <f>'EAST-EGM-GL'!N27+'EAST-LRC-GL'!N27</f>
        <v>3120</v>
      </c>
      <c r="O27" s="38">
        <f>'EAST-EGM-GL'!O27+'EAST-LRC-GL'!O27</f>
        <v>7152.3</v>
      </c>
      <c r="P27" s="60">
        <f>'EAST-EGM-GL'!P27+'EAST-LRC-GL'!P27</f>
        <v>-286224</v>
      </c>
      <c r="Q27" s="38">
        <f>'EAST-EGM-GL'!Q27+'EAST-LRC-GL'!Q27</f>
        <v>-646938.46</v>
      </c>
      <c r="R27" s="60">
        <f>'EAST-EGM-GL'!R27+'EAST-LRC-GL'!R27</f>
        <v>126026</v>
      </c>
      <c r="S27" s="38">
        <f>'EAST-EGM-GL'!S27+'EAST-LRC-GL'!S27</f>
        <v>276607.63</v>
      </c>
      <c r="T27" s="60">
        <f>'EAST-EGM-GL'!T27+'EAST-LRC-GL'!T27</f>
        <v>-82237</v>
      </c>
      <c r="U27" s="38">
        <f>'EAST-EGM-GL'!U27+'EAST-LRC-GL'!U27</f>
        <v>-140547.6</v>
      </c>
      <c r="V27" s="60">
        <f>'EAST-EGM-GL'!V27+'EAST-LRC-GL'!V27</f>
        <v>-292269</v>
      </c>
      <c r="W27" s="38">
        <f>'EAST-EGM-GL'!W27+'EAST-LRC-GL'!W27</f>
        <v>-662988.79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0.84</v>
      </c>
      <c r="AB27" s="60">
        <f>'EAST-EGM-GL'!AB27+'EAST-LRC-GL'!AB27</f>
        <v>-3127</v>
      </c>
      <c r="AC27" s="38">
        <f>'EAST-EGM-GL'!AC27+'EAST-LRC-GL'!AC27</f>
        <v>-7055.42</v>
      </c>
      <c r="AD27" s="60">
        <f>'EAST-EGM-GL'!AD27+'EAST-LRC-GL'!AD27</f>
        <v>3127</v>
      </c>
      <c r="AE27" s="38">
        <f>'EAST-EGM-GL'!AE27+'EAST-LRC-GL'!AE27</f>
        <v>7070.34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-14458217</v>
      </c>
      <c r="E28" s="38">
        <f>SUM(G28,I28,K28,M28,O28,Q28,S28,U28,W28,Y28,AA28,AC28,AE28)</f>
        <v>-32605974.980000008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-15239573</v>
      </c>
      <c r="I28" s="38">
        <f>'EAST-EGM-GL'!I28+'EAST-LRC-GL'!I28</f>
        <v>-34228998.660000004</v>
      </c>
      <c r="J28" s="60">
        <f>'EAST-EGM-GL'!J28+'EAST-LRC-GL'!J28</f>
        <v>249363</v>
      </c>
      <c r="K28" s="38">
        <f>'EAST-EGM-GL'!K28+'EAST-LRC-GL'!K28</f>
        <v>458457.57</v>
      </c>
      <c r="L28" s="60">
        <f>'EAST-EGM-GL'!L28+'EAST-LRC-GL'!L28</f>
        <v>3503</v>
      </c>
      <c r="M28" s="38">
        <f>'EAST-EGM-GL'!M28+'EAST-LRC-GL'!M28</f>
        <v>66808.88</v>
      </c>
      <c r="N28" s="60">
        <f>'EAST-EGM-GL'!N28+'EAST-LRC-GL'!N28</f>
        <v>1570</v>
      </c>
      <c r="O28" s="38">
        <f>'EAST-EGM-GL'!O28+'EAST-LRC-GL'!O28</f>
        <v>3024.8</v>
      </c>
      <c r="P28" s="60">
        <f>'EAST-EGM-GL'!P28+'EAST-LRC-GL'!P28</f>
        <v>343958</v>
      </c>
      <c r="Q28" s="38">
        <f>'EAST-EGM-GL'!Q28+'EAST-LRC-GL'!Q28</f>
        <v>770424.13</v>
      </c>
      <c r="R28" s="60">
        <f>'EAST-EGM-GL'!R28+'EAST-LRC-GL'!R28</f>
        <v>-188450</v>
      </c>
      <c r="S28" s="38">
        <f>'EAST-EGM-GL'!S28+'EAST-LRC-GL'!S28</f>
        <v>-472169.8</v>
      </c>
      <c r="T28" s="60">
        <f>'EAST-EGM-GL'!T28+'EAST-LRC-GL'!T28</f>
        <v>82301</v>
      </c>
      <c r="U28" s="38">
        <f>'EAST-EGM-GL'!U28+'EAST-LRC-GL'!U28</f>
        <v>140685.32999999999</v>
      </c>
      <c r="V28" s="60">
        <f>'EAST-EGM-GL'!V28+'EAST-LRC-GL'!V28</f>
        <v>292238</v>
      </c>
      <c r="W28" s="38">
        <f>'EAST-EGM-GL'!W28+'EAST-LRC-GL'!W28</f>
        <v>662871.98</v>
      </c>
      <c r="X28" s="60">
        <f>'EAST-EGM-GL'!X28+'EAST-LRC-GL'!X28</f>
        <v>0</v>
      </c>
      <c r="Y28" s="38">
        <f>'EAST-EGM-GL'!Y28+'EAST-LRC-GL'!Y28</f>
        <v>54.86</v>
      </c>
      <c r="Z28" s="60">
        <f>'EAST-EGM-GL'!Z28+'EAST-LRC-GL'!Z28</f>
        <v>0</v>
      </c>
      <c r="AA28" s="38">
        <f>'EAST-EGM-GL'!AA28+'EAST-LRC-GL'!AA28</f>
        <v>-0.84</v>
      </c>
      <c r="AB28" s="60">
        <f>'EAST-EGM-GL'!AB28+'EAST-LRC-GL'!AB28</f>
        <v>-3127</v>
      </c>
      <c r="AC28" s="38">
        <f>'EAST-EGM-GL'!AC28+'EAST-LRC-GL'!AC28</f>
        <v>-7133.23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39</v>
      </c>
      <c r="C29" s="18"/>
      <c r="D29" s="61">
        <f>SUM(D27:D28)</f>
        <v>-11275426</v>
      </c>
      <c r="E29" s="39">
        <f>SUM(E27:E28)</f>
        <v>-25442926.380000006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-11246861</v>
      </c>
      <c r="I29" s="39">
        <f t="shared" si="6"/>
        <v>-25424988.310000002</v>
      </c>
      <c r="J29" s="61">
        <f t="shared" si="6"/>
        <v>36447</v>
      </c>
      <c r="K29" s="39">
        <f t="shared" si="6"/>
        <v>133762.95000000001</v>
      </c>
      <c r="L29" s="61">
        <f t="shared" si="6"/>
        <v>-61918</v>
      </c>
      <c r="M29" s="39">
        <f t="shared" si="6"/>
        <v>-82759.09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487907</v>
      </c>
      <c r="E32" s="38">
        <f t="shared" si="8"/>
        <v>1149021.6500000001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214361</v>
      </c>
      <c r="I32" s="38">
        <f>'EAST-EGM-GL'!I32+'EAST-LRC-GL'!I32</f>
        <v>504820.15</v>
      </c>
      <c r="J32" s="60">
        <f>'EAST-EGM-GL'!J32+'EAST-LRC-GL'!J32</f>
        <v>-266061</v>
      </c>
      <c r="K32" s="38">
        <f>'EAST-EGM-GL'!K32+'EAST-LRC-GL'!K32</f>
        <v>-623233.652</v>
      </c>
      <c r="L32" s="60">
        <f>'EAST-EGM-GL'!L32+'EAST-LRC-GL'!L32</f>
        <v>349722</v>
      </c>
      <c r="M32" s="38">
        <f>'EAST-EGM-GL'!M32+'EAST-LRC-GL'!M32</f>
        <v>790632.23400000005</v>
      </c>
      <c r="N32" s="60">
        <f>'EAST-EGM-GL'!N32+'EAST-LRC-GL'!N32</f>
        <v>142143</v>
      </c>
      <c r="O32" s="38">
        <f>'EAST-EGM-GL'!O32+'EAST-LRC-GL'!O32</f>
        <v>545068.03899999999</v>
      </c>
      <c r="P32" s="60">
        <f>'EAST-EGM-GL'!P32+'EAST-LRC-GL'!P32</f>
        <v>1127</v>
      </c>
      <c r="Q32" s="38">
        <f>'EAST-EGM-GL'!Q32+'EAST-LRC-GL'!Q32</f>
        <v>1216980.426</v>
      </c>
      <c r="R32" s="60">
        <f>'EAST-EGM-GL'!R32+'EAST-LRC-GL'!R32</f>
        <v>26958</v>
      </c>
      <c r="S32" s="38">
        <f>'EAST-EGM-GL'!S32+'EAST-LRC-GL'!S32</f>
        <v>-1289288.0379999999</v>
      </c>
      <c r="T32" s="60">
        <f>'EAST-EGM-GL'!T32+'EAST-LRC-GL'!T32</f>
        <v>-625</v>
      </c>
      <c r="U32" s="38">
        <f>'EAST-EGM-GL'!U32+'EAST-LRC-GL'!U32</f>
        <v>-43721.618999999999</v>
      </c>
      <c r="V32" s="60">
        <f>'EAST-EGM-GL'!V32+'EAST-LRC-GL'!V32</f>
        <v>676</v>
      </c>
      <c r="W32" s="38">
        <f>'EAST-EGM-GL'!W32+'EAST-LRC-GL'!W32</f>
        <v>1591.98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-55211</v>
      </c>
      <c r="AA32" s="38">
        <f>'EAST-EGM-GL'!AA32+'EAST-LRC-GL'!AA32</f>
        <v>-130021.905</v>
      </c>
      <c r="AB32" s="60">
        <f>'EAST-EGM-GL'!AB32+'EAST-LRC-GL'!AB32</f>
        <v>74817</v>
      </c>
      <c r="AC32" s="38">
        <f>'EAST-EGM-GL'!AC32+'EAST-LRC-GL'!AC32</f>
        <v>176194.035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-54530</v>
      </c>
      <c r="K33" s="38">
        <f>'EAST-EGM-GL'!K33+'EAST-LRC-GL'!K33</f>
        <v>-121627.77</v>
      </c>
      <c r="L33" s="60">
        <f>'EAST-EGM-GL'!L33+'EAST-LRC-GL'!L33</f>
        <v>-65324</v>
      </c>
      <c r="M33" s="38">
        <f>'EAST-EGM-GL'!M33+'EAST-LRC-GL'!M33</f>
        <v>-148053.85999999999</v>
      </c>
      <c r="N33" s="60">
        <f>'EAST-EGM-GL'!N33+'EAST-LRC-GL'!N33</f>
        <v>-81351</v>
      </c>
      <c r="O33" s="38">
        <f>'EAST-EGM-GL'!O33+'EAST-LRC-GL'!O33</f>
        <v>-200258.79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-2</v>
      </c>
      <c r="S33" s="38">
        <f>'EAST-EGM-GL'!S33+'EAST-LRC-GL'!S33</f>
        <v>-4.4400000000000004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117646</v>
      </c>
      <c r="K34" s="38">
        <f>'EAST-EGM-GL'!K34+'EAST-LRC-GL'!K34</f>
        <v>256659.93</v>
      </c>
      <c r="L34" s="60">
        <f>'EAST-EGM-GL'!L34+'EAST-LRC-GL'!L34</f>
        <v>6264</v>
      </c>
      <c r="M34" s="38">
        <f>'EAST-EGM-GL'!M34+'EAST-LRC-GL'!M34</f>
        <v>14006.31</v>
      </c>
      <c r="N34" s="60">
        <f>'EAST-EGM-GL'!N34+'EAST-LRC-GL'!N34</f>
        <v>5556</v>
      </c>
      <c r="O34" s="38">
        <f>'EAST-EGM-GL'!O34+'EAST-LRC-GL'!O34</f>
        <v>12435.55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5329</v>
      </c>
      <c r="S34" s="38">
        <f>'EAST-EGM-GL'!S34+'EAST-LRC-GL'!S34</f>
        <v>11324.66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-499999</v>
      </c>
      <c r="I35" s="38">
        <f>'EAST-EGM-GL'!I35+'EAST-LRC-GL'!I35</f>
        <v>-0.01</v>
      </c>
      <c r="J35" s="60">
        <f>'EAST-EGM-GL'!J35+'EAST-LRC-GL'!J35</f>
        <v>1</v>
      </c>
      <c r="K35" s="38">
        <f>'EAST-EGM-GL'!K35+'EAST-LRC-GL'!K35</f>
        <v>0</v>
      </c>
      <c r="L35" s="60">
        <f>'EAST-EGM-GL'!L35+'EAST-LRC-GL'!L35</f>
        <v>999998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1177500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45</v>
      </c>
      <c r="C36" s="6"/>
      <c r="D36" s="61">
        <f>SUM(D32:D35)</f>
        <v>921495</v>
      </c>
      <c r="E36" s="39">
        <f>SUM(E32:E35)</f>
        <v>2151003.23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-202944</v>
      </c>
      <c r="K36" s="39">
        <f t="shared" si="9"/>
        <v>-488201.49200000003</v>
      </c>
      <c r="L36" s="61">
        <f t="shared" si="9"/>
        <v>1290660</v>
      </c>
      <c r="M36" s="39">
        <f t="shared" si="9"/>
        <v>656584.68400000012</v>
      </c>
      <c r="N36" s="61">
        <f t="shared" si="9"/>
        <v>66348</v>
      </c>
      <c r="O36" s="39">
        <f t="shared" si="9"/>
        <v>357244.79899999994</v>
      </c>
      <c r="P36" s="61">
        <f t="shared" si="9"/>
        <v>1127</v>
      </c>
      <c r="Q36" s="39">
        <f t="shared" si="9"/>
        <v>1216980.426</v>
      </c>
      <c r="R36" s="61">
        <f t="shared" si="9"/>
        <v>32285</v>
      </c>
      <c r="S36" s="39">
        <f t="shared" si="9"/>
        <v>-100467.81799999997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499972</v>
      </c>
      <c r="I39" s="38">
        <f>'EAST-EGM-GL'!I39+'EAST-LRC-GL'!I39</f>
        <v>1299894.75</v>
      </c>
      <c r="J39" s="60">
        <f>'EAST-EGM-GL'!J39+'EAST-LRC-GL'!J39</f>
        <v>997496</v>
      </c>
      <c r="K39" s="38">
        <f>'EAST-EGM-GL'!K39+'EAST-LRC-GL'!K39</f>
        <v>2344115.6</v>
      </c>
      <c r="L39" s="60">
        <f>'EAST-EGM-GL'!L39+'EAST-LRC-GL'!L39</f>
        <v>-499972</v>
      </c>
      <c r="M39" s="38">
        <f>'EAST-EGM-GL'!M39+'EAST-LRC-GL'!M39</f>
        <v>-1299894.75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-596031</v>
      </c>
      <c r="K40" s="38">
        <f>'EAST-EGM-GL'!K40+'EAST-LRC-GL'!K40</f>
        <v>-1400672.85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-33</v>
      </c>
      <c r="U40" s="38">
        <f>'EAST-EGM-GL'!U40+'EAST-LRC-GL'!U40</f>
        <v>-77.55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39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61">
        <f t="shared" ref="F43:Y43" si="14">F42+F39</f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401465</v>
      </c>
      <c r="K43" s="39">
        <f t="shared" si="14"/>
        <v>943442.75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20900</v>
      </c>
      <c r="K45" s="38">
        <f>'EAST-EGM-GL'!K45+'EAST-LRC-GL'!K45</f>
        <v>40337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82301</v>
      </c>
      <c r="S45" s="38">
        <f>'EAST-EGM-GL'!S45+'EAST-LRC-GL'!S45</f>
        <v>136074.79</v>
      </c>
      <c r="T45" s="60">
        <f>'EAST-EGM-GL'!T45+'EAST-LRC-GL'!T45</f>
        <v>-82301</v>
      </c>
      <c r="U45" s="38">
        <f>'EAST-EGM-GL'!U45+'EAST-LRC-GL'!U45</f>
        <v>-140685.32999999999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0.84</v>
      </c>
      <c r="AB45" s="60">
        <f>'EAST-EGM-GL'!AB45+'EAST-LRC-GL'!AB45</f>
        <v>0</v>
      </c>
      <c r="AC45" s="38">
        <f>'EAST-EGM-GL'!AC45+'EAST-LRC-GL'!AC45</f>
        <v>0.84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89334</v>
      </c>
      <c r="K47" s="38">
        <f>'EAST-EGM-GL'!K47+'EAST-LRC-GL'!K47</f>
        <v>209934.9</v>
      </c>
      <c r="L47" s="60">
        <f>'EAST-EGM-GL'!L47+'EAST-LRC-GL'!L47</f>
        <v>-89334</v>
      </c>
      <c r="M47" s="38">
        <f>'EAST-EGM-GL'!M47+'EAST-LRC-GL'!M47</f>
        <v>-209934.9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860377</v>
      </c>
      <c r="E49" s="38">
        <f>SUM(G49,I49,K49,M49,O49,Q49,S49,U49,W49,Y49,AA49,AC49,AE49)</f>
        <v>2026187.8299999991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7394971</v>
      </c>
      <c r="I49" s="38">
        <f>'EAST-EGM-GL'!I49+'EAST-LRC-GL'!I49</f>
        <v>17415156.704999998</v>
      </c>
      <c r="J49" s="60">
        <f>'EAST-EGM-GL'!J49+'EAST-LRC-GL'!J49</f>
        <v>1135251</v>
      </c>
      <c r="K49" s="38">
        <f>'EAST-EGM-GL'!K49+'EAST-LRC-GL'!K49</f>
        <v>2673516.1</v>
      </c>
      <c r="L49" s="60">
        <f>'EAST-EGM-GL'!L49+'EAST-LRC-GL'!L49</f>
        <v>-591451</v>
      </c>
      <c r="M49" s="38">
        <f>'EAST-EGM-GL'!M49+'EAST-LRC-GL'!M49</f>
        <v>-1392867.105</v>
      </c>
      <c r="N49" s="60">
        <f>'EAST-EGM-GL'!N49+'EAST-LRC-GL'!N49</f>
        <v>-317199</v>
      </c>
      <c r="O49" s="38">
        <f>'EAST-EGM-GL'!O49+'EAST-LRC-GL'!O49</f>
        <v>-747003.64500000014</v>
      </c>
      <c r="P49" s="60">
        <f>'EAST-EGM-GL'!P49+'EAST-LRC-GL'!P49</f>
        <v>-57734</v>
      </c>
      <c r="Q49" s="38">
        <f>'EAST-EGM-GL'!Q49+'EAST-LRC-GL'!Q49</f>
        <v>-135963.57</v>
      </c>
      <c r="R49" s="60">
        <f>'EAST-EGM-GL'!R49+'EAST-LRC-GL'!R49</f>
        <v>-6356134</v>
      </c>
      <c r="S49" s="38">
        <f>'EAST-EGM-GL'!S49+'EAST-LRC-GL'!S49</f>
        <v>-14968695.57</v>
      </c>
      <c r="T49" s="60">
        <f>'EAST-EGM-GL'!T49+'EAST-LRC-GL'!T49</f>
        <v>-214207</v>
      </c>
      <c r="U49" s="38">
        <f>'EAST-EGM-GL'!U49+'EAST-LRC-GL'!U49</f>
        <v>-504457.48499999999</v>
      </c>
      <c r="V49" s="60">
        <f>'EAST-EGM-GL'!V49+'EAST-LRC-GL'!V49</f>
        <v>-77949</v>
      </c>
      <c r="W49" s="38">
        <f>'EAST-EGM-GL'!W49+'EAST-LRC-GL'!W49</f>
        <v>-183569.89500000002</v>
      </c>
      <c r="X49" s="60">
        <f>'EAST-EGM-GL'!X49+'EAST-LRC-GL'!X49</f>
        <v>59998</v>
      </c>
      <c r="Y49" s="38">
        <f>'EAST-EGM-GL'!Y49+'EAST-LRC-GL'!Y49</f>
        <v>141295.29</v>
      </c>
      <c r="Z49" s="60">
        <f>'EAST-EGM-GL'!Z49+'EAST-LRC-GL'!Z49</f>
        <v>52851</v>
      </c>
      <c r="AA49" s="38">
        <f>'EAST-EGM-GL'!AA49+'EAST-LRC-GL'!AA49</f>
        <v>124464.105</v>
      </c>
      <c r="AB49" s="60">
        <f>'EAST-EGM-GL'!AB49+'EAST-LRC-GL'!AB49</f>
        <v>-164893</v>
      </c>
      <c r="AC49" s="38">
        <f>'EAST-EGM-GL'!AC49+'EAST-LRC-GL'!AC49</f>
        <v>-388323.01500000001</v>
      </c>
      <c r="AD49" s="60">
        <f>'EAST-EGM-GL'!AD49+'EAST-LRC-GL'!AD49</f>
        <v>-3127</v>
      </c>
      <c r="AE49" s="38">
        <f>'EAST-EGM-GL'!AE49+'EAST-LRC-GL'!AE49</f>
        <v>-7364.085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-435454</v>
      </c>
      <c r="E51" s="38">
        <f>SUM(G51,I51,K51,M51,O51,Q51,S51,U51,W51,Y51,AA51,AC51,AE51)</f>
        <v>-816802.66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-303533</v>
      </c>
      <c r="I51" s="38">
        <f>'EAST-EGM-GL'!I51+'EAST-LRC-GL'!I51</f>
        <v>-714820.22</v>
      </c>
      <c r="J51" s="60">
        <f>'EAST-EGM-GL'!J51+'EAST-LRC-GL'!J51</f>
        <v>-35925</v>
      </c>
      <c r="K51" s="38">
        <f>'EAST-EGM-GL'!K51+'EAST-LRC-GL'!K51</f>
        <v>-80747.864999999991</v>
      </c>
      <c r="L51" s="60">
        <f>'EAST-EGM-GL'!L51+'EAST-LRC-GL'!L51</f>
        <v>-8799</v>
      </c>
      <c r="M51" s="38">
        <f>'EAST-EGM-GL'!M51+'EAST-LRC-GL'!M51</f>
        <v>-20721.645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-87197</v>
      </c>
      <c r="S51" s="38">
        <f>'EAST-EGM-GL'!S51+'EAST-LRC-GL'!S51</f>
        <v>-436.93</v>
      </c>
      <c r="T51" s="60">
        <f>'EAST-EGM-GL'!T51+'EAST-LRC-GL'!T51</f>
        <v>0</v>
      </c>
      <c r="U51" s="38">
        <f>'EAST-EGM-GL'!U51+'EAST-LRC-GL'!U51</f>
        <v>-76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-27591023</v>
      </c>
      <c r="E54" s="38">
        <f>SUM(G54,I54,K54,M54,O54,Q54,S54,U54,W54,Y54,AA54,AC54,AE54)</f>
        <v>-506377.36000000004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-26801603</v>
      </c>
      <c r="I54" s="38">
        <f>'EAST-EGM-GL'!I54+'EAST-LRC-GL'!I54</f>
        <v>-593534.88</v>
      </c>
      <c r="J54" s="60">
        <f>'EAST-EGM-GL'!J54+'EAST-LRC-GL'!J54</f>
        <v>-2259004</v>
      </c>
      <c r="K54" s="38">
        <f>'EAST-EGM-GL'!K54+'EAST-LRC-GL'!K54</f>
        <v>-127170.05</v>
      </c>
      <c r="L54" s="60">
        <f>'EAST-EGM-GL'!L54+'EAST-LRC-GL'!L54</f>
        <v>1518915</v>
      </c>
      <c r="M54" s="38">
        <f>'EAST-EGM-GL'!M54+'EAST-LRC-GL'!M54</f>
        <v>15225.4</v>
      </c>
      <c r="N54" s="60">
        <f>'EAST-EGM-GL'!N54+'EAST-LRC-GL'!N54</f>
        <v>-37788</v>
      </c>
      <c r="O54" s="38">
        <f>'EAST-EGM-GL'!O54+'EAST-LRC-GL'!O54</f>
        <v>-462.36</v>
      </c>
      <c r="P54" s="60">
        <f>'EAST-EGM-GL'!P54+'EAST-LRC-GL'!P54</f>
        <v>-99</v>
      </c>
      <c r="Q54" s="38">
        <f>'EAST-EGM-GL'!Q54+'EAST-LRC-GL'!Q54</f>
        <v>-2.15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99955</v>
      </c>
      <c r="Z54" s="60">
        <f>'EAST-EGM-GL'!Z54+'EAST-LRC-GL'!Z54</f>
        <v>0</v>
      </c>
      <c r="AA54" s="38">
        <f>'EAST-EGM-GL'!AA54+'EAST-LRC-GL'!AA54</f>
        <v>99955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-11444</v>
      </c>
      <c r="AE54" s="38">
        <f>'EAST-EGM-GL'!AE54+'EAST-LRC-GL'!AE54</f>
        <v>-343.32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('TIE-OUT'!J55+'TIE-OUT'!H55)+(RECLASS!J55+RECLASS!H55)</f>
        <v>0</v>
      </c>
      <c r="G55" s="82">
        <f>('TIE-OUT'!K55+'TIE-OUT'!I55)+(RECLASS!K55+RECLASS!I55)</f>
        <v>643108.63</v>
      </c>
      <c r="H55" s="60">
        <f>'EAST-EGM-GL'!H55+'EAST-LRC-GL'!H55</f>
        <v>0</v>
      </c>
      <c r="I55" s="38">
        <f>'EAST-EGM-GL'!I55+'EAST-LRC-GL'!I55</f>
        <v>-3499026.12</v>
      </c>
      <c r="J55" s="60">
        <f>'EAST-EGM-GL'!J55+'EAST-LRC-GL'!J55</f>
        <v>0</v>
      </c>
      <c r="K55" s="38">
        <f>'EAST-EGM-GL'!K55+'EAST-LRC-GL'!K55</f>
        <v>208173.31</v>
      </c>
      <c r="L55" s="60">
        <f>'EAST-EGM-GL'!L55+'EAST-LRC-GL'!L55</f>
        <v>0</v>
      </c>
      <c r="M55" s="38">
        <f>'EAST-EGM-GL'!M55+'EAST-LRC-GL'!M55</f>
        <v>-4606.45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11411.4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59</v>
      </c>
      <c r="C56" s="6"/>
      <c r="D56" s="61">
        <f>SUM(D54:D55)</f>
        <v>-27591023</v>
      </c>
      <c r="E56" s="39">
        <f>SUM(E54:E55)</f>
        <v>-3147316.5900000003</v>
      </c>
      <c r="F56" s="61">
        <f t="shared" ref="F56:Y56" si="16">SUM(F54:F55)</f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-4092561</v>
      </c>
      <c r="J56" s="61">
        <f t="shared" si="16"/>
        <v>-2259004</v>
      </c>
      <c r="K56" s="39">
        <f t="shared" si="16"/>
        <v>81003.259999999995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3021382</v>
      </c>
      <c r="I59" s="38">
        <f>'EAST-EGM-GL'!I59+'EAST-LRC-GL'!I59</f>
        <v>107024.23</v>
      </c>
      <c r="J59" s="60">
        <f>'EAST-EGM-GL'!J59+'EAST-LRC-GL'!J59</f>
        <v>-57059</v>
      </c>
      <c r="K59" s="38">
        <f>'EAST-EGM-GL'!K59+'EAST-LRC-GL'!K59</f>
        <v>-3531.04</v>
      </c>
      <c r="L59" s="60">
        <f>'EAST-EGM-GL'!L59+'EAST-LRC-GL'!L59</f>
        <v>50296</v>
      </c>
      <c r="M59" s="38">
        <f>'EAST-EGM-GL'!M59+'EAST-LRC-GL'!M59</f>
        <v>0</v>
      </c>
      <c r="N59" s="60">
        <f>'EAST-EGM-GL'!N59+'EAST-LRC-GL'!N59</f>
        <v>3120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-20065.349999999999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625</v>
      </c>
      <c r="U59" s="38">
        <f>'EAST-EGM-GL'!U59+'EAST-LRC-GL'!U59</f>
        <v>-25060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16281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39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-22331183</v>
      </c>
      <c r="E64" s="38">
        <f>SUM(G64,I64,K64,M64,O64,Q64,S64,U64,W64,Y64,AA64,AC64,AE64)</f>
        <v>-2486539.7600000002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-14155711</v>
      </c>
      <c r="I64" s="38">
        <f>'EAST-EGM-GL'!I64+'EAST-LRC-GL'!I64</f>
        <v>-2252204.7000000002</v>
      </c>
      <c r="J64" s="60">
        <f>'EAST-EGM-GL'!J64+'EAST-LRC-GL'!J64</f>
        <v>-8175472</v>
      </c>
      <c r="K64" s="38">
        <f>'EAST-EGM-GL'!K64+'EAST-LRC-GL'!K64</f>
        <v>-234335.06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22362452</v>
      </c>
      <c r="E65" s="38">
        <f>SUM(G65,I65,K65,M65,O65,Q65,S65,U65,W65,Y65,AA65,AC65,AE65)</f>
        <v>2316539.7599999998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14146690</v>
      </c>
      <c r="I65" s="38">
        <f>'EAST-EGM-GL'!I65+'EAST-LRC-GL'!I65</f>
        <v>2251533.0099999998</v>
      </c>
      <c r="J65" s="60">
        <f>'EAST-EGM-GL'!J65+'EAST-LRC-GL'!J65</f>
        <v>8215762</v>
      </c>
      <c r="K65" s="38">
        <f>'EAST-EGM-GL'!K65+'EAST-LRC-GL'!K65</f>
        <v>65006.75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61">
        <f t="shared" ref="F66:Y66" si="20">SUM(F64:F65)</f>
        <v>0</v>
      </c>
      <c r="G66" s="39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39">
        <f t="shared" si="20"/>
        <v>-169328.31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('TIE-OUT'!J70+'TIE-OUT'!H70)+(RECLASS!J70+RECLASS!H70)</f>
        <v>0</v>
      </c>
      <c r="G70" s="68">
        <f>('TIE-OUT'!K70+'TIE-OUT'!I70)+(RECLASS!K70+RECLASS!I70)</f>
        <v>2978874.85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('TIE-OUT'!J71+'TIE-OUT'!H71)+(RECLASS!J71+RECLASS!H71)</f>
        <v>0</v>
      </c>
      <c r="G71" s="82">
        <f>('TIE-OUT'!K71+'TIE-OUT'!I71)+(RECLASS!K71+RECLASS!I71)</f>
        <v>196194.06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3175068.91</v>
      </c>
      <c r="F72" s="61">
        <f t="shared" ref="F72:Y72" si="22">SUM(F70:F71)</f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('TIE-OUT'!J74+'TIE-OUT'!H74)+(RECLASS!J74+RECLASS!H74)</f>
        <v>0</v>
      </c>
      <c r="G74" s="60">
        <f>('TIE-OUT'!K74+'TIE-OUT'!I74)+(RECLASS!K74+RECLASS!I74)</f>
        <v>-2994798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-68093.350000000006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('TIE-OUT'!J75+'TIE-OUT'!H75)+(RECLASS!J75+RECLASS!H75)</f>
        <v>0</v>
      </c>
      <c r="G75" s="60">
        <f>('TIE-OUT'!K75+'TIE-OUT'!I75)+(RECLASS!K75+RECLASS!I75)</f>
        <v>667700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-7453.19</v>
      </c>
      <c r="J76" s="60">
        <f>'EAST-EGM-GL'!J76+'EAST-LRC-GL'!J76</f>
        <v>0</v>
      </c>
      <c r="K76" s="38">
        <f>'EAST-EGM-GL'!K76+'EAST-LRC-GL'!K76</f>
        <v>-276384.33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('TIE-OUT'!J77+'TIE-OUT'!H77)+(RECLASS!J77+RECLASS!H77)</f>
        <v>0</v>
      </c>
      <c r="G77" s="60">
        <f>('TIE-OUT'!K77+'TIE-OUT'!I77)+(RECLASS!K77+RECLASS!I77)</f>
        <v>-3226809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1019655.87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957515.44</v>
      </c>
      <c r="J81" s="60">
        <f>'EAST-EGM-GL'!J81+'EAST-LRC-GL'!J81</f>
        <v>-31269</v>
      </c>
      <c r="K81" s="38">
        <f>'EAST-EGM-GL'!K81+'EAST-LRC-GL'!K81</f>
        <v>62140.43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-1390327.8499999868</v>
      </c>
      <c r="F82" s="92">
        <f>F16+F24+F29+F36+F43+F45+F47+F49</f>
        <v>0</v>
      </c>
      <c r="G82" s="93">
        <f>SUM(G72:G81)+G16+G24+G29+G36+G43+G45+G47+G49+G51+G56+G61+G66</f>
        <v>-6704482.5300000003</v>
      </c>
      <c r="H82" s="92">
        <f>H16+H24+H29+H36+H43+H45+H47+H49</f>
        <v>0</v>
      </c>
      <c r="I82" s="93">
        <f>SUM(I72:I81)+I16+I24+I29+I36+I43+I45+I47+I49+I51+I56+I61+I66</f>
        <v>5311028.8750000363</v>
      </c>
      <c r="J82" s="92">
        <f>J16+J24+J29+J36+J43+J45+J47+J49</f>
        <v>-8178</v>
      </c>
      <c r="K82" s="93">
        <f>SUM(K72:K81)+K16+K24+K29+K36+K43+K45+K47+K49+K51+K56+K61+K66</f>
        <v>16895472.048000008</v>
      </c>
      <c r="L82" s="92">
        <f>L16+L24+L29+L36+L43+L45+L47+L49</f>
        <v>0</v>
      </c>
      <c r="M82" s="93">
        <f>SUM(M72:M81)+M16+M24+M29+M36+M43+M45+M47+M49+M51+M56+M61+M66</f>
        <v>-1769901.7509999999</v>
      </c>
      <c r="N82" s="92">
        <f>N16+N24+N29+N36+N43+N45+N47+N49</f>
        <v>0</v>
      </c>
      <c r="O82" s="93">
        <f>SUM(O72:O81)+O16+O24+O29+O36+O43+O45+O47+O49+O51+O56+O61+O66</f>
        <v>478094.40399999986</v>
      </c>
      <c r="P82" s="92">
        <f>P16+P24+P29+P36+P43+P45+P47+P49</f>
        <v>0</v>
      </c>
      <c r="Q82" s="93">
        <f>SUM(Q72:Q81)+Q16+Q24+Q29+Q36+Q43+Q45+Q47+Q49+Q51+Q56+Q61+Q66</f>
        <v>1125255.8259999999</v>
      </c>
      <c r="R82" s="92">
        <f>R16+R24+R29+R36+R43+R45+R47+R49</f>
        <v>0</v>
      </c>
      <c r="S82" s="93">
        <f>SUM(S72:S81)+S16+S24+S29+S36+S43+S45+S47+S49+S51+S56+S61+S66</f>
        <v>-16879690.147999998</v>
      </c>
      <c r="T82" s="92">
        <f>T16+T24+T29+T36+T43+T45+T47+T49</f>
        <v>0</v>
      </c>
      <c r="U82" s="93">
        <f>SUM(U72:U81)+U16+U24+U29+U36+U43+U45+U47+U49+U51+U56+U61+U66</f>
        <v>8153.0659999998752</v>
      </c>
      <c r="V82" s="92">
        <f>V16+V24+V29+V36+V43+V45+V47+V49</f>
        <v>0</v>
      </c>
      <c r="W82" s="93">
        <f>SUM(W72:W81)+W16+W24+W29+W36+W43+W45+W47+W49+W51+W56+W61+W66</f>
        <v>-12885.124999999971</v>
      </c>
      <c r="X82" s="92">
        <f>X16+X24+X29+X36+X43+X45+X47+X49</f>
        <v>0</v>
      </c>
      <c r="Y82" s="93">
        <f>SUM(Y72:Y81)+Y16+Y24+Y29+Y36+Y43+Y45+Y47+Y49+Y51+Y56+Y61+Y66</f>
        <v>71293.499999999854</v>
      </c>
      <c r="Z82" s="92">
        <f>Z16+Z24+Z29+Z36+Z43+Z45+Z47+Z49</f>
        <v>0</v>
      </c>
      <c r="AA82" s="93">
        <f>SUM(AA72:AA81)+AA16+AA24+AA29+AA36+AA43+AA45+AA47+AA49+AA51+AA56+AA61+AA66</f>
        <v>99826.04</v>
      </c>
      <c r="AB82" s="92">
        <f>AB16+AB24+AB29+AB36+AB43+AB45+AB47+AB49</f>
        <v>0</v>
      </c>
      <c r="AC82" s="93">
        <f>SUM(AC72:AC81)+AC16+AC24+AC29+AC36+AC43+AC45+AC47+AC49+AC51+AC56+AC61+AC66</f>
        <v>-11854.989999999932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-1390327.8500000136</v>
      </c>
      <c r="G84" s="14">
        <f>+'EAST-LRC-GL'!G82+'EAST-EGM-GL'!G82</f>
        <v>-6704482.5300000003</v>
      </c>
      <c r="I84" s="14">
        <f>+'EAST-LRC-GL'!I82+'EAST-EGM-GL'!I82</f>
        <v>5311028.8750000149</v>
      </c>
      <c r="K84" s="14">
        <f>+'EAST-LRC-GL'!K82+'EAST-EGM-GL'!K82</f>
        <v>16895472.048</v>
      </c>
    </row>
    <row r="85" spans="1:67" x14ac:dyDescent="0.2">
      <c r="A85" s="4" t="s">
        <v>183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'EAST-EGM-GL'!F86+'EAST-LRC-GL'!F86</f>
        <v>0</v>
      </c>
      <c r="G86" s="175">
        <f>'EAST-EGM-GL'!G86+'EAST-LRC-GL'!G86</f>
        <v>812.96</v>
      </c>
      <c r="H86" s="175">
        <f>'EAST-EGM-GL'!H86+'EAST-LRC-GL'!H86</f>
        <v>0</v>
      </c>
      <c r="I86" s="175">
        <f>'EAST-EGM-GL'!I86+'EAST-LRC-GL'!I86</f>
        <v>0</v>
      </c>
      <c r="J86" s="175">
        <f>'EAST-EGM-GL'!J86+'EAST-LRC-GL'!J86</f>
        <v>0</v>
      </c>
      <c r="K86" s="175">
        <f>'EAST-EGM-GL'!K86+'EAST-LRC-GL'!K86</f>
        <v>0</v>
      </c>
      <c r="L86" s="175">
        <f>'EAST-EGM-GL'!L86+'EAST-LRC-GL'!L86</f>
        <v>0</v>
      </c>
      <c r="M86" s="175">
        <f>'EAST-EGM-GL'!M86+'EAST-LRC-GL'!M86</f>
        <v>0</v>
      </c>
      <c r="N86" s="175">
        <f>'EAST-EGM-GL'!N86+'EAST-LRC-GL'!N86</f>
        <v>0</v>
      </c>
      <c r="O86" s="175">
        <f>'EAST-EGM-GL'!O86+'EAST-LRC-GL'!O86</f>
        <v>-200000</v>
      </c>
      <c r="P86" s="175">
        <f>'EAST-EGM-GL'!P86+'EAST-LRC-GL'!P86</f>
        <v>0</v>
      </c>
      <c r="Q86" s="175">
        <f>'EAST-EGM-GL'!Q86+'EAST-LRC-GL'!Q86</f>
        <v>0</v>
      </c>
      <c r="R86" s="175">
        <f>'EAST-EGM-GL'!R86+'EAST-LRC-GL'!R86</f>
        <v>0</v>
      </c>
      <c r="S86" s="175">
        <f>'EAST-EGM-GL'!S86+'EAST-LRC-GL'!S86</f>
        <v>0</v>
      </c>
      <c r="T86" s="175">
        <f>'EAST-EGM-GL'!T86+'EAST-LRC-GL'!T86</f>
        <v>0</v>
      </c>
      <c r="U86" s="175">
        <f>'EAST-EGM-GL'!U86+'EAST-LRC-GL'!U86</f>
        <v>0</v>
      </c>
      <c r="V86" s="175">
        <f>'EAST-EGM-GL'!V86+'EAST-LRC-GL'!V86</f>
        <v>0</v>
      </c>
      <c r="W86" s="175">
        <f>'EAST-EGM-GL'!W86+'EAST-LRC-GL'!W86</f>
        <v>0</v>
      </c>
      <c r="X86" s="175">
        <f>'EAST-EGM-GL'!X86+'EAST-LRC-GL'!X86</f>
        <v>0</v>
      </c>
      <c r="Y86" s="175">
        <f>'EAST-EGM-GL'!Y86+'EAST-LRC-GL'!Y86</f>
        <v>0</v>
      </c>
      <c r="Z86" s="175">
        <f>'EAST-EGM-GL'!Z86+'EAST-LRC-GL'!Z86</f>
        <v>0</v>
      </c>
      <c r="AA86" s="175">
        <f>'EAST-EGM-GL'!AA86+'EAST-LRC-GL'!AA86</f>
        <v>0</v>
      </c>
      <c r="AB86" s="175">
        <f>'EAST-EGM-GL'!AB86+'EAST-LRC-GL'!AB86</f>
        <v>0</v>
      </c>
      <c r="AC86" s="175">
        <f>'EAST-EGM-GL'!AC86+'EAST-LRC-GL'!AC86</f>
        <v>0</v>
      </c>
      <c r="AD86" s="175">
        <f>'EAST-EGM-GL'!AD86+'EAST-LRC-GL'!AD86</f>
        <v>0</v>
      </c>
      <c r="AE86" s="175">
        <f>'EAST-EGM-GL'!AE86+'EAST-LRC-GL'!AE86</f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'EAST-EGM-GL'!F87+'EAST-LRC-GL'!F87</f>
        <v>0</v>
      </c>
      <c r="G87" s="176">
        <f>'EAST-EGM-GL'!G87+'EAST-LRC-GL'!G87</f>
        <v>0</v>
      </c>
      <c r="H87" s="176">
        <f>'EAST-EGM-GL'!H87+'EAST-LRC-GL'!H87</f>
        <v>0</v>
      </c>
      <c r="I87" s="176">
        <f>'EAST-EGM-GL'!I87+'EAST-LRC-GL'!I87</f>
        <v>0</v>
      </c>
      <c r="J87" s="176">
        <f>'EAST-EGM-GL'!J87+'EAST-LRC-GL'!J87</f>
        <v>0</v>
      </c>
      <c r="K87" s="176">
        <f>'EAST-EGM-GL'!K87+'EAST-LRC-GL'!K87</f>
        <v>0</v>
      </c>
      <c r="L87" s="176">
        <f>'EAST-EGM-GL'!L87+'EAST-LRC-GL'!L87</f>
        <v>0</v>
      </c>
      <c r="M87" s="176">
        <f>'EAST-EGM-GL'!M87+'EAST-LRC-GL'!M87</f>
        <v>0</v>
      </c>
      <c r="N87" s="176">
        <f>'EAST-EGM-GL'!N87+'EAST-LRC-GL'!N87</f>
        <v>0</v>
      </c>
      <c r="O87" s="176">
        <f>'EAST-EGM-GL'!O87+'EAST-LRC-GL'!O87</f>
        <v>0</v>
      </c>
      <c r="P87" s="176">
        <f>'EAST-EGM-GL'!P87+'EAST-LRC-GL'!P87</f>
        <v>0</v>
      </c>
      <c r="Q87" s="176">
        <f>'EAST-EGM-GL'!Q87+'EAST-LRC-GL'!Q87</f>
        <v>0</v>
      </c>
      <c r="R87" s="176">
        <f>'EAST-EGM-GL'!R87+'EAST-LRC-GL'!R87</f>
        <v>0</v>
      </c>
      <c r="S87" s="176">
        <f>'EAST-EGM-GL'!S87+'EAST-LRC-GL'!S87</f>
        <v>0</v>
      </c>
      <c r="T87" s="176">
        <f>'EAST-EGM-GL'!T87+'EAST-LRC-GL'!T87</f>
        <v>0</v>
      </c>
      <c r="U87" s="176">
        <f>'EAST-EGM-GL'!U87+'EAST-LRC-GL'!U87</f>
        <v>0</v>
      </c>
      <c r="V87" s="176">
        <f>'EAST-EGM-GL'!V87+'EAST-LRC-GL'!V87</f>
        <v>0</v>
      </c>
      <c r="W87" s="176">
        <f>'EAST-EGM-GL'!W87+'EAST-LRC-GL'!W87</f>
        <v>0</v>
      </c>
      <c r="X87" s="176">
        <f>'EAST-EGM-GL'!X87+'EAST-LRC-GL'!X87</f>
        <v>0</v>
      </c>
      <c r="Y87" s="176">
        <f>'EAST-EGM-GL'!Y87+'EAST-LRC-GL'!Y87</f>
        <v>0</v>
      </c>
      <c r="Z87" s="176">
        <f>'EAST-EGM-GL'!Z87+'EAST-LRC-GL'!Z87</f>
        <v>0</v>
      </c>
      <c r="AA87" s="176">
        <f>'EAST-EGM-GL'!AA87+'EAST-LRC-GL'!AA87</f>
        <v>0</v>
      </c>
      <c r="AB87" s="176">
        <f>'EAST-EGM-GL'!AB87+'EAST-LRC-GL'!AB87</f>
        <v>0</v>
      </c>
      <c r="AC87" s="176">
        <f>'EAST-EGM-GL'!AC87+'EAST-LRC-GL'!AC87</f>
        <v>0</v>
      </c>
      <c r="AD87" s="176">
        <f>'EAST-EGM-GL'!AD87+'EAST-LRC-GL'!AD87</f>
        <v>0</v>
      </c>
      <c r="AE87" s="176">
        <f>'EAST-EGM-GL'!AE87+'EAST-LRC-GL'!AE87</f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'EAST-EGM-GL'!F88+'EAST-LRC-GL'!F88</f>
        <v>0</v>
      </c>
      <c r="G88" s="177">
        <f>'EAST-EGM-GL'!G88+'EAST-LRC-GL'!G88</f>
        <v>0</v>
      </c>
      <c r="H88" s="177">
        <f>'EAST-EGM-GL'!H88+'EAST-LRC-GL'!H88</f>
        <v>0</v>
      </c>
      <c r="I88" s="177">
        <f>'EAST-EGM-GL'!I88+'EAST-LRC-GL'!I88</f>
        <v>0</v>
      </c>
      <c r="J88" s="177">
        <f>'EAST-EGM-GL'!J88+'EAST-LRC-GL'!J88</f>
        <v>0</v>
      </c>
      <c r="K88" s="177">
        <f>'EAST-EGM-GL'!K88+'EAST-LRC-GL'!K88</f>
        <v>0</v>
      </c>
      <c r="L88" s="177">
        <f>'EAST-EGM-GL'!L88+'EAST-LRC-GL'!L88</f>
        <v>0</v>
      </c>
      <c r="M88" s="177">
        <f>'EAST-EGM-GL'!M88+'EAST-LRC-GL'!M88</f>
        <v>0</v>
      </c>
      <c r="N88" s="177">
        <f>'EAST-EGM-GL'!N88+'EAST-LRC-GL'!N88</f>
        <v>0</v>
      </c>
      <c r="O88" s="177">
        <f>'EAST-EGM-GL'!O88+'EAST-LRC-GL'!O88</f>
        <v>0</v>
      </c>
      <c r="P88" s="177">
        <f>'EAST-EGM-GL'!P88+'EAST-LRC-GL'!P88</f>
        <v>0</v>
      </c>
      <c r="Q88" s="177">
        <f>'EAST-EGM-GL'!Q88+'EAST-LRC-GL'!Q88</f>
        <v>0</v>
      </c>
      <c r="R88" s="177">
        <f>'EAST-EGM-GL'!R88+'EAST-LRC-GL'!R88</f>
        <v>0</v>
      </c>
      <c r="S88" s="177">
        <f>'EAST-EGM-GL'!S88+'EAST-LRC-GL'!S88</f>
        <v>0</v>
      </c>
      <c r="T88" s="177">
        <f>'EAST-EGM-GL'!T88+'EAST-LRC-GL'!T88</f>
        <v>0</v>
      </c>
      <c r="U88" s="177">
        <f>'EAST-EGM-GL'!U88+'EAST-LRC-GL'!U88</f>
        <v>0</v>
      </c>
      <c r="V88" s="177">
        <f>'EAST-EGM-GL'!V88+'EAST-LRC-GL'!V88</f>
        <v>0</v>
      </c>
      <c r="W88" s="177">
        <f>'EAST-EGM-GL'!W88+'EAST-LRC-GL'!W88</f>
        <v>0</v>
      </c>
      <c r="X88" s="177">
        <f>'EAST-EGM-GL'!X88+'EAST-LRC-GL'!X88</f>
        <v>0</v>
      </c>
      <c r="Y88" s="177">
        <f>'EAST-EGM-GL'!Y88+'EAST-LRC-GL'!Y88</f>
        <v>0</v>
      </c>
      <c r="Z88" s="177">
        <f>'EAST-EGM-GL'!Z88+'EAST-LRC-GL'!Z88</f>
        <v>0</v>
      </c>
      <c r="AA88" s="177">
        <f>'EAST-EGM-GL'!AA88+'EAST-LRC-GL'!AA88</f>
        <v>0</v>
      </c>
      <c r="AB88" s="177">
        <f>'EAST-EGM-GL'!AB88+'EAST-LRC-GL'!AB88</f>
        <v>0</v>
      </c>
      <c r="AC88" s="177">
        <f>'EAST-EGM-GL'!AC88+'EAST-LRC-GL'!AC88</f>
        <v>0</v>
      </c>
      <c r="AD88" s="177">
        <f>'EAST-EGM-GL'!AD88+'EAST-LRC-GL'!AD88</f>
        <v>0</v>
      </c>
      <c r="AE88" s="177">
        <f>'EAST-EGM-GL'!AE88+'EAST-LRC-GL'!AE88</f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-199187.04</v>
      </c>
      <c r="F89" s="185">
        <f t="shared" si="26"/>
        <v>0</v>
      </c>
      <c r="G89" s="185">
        <f t="shared" si="26"/>
        <v>812.96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-200000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5" customFormat="1" ht="20.25" customHeight="1" x14ac:dyDescent="0.2">
      <c r="A91" s="188"/>
      <c r="B91" s="189"/>
      <c r="C91" s="187" t="s">
        <v>182</v>
      </c>
      <c r="D91" s="190">
        <f>+D82+D89</f>
        <v>-8178</v>
      </c>
      <c r="E91" s="190">
        <f t="shared" ref="E91:M91" si="28">+E82+E89</f>
        <v>-1589514.8899999869</v>
      </c>
      <c r="F91" s="190">
        <f t="shared" si="28"/>
        <v>0</v>
      </c>
      <c r="G91" s="190">
        <f t="shared" si="28"/>
        <v>-6703669.5700000003</v>
      </c>
      <c r="H91" s="190">
        <f t="shared" si="28"/>
        <v>0</v>
      </c>
      <c r="I91" s="190">
        <f t="shared" si="28"/>
        <v>5311028.8750000363</v>
      </c>
      <c r="J91" s="190">
        <f t="shared" si="28"/>
        <v>-8178</v>
      </c>
      <c r="K91" s="190">
        <f t="shared" si="28"/>
        <v>16895472.048000008</v>
      </c>
      <c r="L91" s="190">
        <f t="shared" si="28"/>
        <v>0</v>
      </c>
      <c r="M91" s="190">
        <f t="shared" si="28"/>
        <v>-1769901.7509999999</v>
      </c>
      <c r="N91" s="190">
        <f t="shared" ref="N91:AE91" si="29">+N82+N89</f>
        <v>0</v>
      </c>
      <c r="O91" s="190">
        <f t="shared" si="29"/>
        <v>278094.40399999986</v>
      </c>
      <c r="P91" s="190">
        <f t="shared" si="29"/>
        <v>0</v>
      </c>
      <c r="Q91" s="190">
        <f t="shared" si="29"/>
        <v>1125255.8259999999</v>
      </c>
      <c r="R91" s="190">
        <f t="shared" si="29"/>
        <v>0</v>
      </c>
      <c r="S91" s="190">
        <f t="shared" si="29"/>
        <v>-16879690.147999998</v>
      </c>
      <c r="T91" s="190">
        <f t="shared" si="29"/>
        <v>0</v>
      </c>
      <c r="U91" s="190">
        <f t="shared" si="29"/>
        <v>8153.0659999998752</v>
      </c>
      <c r="V91" s="190">
        <f t="shared" si="29"/>
        <v>0</v>
      </c>
      <c r="W91" s="190">
        <f t="shared" si="29"/>
        <v>-12885.124999999971</v>
      </c>
      <c r="X91" s="190">
        <f t="shared" si="29"/>
        <v>0</v>
      </c>
      <c r="Y91" s="190">
        <f t="shared" si="29"/>
        <v>71293.499999999854</v>
      </c>
      <c r="Z91" s="190">
        <f t="shared" si="29"/>
        <v>0</v>
      </c>
      <c r="AA91" s="190">
        <f t="shared" si="29"/>
        <v>99826.04</v>
      </c>
      <c r="AB91" s="190">
        <f t="shared" si="29"/>
        <v>0</v>
      </c>
      <c r="AC91" s="190">
        <f t="shared" si="29"/>
        <v>-11854.989999999932</v>
      </c>
      <c r="AD91" s="190">
        <f t="shared" si="29"/>
        <v>0</v>
      </c>
      <c r="AE91" s="190">
        <f t="shared" si="29"/>
        <v>-637.06499999999983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D75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49835777</v>
      </c>
      <c r="E11" s="38">
        <f>SUM(G11,I11,K11,M11,O11,Q11,S11,U11,W11,Y11,AA11,AC11,AE11)</f>
        <v>118641300.59999999</v>
      </c>
      <c r="F11" s="60">
        <f>'TIE-OUT'!R11+RECLASS!R11</f>
        <v>0</v>
      </c>
      <c r="G11" s="38">
        <f>'TIE-OUT'!S11+RECLASS!S11</f>
        <v>1401510</v>
      </c>
      <c r="H11" s="129">
        <f>+Actuals!E244</f>
        <v>46588416</v>
      </c>
      <c r="I11" s="130">
        <f>+Actuals!F244</f>
        <v>109823077.37999998</v>
      </c>
      <c r="J11" s="129">
        <f>+Actuals!G244</f>
        <v>2971319</v>
      </c>
      <c r="K11" s="149">
        <f>+Actuals!H244</f>
        <v>6885811.54</v>
      </c>
      <c r="L11" s="129">
        <f>+Actuals!I244</f>
        <v>1903709</v>
      </c>
      <c r="M11" s="130">
        <f>+Actuals!J244</f>
        <v>4017634.18</v>
      </c>
      <c r="N11" s="129">
        <f>+Actuals!K244</f>
        <v>-1923683</v>
      </c>
      <c r="O11" s="130">
        <f>+Actuals!L244</f>
        <v>-4443613.5199999996</v>
      </c>
      <c r="P11" s="129">
        <f>+Actuals!M244</f>
        <v>342523</v>
      </c>
      <c r="Q11" s="130">
        <f>+Actuals!N244</f>
        <v>801864.62</v>
      </c>
      <c r="R11" s="129">
        <f>+Actuals!O244</f>
        <v>-55430</v>
      </c>
      <c r="S11" s="130">
        <f>+Actuals!P244</f>
        <v>20310.98</v>
      </c>
      <c r="T11" s="129">
        <f>+Actuals!Q244</f>
        <v>70695</v>
      </c>
      <c r="U11" s="159">
        <f>+Actuals!R244+116818</f>
        <v>291010.61</v>
      </c>
      <c r="V11" s="129">
        <f>+Actuals!S244</f>
        <v>5491</v>
      </c>
      <c r="W11" s="130">
        <f>+Actuals!T244</f>
        <v>11557.05</v>
      </c>
      <c r="X11" s="129">
        <f>+Actuals!U444</f>
        <v>-11513</v>
      </c>
      <c r="Y11" s="130">
        <f>+Actuals!V444</f>
        <v>-29704.17</v>
      </c>
      <c r="Z11" s="129">
        <f>+Actuals!W444</f>
        <v>-32087</v>
      </c>
      <c r="AA11" s="130">
        <f>+Actuals!X444</f>
        <v>-78405.78</v>
      </c>
      <c r="AB11" s="129">
        <f>+Actuals!Y444</f>
        <v>0</v>
      </c>
      <c r="AC11" s="130">
        <f>+Actuals!Z444</f>
        <v>0</v>
      </c>
      <c r="AD11" s="129">
        <f>+Actuals!AA444</f>
        <v>-23663</v>
      </c>
      <c r="AE11" s="130">
        <f>+Actuals!AB444</f>
        <v>-59752.29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-3061539.4299999997</v>
      </c>
      <c r="F12" s="60">
        <f>'TIE-OUT'!R12+RECLASS!R12</f>
        <v>0</v>
      </c>
      <c r="G12" s="38">
        <f>'TIE-OUT'!S12+RECLASS!S12</f>
        <v>-3045242.3499999996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+Actuals!H245-16486.18+189.1</f>
        <v>-16297.08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+Actuals!Q245</f>
        <v>0</v>
      </c>
      <c r="U12" s="130">
        <f>+Actuals!R245</f>
        <v>0</v>
      </c>
      <c r="V12" s="129">
        <f>+Actuals!S245</f>
        <v>0</v>
      </c>
      <c r="W12" s="130">
        <f>+Actuals!T245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+Actuals!Y445</f>
        <v>0</v>
      </c>
      <c r="AC12" s="130">
        <f>+Actuals!Z445</f>
        <v>0</v>
      </c>
      <c r="AD12" s="129">
        <f>+Actuals!AA445</f>
        <v>0</v>
      </c>
      <c r="AE12" s="130">
        <f>+Actuals!AB445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'TIE-OUT'!R13+RECLASS!R13</f>
        <v>0</v>
      </c>
      <c r="G13" s="38">
        <f>'TIE-OUT'!S13+RECLASS!S13</f>
        <v>0</v>
      </c>
      <c r="H13" s="129">
        <f>+Actuals!E246</f>
        <v>33068401</v>
      </c>
      <c r="I13" s="130">
        <f>+Actuals!F246</f>
        <v>74404619</v>
      </c>
      <c r="J13" s="129">
        <f>+Actuals!G246</f>
        <v>-2000</v>
      </c>
      <c r="K13" s="149">
        <f>+Actuals!H246</f>
        <v>-4399</v>
      </c>
      <c r="L13" s="129">
        <f>+Actuals!I246</f>
        <v>0</v>
      </c>
      <c r="M13" s="130">
        <f>+Actuals!J246</f>
        <v>0</v>
      </c>
      <c r="N13" s="129">
        <f>+Actuals!K246</f>
        <v>0</v>
      </c>
      <c r="O13" s="130">
        <f>+Actuals!L246</f>
        <v>0</v>
      </c>
      <c r="P13" s="129">
        <f>+Actuals!M246</f>
        <v>0</v>
      </c>
      <c r="Q13" s="130">
        <f>+Actuals!N246</f>
        <v>0</v>
      </c>
      <c r="R13" s="129">
        <f>+Actuals!O246</f>
        <v>71127</v>
      </c>
      <c r="S13" s="130">
        <f>+Actuals!P246</f>
        <v>159945</v>
      </c>
      <c r="T13" s="129">
        <f>+Actuals!Q246</f>
        <v>71127</v>
      </c>
      <c r="U13" s="130">
        <f>+Actuals!R246</f>
        <v>159945</v>
      </c>
      <c r="V13" s="129">
        <f>+Actuals!S246</f>
        <v>-140254</v>
      </c>
      <c r="W13" s="130">
        <f>+Actuals!T246</f>
        <v>-315491</v>
      </c>
      <c r="X13" s="129">
        <f>+Actuals!U446</f>
        <v>140254</v>
      </c>
      <c r="Y13" s="130">
        <f>+Actuals!V446</f>
        <v>315491</v>
      </c>
      <c r="Z13" s="129">
        <f>+Actuals!W446</f>
        <v>0</v>
      </c>
      <c r="AA13" s="130">
        <f>+Actuals!X446</f>
        <v>0</v>
      </c>
      <c r="AB13" s="129">
        <f>+Actuals!Y446</f>
        <v>-140254</v>
      </c>
      <c r="AC13" s="130">
        <f>+Actuals!Z446</f>
        <v>-315491</v>
      </c>
      <c r="AD13" s="129">
        <f>+Actuals!AA446</f>
        <v>0</v>
      </c>
      <c r="AE13" s="130">
        <f>+Actuals!AB446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+Actuals!Q247</f>
        <v>0</v>
      </c>
      <c r="U14" s="130">
        <f>+Actuals!R247</f>
        <v>0</v>
      </c>
      <c r="V14" s="129">
        <f>+Actuals!S247</f>
        <v>0</v>
      </c>
      <c r="W14" s="130">
        <f>+Actuals!T247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+Actuals!Y447</f>
        <v>0</v>
      </c>
      <c r="AC14" s="130">
        <f>+Actuals!Z447</f>
        <v>0</v>
      </c>
      <c r="AD14" s="129">
        <f>+Actuals!AA447</f>
        <v>0</v>
      </c>
      <c r="AE14" s="130">
        <f>+Actuals!AB447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+Actuals!Q248</f>
        <v>0</v>
      </c>
      <c r="U15" s="130">
        <f>+Actuals!R248</f>
        <v>0</v>
      </c>
      <c r="V15" s="129">
        <f>+Actuals!S248</f>
        <v>0</v>
      </c>
      <c r="W15" s="130">
        <f>+Actuals!T248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+Actuals!Y448</f>
        <v>0</v>
      </c>
      <c r="AC15" s="130">
        <f>+Actuals!Z448</f>
        <v>0</v>
      </c>
      <c r="AD15" s="129">
        <f>+Actuals!AA448</f>
        <v>0</v>
      </c>
      <c r="AE15" s="130">
        <f>+Actuals!AB448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82904178</v>
      </c>
      <c r="E16" s="39">
        <f t="shared" si="1"/>
        <v>189984380.16999999</v>
      </c>
      <c r="F16" s="61">
        <f t="shared" si="1"/>
        <v>0</v>
      </c>
      <c r="G16" s="39">
        <f t="shared" si="1"/>
        <v>-1643732.3499999996</v>
      </c>
      <c r="H16" s="61">
        <f t="shared" si="1"/>
        <v>79656817</v>
      </c>
      <c r="I16" s="39">
        <f t="shared" si="1"/>
        <v>184227696.38</v>
      </c>
      <c r="J16" s="61">
        <f t="shared" si="1"/>
        <v>2969319</v>
      </c>
      <c r="K16" s="150">
        <f t="shared" si="1"/>
        <v>6865115.46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15697</v>
      </c>
      <c r="S16" s="39">
        <f t="shared" si="1"/>
        <v>180255.98</v>
      </c>
      <c r="T16" s="61">
        <f t="shared" si="1"/>
        <v>141822</v>
      </c>
      <c r="U16" s="39">
        <f t="shared" si="1"/>
        <v>450955.61</v>
      </c>
      <c r="V16" s="61">
        <f t="shared" si="1"/>
        <v>-134763</v>
      </c>
      <c r="W16" s="39">
        <f t="shared" si="1"/>
        <v>-303933.95</v>
      </c>
      <c r="X16" s="61">
        <f t="shared" si="1"/>
        <v>128741</v>
      </c>
      <c r="Y16" s="39">
        <f t="shared" si="1"/>
        <v>285786.83</v>
      </c>
      <c r="Z16" s="61">
        <f t="shared" ref="Z16:AE16" si="2">SUM(Z11:Z15)</f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-40757693</v>
      </c>
      <c r="E19" s="38">
        <f t="shared" si="3"/>
        <v>-91742607.249999985</v>
      </c>
      <c r="F19" s="64">
        <f>'TIE-OUT'!R19+RECLASS!R19</f>
        <v>0</v>
      </c>
      <c r="G19" s="68">
        <f>'TIE-OUT'!S19+RECLASS!S19</f>
        <v>0</v>
      </c>
      <c r="H19" s="129">
        <f>+Actuals!E249</f>
        <v>-36261005</v>
      </c>
      <c r="I19" s="130">
        <f>+Actuals!F249</f>
        <v>-80884334.840000004</v>
      </c>
      <c r="J19" s="129">
        <f>+Actuals!G249</f>
        <v>-4470090</v>
      </c>
      <c r="K19" s="149">
        <f>+Actuals!H249</f>
        <v>-10823648.4</v>
      </c>
      <c r="L19" s="129">
        <f>+Actuals!I249</f>
        <v>-101385</v>
      </c>
      <c r="M19" s="130">
        <f>+Actuals!J249</f>
        <v>-218786.66</v>
      </c>
      <c r="N19" s="129">
        <f>+Actuals!K249</f>
        <v>181570</v>
      </c>
      <c r="O19" s="130">
        <f>+Actuals!L249</f>
        <v>422303.8</v>
      </c>
      <c r="P19" s="129">
        <f>+Actuals!M249</f>
        <v>-56000</v>
      </c>
      <c r="Q19" s="130">
        <f>+Actuals!N249</f>
        <v>-122080</v>
      </c>
      <c r="R19" s="129">
        <f>+Actuals!O249</f>
        <v>-7417</v>
      </c>
      <c r="S19" s="130">
        <f>+Actuals!P249</f>
        <v>-20420.96</v>
      </c>
      <c r="T19" s="129">
        <f>+Actuals!Q249</f>
        <v>-81250</v>
      </c>
      <c r="U19" s="130">
        <f>+Actuals!R249</f>
        <v>-179348.03</v>
      </c>
      <c r="V19" s="129">
        <f>+Actuals!S249</f>
        <v>-5491</v>
      </c>
      <c r="W19" s="130">
        <f>+Actuals!T249</f>
        <v>-11833.1</v>
      </c>
      <c r="X19" s="129">
        <f>+Actuals!U449</f>
        <v>11513</v>
      </c>
      <c r="Y19" s="130">
        <f>+Actuals!V449</f>
        <v>26036.79</v>
      </c>
      <c r="Z19" s="129">
        <f>+Actuals!W449</f>
        <v>31962</v>
      </c>
      <c r="AA19" s="130">
        <f>+Actuals!X449</f>
        <v>69720.149999999994</v>
      </c>
      <c r="AB19" s="129">
        <f>+Actuals!Y449</f>
        <v>-100</v>
      </c>
      <c r="AC19" s="130">
        <f>+Actuals!Z449</f>
        <v>-216</v>
      </c>
      <c r="AD19" s="129">
        <f>+Actuals!AA449</f>
        <v>0</v>
      </c>
      <c r="AE19" s="130">
        <f>+Actuals!AB449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-602673.74000000011</v>
      </c>
      <c r="F20" s="60">
        <f>'TIE-OUT'!R20+RECLASS!R20</f>
        <v>0</v>
      </c>
      <c r="G20" s="38">
        <f>'TIE-OUT'!S20+RECLASS!S20</f>
        <v>-602673.74000000011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+Actuals!Q250</f>
        <v>0</v>
      </c>
      <c r="U20" s="130">
        <f>+Actuals!R250</f>
        <v>0</v>
      </c>
      <c r="V20" s="129">
        <f>+Actuals!S250</f>
        <v>0</v>
      </c>
      <c r="W20" s="130">
        <f>+Actuals!T250</f>
        <v>0</v>
      </c>
      <c r="X20" s="129">
        <f>+Actuals!U450</f>
        <v>0</v>
      </c>
      <c r="Y20" s="159">
        <v>0</v>
      </c>
      <c r="Z20" s="129">
        <f>+Actuals!W450</f>
        <v>0</v>
      </c>
      <c r="AA20" s="130">
        <v>0</v>
      </c>
      <c r="AB20" s="129">
        <f>+Actuals!Y450</f>
        <v>0</v>
      </c>
      <c r="AC20" s="130">
        <v>0</v>
      </c>
      <c r="AD20" s="129">
        <f>+Actuals!AA450</f>
        <v>0</v>
      </c>
      <c r="AE20" s="130"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'TIE-OUT'!R21+RECLASS!R21</f>
        <v>0</v>
      </c>
      <c r="G21" s="38">
        <f>'TIE-OUT'!S21+RECLASS!S21</f>
        <v>0</v>
      </c>
      <c r="H21" s="129">
        <f>+Actuals!E251</f>
        <v>-35034400</v>
      </c>
      <c r="I21" s="130">
        <f>+Actuals!F251</f>
        <v>-78683911</v>
      </c>
      <c r="J21" s="129">
        <f>+Actuals!G251</f>
        <v>395139</v>
      </c>
      <c r="K21" s="149">
        <f>+Actuals!H251</f>
        <v>865067</v>
      </c>
      <c r="L21" s="129">
        <f>+Actuals!I251</f>
        <v>0</v>
      </c>
      <c r="M21" s="130">
        <f>+Actuals!J251</f>
        <v>0</v>
      </c>
      <c r="N21" s="129">
        <f>+Actuals!K251</f>
        <v>-20682</v>
      </c>
      <c r="O21" s="130">
        <f>+Actuals!L251</f>
        <v>-43946</v>
      </c>
      <c r="P21" s="129">
        <f>+Actuals!M251</f>
        <v>0</v>
      </c>
      <c r="Q21" s="130">
        <f>+Actuals!N251</f>
        <v>0</v>
      </c>
      <c r="R21" s="129">
        <f>+Actuals!O251</f>
        <v>-71127</v>
      </c>
      <c r="S21" s="130">
        <f>+Actuals!P251</f>
        <v>-159945</v>
      </c>
      <c r="T21" s="129">
        <f>+Actuals!Q251</f>
        <v>-71127</v>
      </c>
      <c r="U21" s="130">
        <f>+Actuals!R251</f>
        <v>-159945</v>
      </c>
      <c r="V21" s="129">
        <f>+Actuals!S251</f>
        <v>-232203</v>
      </c>
      <c r="W21" s="130">
        <f>+Actuals!T251</f>
        <v>-501231</v>
      </c>
      <c r="X21" s="129">
        <f>+Actuals!U451</f>
        <v>232203</v>
      </c>
      <c r="Y21" s="130">
        <f>+Actuals!V451</f>
        <v>501231</v>
      </c>
      <c r="Z21" s="129">
        <f>+Actuals!W451</f>
        <v>0</v>
      </c>
      <c r="AA21" s="130">
        <f>+Actuals!X451</f>
        <v>0</v>
      </c>
      <c r="AB21" s="129">
        <f>+Actuals!Y451</f>
        <v>-232203</v>
      </c>
      <c r="AC21" s="130">
        <f>+Actuals!Z451</f>
        <v>-501231</v>
      </c>
      <c r="AD21" s="129">
        <f>+Actuals!AA451</f>
        <v>0</v>
      </c>
      <c r="AE21" s="130">
        <f>+Actuals!AB451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+Actuals!Q252</f>
        <v>0</v>
      </c>
      <c r="U22" s="130">
        <f>+Actuals!R252</f>
        <v>0</v>
      </c>
      <c r="V22" s="129">
        <f>+Actuals!S252</f>
        <v>0</v>
      </c>
      <c r="W22" s="130">
        <f>+Actuals!T252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+Actuals!Y452</f>
        <v>0</v>
      </c>
      <c r="AC22" s="130">
        <f>+Actuals!Z452</f>
        <v>0</v>
      </c>
      <c r="AD22" s="129">
        <f>+Actuals!AA452</f>
        <v>0</v>
      </c>
      <c r="AE22" s="130">
        <f>+Actuals!AB452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'TIE-OUT'!R23+RECLASS!R23</f>
        <v>0</v>
      </c>
      <c r="G23" s="82">
        <f>'TIE-OUT'!S23+RECLASS!S23</f>
        <v>0</v>
      </c>
      <c r="H23" s="129">
        <f>+Actuals!E253</f>
        <v>3105</v>
      </c>
      <c r="I23" s="130">
        <f>+Actuals!F253</f>
        <v>7104.24</v>
      </c>
      <c r="J23" s="129">
        <f>+Actuals!G253</f>
        <v>8735</v>
      </c>
      <c r="K23" s="149">
        <f>+Actuals!H253</f>
        <v>19985.68</v>
      </c>
      <c r="L23" s="129">
        <f>+Actuals!I253</f>
        <v>1</v>
      </c>
      <c r="M23" s="130">
        <f>+Actuals!J253</f>
        <v>2.29</v>
      </c>
      <c r="N23" s="129">
        <f>+Actuals!K253</f>
        <v>0</v>
      </c>
      <c r="O23" s="130">
        <f>+Actuals!L253</f>
        <v>0</v>
      </c>
      <c r="P23" s="129">
        <f>+Actuals!M253</f>
        <v>0</v>
      </c>
      <c r="Q23" s="130">
        <f>+Actuals!N253</f>
        <v>0</v>
      </c>
      <c r="R23" s="129">
        <f>+Actuals!O253</f>
        <v>0</v>
      </c>
      <c r="S23" s="130">
        <f>+Actuals!P253</f>
        <v>0</v>
      </c>
      <c r="T23" s="129">
        <f>+Actuals!Q253</f>
        <v>0</v>
      </c>
      <c r="U23" s="130">
        <f>+Actuals!R253</f>
        <v>0</v>
      </c>
      <c r="V23" s="129">
        <f>+Actuals!S253</f>
        <v>0</v>
      </c>
      <c r="W23" s="130">
        <f>+Actuals!T253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+Actuals!Y453</f>
        <v>0</v>
      </c>
      <c r="AC23" s="130">
        <f>+Actuals!Z453</f>
        <v>0</v>
      </c>
      <c r="AD23" s="129">
        <f>+Actuals!AA453</f>
        <v>0</v>
      </c>
      <c r="AE23" s="130">
        <f>+Actuals!AB453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-75780252</v>
      </c>
      <c r="E24" s="39">
        <f t="shared" si="4"/>
        <v>-171002099.77999997</v>
      </c>
      <c r="F24" s="61">
        <f t="shared" si="4"/>
        <v>0</v>
      </c>
      <c r="G24" s="39">
        <f t="shared" si="4"/>
        <v>-602673.74000000011</v>
      </c>
      <c r="H24" s="61">
        <f t="shared" si="4"/>
        <v>-71292300</v>
      </c>
      <c r="I24" s="39">
        <f t="shared" si="4"/>
        <v>-159561141.59999999</v>
      </c>
      <c r="J24" s="61">
        <f t="shared" si="4"/>
        <v>-4066216</v>
      </c>
      <c r="K24" s="150">
        <f t="shared" si="4"/>
        <v>-9938595.7200000007</v>
      </c>
      <c r="L24" s="61">
        <f t="shared" si="4"/>
        <v>-101384</v>
      </c>
      <c r="M24" s="39">
        <f t="shared" si="4"/>
        <v>-218784.37</v>
      </c>
      <c r="N24" s="61">
        <f t="shared" si="4"/>
        <v>160888</v>
      </c>
      <c r="O24" s="39">
        <f t="shared" si="4"/>
        <v>378357.8</v>
      </c>
      <c r="P24" s="61">
        <f t="shared" si="4"/>
        <v>-56000</v>
      </c>
      <c r="Q24" s="39">
        <f t="shared" si="4"/>
        <v>-122080</v>
      </c>
      <c r="R24" s="61">
        <f t="shared" si="4"/>
        <v>-78544</v>
      </c>
      <c r="S24" s="39">
        <f t="shared" si="4"/>
        <v>-180365.96</v>
      </c>
      <c r="T24" s="61">
        <f t="shared" si="4"/>
        <v>-152377</v>
      </c>
      <c r="U24" s="39">
        <f t="shared" si="4"/>
        <v>-339293.03</v>
      </c>
      <c r="V24" s="61">
        <f t="shared" si="4"/>
        <v>-237694</v>
      </c>
      <c r="W24" s="39">
        <f t="shared" si="4"/>
        <v>-513064.1</v>
      </c>
      <c r="X24" s="61">
        <f t="shared" si="4"/>
        <v>243716</v>
      </c>
      <c r="Y24" s="39">
        <f t="shared" si="4"/>
        <v>527267.79</v>
      </c>
      <c r="Z24" s="61">
        <f t="shared" ref="Z24:AE24" si="5">SUM(Z19:Z23)</f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216189</v>
      </c>
      <c r="E27" s="38">
        <f>SUM(G27,I27,K27,M27,O27,Q27,S27,U27,W27,Y27,AA27,AC27,AE27)</f>
        <v>508044.6</v>
      </c>
      <c r="F27" s="64">
        <f>'TIE-OUT'!R27+RECLASS!R27</f>
        <v>0</v>
      </c>
      <c r="G27" s="68">
        <f>'TIE-OUT'!S27+RECLASS!S27</f>
        <v>0</v>
      </c>
      <c r="H27" s="129">
        <f>+Actuals!E254</f>
        <v>206328</v>
      </c>
      <c r="I27" s="130">
        <f>+Actuals!F254</f>
        <v>484870.78</v>
      </c>
      <c r="J27" s="129">
        <f>+Actuals!G254</f>
        <v>12</v>
      </c>
      <c r="K27" s="149">
        <f>+Actuals!H254</f>
        <v>28.22</v>
      </c>
      <c r="L27" s="129">
        <f>+Actuals!I254</f>
        <v>10233</v>
      </c>
      <c r="M27" s="130">
        <f>+Actuals!J254</f>
        <v>24048</v>
      </c>
      <c r="N27" s="129">
        <f>+Actuals!K254</f>
        <v>0</v>
      </c>
      <c r="O27" s="130">
        <f>+Actuals!L254</f>
        <v>0</v>
      </c>
      <c r="P27" s="129">
        <f>+Actuals!M254</f>
        <v>0</v>
      </c>
      <c r="Q27" s="130">
        <f>+Actuals!N254</f>
        <v>0</v>
      </c>
      <c r="R27" s="129">
        <f>+Actuals!O254</f>
        <v>0</v>
      </c>
      <c r="S27" s="130">
        <f>+Actuals!P254</f>
        <v>0</v>
      </c>
      <c r="T27" s="129">
        <f>+Actuals!Q254</f>
        <v>-384</v>
      </c>
      <c r="U27" s="130">
        <f>+Actuals!R254</f>
        <v>-902.4</v>
      </c>
      <c r="V27" s="129">
        <f>+Actuals!S254</f>
        <v>0</v>
      </c>
      <c r="W27" s="130">
        <f>+Actuals!T254</f>
        <v>0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+Actuals!Y454</f>
        <v>0</v>
      </c>
      <c r="AC27" s="130">
        <f>+Actuals!Z454</f>
        <v>0</v>
      </c>
      <c r="AD27" s="129">
        <f>+Actuals!AA454</f>
        <v>0</v>
      </c>
      <c r="AE27" s="130">
        <f>+Actuals!AB454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-15244992</v>
      </c>
      <c r="E28" s="38">
        <f>SUM(G28,I28,K28,M28,O28,Q28,S28,U28,W28,Y28,AA28,AC28,AE28)</f>
        <v>-35694043.590000011</v>
      </c>
      <c r="F28" s="81">
        <f>'TIE-OUT'!R28+RECLASS!R28</f>
        <v>0</v>
      </c>
      <c r="G28" s="82">
        <f>'TIE-OUT'!S28+RECLASS!S28</f>
        <v>0</v>
      </c>
      <c r="H28" s="129">
        <f>+Actuals!E255</f>
        <v>-15270698</v>
      </c>
      <c r="I28" s="130">
        <f>+Actuals!F255</f>
        <v>-35719954.380000003</v>
      </c>
      <c r="J28" s="129">
        <f>+Actuals!G255</f>
        <v>-140268</v>
      </c>
      <c r="K28" s="149">
        <f>+Actuals!H255</f>
        <v>-330990.06</v>
      </c>
      <c r="L28" s="129">
        <f>+Actuals!I255</f>
        <v>-694255</v>
      </c>
      <c r="M28" s="130">
        <f>+Actuals!J255</f>
        <v>-716.57</v>
      </c>
      <c r="N28" s="129">
        <f>+Actuals!K255</f>
        <v>690698</v>
      </c>
      <c r="O28" s="130">
        <f>+Actuals!L255</f>
        <v>-7760.43</v>
      </c>
      <c r="P28" s="129">
        <f>+Actuals!M255</f>
        <v>0</v>
      </c>
      <c r="Q28" s="130">
        <f>+Actuals!N255</f>
        <v>0</v>
      </c>
      <c r="R28" s="129">
        <f>+Actuals!O255</f>
        <v>138080</v>
      </c>
      <c r="S28" s="130">
        <f>+Actuals!P255</f>
        <v>291468</v>
      </c>
      <c r="T28" s="129">
        <f>+Actuals!Q255</f>
        <v>10233</v>
      </c>
      <c r="U28" s="130">
        <f>+Actuals!R255</f>
        <v>24047.55</v>
      </c>
      <c r="V28" s="129">
        <f>+Actuals!S255</f>
        <v>0</v>
      </c>
      <c r="W28" s="130">
        <f>+Actuals!T255</f>
        <v>0</v>
      </c>
      <c r="X28" s="129">
        <f>+Actuals!U455</f>
        <v>0</v>
      </c>
      <c r="Y28" s="130">
        <f>+Actuals!V455</f>
        <v>0</v>
      </c>
      <c r="Z28" s="129">
        <f>+Actuals!W455</f>
        <v>0</v>
      </c>
      <c r="AA28" s="130">
        <f>+Actuals!X455</f>
        <v>0</v>
      </c>
      <c r="AB28" s="129">
        <f>+Actuals!Y455</f>
        <v>21218</v>
      </c>
      <c r="AC28" s="130">
        <f>+Actuals!Z455</f>
        <v>49862.3</v>
      </c>
      <c r="AD28" s="129">
        <f>+Actuals!AA455</f>
        <v>0</v>
      </c>
      <c r="AE28" s="130">
        <f>+Actuals!AB455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-15028803</v>
      </c>
      <c r="E29" s="39">
        <f t="shared" si="6"/>
        <v>-35185998.99000001</v>
      </c>
      <c r="F29" s="61">
        <f t="shared" si="6"/>
        <v>0</v>
      </c>
      <c r="G29" s="39">
        <f t="shared" si="6"/>
        <v>0</v>
      </c>
      <c r="H29" s="61">
        <f t="shared" si="6"/>
        <v>-15064370</v>
      </c>
      <c r="I29" s="39">
        <f t="shared" si="6"/>
        <v>-35235083.600000001</v>
      </c>
      <c r="J29" s="61">
        <f t="shared" si="6"/>
        <v>-140256</v>
      </c>
      <c r="K29" s="150">
        <f t="shared" si="6"/>
        <v>-330961.84000000003</v>
      </c>
      <c r="L29" s="61">
        <f t="shared" si="6"/>
        <v>-684022</v>
      </c>
      <c r="M29" s="39">
        <f t="shared" si="6"/>
        <v>23331.43</v>
      </c>
      <c r="N29" s="61">
        <f t="shared" si="6"/>
        <v>690698</v>
      </c>
      <c r="O29" s="39">
        <f t="shared" si="6"/>
        <v>-7760.43</v>
      </c>
      <c r="P29" s="61">
        <f t="shared" si="6"/>
        <v>0</v>
      </c>
      <c r="Q29" s="39">
        <f t="shared" si="6"/>
        <v>0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 t="shared" si="6"/>
        <v>23145.149999999998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21218</v>
      </c>
      <c r="AC29" s="39">
        <f t="shared" si="7"/>
        <v>49862.3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-346079</v>
      </c>
      <c r="E32" s="38">
        <f t="shared" si="8"/>
        <v>-791829.28200000012</v>
      </c>
      <c r="F32" s="64">
        <f>'TIE-OUT'!R32+RECLASS!R32</f>
        <v>0</v>
      </c>
      <c r="G32" s="68">
        <f>'TIE-OUT'!S32+RECLASS!S32</f>
        <v>0</v>
      </c>
      <c r="H32" s="129">
        <f>+Actuals!E256</f>
        <v>-10813</v>
      </c>
      <c r="I32" s="130">
        <f>+Actuals!F256</f>
        <v>-24740.14</v>
      </c>
      <c r="J32" s="129">
        <f>+Actuals!G256</f>
        <v>-157218</v>
      </c>
      <c r="K32" s="149">
        <f>+Actuals!H256</f>
        <v>-341735.47</v>
      </c>
      <c r="L32" s="129">
        <f>+Actuals!I256</f>
        <v>6106</v>
      </c>
      <c r="M32" s="130">
        <f>+Actuals!J256</f>
        <v>13738.5</v>
      </c>
      <c r="N32" s="129">
        <f>+Actuals!K256</f>
        <v>-443388</v>
      </c>
      <c r="O32" s="130">
        <f>+Actuals!L256</f>
        <v>-1275734.348</v>
      </c>
      <c r="P32" s="129">
        <f>+Actuals!M256</f>
        <v>108550</v>
      </c>
      <c r="Q32" s="130">
        <f>+Actuals!N256</f>
        <v>319192.15000000002</v>
      </c>
      <c r="R32" s="129">
        <f>+Actuals!O256</f>
        <v>196616</v>
      </c>
      <c r="S32" s="130">
        <f>+Actuals!P256</f>
        <v>640521.76</v>
      </c>
      <c r="T32" s="129">
        <f>+Actuals!Q256</f>
        <v>-180053</v>
      </c>
      <c r="U32" s="130">
        <f>+Actuals!R256</f>
        <v>-411961.26400000002</v>
      </c>
      <c r="V32" s="129">
        <f>+Actuals!S256</f>
        <v>0</v>
      </c>
      <c r="W32" s="130">
        <f>+Actuals!T256</f>
        <v>0</v>
      </c>
      <c r="X32" s="129">
        <f>+Actuals!U456</f>
        <v>0</v>
      </c>
      <c r="Y32" s="130">
        <f>+Actuals!V456</f>
        <v>0</v>
      </c>
      <c r="Z32" s="129">
        <f>+Actuals!W456</f>
        <v>168031</v>
      </c>
      <c r="AA32" s="130">
        <f>+Actuals!X456</f>
        <v>366475.61</v>
      </c>
      <c r="AB32" s="129">
        <f>+Actuals!Y456</f>
        <v>100</v>
      </c>
      <c r="AC32" s="130">
        <f>+Actuals!Z456</f>
        <v>228.8</v>
      </c>
      <c r="AD32" s="129">
        <f>+Actuals!AA456</f>
        <v>-34010</v>
      </c>
      <c r="AE32" s="130">
        <f>+Actuals!AB456</f>
        <v>-77814.880000000005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+Actuals!Q257</f>
        <v>0</v>
      </c>
      <c r="U33" s="130">
        <f>+Actuals!R257</f>
        <v>0</v>
      </c>
      <c r="V33" s="129">
        <f>+Actuals!S257</f>
        <v>0</v>
      </c>
      <c r="W33" s="130">
        <f>+Actuals!T257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+Actuals!Y457</f>
        <v>0</v>
      </c>
      <c r="AC33" s="130">
        <f>+Actuals!Z457</f>
        <v>0</v>
      </c>
      <c r="AD33" s="129">
        <f>+Actuals!AA457</f>
        <v>0</v>
      </c>
      <c r="AE33" s="130">
        <f>+Actuals!AB457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+Actuals!Q258</f>
        <v>0</v>
      </c>
      <c r="U34" s="130">
        <f>+Actuals!R258</f>
        <v>0</v>
      </c>
      <c r="V34" s="129">
        <f>+Actuals!S258</f>
        <v>0</v>
      </c>
      <c r="W34" s="130">
        <f>+Actuals!T258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+Actuals!Y458</f>
        <v>0</v>
      </c>
      <c r="AC34" s="130">
        <f>+Actuals!Z458</f>
        <v>0</v>
      </c>
      <c r="AD34" s="129">
        <f>+Actuals!AA458</f>
        <v>0</v>
      </c>
      <c r="AE34" s="130">
        <f>+Actuals!AB458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+Actuals!Q259</f>
        <v>0</v>
      </c>
      <c r="U35" s="130">
        <f>+Actuals!R259</f>
        <v>0</v>
      </c>
      <c r="V35" s="129">
        <f>+Actuals!S259</f>
        <v>0</v>
      </c>
      <c r="W35" s="130">
        <f>+Actuals!T259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+Actuals!Y459</f>
        <v>0</v>
      </c>
      <c r="AC35" s="130">
        <f>+Actuals!Z459</f>
        <v>0</v>
      </c>
      <c r="AD35" s="129">
        <f>+Actuals!AA459</f>
        <v>0</v>
      </c>
      <c r="AE35" s="130">
        <f>+Actuals!AB459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-346079</v>
      </c>
      <c r="E36" s="39">
        <f t="shared" si="9"/>
        <v>-791829.27200000011</v>
      </c>
      <c r="F36" s="61">
        <f t="shared" si="9"/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-157218</v>
      </c>
      <c r="K36" s="150">
        <f t="shared" si="9"/>
        <v>-341735.47</v>
      </c>
      <c r="L36" s="61">
        <f t="shared" si="9"/>
        <v>6106</v>
      </c>
      <c r="M36" s="39">
        <f t="shared" si="9"/>
        <v>13738.5</v>
      </c>
      <c r="N36" s="61">
        <f t="shared" si="9"/>
        <v>-443388</v>
      </c>
      <c r="O36" s="39">
        <f t="shared" si="9"/>
        <v>-1275734.348</v>
      </c>
      <c r="P36" s="61">
        <f t="shared" si="9"/>
        <v>108550</v>
      </c>
      <c r="Q36" s="39">
        <f t="shared" si="9"/>
        <v>319192.15000000002</v>
      </c>
      <c r="R36" s="61">
        <f t="shared" si="9"/>
        <v>196616</v>
      </c>
      <c r="S36" s="39">
        <f t="shared" si="9"/>
        <v>640521.76</v>
      </c>
      <c r="T36" s="61">
        <f t="shared" si="9"/>
        <v>-180053</v>
      </c>
      <c r="U36" s="39">
        <f t="shared" si="9"/>
        <v>-411961.26400000002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'TIE-OUT'!R39+RECLASS!R39</f>
        <v>0</v>
      </c>
      <c r="G39" s="68">
        <f>'TIE-OUT'!S39+RECLASS!S39</f>
        <v>0</v>
      </c>
      <c r="H39" s="129">
        <f>+Actuals!E260</f>
        <v>8140904</v>
      </c>
      <c r="I39" s="130">
        <f>+Actuals!F260</f>
        <v>19569417.440000001</v>
      </c>
      <c r="J39" s="129">
        <f>+Actuals!G260</f>
        <v>44324</v>
      </c>
      <c r="K39" s="149">
        <f>+Actuals!H260</f>
        <v>66613.11</v>
      </c>
      <c r="L39" s="129">
        <f>+Actuals!I260</f>
        <v>44787</v>
      </c>
      <c r="M39" s="130">
        <f>+Actuals!J260</f>
        <v>67791.56</v>
      </c>
      <c r="N39" s="129">
        <f>+Actuals!K260</f>
        <v>45916</v>
      </c>
      <c r="O39" s="130">
        <f>+Actuals!L260</f>
        <v>148453.54999999999</v>
      </c>
      <c r="P39" s="129">
        <f>+Actuals!M260</f>
        <v>8286</v>
      </c>
      <c r="Q39" s="130">
        <f>+Actuals!N260</f>
        <v>19703.099999999999</v>
      </c>
      <c r="R39" s="129">
        <f>+Actuals!O260</f>
        <v>-84483</v>
      </c>
      <c r="S39" s="130">
        <f>+Actuals!P260</f>
        <v>-202735.91</v>
      </c>
      <c r="T39" s="129">
        <f>+Actuals!Q260</f>
        <v>1759</v>
      </c>
      <c r="U39" s="130">
        <f>+Actuals!R260</f>
        <v>4024.59</v>
      </c>
      <c r="V39" s="129">
        <f>+Actuals!S260</f>
        <v>0</v>
      </c>
      <c r="W39" s="130">
        <f>+Actuals!T260</f>
        <v>22343.32</v>
      </c>
      <c r="X39" s="129">
        <f>+Actuals!U460</f>
        <v>0</v>
      </c>
      <c r="Y39" s="130">
        <f>+Actuals!V460</f>
        <v>0</v>
      </c>
      <c r="Z39" s="129">
        <f>+Actuals!W460</f>
        <v>0</v>
      </c>
      <c r="AA39" s="130">
        <f>+Actuals!X460</f>
        <v>0</v>
      </c>
      <c r="AB39" s="129">
        <f>+Actuals!Y460</f>
        <v>-1759</v>
      </c>
      <c r="AC39" s="130">
        <f>+Actuals!Z460</f>
        <v>-4024.59</v>
      </c>
      <c r="AD39" s="129">
        <f>+Actuals!AA460</f>
        <v>1650</v>
      </c>
      <c r="AE39" s="130">
        <f>+Actuals!AB460</f>
        <v>22723.25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9">
        <f>+Actuals!E261</f>
        <v>0</v>
      </c>
      <c r="I40" s="130">
        <f>+Actuals!F261</f>
        <v>0</v>
      </c>
      <c r="J40" s="129">
        <f>+Actuals!G261</f>
        <v>0</v>
      </c>
      <c r="K40" s="149">
        <f>+Actuals!H261</f>
        <v>0</v>
      </c>
      <c r="L40" s="129">
        <f>+Actuals!I261</f>
        <v>0</v>
      </c>
      <c r="M40" s="130">
        <f>+Actuals!J261</f>
        <v>0</v>
      </c>
      <c r="N40" s="129">
        <f>+Actuals!K261</f>
        <v>0</v>
      </c>
      <c r="O40" s="130">
        <f>+Actuals!L261</f>
        <v>0</v>
      </c>
      <c r="P40" s="129">
        <f>+Actuals!M261</f>
        <v>0</v>
      </c>
      <c r="Q40" s="130">
        <f>+Actuals!N261</f>
        <v>0</v>
      </c>
      <c r="R40" s="129">
        <f>+Actuals!O261</f>
        <v>0</v>
      </c>
      <c r="S40" s="130">
        <f>+Actuals!P261</f>
        <v>0</v>
      </c>
      <c r="T40" s="129">
        <f>+Actuals!Q261</f>
        <v>0</v>
      </c>
      <c r="U40" s="130">
        <f>+Actuals!R261</f>
        <v>0</v>
      </c>
      <c r="V40" s="129">
        <f>+Actuals!S261</f>
        <v>0</v>
      </c>
      <c r="W40" s="130">
        <f>+Actuals!T261</f>
        <v>0</v>
      </c>
      <c r="X40" s="129">
        <f>+Actuals!U461</f>
        <v>0</v>
      </c>
      <c r="Y40" s="130">
        <f>+Actuals!V461</f>
        <v>0</v>
      </c>
      <c r="Z40" s="129">
        <f>+Actuals!W461</f>
        <v>0</v>
      </c>
      <c r="AA40" s="130">
        <f>+Actuals!X461</f>
        <v>0</v>
      </c>
      <c r="AB40" s="129">
        <f>+Actuals!Y461</f>
        <v>0</v>
      </c>
      <c r="AC40" s="130">
        <f>+Actuals!Z461</f>
        <v>0</v>
      </c>
      <c r="AD40" s="129">
        <f>+Actuals!AA461</f>
        <v>0</v>
      </c>
      <c r="AE40" s="130">
        <f>+Actuals!AB461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'TIE-OUT'!R41+RECLASS!R41</f>
        <v>0</v>
      </c>
      <c r="G41" s="82">
        <f>'TIE-OUT'!S41+RECLASS!S41</f>
        <v>0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+Actuals!Q262</f>
        <v>0</v>
      </c>
      <c r="U41" s="130">
        <f>+Actuals!R262</f>
        <v>0</v>
      </c>
      <c r="V41" s="129">
        <f>+Actuals!S262</f>
        <v>0</v>
      </c>
      <c r="W41" s="130">
        <f>+Actuals!T262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30">
        <f>+Actuals!X462</f>
        <v>0</v>
      </c>
      <c r="AB41" s="129">
        <f>+Actuals!Y462</f>
        <v>0</v>
      </c>
      <c r="AC41" s="162">
        <f>+Actuals!Z462-22343</f>
        <v>-22343</v>
      </c>
      <c r="AD41" s="129">
        <f>+Actuals!AA462</f>
        <v>0</v>
      </c>
      <c r="AE41" s="130">
        <f>+Actuals!AB462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-22343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8201384</v>
      </c>
      <c r="E43" s="39">
        <f t="shared" si="14"/>
        <v>19691966.420000002</v>
      </c>
      <c r="F43" s="61">
        <f t="shared" si="14"/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150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 t="shared" si="14"/>
        <v>4024.59</v>
      </c>
      <c r="V43" s="61">
        <f t="shared" si="14"/>
        <v>0</v>
      </c>
      <c r="W43" s="39">
        <f t="shared" si="14"/>
        <v>22343.32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+Actuals!Q263</f>
        <v>0</v>
      </c>
      <c r="U45" s="130">
        <f>+Actuals!R263</f>
        <v>0</v>
      </c>
      <c r="V45" s="129">
        <f>+Actuals!S263</f>
        <v>0</v>
      </c>
      <c r="W45" s="130">
        <f>+Actuals!T263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+Actuals!Y463</f>
        <v>0</v>
      </c>
      <c r="AC45" s="130">
        <f>+Actuals!Z463</f>
        <v>0</v>
      </c>
      <c r="AD45" s="129">
        <f>+Actuals!AA463</f>
        <v>0</v>
      </c>
      <c r="AE45" s="130">
        <f>+Actuals!AB463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+Actuals!Q264</f>
        <v>0</v>
      </c>
      <c r="U47" s="130">
        <f>+Actuals!R264</f>
        <v>0</v>
      </c>
      <c r="V47" s="129">
        <f>+Actuals!S264</f>
        <v>0</v>
      </c>
      <c r="W47" s="130">
        <f>+Actuals!T264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+Actuals!Y464</f>
        <v>0</v>
      </c>
      <c r="AC47" s="130">
        <f>+Actuals!Z464</f>
        <v>0</v>
      </c>
      <c r="AD47" s="129">
        <f>+Actuals!AA464</f>
        <v>0</v>
      </c>
      <c r="AE47" s="130">
        <f>+Actuals!AB464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'TIE-OUT'!R49+RECLASS!R49</f>
        <v>0</v>
      </c>
      <c r="G49" s="38">
        <f>'TIE-OUT'!S49+RECLASS!S49</f>
        <v>0</v>
      </c>
      <c r="H49" s="129">
        <f>+Actuals!E265</f>
        <v>-1430238</v>
      </c>
      <c r="I49" s="130">
        <f>+Actuals!F265</f>
        <v>-3272384.5440000002</v>
      </c>
      <c r="J49" s="129">
        <f>+Actuals!G265</f>
        <v>1350047</v>
      </c>
      <c r="K49" s="149">
        <f>+Actuals!H265</f>
        <v>3088907.5360000003</v>
      </c>
      <c r="L49" s="129">
        <f>+Actuals!I265</f>
        <v>-1169196</v>
      </c>
      <c r="M49" s="130">
        <f>+Actuals!J265</f>
        <v>-2675120.4479999999</v>
      </c>
      <c r="N49" s="129">
        <f>+Actuals!K265</f>
        <v>1469569</v>
      </c>
      <c r="O49" s="130">
        <f>+Actuals!L265</f>
        <v>3362373.872</v>
      </c>
      <c r="P49" s="129">
        <f>+Actuals!M265</f>
        <v>-403359</v>
      </c>
      <c r="Q49" s="130">
        <f>+Actuals!N265</f>
        <v>-922885.39199999999</v>
      </c>
      <c r="R49" s="129">
        <f>+Actuals!O265</f>
        <v>-187366</v>
      </c>
      <c r="S49" s="130">
        <f>+Actuals!P265</f>
        <v>-428693.408</v>
      </c>
      <c r="T49" s="129">
        <f>+Actuals!Q265</f>
        <v>179000</v>
      </c>
      <c r="U49" s="130">
        <f>+Actuals!R265</f>
        <v>409552</v>
      </c>
      <c r="V49" s="129">
        <f>+Actuals!S265</f>
        <v>372457</v>
      </c>
      <c r="W49" s="130">
        <f>+Actuals!T265</f>
        <v>852181.61600000004</v>
      </c>
      <c r="X49" s="129">
        <f>+Actuals!U465</f>
        <v>-372457</v>
      </c>
      <c r="Y49" s="130">
        <f>+Actuals!V465</f>
        <v>-852181.61600000004</v>
      </c>
      <c r="Z49" s="129">
        <f>+Actuals!W465</f>
        <v>-167906</v>
      </c>
      <c r="AA49" s="130">
        <f>+Actuals!X465</f>
        <v>-384168.92800000001</v>
      </c>
      <c r="AB49" s="129">
        <f>+Actuals!Y465</f>
        <v>352998</v>
      </c>
      <c r="AC49" s="130">
        <f>+Actuals!Z465</f>
        <v>807659.424</v>
      </c>
      <c r="AD49" s="129">
        <f>+Actuals!AA465</f>
        <v>56023</v>
      </c>
      <c r="AE49" s="130">
        <f>+Actuals!AB465</f>
        <v>128180.624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'TIE-OUT'!R51+RECLASS!R51</f>
        <v>0</v>
      </c>
      <c r="G51" s="38">
        <f>'TIE-OUT'!S51+RECLASS!S51</f>
        <v>18891</v>
      </c>
      <c r="H51" s="129">
        <f>+Actuals!E266</f>
        <v>-3105</v>
      </c>
      <c r="I51" s="130">
        <f>+Actuals!F266</f>
        <v>-7104.24</v>
      </c>
      <c r="J51" s="129">
        <f>+Actuals!G266</f>
        <v>-8735</v>
      </c>
      <c r="K51" s="149">
        <f>+Actuals!H266</f>
        <v>-19985.68</v>
      </c>
      <c r="L51" s="129">
        <f>+Actuals!I266</f>
        <v>-1</v>
      </c>
      <c r="M51" s="130">
        <f>+Actuals!J266</f>
        <v>-2.29</v>
      </c>
      <c r="N51" s="129">
        <f>+Actuals!K266</f>
        <v>0</v>
      </c>
      <c r="O51" s="130">
        <f>+Actuals!L266</f>
        <v>0</v>
      </c>
      <c r="P51" s="129">
        <f>+Actuals!M266</f>
        <v>0</v>
      </c>
      <c r="Q51" s="130">
        <f>+Actuals!N266</f>
        <v>0</v>
      </c>
      <c r="R51" s="129">
        <f>+Actuals!O266</f>
        <v>0</v>
      </c>
      <c r="S51" s="130">
        <f>+Actuals!P266</f>
        <v>0</v>
      </c>
      <c r="T51" s="129">
        <f>+Actuals!Q266</f>
        <v>0</v>
      </c>
      <c r="U51" s="130">
        <f>+Actuals!R266</f>
        <v>0</v>
      </c>
      <c r="V51" s="129">
        <f>+Actuals!S266</f>
        <v>0</v>
      </c>
      <c r="W51" s="130">
        <f>+Actuals!T266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+Actuals!Y466</f>
        <v>0</v>
      </c>
      <c r="AC51" s="130">
        <f>+Actuals!Z466</f>
        <v>0</v>
      </c>
      <c r="AD51" s="129">
        <f>+Actuals!AA466</f>
        <v>0</v>
      </c>
      <c r="AE51" s="130">
        <f>+Actuals!AB466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'TIE-OUT'!R54+RECLASS!R54</f>
        <v>0</v>
      </c>
      <c r="G54" s="68">
        <f>'TIE-OUT'!S54+RECLASS!S54</f>
        <v>44824</v>
      </c>
      <c r="H54" s="129">
        <f>+Actuals!E267</f>
        <v>-5201676</v>
      </c>
      <c r="I54" s="130">
        <f>+Actuals!F267</f>
        <v>-435950.66</v>
      </c>
      <c r="J54" s="129">
        <f>+Actuals!G267</f>
        <v>-1788865</v>
      </c>
      <c r="K54" s="149">
        <f>+Actuals!H267</f>
        <v>39324.92</v>
      </c>
      <c r="L54" s="129">
        <f>+Actuals!I267</f>
        <v>-326742</v>
      </c>
      <c r="M54" s="130">
        <f>+Actuals!J267</f>
        <v>-6180</v>
      </c>
      <c r="N54" s="129">
        <f>+Actuals!K267</f>
        <v>140</v>
      </c>
      <c r="O54" s="130">
        <f>+Actuals!L267</f>
        <v>11</v>
      </c>
      <c r="P54" s="129">
        <f>+Actuals!M267</f>
        <v>129677</v>
      </c>
      <c r="Q54" s="130">
        <f>+Actuals!N267</f>
        <v>1149.75</v>
      </c>
      <c r="R54" s="129">
        <f>+Actuals!O267</f>
        <v>-295557</v>
      </c>
      <c r="S54" s="130">
        <f>+Actuals!P267</f>
        <v>51333.279999999999</v>
      </c>
      <c r="T54" s="129">
        <f>+Actuals!Q267</f>
        <v>3066</v>
      </c>
      <c r="U54" s="130">
        <f>+Actuals!R267</f>
        <v>-49904.7</v>
      </c>
      <c r="V54" s="129">
        <f>+Actuals!S267</f>
        <v>4723</v>
      </c>
      <c r="W54" s="130">
        <f>+Actuals!T267</f>
        <v>944.59</v>
      </c>
      <c r="X54" s="129">
        <f>+Actuals!U467</f>
        <v>-4723</v>
      </c>
      <c r="Y54" s="130">
        <f>+Actuals!V467</f>
        <v>-944.61</v>
      </c>
      <c r="Z54" s="129">
        <f>+Actuals!W467</f>
        <v>148567</v>
      </c>
      <c r="AA54" s="130">
        <f>+Actuals!X467</f>
        <v>13371.03</v>
      </c>
      <c r="AB54" s="129">
        <f>+Actuals!Y467</f>
        <v>-148667</v>
      </c>
      <c r="AC54" s="130">
        <f>+Actuals!Z467</f>
        <v>-13369.53</v>
      </c>
      <c r="AD54" s="129">
        <f>+Actuals!AA467</f>
        <v>-1650</v>
      </c>
      <c r="AE54" s="130">
        <f>+Actuals!AB467</f>
        <v>276.01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0</v>
      </c>
      <c r="T55" s="129">
        <f>+Actuals!Q268</f>
        <v>0</v>
      </c>
      <c r="U55" s="130">
        <f>+Actuals!R268</f>
        <v>0</v>
      </c>
      <c r="V55" s="129">
        <f>+Actuals!S268</f>
        <v>0</v>
      </c>
      <c r="W55" s="130">
        <f>+Actuals!T268</f>
        <v>-93300</v>
      </c>
      <c r="X55" s="129">
        <f>+Actuals!U468</f>
        <v>0</v>
      </c>
      <c r="Y55" s="130">
        <f>+Actuals!V468</f>
        <v>93300</v>
      </c>
      <c r="Z55" s="129">
        <f>+Actuals!W468</f>
        <v>0</v>
      </c>
      <c r="AA55" s="130">
        <f>+Actuals!X468</f>
        <v>0</v>
      </c>
      <c r="AB55" s="129">
        <f>+Actuals!Y468</f>
        <v>0</v>
      </c>
      <c r="AC55" s="130">
        <f>+Actuals!Z468</f>
        <v>0</v>
      </c>
      <c r="AD55" s="129">
        <f>+Actuals!AA468</f>
        <v>0</v>
      </c>
      <c r="AE55" s="130">
        <f>+Actuals!AB468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-7481707</v>
      </c>
      <c r="E56" s="39">
        <f t="shared" si="16"/>
        <v>-355114.91999999993</v>
      </c>
      <c r="F56" s="61">
        <f t="shared" si="16"/>
        <v>0</v>
      </c>
      <c r="G56" s="39">
        <f t="shared" si="16"/>
        <v>44824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150">
        <f t="shared" si="16"/>
        <v>39324.92</v>
      </c>
      <c r="L56" s="61">
        <f t="shared" si="16"/>
        <v>-326742</v>
      </c>
      <c r="M56" s="39">
        <f t="shared" si="16"/>
        <v>-6180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 t="shared" si="16"/>
        <v>-49904.7</v>
      </c>
      <c r="V56" s="61">
        <f t="shared" si="16"/>
        <v>4723</v>
      </c>
      <c r="W56" s="39">
        <f t="shared" si="16"/>
        <v>-92355.41</v>
      </c>
      <c r="X56" s="61">
        <f t="shared" si="16"/>
        <v>-4723</v>
      </c>
      <c r="Y56" s="39">
        <f t="shared" si="16"/>
        <v>92355.39</v>
      </c>
      <c r="Z56" s="61">
        <f t="shared" ref="Z56:AE56" si="17">SUM(Z54:Z55)</f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8204.74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350</v>
      </c>
      <c r="J59" s="129">
        <f>+Actuals!G269</f>
        <v>0</v>
      </c>
      <c r="K59" s="149">
        <f>+Actuals!H269</f>
        <v>312.5</v>
      </c>
      <c r="L59" s="129">
        <f>+Actuals!I269</f>
        <v>0</v>
      </c>
      <c r="M59" s="130">
        <f>+Actuals!J269</f>
        <v>0</v>
      </c>
      <c r="N59" s="129">
        <f>+Actuals!K269</f>
        <v>0</v>
      </c>
      <c r="O59" s="130">
        <f>+Actuals!L269</f>
        <v>200</v>
      </c>
      <c r="P59" s="129">
        <f>+Actuals!M269</f>
        <v>0</v>
      </c>
      <c r="Q59" s="130">
        <f>+Actuals!N269</f>
        <v>-200</v>
      </c>
      <c r="R59" s="129">
        <f>+Actuals!O269</f>
        <v>0</v>
      </c>
      <c r="S59" s="130">
        <f>+Actuals!P269</f>
        <v>0</v>
      </c>
      <c r="T59" s="129">
        <f>+Actuals!Q269</f>
        <v>0</v>
      </c>
      <c r="U59" s="130">
        <f>+Actuals!R269</f>
        <v>1357.25</v>
      </c>
      <c r="V59" s="129">
        <f>+Actuals!S269</f>
        <v>0</v>
      </c>
      <c r="W59" s="130">
        <f>+Actuals!T269</f>
        <v>6184.99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+Actuals!Y469</f>
        <v>0</v>
      </c>
      <c r="AC59" s="130">
        <f>+Actuals!Z469</f>
        <v>0</v>
      </c>
      <c r="AD59" s="129">
        <f>+Actuals!AA469</f>
        <v>0</v>
      </c>
      <c r="AE59" s="130">
        <f>+Actuals!AB469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+Actuals!Q270</f>
        <v>0</v>
      </c>
      <c r="U60" s="130">
        <f>+Actuals!R270</f>
        <v>0</v>
      </c>
      <c r="V60" s="129">
        <f>+Actuals!S270</f>
        <v>0</v>
      </c>
      <c r="W60" s="130">
        <f>+Actuals!T270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+Actuals!Y470</f>
        <v>0</v>
      </c>
      <c r="AC60" s="130">
        <f>+Actuals!Z470</f>
        <v>0</v>
      </c>
      <c r="AD60" s="129">
        <f>+Actuals!AA470</f>
        <v>0</v>
      </c>
      <c r="AE60" s="130">
        <f>+Actuals!AB470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8204.74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0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1357.25</v>
      </c>
      <c r="V61" s="61">
        <f t="shared" si="18"/>
        <v>0</v>
      </c>
      <c r="W61" s="39">
        <f t="shared" si="18"/>
        <v>6184.99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-57911952</v>
      </c>
      <c r="E64" s="38">
        <f>SUM(G64,I64,K64,M64,O64,Q64,S64,U64,W64,Y64,AA64,AC64,AE64)</f>
        <v>-1111113.99</v>
      </c>
      <c r="F64" s="64">
        <f>'TIE-OUT'!R64+RECLASS!R64</f>
        <v>0</v>
      </c>
      <c r="G64" s="68">
        <f>'TIE-OUT'!S64+RECLASS!S64</f>
        <v>0</v>
      </c>
      <c r="H64" s="129">
        <f>+Actuals!E271</f>
        <v>-35795721</v>
      </c>
      <c r="I64" s="130">
        <f>+Actuals!F271</f>
        <v>-659715.27</v>
      </c>
      <c r="J64" s="129">
        <f>+Actuals!G271</f>
        <v>-22286898</v>
      </c>
      <c r="K64" s="149">
        <f>+Actuals!H271</f>
        <v>-183788.36</v>
      </c>
      <c r="L64" s="129">
        <f>+Actuals!I271</f>
        <v>29333</v>
      </c>
      <c r="M64" s="130">
        <f>+Actuals!J271</f>
        <v>-6976</v>
      </c>
      <c r="N64" s="129">
        <f>+Actuals!K271</f>
        <v>65137</v>
      </c>
      <c r="O64" s="130">
        <f>+Actuals!L271</f>
        <v>-260636</v>
      </c>
      <c r="P64" s="129">
        <f>+Actuals!M271</f>
        <v>-6527</v>
      </c>
      <c r="Q64" s="130">
        <f>+Actuals!N271</f>
        <v>0</v>
      </c>
      <c r="R64" s="129">
        <f>+Actuals!O271</f>
        <v>82724</v>
      </c>
      <c r="S64" s="130">
        <f>+Actuals!P271</f>
        <v>0</v>
      </c>
      <c r="T64" s="129">
        <f>+Actuals!Q271</f>
        <v>0</v>
      </c>
      <c r="U64" s="130">
        <f>+Actuals!R271</f>
        <v>0.01</v>
      </c>
      <c r="V64" s="129">
        <f>+Actuals!S271</f>
        <v>0</v>
      </c>
      <c r="W64" s="130">
        <f>+Actuals!T271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0</v>
      </c>
      <c r="AB64" s="129">
        <f>+Actuals!Y471</f>
        <v>0</v>
      </c>
      <c r="AC64" s="130">
        <f>+Actuals!Z471</f>
        <v>0</v>
      </c>
      <c r="AD64" s="129">
        <f>+Actuals!AA471</f>
        <v>0</v>
      </c>
      <c r="AE64" s="130">
        <f>+Actuals!AB471</f>
        <v>1.63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1039798</v>
      </c>
      <c r="F65" s="81">
        <f>'TIE-OUT'!R65+RECLASS!R65</f>
        <v>0</v>
      </c>
      <c r="G65" s="82">
        <f>'TIE-OUT'!S65+RECLASS!S65</f>
        <v>909413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+Actuals!H272+174792-50000</f>
        <v>124792</v>
      </c>
      <c r="L65" s="129">
        <f>+Actuals!I272</f>
        <v>0</v>
      </c>
      <c r="M65" s="130">
        <f>+Actuals!J272</f>
        <v>0</v>
      </c>
      <c r="N65" s="129">
        <f>+Actuals!K272</f>
        <v>0</v>
      </c>
      <c r="O65" s="159">
        <f>+Actuals!L272+2567</f>
        <v>2567</v>
      </c>
      <c r="P65" s="129">
        <f>+Actuals!M272</f>
        <v>0</v>
      </c>
      <c r="Q65" s="159">
        <f>+Actuals!N272+7038</f>
        <v>7038</v>
      </c>
      <c r="R65" s="129">
        <f>+Actuals!O272</f>
        <v>0</v>
      </c>
      <c r="S65" s="130">
        <f>+Actuals!P272</f>
        <v>0</v>
      </c>
      <c r="T65" s="129">
        <f>+Actuals!Q272</f>
        <v>0</v>
      </c>
      <c r="U65" s="130">
        <f>+Actuals!R272-3965-47</f>
        <v>-4012</v>
      </c>
      <c r="V65" s="129">
        <f>+Actuals!S272</f>
        <v>0</v>
      </c>
      <c r="W65" s="130">
        <f>+Actuals!T272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+Actuals!Y472</f>
        <v>0</v>
      </c>
      <c r="AC65" s="130">
        <f>+Actuals!Z472</f>
        <v>0</v>
      </c>
      <c r="AD65" s="129">
        <f>+Actuals!AA472</f>
        <v>0</v>
      </c>
      <c r="AE65" s="130">
        <f>+Actuals!AB472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-57911952</v>
      </c>
      <c r="E66" s="39">
        <f t="shared" si="20"/>
        <v>-71315.989999999991</v>
      </c>
      <c r="F66" s="61">
        <f t="shared" si="20"/>
        <v>0</v>
      </c>
      <c r="G66" s="39">
        <f t="shared" si="20"/>
        <v>909413</v>
      </c>
      <c r="H66" s="61">
        <f t="shared" si="20"/>
        <v>-35795721</v>
      </c>
      <c r="I66" s="39">
        <f t="shared" si="20"/>
        <v>-659715.27</v>
      </c>
      <c r="J66" s="61">
        <f t="shared" si="20"/>
        <v>-22286898</v>
      </c>
      <c r="K66" s="150">
        <f t="shared" si="20"/>
        <v>-58996.359999999986</v>
      </c>
      <c r="L66" s="61">
        <f t="shared" si="20"/>
        <v>29333</v>
      </c>
      <c r="M66" s="39">
        <f t="shared" si="20"/>
        <v>-6976</v>
      </c>
      <c r="N66" s="61">
        <f t="shared" si="20"/>
        <v>65137</v>
      </c>
      <c r="O66" s="39">
        <f t="shared" si="20"/>
        <v>-258069</v>
      </c>
      <c r="P66" s="61">
        <f t="shared" si="20"/>
        <v>-6527</v>
      </c>
      <c r="Q66" s="39">
        <f t="shared" si="20"/>
        <v>7038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 t="shared" si="20"/>
        <v>-4011.99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'TIE-OUT'!R70+RECLASS!R70</f>
        <v>0</v>
      </c>
      <c r="G70" s="68">
        <f>'TIE-OUT'!S70+RECLASS!S70</f>
        <v>250999.06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+Actuals!Q273</f>
        <v>0</v>
      </c>
      <c r="U70" s="130">
        <f>+Actuals!R273</f>
        <v>0</v>
      </c>
      <c r="V70" s="129">
        <f>+Actuals!S273</f>
        <v>0</v>
      </c>
      <c r="W70" s="130">
        <f>+Actuals!T273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+Actuals!Y473</f>
        <v>0</v>
      </c>
      <c r="AC70" s="130">
        <f>+Actuals!Z473</f>
        <v>0</v>
      </c>
      <c r="AD70" s="129">
        <f>+Actuals!AA473</f>
        <v>0</v>
      </c>
      <c r="AE70" s="130">
        <f>+Actuals!AB473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'TIE-OUT'!R71+RECLASS!R71</f>
        <v>0</v>
      </c>
      <c r="G71" s="82">
        <f>'TIE-OUT'!S71+RECLASS!S71</f>
        <v>-1054678.81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+Actuals!Q274</f>
        <v>0</v>
      </c>
      <c r="U71" s="130">
        <f>+Actuals!R274</f>
        <v>0</v>
      </c>
      <c r="V71" s="129">
        <f>+Actuals!S274</f>
        <v>0</v>
      </c>
      <c r="W71" s="130">
        <f>+Actuals!T274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+Actuals!Y474</f>
        <v>0</v>
      </c>
      <c r="AC71" s="130">
        <f>+Actuals!Z474</f>
        <v>0</v>
      </c>
      <c r="AD71" s="129">
        <f>+Actuals!AA474</f>
        <v>0</v>
      </c>
      <c r="AE71" s="130">
        <f>+Actuals!AB474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-803679.75</v>
      </c>
      <c r="F72" s="61">
        <f t="shared" si="22"/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+Actuals!Q275</f>
        <v>0</v>
      </c>
      <c r="U73" s="130">
        <f>+Actuals!R275</f>
        <v>0</v>
      </c>
      <c r="V73" s="129">
        <f>+Actuals!S275</f>
        <v>0</v>
      </c>
      <c r="W73" s="130">
        <f>+Actuals!T275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+Actuals!Y475</f>
        <v>0</v>
      </c>
      <c r="AC73" s="130">
        <f>+Actuals!Z475</f>
        <v>0</v>
      </c>
      <c r="AD73" s="129">
        <f>+Actuals!AA475</f>
        <v>0</v>
      </c>
      <c r="AE73" s="130">
        <f>+Actuals!AB475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'TIE-OUT'!R74+RECLASS!R74</f>
        <v>0</v>
      </c>
      <c r="G74" s="60">
        <f>'TIE-OUT'!S74+RECLASS!S74</f>
        <v>858169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f>+Actuals!H276-3146.5</f>
        <v>-3146.5</v>
      </c>
      <c r="L74" s="129">
        <f>+Actuals!I276</f>
        <v>0</v>
      </c>
      <c r="M74" s="130">
        <f>+Actuals!J276</f>
        <v>0</v>
      </c>
      <c r="N74" s="129">
        <f>+Actuals!K276</f>
        <v>0</v>
      </c>
      <c r="O74" s="159">
        <v>154602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+Actuals!Q276</f>
        <v>0</v>
      </c>
      <c r="U74" s="130">
        <f>+Actuals!R276</f>
        <v>0</v>
      </c>
      <c r="V74" s="129">
        <f>+Actuals!S276</f>
        <v>0</v>
      </c>
      <c r="W74" s="130">
        <f>+Actuals!T276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+Actuals!Y476</f>
        <v>0</v>
      </c>
      <c r="AC74" s="130">
        <f>+Actuals!Z476</f>
        <v>0</v>
      </c>
      <c r="AD74" s="129">
        <f>+Actuals!AA476</f>
        <v>0</v>
      </c>
      <c r="AE74" s="130">
        <f>+Actuals!AB476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'TIE-OUT'!R75+RECLASS!R75</f>
        <v>0</v>
      </c>
      <c r="G75" s="60">
        <f>'TIE-OUT'!S75+RECLASS!S75</f>
        <v>81300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+Actuals!Q277</f>
        <v>0</v>
      </c>
      <c r="U75" s="130">
        <f>+Actuals!R277</f>
        <v>0</v>
      </c>
      <c r="V75" s="129">
        <f>+Actuals!S277</f>
        <v>0</v>
      </c>
      <c r="W75" s="130">
        <f>+Actuals!T277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+Actuals!Y477</f>
        <v>0</v>
      </c>
      <c r="AC75" s="130">
        <f>+Actuals!Z477</f>
        <v>0</v>
      </c>
      <c r="AD75" s="129">
        <f>+Actuals!AA477</f>
        <v>0</v>
      </c>
      <c r="AE75" s="130">
        <f>+Actuals!AB477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-3750</v>
      </c>
      <c r="J76" s="129">
        <f>+Actuals!G278</f>
        <v>0</v>
      </c>
      <c r="K76" s="149">
        <f>+Actuals!H278</f>
        <v>-6309.73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+Actuals!Q278</f>
        <v>0</v>
      </c>
      <c r="U76" s="130">
        <f>+Actuals!R278</f>
        <v>0</v>
      </c>
      <c r="V76" s="129">
        <f>+Actuals!S278</f>
        <v>0</v>
      </c>
      <c r="W76" s="130">
        <f>+Actuals!T278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+Actuals!Y478</f>
        <v>0</v>
      </c>
      <c r="AC76" s="130">
        <f>+Actuals!Z478</f>
        <v>0</v>
      </c>
      <c r="AD76" s="129">
        <f>+Actuals!AA478</f>
        <v>0</v>
      </c>
      <c r="AE76" s="130">
        <f>+Actuals!AB478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+Actuals!Q279</f>
        <v>0</v>
      </c>
      <c r="U77" s="130">
        <f>+Actuals!R279</f>
        <v>0</v>
      </c>
      <c r="V77" s="129">
        <f>+Actuals!S279</f>
        <v>0</v>
      </c>
      <c r="W77" s="130">
        <f>+Actuals!T279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+Actuals!Y479</f>
        <v>0</v>
      </c>
      <c r="AC77" s="130">
        <f>+Actuals!Z479</f>
        <v>0</v>
      </c>
      <c r="AD77" s="129">
        <f>+Actuals!AA479</f>
        <v>0</v>
      </c>
      <c r="AE77" s="130">
        <f>+Actuals!AB479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+Actuals!Q280</f>
        <v>0</v>
      </c>
      <c r="U78" s="130">
        <f>+Actuals!R280</f>
        <v>0</v>
      </c>
      <c r="V78" s="129">
        <f>+Actuals!S280</f>
        <v>0</v>
      </c>
      <c r="W78" s="130">
        <f>+Actuals!T280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+Actuals!Y480</f>
        <v>0</v>
      </c>
      <c r="AC78" s="130">
        <f>+Actuals!Z480</f>
        <v>0</v>
      </c>
      <c r="AD78" s="129">
        <f>+Actuals!AA480</f>
        <v>0</v>
      </c>
      <c r="AE78" s="130">
        <f>+Actuals!AB480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+Actuals!Q281</f>
        <v>0</v>
      </c>
      <c r="U79" s="130">
        <f>+Actuals!R281</f>
        <v>0</v>
      </c>
      <c r="V79" s="129">
        <f>+Actuals!S281</f>
        <v>0</v>
      </c>
      <c r="W79" s="130">
        <f>+Actuals!T281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+Actuals!Y481</f>
        <v>0</v>
      </c>
      <c r="AC79" s="130">
        <f>+Actuals!Z481</f>
        <v>0</v>
      </c>
      <c r="AD79" s="129">
        <f>+Actuals!AA481</f>
        <v>0</v>
      </c>
      <c r="AE79" s="130">
        <f>+Actuals!AB481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+Actuals!Q282</f>
        <v>0</v>
      </c>
      <c r="U80" s="130">
        <f>+Actuals!R282</f>
        <v>0</v>
      </c>
      <c r="V80" s="129">
        <f>+Actuals!S282</f>
        <v>0</v>
      </c>
      <c r="W80" s="130">
        <f>+Actuals!T282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+Actuals!Y482</f>
        <v>0</v>
      </c>
      <c r="AC80" s="130">
        <f>+Actuals!Z482</f>
        <v>0</v>
      </c>
      <c r="AD80" s="129">
        <f>+Actuals!AA482</f>
        <v>0</v>
      </c>
      <c r="AE80" s="130">
        <f>+Actuals!AB482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</f>
        <v>0</v>
      </c>
      <c r="J81" s="129">
        <f>+Actuals!G283</f>
        <v>0</v>
      </c>
      <c r="K81" s="149">
        <f>+Actuals!H283</f>
        <v>0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+Actuals!Q283</f>
        <v>0</v>
      </c>
      <c r="U81" s="130">
        <f>+Actuals!R283</f>
        <v>0</v>
      </c>
      <c r="V81" s="129">
        <f>+Actuals!S283</f>
        <v>0</v>
      </c>
      <c r="W81" s="130">
        <f>+Actuals!T283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+Actuals!Y483</f>
        <v>0</v>
      </c>
      <c r="AC81" s="130">
        <f>+Actuals!Z483</f>
        <v>0</v>
      </c>
      <c r="AD81" s="129">
        <f>+Actuals!AA483</f>
        <v>0</v>
      </c>
      <c r="AE81" s="130">
        <f>+Actuals!AB483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2660596.9240000192</v>
      </c>
      <c r="F82" s="92">
        <f>F16+F24+F29+F36+F43+F45+F47+F49</f>
        <v>0</v>
      </c>
      <c r="G82" s="93">
        <f>SUM(G72:G81)+G16+G24+G29+G36+G43+G45+G47+G49+G51+G56+G61+G66</f>
        <v>-1137488.8399999999</v>
      </c>
      <c r="H82" s="92">
        <f>H16+H24+H29+H36+H43+H45+H47+H49</f>
        <v>0</v>
      </c>
      <c r="I82" s="93">
        <f>SUM(I72:I81)+I16+I24+I29+I36+I43+I45+I47+I49+I51+I56+I61+I66</f>
        <v>4597593.7760000005</v>
      </c>
      <c r="J82" s="92">
        <f>J16+J24+J29+J36+J43+J45+J47+J49</f>
        <v>0</v>
      </c>
      <c r="K82" s="166">
        <f>SUM(K72:K81)+K16+K24+K29+K36+K43+K45+K47+K49+K51+K56+K61+K66</f>
        <v>-639457.77400000056</v>
      </c>
      <c r="L82" s="92">
        <f>L16+L24+L29+L36+L43+L45+L47+L49</f>
        <v>0</v>
      </c>
      <c r="M82" s="93">
        <f>SUM(M72:M81)+M16+M24+M29+M36+M43+M45+M47+M49+M51+M56+M61+M66</f>
        <v>1215432.5620000004</v>
      </c>
      <c r="N82" s="92">
        <f>N16+N24+N29+N36+N43+N45+N47+N49</f>
        <v>0</v>
      </c>
      <c r="O82" s="93">
        <f>SUM(O72:O81)+O16+O24+O29+O36+O43+O45+O47+O49+O51+O56+O61+O66</f>
        <v>-1941179.0759999999</v>
      </c>
      <c r="P82" s="92">
        <f>P16+P24+P29+P36+P43+P45+P47+P49</f>
        <v>0</v>
      </c>
      <c r="Q82" s="93">
        <f>SUM(Q72:Q81)+Q16+Q24+Q29+Q36+Q43+Q45+Q47+Q49+Q51+Q56+Q61+Q66</f>
        <v>103782.228</v>
      </c>
      <c r="R82" s="92">
        <f>R16+R24+R29+R36+R43+R45+R47+R49</f>
        <v>0</v>
      </c>
      <c r="S82" s="93">
        <f>SUM(S72:S81)+S16+S24+S29+S36+S43+S45+S47+S49+S51+S56+S61+S66</f>
        <v>351783.74199999997</v>
      </c>
      <c r="T82" s="92">
        <f>T16+T24+T29+T36+T43+T45+T47+T49</f>
        <v>0</v>
      </c>
      <c r="U82" s="93">
        <f>SUM(U72:U81)+U16+U24+U29+U36+U43+U45+U47+U49+U51+U56+U61+U66</f>
        <v>83863.615999999922</v>
      </c>
      <c r="V82" s="92">
        <f>V16+V24+V29+V36+V43+V45+V47+V49</f>
        <v>0</v>
      </c>
      <c r="W82" s="93">
        <f>SUM(W72:W81)+W16+W24+W29+W36+W43+W45+W47+W49+W51+W56+W61+W66</f>
        <v>-28643.534000000065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1075.4040000001241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180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'TIE-OUT'!R86+RECLASS!R86</f>
        <v>0</v>
      </c>
      <c r="G86" s="175">
        <f>'TIE-OUT'!S86+RECLASS!S86</f>
        <v>69330.429999999993</v>
      </c>
      <c r="H86" s="175">
        <v>0</v>
      </c>
      <c r="I86" s="175">
        <v>0</v>
      </c>
      <c r="J86" s="175">
        <v>0</v>
      </c>
      <c r="K86" s="175"/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'TIE-OUT'!R87+RECLASS!R87</f>
        <v>0</v>
      </c>
      <c r="G87" s="176">
        <f>'TIE-OUT'!S87+RECLASS!S87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'TIE-OUT'!R88+RECLASS!R88</f>
        <v>0</v>
      </c>
      <c r="G88" s="177">
        <f>'TIE-OUT'!S88+RECLASS!S88</f>
        <v>-35600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2694327.3540000194</v>
      </c>
      <c r="F91" s="185">
        <f t="shared" si="28"/>
        <v>0</v>
      </c>
      <c r="G91" s="185">
        <f t="shared" si="28"/>
        <v>-1103758.4099999999</v>
      </c>
      <c r="H91" s="185">
        <f t="shared" si="28"/>
        <v>0</v>
      </c>
      <c r="I91" s="185">
        <f t="shared" si="28"/>
        <v>4597593.7760000005</v>
      </c>
      <c r="J91" s="185">
        <f t="shared" si="28"/>
        <v>0</v>
      </c>
      <c r="K91" s="185">
        <f t="shared" si="28"/>
        <v>-639457.77400000056</v>
      </c>
      <c r="L91" s="185">
        <f t="shared" si="28"/>
        <v>0</v>
      </c>
      <c r="M91" s="185">
        <f t="shared" si="28"/>
        <v>1215432.5620000004</v>
      </c>
      <c r="N91" s="185">
        <f t="shared" ref="N91:AE91" si="29">+N82+N89</f>
        <v>0</v>
      </c>
      <c r="O91" s="185">
        <f t="shared" si="29"/>
        <v>-1941179.0759999999</v>
      </c>
      <c r="P91" s="185">
        <f t="shared" si="29"/>
        <v>0</v>
      </c>
      <c r="Q91" s="185">
        <f t="shared" si="29"/>
        <v>103782.228</v>
      </c>
      <c r="R91" s="185">
        <f t="shared" si="29"/>
        <v>0</v>
      </c>
      <c r="S91" s="185">
        <f t="shared" si="29"/>
        <v>351783.74199999997</v>
      </c>
      <c r="T91" s="185">
        <f t="shared" si="29"/>
        <v>0</v>
      </c>
      <c r="U91" s="185">
        <f t="shared" si="29"/>
        <v>83863.615999999922</v>
      </c>
      <c r="V91" s="185">
        <f t="shared" si="29"/>
        <v>0</v>
      </c>
      <c r="W91" s="185">
        <f t="shared" si="29"/>
        <v>-28643.534000000065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1075.4040000001241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Q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949375</v>
      </c>
      <c r="E11" s="38">
        <f>SUM(G11,I11,K11,M11,O11,Q11,S11,U11,W11,Y11,AA11,AC11,AE11)</f>
        <v>2134834.7200000002</v>
      </c>
      <c r="F11" s="60">
        <f>'TIE-OUT'!P11+RECLASS!P11</f>
        <v>0</v>
      </c>
      <c r="G11" s="38">
        <f>'TIE-OUT'!Q11+RECLASS!Q11</f>
        <v>0</v>
      </c>
      <c r="H11" s="129">
        <f>+Actuals!E4</f>
        <v>940970</v>
      </c>
      <c r="I11" s="130">
        <f>+Actuals!F4</f>
        <v>2386634.91</v>
      </c>
      <c r="J11" s="129">
        <f>+Actuals!G4</f>
        <v>112066</v>
      </c>
      <c r="K11" s="149">
        <f>+Actuals!H4</f>
        <v>-9751.75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0</v>
      </c>
      <c r="Q11" s="130">
        <f>+Actuals!N4</f>
        <v>0</v>
      </c>
      <c r="R11" s="129">
        <f>+Actuals!O4</f>
        <v>-103661</v>
      </c>
      <c r="S11" s="130">
        <f>+Actuals!P4</f>
        <v>-242048.44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4146.6399999999994</v>
      </c>
      <c r="F12" s="60">
        <f>'TIE-OUT'!P12+RECLASS!P12</f>
        <v>0</v>
      </c>
      <c r="G12" s="38">
        <f>'TIE-OUT'!Q12+RECLASS!Q12</f>
        <v>5339.1399999999994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+Actuals!H5-1192.5</f>
        <v>-1192.5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">
      <c r="A16" s="9"/>
      <c r="B16" s="7" t="s">
        <v>32</v>
      </c>
      <c r="C16" s="6"/>
      <c r="D16" s="61">
        <f>SUM(D11:D15)</f>
        <v>949375</v>
      </c>
      <c r="E16" s="39">
        <f>SUM(E11:E15)</f>
        <v>2138981.3600000003</v>
      </c>
      <c r="F16" s="61">
        <f t="shared" ref="F16:Y16" si="1">SUM(F11:F15)</f>
        <v>0</v>
      </c>
      <c r="G16" s="39">
        <f t="shared" si="1"/>
        <v>5339.1399999999994</v>
      </c>
      <c r="H16" s="61">
        <f t="shared" si="1"/>
        <v>940970</v>
      </c>
      <c r="I16" s="39">
        <f t="shared" si="1"/>
        <v>2386634.91</v>
      </c>
      <c r="J16" s="61">
        <f t="shared" si="1"/>
        <v>112066</v>
      </c>
      <c r="K16" s="150">
        <f t="shared" si="1"/>
        <v>-10944.25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-103661</v>
      </c>
      <c r="S16" s="39">
        <f t="shared" si="1"/>
        <v>-242048.44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-1120385</v>
      </c>
      <c r="E19" s="38">
        <f t="shared" si="3"/>
        <v>-2524336.4900000002</v>
      </c>
      <c r="F19" s="64">
        <f>'TIE-OUT'!P19+RECLASS!P19</f>
        <v>0</v>
      </c>
      <c r="G19" s="68">
        <f>'TIE-OUT'!Q19+RECLASS!Q19</f>
        <v>0</v>
      </c>
      <c r="H19" s="129">
        <f>+Actuals!E9</f>
        <v>-958217</v>
      </c>
      <c r="I19" s="130">
        <f>+Actuals!F9</f>
        <v>-2150408.29</v>
      </c>
      <c r="J19" s="129">
        <f>+Actuals!G9</f>
        <v>-260446</v>
      </c>
      <c r="K19" s="149">
        <f>+Actuals!H9</f>
        <v>-594211.39</v>
      </c>
      <c r="L19" s="129">
        <f>+Actuals!I9</f>
        <v>-4887</v>
      </c>
      <c r="M19" s="130">
        <f>+Actuals!J9</f>
        <v>-7816.92</v>
      </c>
      <c r="N19" s="129">
        <f>+Actuals!K9</f>
        <v>-527</v>
      </c>
      <c r="O19" s="130">
        <f>+Actuals!L9</f>
        <v>-1052.68</v>
      </c>
      <c r="P19" s="129">
        <f>+Actuals!M9</f>
        <v>31</v>
      </c>
      <c r="Q19" s="130">
        <f>+Actuals!N9</f>
        <v>61.92</v>
      </c>
      <c r="R19" s="129">
        <f>+Actuals!O9</f>
        <v>103661</v>
      </c>
      <c r="S19" s="130">
        <f>+Actuals!P9</f>
        <v>229090.87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-12522.5</v>
      </c>
      <c r="F20" s="60">
        <f>'TIE-OUT'!P20+RECLASS!P20</f>
        <v>0</v>
      </c>
      <c r="G20" s="38">
        <f>'TIE-OUT'!Q20+RECLASS!Q20</f>
        <v>-12522.5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">
      <c r="A24" s="9"/>
      <c r="B24" s="7" t="s">
        <v>35</v>
      </c>
      <c r="C24" s="6"/>
      <c r="D24" s="61">
        <f>SUM(D19:D23)</f>
        <v>-1120385</v>
      </c>
      <c r="E24" s="39">
        <f>SUM(E19:E23)</f>
        <v>-2536858.9900000002</v>
      </c>
      <c r="F24" s="61">
        <f t="shared" ref="F24:Y24" si="4">SUM(F19:F23)</f>
        <v>0</v>
      </c>
      <c r="G24" s="39">
        <f t="shared" si="4"/>
        <v>-12522.5</v>
      </c>
      <c r="H24" s="61">
        <f t="shared" si="4"/>
        <v>-958217</v>
      </c>
      <c r="I24" s="39">
        <f t="shared" si="4"/>
        <v>-2150408.29</v>
      </c>
      <c r="J24" s="61">
        <f t="shared" si="4"/>
        <v>-260446</v>
      </c>
      <c r="K24" s="150">
        <f t="shared" si="4"/>
        <v>-594211.39</v>
      </c>
      <c r="L24" s="61">
        <f t="shared" si="4"/>
        <v>-4887</v>
      </c>
      <c r="M24" s="39">
        <f t="shared" si="4"/>
        <v>-7816.92</v>
      </c>
      <c r="N24" s="61">
        <f t="shared" si="4"/>
        <v>-527</v>
      </c>
      <c r="O24" s="39">
        <f t="shared" si="4"/>
        <v>-1052.68</v>
      </c>
      <c r="P24" s="61">
        <f t="shared" si="4"/>
        <v>31</v>
      </c>
      <c r="Q24" s="39">
        <f t="shared" si="4"/>
        <v>61.92</v>
      </c>
      <c r="R24" s="61">
        <f t="shared" si="4"/>
        <v>103661</v>
      </c>
      <c r="S24" s="39">
        <f t="shared" si="4"/>
        <v>229090.87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179837</v>
      </c>
      <c r="E27" s="38">
        <f>SUM(G27,I27,K27,M27,O27,Q27,S27,U27,W27,Y27,AA27,AC27,AE27)</f>
        <v>423248.48820000002</v>
      </c>
      <c r="F27" s="64">
        <f>'TIE-OUT'!P27+RECLASS!P27</f>
        <v>0</v>
      </c>
      <c r="G27" s="68">
        <f>'TIE-OUT'!Q27+RECLASS!Q27</f>
        <v>0</v>
      </c>
      <c r="H27" s="129">
        <f>+Actuals!E14</f>
        <v>24800</v>
      </c>
      <c r="I27" s="130">
        <f>+Actuals!F14</f>
        <v>58280</v>
      </c>
      <c r="J27" s="129">
        <f>+Actuals!G14</f>
        <v>149654</v>
      </c>
      <c r="K27" s="149">
        <f>+Actuals!H14</f>
        <v>354978.45439999999</v>
      </c>
      <c r="L27" s="129">
        <f>+Actuals!I14</f>
        <v>4887</v>
      </c>
      <c r="M27" s="130">
        <f>+Actuals!J14</f>
        <v>10862.8236</v>
      </c>
      <c r="N27" s="129">
        <f>+Actuals!K14</f>
        <v>527</v>
      </c>
      <c r="O27" s="130">
        <f>+Actuals!L14</f>
        <v>1171.4156</v>
      </c>
      <c r="P27" s="129">
        <f>+Actuals!M14</f>
        <v>-31</v>
      </c>
      <c r="Q27" s="130">
        <f>+Actuals!N14</f>
        <v>-68.906800000000004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0</v>
      </c>
      <c r="AA27" s="130">
        <f>+Actuals!X14</f>
        <v>0</v>
      </c>
      <c r="AB27" s="129">
        <f>+Actuals!Y14</f>
        <v>0</v>
      </c>
      <c r="AC27" s="130">
        <f>+Actuals!Z14</f>
        <v>-1975.2986000000019</v>
      </c>
      <c r="AD27" s="129">
        <f>+Actuals!AA14</f>
        <v>0</v>
      </c>
      <c r="AE27" s="130">
        <f>+Actuals!AB14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-8835</v>
      </c>
      <c r="E28" s="38">
        <f>SUM(G28,I28,K28,M28,O28,Q28,S28,U28,W28,Y28,AA28,AC28,AE28)</f>
        <v>-20067.32</v>
      </c>
      <c r="F28" s="81">
        <f>'TIE-OUT'!P28+RECLASS!P28</f>
        <v>0</v>
      </c>
      <c r="G28" s="82">
        <f>'TIE-OUT'!Q28+RECLASS!Q28</f>
        <v>0</v>
      </c>
      <c r="H28" s="129">
        <f>+Actuals!E15</f>
        <v>-7553</v>
      </c>
      <c r="I28" s="130">
        <f>+Actuals!F15</f>
        <v>-17179.82</v>
      </c>
      <c r="J28" s="129">
        <f>+Actuals!G15</f>
        <v>-1282</v>
      </c>
      <c r="K28" s="149">
        <f>+Actuals!H15</f>
        <v>-2887.5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0</v>
      </c>
      <c r="AA28" s="130">
        <f>+Actuals!X15</f>
        <v>0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">
      <c r="A29" s="9"/>
      <c r="B29" s="7" t="s">
        <v>39</v>
      </c>
      <c r="C29" s="18"/>
      <c r="D29" s="61">
        <f>SUM(D27:D28)</f>
        <v>171002</v>
      </c>
      <c r="E29" s="39">
        <f>SUM(E27:E28)</f>
        <v>403181.16820000001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17247</v>
      </c>
      <c r="I29" s="39">
        <f t="shared" si="6"/>
        <v>41100.18</v>
      </c>
      <c r="J29" s="61">
        <f t="shared" si="6"/>
        <v>148372</v>
      </c>
      <c r="K29" s="150">
        <f t="shared" si="6"/>
        <v>352090.95439999999</v>
      </c>
      <c r="L29" s="61">
        <f t="shared" si="6"/>
        <v>4887</v>
      </c>
      <c r="M29" s="39">
        <f t="shared" si="6"/>
        <v>10862.8236</v>
      </c>
      <c r="N29" s="61">
        <f t="shared" si="6"/>
        <v>527</v>
      </c>
      <c r="O29" s="39">
        <f t="shared" si="6"/>
        <v>1171.4156</v>
      </c>
      <c r="P29" s="61">
        <f t="shared" si="6"/>
        <v>-31</v>
      </c>
      <c r="Q29" s="39">
        <f t="shared" si="6"/>
        <v>-68.906800000000004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-1975.2986000000019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8</v>
      </c>
      <c r="E32" s="38">
        <f t="shared" si="8"/>
        <v>18.3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8</v>
      </c>
      <c r="K32" s="149">
        <f>+Actuals!H16</f>
        <v>18.3</v>
      </c>
      <c r="L32" s="129">
        <f>+Actuals!I16</f>
        <v>0</v>
      </c>
      <c r="M32" s="130">
        <f>+Actuals!J16</f>
        <v>-0.85599999999999998</v>
      </c>
      <c r="N32" s="129">
        <f>+Actuals!K16</f>
        <v>0</v>
      </c>
      <c r="O32" s="130">
        <f>+Actuals!L16</f>
        <v>0.55200000000000005</v>
      </c>
      <c r="P32" s="129">
        <f>+Actuals!M16</f>
        <v>0</v>
      </c>
      <c r="Q32" s="130">
        <f>+Actuals!N16</f>
        <v>2.6960000000000002</v>
      </c>
      <c r="R32" s="129">
        <f>+Actuals!O16</f>
        <v>0</v>
      </c>
      <c r="S32" s="130">
        <f>+Actuals!P16</f>
        <v>2.2480000000000002</v>
      </c>
      <c r="T32" s="129">
        <f>+Actuals!Q16</f>
        <v>0</v>
      </c>
      <c r="U32" s="130">
        <f>+Actuals!R16</f>
        <v>-5.2880000000000003</v>
      </c>
      <c r="V32" s="129">
        <f>+Actuals!S16</f>
        <v>0</v>
      </c>
      <c r="W32" s="130">
        <f>+Actuals!T16</f>
        <v>0.64800000000000002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">
      <c r="A36" s="9"/>
      <c r="B36" s="7" t="s">
        <v>45</v>
      </c>
      <c r="C36" s="6"/>
      <c r="D36" s="61">
        <f>SUM(D32:D35)</f>
        <v>8</v>
      </c>
      <c r="E36" s="39">
        <f>SUM(E32:E35)</f>
        <v>18.3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8</v>
      </c>
      <c r="K36" s="150">
        <f t="shared" si="9"/>
        <v>18.3</v>
      </c>
      <c r="L36" s="61">
        <f t="shared" si="9"/>
        <v>0</v>
      </c>
      <c r="M36" s="39">
        <f t="shared" si="9"/>
        <v>-0.85599999999999998</v>
      </c>
      <c r="N36" s="61">
        <f t="shared" si="9"/>
        <v>0</v>
      </c>
      <c r="O36" s="39">
        <f t="shared" si="9"/>
        <v>0.55200000000000005</v>
      </c>
      <c r="P36" s="61">
        <f t="shared" si="9"/>
        <v>0</v>
      </c>
      <c r="Q36" s="39">
        <f t="shared" si="9"/>
        <v>2.6960000000000002</v>
      </c>
      <c r="R36" s="61">
        <f t="shared" si="9"/>
        <v>0</v>
      </c>
      <c r="S36" s="39">
        <f t="shared" si="9"/>
        <v>2.2480000000000002</v>
      </c>
      <c r="T36" s="61">
        <f t="shared" si="9"/>
        <v>0</v>
      </c>
      <c r="U36" s="39">
        <f t="shared" si="9"/>
        <v>-5.2880000000000003</v>
      </c>
      <c r="V36" s="61">
        <f t="shared" si="9"/>
        <v>0</v>
      </c>
      <c r="W36" s="39">
        <f t="shared" si="9"/>
        <v>0.64800000000000002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Y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0</v>
      </c>
      <c r="L47" s="129">
        <f>+Actuals!I24</f>
        <v>0</v>
      </c>
      <c r="M47" s="130">
        <f>+Actuals!J24</f>
        <v>0</v>
      </c>
      <c r="N47" s="129">
        <f>+Actuals!K24</f>
        <v>0</v>
      </c>
      <c r="O47" s="130">
        <f>+Actuals!L24</f>
        <v>0</v>
      </c>
      <c r="P47" s="129">
        <f>+Actuals!M24</f>
        <v>0</v>
      </c>
      <c r="Q47" s="130">
        <f>+Actuals!N24-9718</f>
        <v>-9718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'TIE-OUT'!P55+RECLASS!P55</f>
        <v>0</v>
      </c>
      <c r="G55" s="82">
        <f>'TIE-OUT'!Q55+RECLASS!Q55</f>
        <v>-992568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62">
        <f>+Actuals!H28</f>
        <v>0</v>
      </c>
      <c r="L55" s="129">
        <f>+Actuals!I28</f>
        <v>0</v>
      </c>
      <c r="M55" s="130">
        <f>+Actuals!J28+322775</f>
        <v>322775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-669793</v>
      </c>
      <c r="F56" s="61">
        <f t="shared" ref="F56:Y56" si="16">SUM(F54:F55)</f>
        <v>0</v>
      </c>
      <c r="G56" s="39">
        <f t="shared" si="16"/>
        <v>-992568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322775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-4542.88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0</v>
      </c>
      <c r="R59" s="129">
        <f>+Actuals!O29</f>
        <v>0</v>
      </c>
      <c r="S59" s="130">
        <f>+Actuals!P29</f>
        <v>-4542.88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-4542.88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-850463</v>
      </c>
      <c r="E64" s="38">
        <f>SUM(G64,I64,K64,M64,O64,Q64,S64,U64,W64,Y64,AA64,AC64,AE64)</f>
        <v>-97852.200000000012</v>
      </c>
      <c r="F64" s="64">
        <f>'TIE-OUT'!P64+RECLASS!P64</f>
        <v>0</v>
      </c>
      <c r="G64" s="68">
        <f>'TIE-OUT'!Q64+RECLASS!Q64</f>
        <v>0</v>
      </c>
      <c r="H64" s="129">
        <f>+Actuals!E31</f>
        <v>-668665</v>
      </c>
      <c r="I64" s="130">
        <f>+Actuals!F31</f>
        <v>-61137.38</v>
      </c>
      <c r="J64" s="129">
        <f>+Actuals!G31</f>
        <v>-181798</v>
      </c>
      <c r="K64" s="149">
        <f>+Actuals!H31</f>
        <v>-36250.82</v>
      </c>
      <c r="L64" s="129">
        <f>+Actuals!I31</f>
        <v>0</v>
      </c>
      <c r="M64" s="130">
        <f>+Actuals!J31</f>
        <v>-459.02</v>
      </c>
      <c r="N64" s="129">
        <f>+Actuals!K31</f>
        <v>-527</v>
      </c>
      <c r="O64" s="130">
        <f>+Actuals!L31</f>
        <v>-5.27</v>
      </c>
      <c r="P64" s="129">
        <f>+Actuals!M31</f>
        <v>527</v>
      </c>
      <c r="Q64" s="130">
        <f>+Actuals!N31</f>
        <v>0.28999999999999998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0</v>
      </c>
      <c r="W64" s="130">
        <f>+Actuals!T31</f>
        <v>0</v>
      </c>
      <c r="X64" s="129">
        <f>+Actuals!U31</f>
        <v>0</v>
      </c>
      <c r="Y64" s="130">
        <f>+Actuals!V31</f>
        <v>0</v>
      </c>
      <c r="Z64" s="129">
        <f>+Actuals!W31</f>
        <v>0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169025</v>
      </c>
      <c r="F65" s="81">
        <f>'TIE-OUT'!P65+RECLASS!P65</f>
        <v>0</v>
      </c>
      <c r="G65" s="82">
        <f>'TIE-OUT'!Q65+RECLASS!Q65</f>
        <v>-190641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+Actuals!H32+359202-1007</f>
        <v>358195</v>
      </c>
      <c r="L65" s="129">
        <f>+Actuals!I32</f>
        <v>0</v>
      </c>
      <c r="M65" s="130">
        <f>+Actuals!J32</f>
        <v>0</v>
      </c>
      <c r="N65" s="129">
        <f>+Actuals!K32</f>
        <v>0</v>
      </c>
      <c r="O65" s="130">
        <f>+Actuals!L32+459+5</f>
        <v>464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</f>
        <v>0</v>
      </c>
      <c r="T65" s="129">
        <f>+Actuals!Q32</f>
        <v>0</v>
      </c>
      <c r="U65" s="130">
        <v>1007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">
      <c r="A66" s="9"/>
      <c r="B66" s="7" t="s">
        <v>66</v>
      </c>
      <c r="C66" s="6"/>
      <c r="D66" s="61">
        <f>SUM(D64:D65)</f>
        <v>-850463</v>
      </c>
      <c r="E66" s="39">
        <f>SUM(E64:E65)</f>
        <v>71172.799999999988</v>
      </c>
      <c r="F66" s="61">
        <f t="shared" ref="F66:Y66" si="20">SUM(F64:F65)</f>
        <v>0</v>
      </c>
      <c r="G66" s="39">
        <f t="shared" si="20"/>
        <v>-190641</v>
      </c>
      <c r="H66" s="61">
        <f t="shared" si="20"/>
        <v>-668665</v>
      </c>
      <c r="I66" s="39">
        <f t="shared" si="20"/>
        <v>-61137.38</v>
      </c>
      <c r="J66" s="61">
        <f t="shared" si="20"/>
        <v>-181798</v>
      </c>
      <c r="K66" s="150">
        <f t="shared" si="20"/>
        <v>321944.18</v>
      </c>
      <c r="L66" s="61">
        <f t="shared" si="20"/>
        <v>0</v>
      </c>
      <c r="M66" s="39">
        <f t="shared" si="20"/>
        <v>-459.02</v>
      </c>
      <c r="N66" s="61">
        <f t="shared" si="20"/>
        <v>-527</v>
      </c>
      <c r="O66" s="39">
        <f t="shared" si="20"/>
        <v>458.73</v>
      </c>
      <c r="P66" s="61">
        <f t="shared" si="20"/>
        <v>527</v>
      </c>
      <c r="Q66" s="39">
        <f t="shared" si="20"/>
        <v>0.28999999999999998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1007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61">
        <f t="shared" ref="F72:Y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+Actuals!F43+31161</f>
        <v>31161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-576398.24179999996</v>
      </c>
      <c r="F82" s="92">
        <f>F16+F24+F29+F36+F43+F45+F47+F49</f>
        <v>0</v>
      </c>
      <c r="G82" s="93">
        <f>SUM(G72:G81)+G16+G24+G29+G36+G43+G45+G47+G49+G51+G56+G61+G66</f>
        <v>-1190392.3599999999</v>
      </c>
      <c r="H82" s="92">
        <f>H16+H24+H29+H36+H43+H45+H47+H49</f>
        <v>0</v>
      </c>
      <c r="I82" s="93">
        <f>SUM(I72:I81)+I16+I24+I29+I36+I43+I45+I47+I49+I51+I56+I61+I66</f>
        <v>247350.4200000001</v>
      </c>
      <c r="J82" s="92">
        <f>J16+J24+J29+J36+J43+J45+J47+J49</f>
        <v>0</v>
      </c>
      <c r="K82" s="112">
        <f>SUM(K72:K81)+K16+K24+K29+K36+K43+K45+K47+K49+K51+K56+K61+K66</f>
        <v>68897.794399999955</v>
      </c>
      <c r="L82" s="92">
        <f>L16+L24+L29+L36+L43+L45+L47+L49</f>
        <v>0</v>
      </c>
      <c r="M82" s="93">
        <f>SUM(M72:M81)+M16+M24+M29+M36+M43+M45+M47+M49+M51+M56+M61+M66</f>
        <v>325361.02759999997</v>
      </c>
      <c r="N82" s="92">
        <f>N16+N24+N29+N36+N43+N45+N47+N49</f>
        <v>0</v>
      </c>
      <c r="O82" s="93">
        <f>SUM(O72:O81)+O16+O24+O29+O36+O43+O45+O47+O49+O51+O56+O61+O66</f>
        <v>578.01760000000002</v>
      </c>
      <c r="P82" s="92">
        <f>P16+P24+P29+P36+P43+P45+P47+P49</f>
        <v>0</v>
      </c>
      <c r="Q82" s="93">
        <f>SUM(Q72:Q81)+Q16+Q24+Q29+Q36+Q43+Q45+Q47+Q49+Q51+Q56+Q61+Q66</f>
        <v>-9722.0007999999998</v>
      </c>
      <c r="R82" s="92">
        <f>R16+R24+R29+R36+R43+R45+R47+R49</f>
        <v>0</v>
      </c>
      <c r="S82" s="93">
        <f>SUM(S72:S81)+S16+S24+S29+S36+S43+S45+S47+S49+S51+S56+S61+S66</f>
        <v>-17498.202000000008</v>
      </c>
      <c r="T82" s="92">
        <f>T16+T24+T29+T36+T43+T45+T47+T49</f>
        <v>0</v>
      </c>
      <c r="U82" s="93">
        <f>SUM(U72:U81)+U16+U24+U29+U36+U43+U45+U47+U49+U51+U56+U61+U66</f>
        <v>1001.712</v>
      </c>
      <c r="V82" s="92">
        <f>V16+V24+V29+V36+V43+V45+V47+V49</f>
        <v>0</v>
      </c>
      <c r="W82" s="93">
        <f>SUM(W72:W81)+W16+W24+W29+W36+W43+W45+W47+W49+W51+W56+W61+W66</f>
        <v>0.64800000000000002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-1975.2986000000019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M73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50785152</v>
      </c>
      <c r="E11" s="38">
        <f>SUM(G11,I11,K11,M11,O11,Q11,S11,U11,W11,Y11,AA11,AC11,AE11)</f>
        <v>120776135.31999999</v>
      </c>
      <c r="F11" s="60">
        <f>('TIE-OUT'!P11+'TIE-OUT'!R11)+(RECLASS!P11+RECLASS!R11)</f>
        <v>0</v>
      </c>
      <c r="G11" s="38">
        <f>('TIE-OUT'!Q11+'TIE-OUT'!S11)+(RECLASS!Q11+RECLASS!S11)</f>
        <v>1401510</v>
      </c>
      <c r="H11" s="60">
        <f>'TX-EGM-GL'!H11+'TX-HPL-GL '!H11</f>
        <v>47529386</v>
      </c>
      <c r="I11" s="38">
        <f>'TX-EGM-GL'!I11+'TX-HPL-GL '!I11</f>
        <v>112209712.28999998</v>
      </c>
      <c r="J11" s="60">
        <f>'TX-EGM-GL'!J11+'TX-HPL-GL '!J11</f>
        <v>3083385</v>
      </c>
      <c r="K11" s="38">
        <f>'TX-EGM-GL'!K11+'TX-HPL-GL '!K11</f>
        <v>6876059.79</v>
      </c>
      <c r="L11" s="60">
        <f>'TX-EGM-GL'!L11+'TX-HPL-GL '!L11</f>
        <v>1903709</v>
      </c>
      <c r="M11" s="38">
        <f>'TX-EGM-GL'!M11+'TX-HPL-GL '!M11</f>
        <v>4017634.18</v>
      </c>
      <c r="N11" s="60">
        <f>'TX-EGM-GL'!N11+'TX-HPL-GL '!N11</f>
        <v>-1923683</v>
      </c>
      <c r="O11" s="38">
        <f>'TX-EGM-GL'!O11+'TX-HPL-GL '!O11</f>
        <v>-4443613.5199999996</v>
      </c>
      <c r="P11" s="60">
        <f>'TX-EGM-GL'!P11+'TX-HPL-GL '!P11</f>
        <v>342523</v>
      </c>
      <c r="Q11" s="38">
        <f>'TX-EGM-GL'!Q11+'TX-HPL-GL '!Q11</f>
        <v>801864.62</v>
      </c>
      <c r="R11" s="60">
        <f>'TX-EGM-GL'!R11+'TX-HPL-GL '!R11</f>
        <v>-159091</v>
      </c>
      <c r="S11" s="38">
        <f>'TX-EGM-GL'!S11+'TX-HPL-GL '!S11</f>
        <v>-221737.46</v>
      </c>
      <c r="T11" s="60">
        <f>'TX-EGM-GL'!T11+'TX-HPL-GL '!T11</f>
        <v>70695</v>
      </c>
      <c r="U11" s="38">
        <f>'TX-EGM-GL'!U11+'TX-HPL-GL '!U11</f>
        <v>291010.61</v>
      </c>
      <c r="V11" s="60">
        <f>'TX-EGM-GL'!V11+'TX-HPL-GL '!V11</f>
        <v>5491</v>
      </c>
      <c r="W11" s="38">
        <f>'TX-EGM-GL'!W11+'TX-HPL-GL '!W11</f>
        <v>11557.05</v>
      </c>
      <c r="X11" s="60">
        <f>'TX-EGM-GL'!X11+'TX-HPL-GL '!X11</f>
        <v>-11513</v>
      </c>
      <c r="Y11" s="38">
        <f>'TX-EGM-GL'!Y11+'TX-HPL-GL '!Y11</f>
        <v>-29704.17</v>
      </c>
      <c r="Z11" s="60">
        <f>'TX-EGM-GL'!Z11+'TX-HPL-GL '!Z11</f>
        <v>-32087</v>
      </c>
      <c r="AA11" s="38">
        <f>'TX-EGM-GL'!AA11+'TX-HPL-GL '!AA11</f>
        <v>-78405.78</v>
      </c>
      <c r="AB11" s="60">
        <f>'TX-EGM-GL'!AB11+'TX-HPL-GL '!AB11</f>
        <v>0</v>
      </c>
      <c r="AC11" s="38">
        <f>'TX-EGM-GL'!AC11+'TX-HPL-GL '!AC11</f>
        <v>0</v>
      </c>
      <c r="AD11" s="60">
        <f>'TX-EGM-GL'!AD11+'TX-HPL-GL '!AD11</f>
        <v>-23663</v>
      </c>
      <c r="AE11" s="38">
        <f>'TX-EGM-GL'!AE11+'TX-HPL-GL '!AE11</f>
        <v>-59752.29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-3057392.79</v>
      </c>
      <c r="F12" s="60">
        <f>('TIE-OUT'!P12+'TIE-OUT'!R12)+(RECLASS!P12+RECLASS!R12)</f>
        <v>0</v>
      </c>
      <c r="G12" s="38">
        <f>('TIE-OUT'!Q12+'TIE-OUT'!S12)+(RECLASS!Q12+RECLASS!S12)</f>
        <v>-3039903.21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-17489.580000000002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33068401</v>
      </c>
      <c r="I13" s="38">
        <f>'TX-EGM-GL'!I13+'TX-HPL-GL '!I13</f>
        <v>74404619</v>
      </c>
      <c r="J13" s="60">
        <f>'TX-EGM-GL'!J13+'TX-HPL-GL '!J13</f>
        <v>-2000</v>
      </c>
      <c r="K13" s="38">
        <f>'TX-EGM-GL'!K13+'TX-HPL-GL '!K13</f>
        <v>-4399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71127</v>
      </c>
      <c r="S13" s="38">
        <f>'TX-EGM-GL'!S13+'TX-HPL-GL '!S13</f>
        <v>159945</v>
      </c>
      <c r="T13" s="60">
        <f>'TX-EGM-GL'!T13+'TX-HPL-GL '!T13</f>
        <v>71127</v>
      </c>
      <c r="U13" s="38">
        <f>'TX-EGM-GL'!U13+'TX-HPL-GL '!U13</f>
        <v>159945</v>
      </c>
      <c r="V13" s="60">
        <f>'TX-EGM-GL'!V13+'TX-HPL-GL '!V13</f>
        <v>-140254</v>
      </c>
      <c r="W13" s="38">
        <f>'TX-EGM-GL'!W13+'TX-HPL-GL '!W13</f>
        <v>-315491</v>
      </c>
      <c r="X13" s="60">
        <f>'TX-EGM-GL'!X13+'TX-HPL-GL '!X13</f>
        <v>140254</v>
      </c>
      <c r="Y13" s="38">
        <f>'TX-EGM-GL'!Y13+'TX-HPL-GL '!Y13</f>
        <v>315491</v>
      </c>
      <c r="Z13" s="60">
        <f>'TX-EGM-GL'!Z13+'TX-HPL-GL '!Z13</f>
        <v>0</v>
      </c>
      <c r="AA13" s="38">
        <f>'TX-EGM-GL'!AA13+'TX-HPL-GL '!AA13</f>
        <v>0</v>
      </c>
      <c r="AB13" s="60">
        <f>'TX-EGM-GL'!AB13+'TX-HPL-GL '!AB13</f>
        <v>-140254</v>
      </c>
      <c r="AC13" s="38">
        <f>'TX-EGM-GL'!AC13+'TX-HPL-GL '!AC13</f>
        <v>-315491</v>
      </c>
      <c r="AD13" s="60">
        <f>'TX-EGM-GL'!AD13+'TX-HPL-GL '!AD13</f>
        <v>0</v>
      </c>
      <c r="AE13" s="38">
        <f>'TX-EGM-GL'!AE13+'TX-HPL-GL '!AE13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</row>
    <row r="16" spans="1:31" x14ac:dyDescent="0.2">
      <c r="A16" s="9"/>
      <c r="B16" s="7" t="s">
        <v>32</v>
      </c>
      <c r="C16" s="6"/>
      <c r="D16" s="61">
        <f>SUM(D11:D15)</f>
        <v>83853553</v>
      </c>
      <c r="E16" s="39">
        <f>SUM(E11:E15)</f>
        <v>192123361.52999997</v>
      </c>
      <c r="F16" s="61">
        <f t="shared" ref="F16:X16" si="1">SUM(F11:F15)</f>
        <v>0</v>
      </c>
      <c r="G16" s="39">
        <f t="shared" si="1"/>
        <v>-1638393.21</v>
      </c>
      <c r="H16" s="61">
        <f t="shared" si="1"/>
        <v>80597787</v>
      </c>
      <c r="I16" s="39">
        <f t="shared" si="1"/>
        <v>186614331.28999996</v>
      </c>
      <c r="J16" s="61">
        <f t="shared" si="1"/>
        <v>3081385</v>
      </c>
      <c r="K16" s="39">
        <f t="shared" si="1"/>
        <v>6854171.21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-87964</v>
      </c>
      <c r="S16" s="39">
        <f t="shared" si="1"/>
        <v>-61792.459999999992</v>
      </c>
      <c r="T16" s="61">
        <f t="shared" si="1"/>
        <v>141822</v>
      </c>
      <c r="U16" s="39">
        <f>SUM(U11:U15)</f>
        <v>450955.61</v>
      </c>
      <c r="V16" s="61">
        <f t="shared" si="1"/>
        <v>-134763</v>
      </c>
      <c r="W16" s="39">
        <f>SUM(W11:W15)</f>
        <v>-303933.95</v>
      </c>
      <c r="X16" s="61">
        <f t="shared" si="1"/>
        <v>128741</v>
      </c>
      <c r="Y16" s="39">
        <f t="shared" ref="Y16:AE16" si="2">SUM(Y11:Y15)</f>
        <v>285786.83</v>
      </c>
      <c r="Z16" s="61">
        <f t="shared" si="2"/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-41878078</v>
      </c>
      <c r="E19" s="38">
        <f t="shared" si="3"/>
        <v>-94266943.739999995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-37219222</v>
      </c>
      <c r="I19" s="38">
        <f>'TX-EGM-GL'!I19+'TX-HPL-GL '!I19</f>
        <v>-83034743.13000001</v>
      </c>
      <c r="J19" s="60">
        <f>'TX-EGM-GL'!J19+'TX-HPL-GL '!J19</f>
        <v>-4730536</v>
      </c>
      <c r="K19" s="38">
        <f>'TX-EGM-GL'!K19+'TX-HPL-GL '!K19</f>
        <v>-11417859.790000001</v>
      </c>
      <c r="L19" s="60">
        <f>'TX-EGM-GL'!L19+'TX-HPL-GL '!L19</f>
        <v>-106272</v>
      </c>
      <c r="M19" s="38">
        <f>'TX-EGM-GL'!M19+'TX-HPL-GL '!M19</f>
        <v>-226603.58000000002</v>
      </c>
      <c r="N19" s="60">
        <f>'TX-EGM-GL'!N19+'TX-HPL-GL '!N19</f>
        <v>181043</v>
      </c>
      <c r="O19" s="38">
        <f>'TX-EGM-GL'!O19+'TX-HPL-GL '!O19</f>
        <v>421251.12</v>
      </c>
      <c r="P19" s="60">
        <f>'TX-EGM-GL'!P19+'TX-HPL-GL '!P19</f>
        <v>-55969</v>
      </c>
      <c r="Q19" s="38">
        <f>'TX-EGM-GL'!Q19+'TX-HPL-GL '!Q19</f>
        <v>-122018.08</v>
      </c>
      <c r="R19" s="60">
        <f>'TX-EGM-GL'!R19+'TX-HPL-GL '!R19</f>
        <v>96244</v>
      </c>
      <c r="S19" s="38">
        <f>'TX-EGM-GL'!S19+'TX-HPL-GL '!S19</f>
        <v>208669.91</v>
      </c>
      <c r="T19" s="60">
        <f>'TX-EGM-GL'!T19+'TX-HPL-GL '!T19</f>
        <v>-81250</v>
      </c>
      <c r="U19" s="38">
        <f>'TX-EGM-GL'!U19+'TX-HPL-GL '!U19</f>
        <v>-179348.03</v>
      </c>
      <c r="V19" s="60">
        <f>'TX-EGM-GL'!V19+'TX-HPL-GL '!V19</f>
        <v>-5491</v>
      </c>
      <c r="W19" s="38">
        <f>'TX-EGM-GL'!W19+'TX-HPL-GL '!W19</f>
        <v>-11833.1</v>
      </c>
      <c r="X19" s="60">
        <f>'TX-EGM-GL'!X19+'TX-HPL-GL '!X19</f>
        <v>11513</v>
      </c>
      <c r="Y19" s="38">
        <f>'TX-EGM-GL'!Y19+'TX-HPL-GL '!Y19</f>
        <v>26036.79</v>
      </c>
      <c r="Z19" s="60">
        <f>'TX-EGM-GL'!Z19+'TX-HPL-GL '!Z19</f>
        <v>31962</v>
      </c>
      <c r="AA19" s="38">
        <f>'TX-EGM-GL'!AA19+'TX-HPL-GL '!AA19</f>
        <v>69720.149999999994</v>
      </c>
      <c r="AB19" s="60">
        <f>'TX-EGM-GL'!AB19+'TX-HPL-GL '!AB19</f>
        <v>-100</v>
      </c>
      <c r="AC19" s="38">
        <f>'TX-EGM-GL'!AC19+'TX-HPL-GL '!AC19</f>
        <v>-216</v>
      </c>
      <c r="AD19" s="60">
        <f>'TX-EGM-GL'!AD19+'TX-HPL-GL '!AD19</f>
        <v>0</v>
      </c>
      <c r="AE19" s="38">
        <f>'TX-EGM-GL'!AE19+'TX-HPL-GL '!AE19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-615196.24000000011</v>
      </c>
      <c r="F20" s="60">
        <f>('TIE-OUT'!P20+'TIE-OUT'!R20)+(RECLASS!P20+RECLASS!R20)</f>
        <v>0</v>
      </c>
      <c r="G20" s="38">
        <f>('TIE-OUT'!Q20+'TIE-OUT'!S20)+(RECLASS!Q20+RECLASS!S20)</f>
        <v>-615196.24000000011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-35034400</v>
      </c>
      <c r="I21" s="38">
        <f>'TX-EGM-GL'!I21+'TX-HPL-GL '!I21</f>
        <v>-78683911</v>
      </c>
      <c r="J21" s="60">
        <f>'TX-EGM-GL'!J21+'TX-HPL-GL '!J21</f>
        <v>395139</v>
      </c>
      <c r="K21" s="38">
        <f>'TX-EGM-GL'!K21+'TX-HPL-GL '!K21</f>
        <v>865067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-20682</v>
      </c>
      <c r="O21" s="38">
        <f>'TX-EGM-GL'!O21+'TX-HPL-GL '!O21</f>
        <v>-43946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-71127</v>
      </c>
      <c r="S21" s="38">
        <f>'TX-EGM-GL'!S21+'TX-HPL-GL '!S21</f>
        <v>-159945</v>
      </c>
      <c r="T21" s="60">
        <f>'TX-EGM-GL'!T21+'TX-HPL-GL '!T21</f>
        <v>-71127</v>
      </c>
      <c r="U21" s="38">
        <f>'TX-EGM-GL'!U21+'TX-HPL-GL '!U21</f>
        <v>-159945</v>
      </c>
      <c r="V21" s="60">
        <f>'TX-EGM-GL'!V21+'TX-HPL-GL '!V21</f>
        <v>-232203</v>
      </c>
      <c r="W21" s="38">
        <f>'TX-EGM-GL'!W21+'TX-HPL-GL '!W21</f>
        <v>-501231</v>
      </c>
      <c r="X21" s="60">
        <f>'TX-EGM-GL'!X21+'TX-HPL-GL '!X21</f>
        <v>232203</v>
      </c>
      <c r="Y21" s="38">
        <f>'TX-EGM-GL'!Y21+'TX-HPL-GL '!Y21</f>
        <v>501231</v>
      </c>
      <c r="Z21" s="60">
        <f>'TX-EGM-GL'!Z21+'TX-HPL-GL '!Z21</f>
        <v>0</v>
      </c>
      <c r="AA21" s="38">
        <f>'TX-EGM-GL'!AA21+'TX-HPL-GL '!AA21</f>
        <v>0</v>
      </c>
      <c r="AB21" s="60">
        <f>'TX-EGM-GL'!AB21+'TX-HPL-GL '!AB21</f>
        <v>-232203</v>
      </c>
      <c r="AC21" s="38">
        <f>'TX-EGM-GL'!AC21+'TX-HPL-GL '!AC21</f>
        <v>-501231</v>
      </c>
      <c r="AD21" s="60">
        <f>'TX-EGM-GL'!AD21+'TX-HPL-GL '!AD21</f>
        <v>0</v>
      </c>
      <c r="AE21" s="38">
        <f>'TX-EGM-GL'!AE21+'TX-HPL-GL '!AE21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3105</v>
      </c>
      <c r="I23" s="38">
        <f>'TX-EGM-GL'!I23+'TX-HPL-GL '!I23</f>
        <v>7104.24</v>
      </c>
      <c r="J23" s="60">
        <f>'TX-EGM-GL'!J23+'TX-HPL-GL '!J23</f>
        <v>8735</v>
      </c>
      <c r="K23" s="38">
        <f>'TX-EGM-GL'!K23+'TX-HPL-GL '!K23</f>
        <v>19985.68</v>
      </c>
      <c r="L23" s="60">
        <f>'TX-EGM-GL'!L23+'TX-HPL-GL '!L23</f>
        <v>1</v>
      </c>
      <c r="M23" s="38">
        <f>'TX-EGM-GL'!M23+'TX-HPL-GL '!M23</f>
        <v>2.29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</row>
    <row r="24" spans="1:31" x14ac:dyDescent="0.2">
      <c r="A24" s="9"/>
      <c r="B24" s="7" t="s">
        <v>35</v>
      </c>
      <c r="C24" s="6"/>
      <c r="D24" s="61">
        <f>SUM(D19:D23)</f>
        <v>-76900637</v>
      </c>
      <c r="E24" s="39">
        <f>SUM(E19:E23)</f>
        <v>-173538958.76999998</v>
      </c>
      <c r="F24" s="61">
        <f t="shared" ref="F24:X24" si="4">SUM(F19:F23)</f>
        <v>0</v>
      </c>
      <c r="G24" s="39">
        <f t="shared" si="4"/>
        <v>-615196.24000000011</v>
      </c>
      <c r="H24" s="61">
        <f t="shared" si="4"/>
        <v>-72250517</v>
      </c>
      <c r="I24" s="39">
        <f t="shared" si="4"/>
        <v>-161711549.88999999</v>
      </c>
      <c r="J24" s="61">
        <f t="shared" si="4"/>
        <v>-4326662</v>
      </c>
      <c r="K24" s="39">
        <f t="shared" si="4"/>
        <v>-10532807.110000001</v>
      </c>
      <c r="L24" s="61">
        <f t="shared" si="4"/>
        <v>-106271</v>
      </c>
      <c r="M24" s="39">
        <f t="shared" si="4"/>
        <v>-226601.29</v>
      </c>
      <c r="N24" s="61">
        <f t="shared" si="4"/>
        <v>160361</v>
      </c>
      <c r="O24" s="39">
        <f t="shared" si="4"/>
        <v>377305.12</v>
      </c>
      <c r="P24" s="61">
        <f t="shared" si="4"/>
        <v>-55969</v>
      </c>
      <c r="Q24" s="39">
        <f t="shared" si="4"/>
        <v>-122018.08</v>
      </c>
      <c r="R24" s="61">
        <f t="shared" si="4"/>
        <v>25117</v>
      </c>
      <c r="S24" s="39">
        <f t="shared" si="4"/>
        <v>48724.91</v>
      </c>
      <c r="T24" s="61">
        <f t="shared" si="4"/>
        <v>-152377</v>
      </c>
      <c r="U24" s="39">
        <f>SUM(U19:U23)</f>
        <v>-339293.03</v>
      </c>
      <c r="V24" s="61">
        <f t="shared" si="4"/>
        <v>-237694</v>
      </c>
      <c r="W24" s="39">
        <f>SUM(W19:W23)</f>
        <v>-513064.1</v>
      </c>
      <c r="X24" s="61">
        <f t="shared" si="4"/>
        <v>243716</v>
      </c>
      <c r="Y24" s="39">
        <f t="shared" ref="Y24:AE24" si="5">SUM(Y19:Y23)</f>
        <v>527267.79</v>
      </c>
      <c r="Z24" s="61">
        <f t="shared" si="5"/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396026</v>
      </c>
      <c r="E27" s="38">
        <f>SUM(G27,I27,K27,M27,O27,Q27,S27,U27,W27,Y27,AA27,AC27,AE27)</f>
        <v>931293.08819999988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231128</v>
      </c>
      <c r="I27" s="38">
        <f>'TX-EGM-GL'!I27+'TX-HPL-GL '!I27</f>
        <v>543150.78</v>
      </c>
      <c r="J27" s="60">
        <f>'TX-EGM-GL'!J27+'TX-HPL-GL '!J27</f>
        <v>149666</v>
      </c>
      <c r="K27" s="38">
        <f>'TX-EGM-GL'!K27+'TX-HPL-GL '!K27</f>
        <v>355006.67439999996</v>
      </c>
      <c r="L27" s="60">
        <f>'TX-EGM-GL'!L27+'TX-HPL-GL '!L27</f>
        <v>15120</v>
      </c>
      <c r="M27" s="38">
        <f>'TX-EGM-GL'!M27+'TX-HPL-GL '!M27</f>
        <v>34910.823600000003</v>
      </c>
      <c r="N27" s="60">
        <f>'TX-EGM-GL'!N27+'TX-HPL-GL '!N27</f>
        <v>527</v>
      </c>
      <c r="O27" s="38">
        <f>'TX-EGM-GL'!O27+'TX-HPL-GL '!O27</f>
        <v>1171.4156</v>
      </c>
      <c r="P27" s="60">
        <f>'TX-EGM-GL'!P27+'TX-HPL-GL '!P27</f>
        <v>-31</v>
      </c>
      <c r="Q27" s="38">
        <f>'TX-EGM-GL'!Q27+'TX-HPL-GL '!Q27</f>
        <v>-68.906800000000004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-384</v>
      </c>
      <c r="U27" s="38">
        <f>'TX-EGM-GL'!U27+'TX-HPL-GL '!U27</f>
        <v>-902.4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-1975.2986000000019</v>
      </c>
      <c r="AD27" s="60">
        <f>'TX-EGM-GL'!AD27+'TX-HPL-GL '!AD27</f>
        <v>0</v>
      </c>
      <c r="AE27" s="38">
        <f>'TX-EGM-GL'!AE27+'TX-HPL-GL '!AE27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-15253827</v>
      </c>
      <c r="E28" s="38">
        <f>SUM(G28,I28,K28,M28,O28,Q28,S28,U28,W28,Y28,AA28,AC28,AE28)</f>
        <v>-35714110.910000011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-15278251</v>
      </c>
      <c r="I28" s="38">
        <f>'TX-EGM-GL'!I28+'TX-HPL-GL '!I28</f>
        <v>-35737134.200000003</v>
      </c>
      <c r="J28" s="60">
        <f>'TX-EGM-GL'!J28+'TX-HPL-GL '!J28</f>
        <v>-141550</v>
      </c>
      <c r="K28" s="38">
        <f>'TX-EGM-GL'!K28+'TX-HPL-GL '!K28</f>
        <v>-333877.56</v>
      </c>
      <c r="L28" s="60">
        <f>'TX-EGM-GL'!L28+'TX-HPL-GL '!L28</f>
        <v>-694255</v>
      </c>
      <c r="M28" s="38">
        <f>'TX-EGM-GL'!M28+'TX-HPL-GL '!M28</f>
        <v>-716.57</v>
      </c>
      <c r="N28" s="60">
        <f>'TX-EGM-GL'!N28+'TX-HPL-GL '!N28</f>
        <v>690698</v>
      </c>
      <c r="O28" s="38">
        <f>'TX-EGM-GL'!O28+'TX-HPL-GL '!O28</f>
        <v>-7760.43</v>
      </c>
      <c r="P28" s="60">
        <f>'TX-EGM-GL'!P28+'TX-HPL-GL '!P28</f>
        <v>0</v>
      </c>
      <c r="Q28" s="38">
        <f>'TX-EGM-GL'!Q28+'TX-HPL-GL '!Q28</f>
        <v>0</v>
      </c>
      <c r="R28" s="60">
        <f>'TX-EGM-GL'!R28+'TX-HPL-GL '!R28</f>
        <v>138080</v>
      </c>
      <c r="S28" s="38">
        <f>'TX-EGM-GL'!S28+'TX-HPL-GL '!S28</f>
        <v>291468</v>
      </c>
      <c r="T28" s="60">
        <f>'TX-EGM-GL'!T28+'TX-HPL-GL '!T28</f>
        <v>10233</v>
      </c>
      <c r="U28" s="38">
        <f>'TX-EGM-GL'!U28+'TX-HPL-GL '!U28</f>
        <v>24047.55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21218</v>
      </c>
      <c r="AC28" s="38">
        <f>'TX-EGM-GL'!AC28+'TX-HPL-GL '!AC28</f>
        <v>49862.3</v>
      </c>
      <c r="AD28" s="60">
        <f>'TX-EGM-GL'!AD28+'TX-HPL-GL '!AD28</f>
        <v>0</v>
      </c>
      <c r="AE28" s="38">
        <f>'TX-EGM-GL'!AE28+'TX-HPL-GL '!AE28</f>
        <v>0</v>
      </c>
    </row>
    <row r="29" spans="1:31" x14ac:dyDescent="0.2">
      <c r="A29" s="9"/>
      <c r="B29" s="7" t="s">
        <v>39</v>
      </c>
      <c r="C29" s="18"/>
      <c r="D29" s="61">
        <f>SUM(D27:D28)</f>
        <v>-14857801</v>
      </c>
      <c r="E29" s="39">
        <f>SUM(E27:E28)</f>
        <v>-34782817.821800008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-15047123</v>
      </c>
      <c r="I29" s="39">
        <f t="shared" si="6"/>
        <v>-35193983.420000002</v>
      </c>
      <c r="J29" s="61">
        <f t="shared" si="6"/>
        <v>8116</v>
      </c>
      <c r="K29" s="39">
        <f t="shared" si="6"/>
        <v>21129.114399999962</v>
      </c>
      <c r="L29" s="61">
        <f t="shared" si="6"/>
        <v>-679135</v>
      </c>
      <c r="M29" s="39">
        <f t="shared" si="6"/>
        <v>34194.253600000004</v>
      </c>
      <c r="N29" s="61">
        <f t="shared" si="6"/>
        <v>691225</v>
      </c>
      <c r="O29" s="39">
        <f t="shared" si="6"/>
        <v>-6589.0144</v>
      </c>
      <c r="P29" s="61">
        <f t="shared" si="6"/>
        <v>-31</v>
      </c>
      <c r="Q29" s="39">
        <f t="shared" si="6"/>
        <v>-68.906800000000004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>SUM(U27:U28)</f>
        <v>23145.149999999998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21218</v>
      </c>
      <c r="AC29" s="39">
        <f t="shared" si="7"/>
        <v>47887.001400000001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-346071</v>
      </c>
      <c r="E32" s="38">
        <f t="shared" si="8"/>
        <v>-791810.98199999984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-10813</v>
      </c>
      <c r="I32" s="38">
        <f>'TX-EGM-GL'!I32+'TX-HPL-GL '!I32</f>
        <v>-24740.14</v>
      </c>
      <c r="J32" s="60">
        <f>'TX-EGM-GL'!J32+'TX-HPL-GL '!J32</f>
        <v>-157210</v>
      </c>
      <c r="K32" s="38">
        <f>'TX-EGM-GL'!K32+'TX-HPL-GL '!K32</f>
        <v>-341717.17</v>
      </c>
      <c r="L32" s="60">
        <f>'TX-EGM-GL'!L32+'TX-HPL-GL '!L32</f>
        <v>6106</v>
      </c>
      <c r="M32" s="38">
        <f>'TX-EGM-GL'!M32+'TX-HPL-GL '!M32</f>
        <v>13737.644</v>
      </c>
      <c r="N32" s="60">
        <f>'TX-EGM-GL'!N32+'TX-HPL-GL '!N32</f>
        <v>-443388</v>
      </c>
      <c r="O32" s="38">
        <f>'TX-EGM-GL'!O32+'TX-HPL-GL '!O32</f>
        <v>-1275733.7960000001</v>
      </c>
      <c r="P32" s="60">
        <f>'TX-EGM-GL'!P32+'TX-HPL-GL '!P32</f>
        <v>108550</v>
      </c>
      <c r="Q32" s="38">
        <f>'TX-EGM-GL'!Q32+'TX-HPL-GL '!Q32</f>
        <v>319194.84600000002</v>
      </c>
      <c r="R32" s="60">
        <f>'TX-EGM-GL'!R32+'TX-HPL-GL '!R32</f>
        <v>196616</v>
      </c>
      <c r="S32" s="38">
        <f>'TX-EGM-GL'!S32+'TX-HPL-GL '!S32</f>
        <v>640524.00800000003</v>
      </c>
      <c r="T32" s="60">
        <f>'TX-EGM-GL'!T32+'TX-HPL-GL '!T32</f>
        <v>-180053</v>
      </c>
      <c r="U32" s="38">
        <f>'TX-EGM-GL'!U32+'TX-HPL-GL '!U32</f>
        <v>-411966.55200000003</v>
      </c>
      <c r="V32" s="60">
        <f>'TX-EGM-GL'!V32+'TX-HPL-GL '!V32</f>
        <v>0</v>
      </c>
      <c r="W32" s="38">
        <f>'TX-EGM-GL'!W32+'TX-HPL-GL '!W32</f>
        <v>0.64800000000000002</v>
      </c>
      <c r="X32" s="60">
        <f>'TX-EGM-GL'!X32+'TX-HPL-GL '!X32</f>
        <v>0</v>
      </c>
      <c r="Y32" s="38">
        <f>'TX-EGM-GL'!Y32+'TX-HPL-GL '!Y32</f>
        <v>0</v>
      </c>
      <c r="Z32" s="60">
        <f>'TX-EGM-GL'!Z32+'TX-HPL-GL '!Z32</f>
        <v>168031</v>
      </c>
      <c r="AA32" s="38">
        <f>'TX-EGM-GL'!AA32+'TX-HPL-GL '!AA32</f>
        <v>366475.61</v>
      </c>
      <c r="AB32" s="60">
        <f>'TX-EGM-GL'!AB32+'TX-HPL-GL '!AB32</f>
        <v>100</v>
      </c>
      <c r="AC32" s="38">
        <f>'TX-EGM-GL'!AC32+'TX-HPL-GL '!AC32</f>
        <v>228.8</v>
      </c>
      <c r="AD32" s="60">
        <f>'TX-EGM-GL'!AD32+'TX-HPL-GL '!AD32</f>
        <v>-34010</v>
      </c>
      <c r="AE32" s="38">
        <f>'TX-EGM-GL'!AE32+'TX-HPL-GL '!AE32</f>
        <v>-77814.880000000005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</row>
    <row r="36" spans="1:31" x14ac:dyDescent="0.2">
      <c r="A36" s="9"/>
      <c r="B36" s="7" t="s">
        <v>45</v>
      </c>
      <c r="C36" s="6"/>
      <c r="D36" s="61">
        <f>SUM(D32:D35)</f>
        <v>-346071</v>
      </c>
      <c r="E36" s="39">
        <f>SUM(E32:E35)</f>
        <v>-791810.97199999983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-157210</v>
      </c>
      <c r="K36" s="39">
        <f t="shared" si="9"/>
        <v>-341717.17</v>
      </c>
      <c r="L36" s="61">
        <f t="shared" si="9"/>
        <v>6106</v>
      </c>
      <c r="M36" s="39">
        <f t="shared" si="9"/>
        <v>13737.644</v>
      </c>
      <c r="N36" s="61">
        <f t="shared" si="9"/>
        <v>-443388</v>
      </c>
      <c r="O36" s="39">
        <f t="shared" si="9"/>
        <v>-1275733.7960000001</v>
      </c>
      <c r="P36" s="61">
        <f t="shared" si="9"/>
        <v>108550</v>
      </c>
      <c r="Q36" s="39">
        <f t="shared" si="9"/>
        <v>319194.84600000002</v>
      </c>
      <c r="R36" s="61">
        <f t="shared" si="9"/>
        <v>196616</v>
      </c>
      <c r="S36" s="39">
        <f t="shared" si="9"/>
        <v>640524.00800000003</v>
      </c>
      <c r="T36" s="61">
        <f t="shared" si="9"/>
        <v>-180053</v>
      </c>
      <c r="U36" s="39">
        <f>SUM(U32:U35)</f>
        <v>-411966.55200000003</v>
      </c>
      <c r="V36" s="61">
        <f t="shared" si="9"/>
        <v>0</v>
      </c>
      <c r="W36" s="39">
        <f>SUM(W32:W35)</f>
        <v>0.64800000000000002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8140904</v>
      </c>
      <c r="I39" s="38">
        <f>'TX-EGM-GL'!I39+'TX-HPL-GL '!I39</f>
        <v>19569417.440000001</v>
      </c>
      <c r="J39" s="60">
        <f>'TX-EGM-GL'!J39+'TX-HPL-GL '!J39</f>
        <v>44324</v>
      </c>
      <c r="K39" s="38">
        <f>'TX-EGM-GL'!K39+'TX-HPL-GL '!K39</f>
        <v>66613.11</v>
      </c>
      <c r="L39" s="60">
        <f>'TX-EGM-GL'!L39+'TX-HPL-GL '!L39</f>
        <v>44787</v>
      </c>
      <c r="M39" s="38">
        <f>'TX-EGM-GL'!M39+'TX-HPL-GL '!M39</f>
        <v>67791.56</v>
      </c>
      <c r="N39" s="60">
        <f>'TX-EGM-GL'!N39+'TX-HPL-GL '!N39</f>
        <v>45916</v>
      </c>
      <c r="O39" s="38">
        <f>'TX-EGM-GL'!O39+'TX-HPL-GL '!O39</f>
        <v>148453.54999999999</v>
      </c>
      <c r="P39" s="60">
        <f>'TX-EGM-GL'!P39+'TX-HPL-GL '!P39</f>
        <v>8286</v>
      </c>
      <c r="Q39" s="38">
        <f>'TX-EGM-GL'!Q39+'TX-HPL-GL '!Q39</f>
        <v>19703.099999999999</v>
      </c>
      <c r="R39" s="60">
        <f>'TX-EGM-GL'!R39+'TX-HPL-GL '!R39</f>
        <v>-84483</v>
      </c>
      <c r="S39" s="38">
        <f>'TX-EGM-GL'!S39+'TX-HPL-GL '!S39</f>
        <v>-202735.91</v>
      </c>
      <c r="T39" s="60">
        <f>'TX-EGM-GL'!T39+'TX-HPL-GL '!T39</f>
        <v>1759</v>
      </c>
      <c r="U39" s="38">
        <f>'TX-EGM-GL'!U39+'TX-HPL-GL '!U39</f>
        <v>4024.59</v>
      </c>
      <c r="V39" s="60">
        <f>'TX-EGM-GL'!V39+'TX-HPL-GL '!V39</f>
        <v>0</v>
      </c>
      <c r="W39" s="38">
        <f>'TX-EGM-GL'!W39+'TX-HPL-GL '!W39</f>
        <v>22343.32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-1759</v>
      </c>
      <c r="AC39" s="38">
        <f>'TX-EGM-GL'!AC39+'TX-HPL-GL '!AC39</f>
        <v>-4024.59</v>
      </c>
      <c r="AD39" s="60">
        <f>'TX-EGM-GL'!AD39+'TX-HPL-GL '!AD39</f>
        <v>1650</v>
      </c>
      <c r="AE39" s="38">
        <f>'TX-EGM-GL'!AE39+'TX-HPL-GL '!AE39</f>
        <v>22723.25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-22343</v>
      </c>
      <c r="AD41" s="60">
        <f>'TX-EGM-GL'!AD41+'TX-HPL-GL '!AD41</f>
        <v>0</v>
      </c>
      <c r="AE41" s="38">
        <f>'TX-EGM-GL'!AE41+'TX-HPL-GL '!AE41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-22343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8201384</v>
      </c>
      <c r="E43" s="39">
        <f>E42+E39</f>
        <v>19691966.420000002</v>
      </c>
      <c r="F43" s="61">
        <f t="shared" ref="F43:X43" si="14">F42+F39</f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39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>U42+U39</f>
        <v>4024.59</v>
      </c>
      <c r="V43" s="61">
        <f t="shared" si="14"/>
        <v>0</v>
      </c>
      <c r="W43" s="39">
        <f>W42+W39</f>
        <v>22343.32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-9718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-1430238</v>
      </c>
      <c r="I49" s="38">
        <f>'TX-EGM-GL'!I49+'TX-HPL-GL '!I49</f>
        <v>-3272384.5440000002</v>
      </c>
      <c r="J49" s="60">
        <f>'TX-EGM-GL'!J49+'TX-HPL-GL '!J49</f>
        <v>1350047</v>
      </c>
      <c r="K49" s="38">
        <f>'TX-EGM-GL'!K49+'TX-HPL-GL '!K49</f>
        <v>3088907.5360000003</v>
      </c>
      <c r="L49" s="60">
        <f>'TX-EGM-GL'!L49+'TX-HPL-GL '!L49</f>
        <v>-1169196</v>
      </c>
      <c r="M49" s="38">
        <f>'TX-EGM-GL'!M49+'TX-HPL-GL '!M49</f>
        <v>-2675120.4479999999</v>
      </c>
      <c r="N49" s="60">
        <f>'TX-EGM-GL'!N49+'TX-HPL-GL '!N49</f>
        <v>1469569</v>
      </c>
      <c r="O49" s="38">
        <f>'TX-EGM-GL'!O49+'TX-HPL-GL '!O49</f>
        <v>3362373.872</v>
      </c>
      <c r="P49" s="60">
        <f>'TX-EGM-GL'!P49+'TX-HPL-GL '!P49</f>
        <v>-403359</v>
      </c>
      <c r="Q49" s="38">
        <f>'TX-EGM-GL'!Q49+'TX-HPL-GL '!Q49</f>
        <v>-922885.39199999999</v>
      </c>
      <c r="R49" s="60">
        <f>'TX-EGM-GL'!R49+'TX-HPL-GL '!R49</f>
        <v>-187366</v>
      </c>
      <c r="S49" s="38">
        <f>'TX-EGM-GL'!S49+'TX-HPL-GL '!S49</f>
        <v>-428693.408</v>
      </c>
      <c r="T49" s="60">
        <f>'TX-EGM-GL'!T49+'TX-HPL-GL '!T49</f>
        <v>179000</v>
      </c>
      <c r="U49" s="38">
        <f>'TX-EGM-GL'!U49+'TX-HPL-GL '!U49</f>
        <v>409552</v>
      </c>
      <c r="V49" s="60">
        <f>'TX-EGM-GL'!V49+'TX-HPL-GL '!V49</f>
        <v>372457</v>
      </c>
      <c r="W49" s="38">
        <f>'TX-EGM-GL'!W49+'TX-HPL-GL '!W49</f>
        <v>852181.61600000004</v>
      </c>
      <c r="X49" s="60">
        <f>'TX-EGM-GL'!X49+'TX-HPL-GL '!X49</f>
        <v>-372457</v>
      </c>
      <c r="Y49" s="38">
        <f>'TX-EGM-GL'!Y49+'TX-HPL-GL '!Y49</f>
        <v>-852181.61600000004</v>
      </c>
      <c r="Z49" s="60">
        <f>'TX-EGM-GL'!Z49+'TX-HPL-GL '!Z49</f>
        <v>-167906</v>
      </c>
      <c r="AA49" s="38">
        <f>'TX-EGM-GL'!AA49+'TX-HPL-GL '!AA49</f>
        <v>-384168.92800000001</v>
      </c>
      <c r="AB49" s="60">
        <f>'TX-EGM-GL'!AB49+'TX-HPL-GL '!AB49</f>
        <v>352998</v>
      </c>
      <c r="AC49" s="38">
        <f>'TX-EGM-GL'!AC49+'TX-HPL-GL '!AC49</f>
        <v>807659.424</v>
      </c>
      <c r="AD49" s="60">
        <f>'TX-EGM-GL'!AD49+'TX-HPL-GL '!AD49</f>
        <v>56023</v>
      </c>
      <c r="AE49" s="38">
        <f>'TX-EGM-GL'!AE49+'TX-HPL-GL '!AE49</f>
        <v>128180.624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('TIE-OUT'!P51+'TIE-OUT'!R51)+(RECLASS!P51+RECLASS!R51)</f>
        <v>0</v>
      </c>
      <c r="G51" s="38">
        <f>('TIE-OUT'!Q51+'TIE-OUT'!S51)+(RECLASS!Q51+RECLASS!S51)</f>
        <v>18891</v>
      </c>
      <c r="H51" s="60">
        <f>'TX-EGM-GL'!H51+'TX-HPL-GL '!H51</f>
        <v>-3105</v>
      </c>
      <c r="I51" s="38">
        <f>'TX-EGM-GL'!I51+'TX-HPL-GL '!I51</f>
        <v>-7104.24</v>
      </c>
      <c r="J51" s="60">
        <f>'TX-EGM-GL'!J51+'TX-HPL-GL '!J51</f>
        <v>-8735</v>
      </c>
      <c r="K51" s="38">
        <f>'TX-EGM-GL'!K51+'TX-HPL-GL '!K51</f>
        <v>-19985.68</v>
      </c>
      <c r="L51" s="60">
        <f>'TX-EGM-GL'!L51+'TX-HPL-GL '!L51</f>
        <v>-1</v>
      </c>
      <c r="M51" s="38">
        <f>'TX-EGM-GL'!M51+'TX-HPL-GL '!M51</f>
        <v>-2.29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('TIE-OUT'!P54+'TIE-OUT'!R54)+(RECLASS!P54+RECLASS!R54)</f>
        <v>0</v>
      </c>
      <c r="G54" s="68">
        <f>('TIE-OUT'!Q54+'TIE-OUT'!S54)+(RECLASS!Q54+RECLASS!S54)</f>
        <v>44824</v>
      </c>
      <c r="H54" s="60">
        <f>'TX-EGM-GL'!H54+'TX-HPL-GL '!H54</f>
        <v>-5201676</v>
      </c>
      <c r="I54" s="38">
        <f>'TX-EGM-GL'!I54+'TX-HPL-GL '!I54</f>
        <v>-435950.66</v>
      </c>
      <c r="J54" s="60">
        <f>'TX-EGM-GL'!J54+'TX-HPL-GL '!J54</f>
        <v>-1788865</v>
      </c>
      <c r="K54" s="38">
        <f>'TX-EGM-GL'!K54+'TX-HPL-GL '!K54</f>
        <v>39324.92</v>
      </c>
      <c r="L54" s="60">
        <f>'TX-EGM-GL'!L54+'TX-HPL-GL '!L54</f>
        <v>-326742</v>
      </c>
      <c r="M54" s="38">
        <f>'TX-EGM-GL'!M54+'TX-HPL-GL '!M54</f>
        <v>-6180</v>
      </c>
      <c r="N54" s="60">
        <f>'TX-EGM-GL'!N54+'TX-HPL-GL '!N54</f>
        <v>140</v>
      </c>
      <c r="O54" s="38">
        <f>'TX-EGM-GL'!O54+'TX-HPL-GL '!O54</f>
        <v>11</v>
      </c>
      <c r="P54" s="60">
        <f>'TX-EGM-GL'!P54+'TX-HPL-GL '!P54</f>
        <v>129677</v>
      </c>
      <c r="Q54" s="38">
        <f>'TX-EGM-GL'!Q54+'TX-HPL-GL '!Q54</f>
        <v>1149.75</v>
      </c>
      <c r="R54" s="60">
        <f>'TX-EGM-GL'!R54+'TX-HPL-GL '!R54</f>
        <v>-295557</v>
      </c>
      <c r="S54" s="38">
        <f>'TX-EGM-GL'!S54+'TX-HPL-GL '!S54</f>
        <v>51333.279999999999</v>
      </c>
      <c r="T54" s="60">
        <f>'TX-EGM-GL'!T54+'TX-HPL-GL '!T54</f>
        <v>3066</v>
      </c>
      <c r="U54" s="38">
        <f>'TX-EGM-GL'!U54+'TX-HPL-GL '!U54</f>
        <v>-49904.7</v>
      </c>
      <c r="V54" s="60">
        <f>'TX-EGM-GL'!V54+'TX-HPL-GL '!V54</f>
        <v>4723</v>
      </c>
      <c r="W54" s="38">
        <f>'TX-EGM-GL'!W54+'TX-HPL-GL '!W54</f>
        <v>944.59</v>
      </c>
      <c r="X54" s="60">
        <f>'TX-EGM-GL'!X54+'TX-HPL-GL '!X54</f>
        <v>-4723</v>
      </c>
      <c r="Y54" s="38">
        <f>'TX-EGM-GL'!Y54+'TX-HPL-GL '!Y54</f>
        <v>-944.61</v>
      </c>
      <c r="Z54" s="60">
        <f>'TX-EGM-GL'!Z54+'TX-HPL-GL '!Z54</f>
        <v>148567</v>
      </c>
      <c r="AA54" s="38">
        <f>'TX-EGM-GL'!AA54+'TX-HPL-GL '!AA54</f>
        <v>13371.03</v>
      </c>
      <c r="AB54" s="60">
        <f>'TX-EGM-GL'!AB54+'TX-HPL-GL '!AB54</f>
        <v>-148667</v>
      </c>
      <c r="AC54" s="38">
        <f>'TX-EGM-GL'!AC54+'TX-HPL-GL '!AC54</f>
        <v>-13369.53</v>
      </c>
      <c r="AD54" s="60">
        <f>'TX-EGM-GL'!AD54+'TX-HPL-GL '!AD54</f>
        <v>-1650</v>
      </c>
      <c r="AE54" s="38">
        <f>'TX-EGM-GL'!AE54+'TX-HPL-GL '!AE54</f>
        <v>276.01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('TIE-OUT'!P55+'TIE-OUT'!R55)+(RECLASS!P55+RECLASS!R55)</f>
        <v>0</v>
      </c>
      <c r="G55" s="82">
        <f>('TIE-OUT'!Q55+'TIE-OUT'!S55)+(RECLASS!Q55+RECLASS!S55)</f>
        <v>-992568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322775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-93300</v>
      </c>
      <c r="X55" s="60">
        <f>'TX-EGM-GL'!X55+'TX-HPL-GL '!X55</f>
        <v>0</v>
      </c>
      <c r="Y55" s="38">
        <f>'TX-EGM-GL'!Y55+'TX-HPL-GL '!Y55</f>
        <v>93300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</row>
    <row r="56" spans="1:31" x14ac:dyDescent="0.2">
      <c r="A56" s="9"/>
      <c r="B56" s="7" t="s">
        <v>59</v>
      </c>
      <c r="C56" s="6"/>
      <c r="D56" s="61">
        <f>SUM(D54:D55)</f>
        <v>-7481707</v>
      </c>
      <c r="E56" s="39">
        <f>SUM(E54:E55)</f>
        <v>-1024907.9199999999</v>
      </c>
      <c r="F56" s="61">
        <f t="shared" ref="F56:X56" si="16">SUM(F54:F55)</f>
        <v>0</v>
      </c>
      <c r="G56" s="39">
        <f t="shared" si="16"/>
        <v>-947744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39">
        <f t="shared" si="16"/>
        <v>39324.92</v>
      </c>
      <c r="L56" s="61">
        <f t="shared" si="16"/>
        <v>-326742</v>
      </c>
      <c r="M56" s="39">
        <f t="shared" si="16"/>
        <v>316595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>SUM(U54:U55)</f>
        <v>-49904.7</v>
      </c>
      <c r="V56" s="61">
        <f t="shared" si="16"/>
        <v>4723</v>
      </c>
      <c r="W56" s="39">
        <f>SUM(W54:W55)</f>
        <v>-92355.41</v>
      </c>
      <c r="X56" s="61">
        <f t="shared" si="16"/>
        <v>-4723</v>
      </c>
      <c r="Y56" s="39">
        <f t="shared" ref="Y56:AE56" si="17">SUM(Y54:Y55)</f>
        <v>92355.39</v>
      </c>
      <c r="Z56" s="61">
        <f t="shared" si="17"/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3661.8599999999997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312.5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200</v>
      </c>
      <c r="P59" s="60">
        <f>'TX-EGM-GL'!P59+'TX-HPL-GL '!P59</f>
        <v>0</v>
      </c>
      <c r="Q59" s="38">
        <f>'TX-EGM-GL'!Q59+'TX-HPL-GL '!Q59</f>
        <v>-200</v>
      </c>
      <c r="R59" s="60">
        <f>'TX-EGM-GL'!R59+'TX-HPL-GL '!R59</f>
        <v>0</v>
      </c>
      <c r="S59" s="38">
        <f>'TX-EGM-GL'!S59+'TX-HPL-GL '!S59</f>
        <v>-4542.88</v>
      </c>
      <c r="T59" s="60">
        <f>'TX-EGM-GL'!T59+'TX-HPL-GL '!T59</f>
        <v>0</v>
      </c>
      <c r="U59" s="38">
        <f>'TX-EGM-GL'!U59+'TX-HPL-GL '!U59</f>
        <v>1357.25</v>
      </c>
      <c r="V59" s="60">
        <f>'TX-EGM-GL'!V59+'TX-HPL-GL '!V59</f>
        <v>0</v>
      </c>
      <c r="W59" s="38">
        <f>'TX-EGM-GL'!W59+'TX-HPL-GL '!W59</f>
        <v>6184.99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3661.8599999999997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39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>SUM(U59:U60)</f>
        <v>1357.25</v>
      </c>
      <c r="V61" s="61">
        <f t="shared" si="18"/>
        <v>0</v>
      </c>
      <c r="W61" s="39">
        <f>SUM(W59:W60)</f>
        <v>6184.99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-58762415</v>
      </c>
      <c r="E64" s="38">
        <f>SUM(G64,I64,K64,M64,O64,Q64,S64,U64,W64,Y64,AA64,AC64,AE64)</f>
        <v>-1208966.1900000002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-36464386</v>
      </c>
      <c r="I64" s="38">
        <f>'TX-EGM-GL'!I64+'TX-HPL-GL '!I64</f>
        <v>-720852.65</v>
      </c>
      <c r="J64" s="60">
        <f>'TX-EGM-GL'!J64+'TX-HPL-GL '!J64</f>
        <v>-22468696</v>
      </c>
      <c r="K64" s="38">
        <f>'TX-EGM-GL'!K64+'TX-HPL-GL '!K64</f>
        <v>-220039.18</v>
      </c>
      <c r="L64" s="60">
        <f>'TX-EGM-GL'!L64+'TX-HPL-GL '!L64</f>
        <v>29333</v>
      </c>
      <c r="M64" s="38">
        <f>'TX-EGM-GL'!M64+'TX-HPL-GL '!M64</f>
        <v>-7435.02</v>
      </c>
      <c r="N64" s="60">
        <f>'TX-EGM-GL'!N64+'TX-HPL-GL '!N64</f>
        <v>64610</v>
      </c>
      <c r="O64" s="38">
        <f>'TX-EGM-GL'!O64+'TX-HPL-GL '!O64</f>
        <v>-260641.27</v>
      </c>
      <c r="P64" s="60">
        <f>'TX-EGM-GL'!P64+'TX-HPL-GL '!P64</f>
        <v>-6000</v>
      </c>
      <c r="Q64" s="38">
        <f>'TX-EGM-GL'!Q64+'TX-HPL-GL '!Q64</f>
        <v>0.28999999999999998</v>
      </c>
      <c r="R64" s="60">
        <f>'TX-EGM-GL'!R64+'TX-HPL-GL '!R64</f>
        <v>82724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0.01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1.63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1208823</v>
      </c>
      <c r="F65" s="81">
        <f>('TIE-OUT'!P65+'TIE-OUT'!R65)+(RECLASS!P65+RECLASS!R65)</f>
        <v>0</v>
      </c>
      <c r="G65" s="82">
        <f>('TIE-OUT'!Q65+'TIE-OUT'!S65)+(RECLASS!Q65+RECLASS!S65)</f>
        <v>718772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482987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3031</v>
      </c>
      <c r="P65" s="60">
        <f>'TX-EGM-GL'!P65+'TX-HPL-GL '!P65</f>
        <v>0</v>
      </c>
      <c r="Q65" s="38">
        <f>'TX-EGM-GL'!Q65+'TX-HPL-GL '!Q65</f>
        <v>7038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-3005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</row>
    <row r="66" spans="1:31" x14ac:dyDescent="0.2">
      <c r="A66" s="9"/>
      <c r="B66" s="7" t="s">
        <v>66</v>
      </c>
      <c r="C66" s="6"/>
      <c r="D66" s="61">
        <f>SUM(D64:D65)</f>
        <v>-58762415</v>
      </c>
      <c r="E66" s="39">
        <f>SUM(E64:E65)</f>
        <v>-143.19000000017695</v>
      </c>
      <c r="F66" s="61">
        <f t="shared" ref="F66:X66" si="20">SUM(F64:F65)</f>
        <v>0</v>
      </c>
      <c r="G66" s="39">
        <f t="shared" si="20"/>
        <v>718772</v>
      </c>
      <c r="H66" s="61">
        <f t="shared" si="20"/>
        <v>-36464386</v>
      </c>
      <c r="I66" s="39">
        <f t="shared" si="20"/>
        <v>-720852.65</v>
      </c>
      <c r="J66" s="61">
        <f t="shared" si="20"/>
        <v>-22468696</v>
      </c>
      <c r="K66" s="39">
        <f t="shared" si="20"/>
        <v>262947.82</v>
      </c>
      <c r="L66" s="61">
        <f t="shared" si="20"/>
        <v>29333</v>
      </c>
      <c r="M66" s="39">
        <f t="shared" si="20"/>
        <v>-7435.02</v>
      </c>
      <c r="N66" s="61">
        <f t="shared" si="20"/>
        <v>64610</v>
      </c>
      <c r="O66" s="39">
        <f t="shared" si="20"/>
        <v>-257610.27</v>
      </c>
      <c r="P66" s="61">
        <f t="shared" si="20"/>
        <v>-6000</v>
      </c>
      <c r="Q66" s="39">
        <f t="shared" si="20"/>
        <v>7038.29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>SUM(U64:U65)</f>
        <v>-3004.99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('TIE-OUT'!P70+'TIE-OUT'!R70)+(RECLASS!P70+RECLASS!R70)</f>
        <v>0</v>
      </c>
      <c r="G70" s="68">
        <f>('TIE-OUT'!Q70+'TIE-OUT'!S70)+(RECLASS!Q70+RECLASS!S70)</f>
        <v>250999.06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('TIE-OUT'!P71+'TIE-OUT'!R71)+(RECLASS!P71+RECLASS!R71)</f>
        <v>0</v>
      </c>
      <c r="G71" s="82">
        <f>('TIE-OUT'!Q71+'TIE-OUT'!S71)+(RECLASS!Q71+RECLASS!S71)</f>
        <v>-1054678.81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-803679.75</v>
      </c>
      <c r="F72" s="61">
        <f t="shared" ref="F72:X72" si="22">SUM(F70:F71)</f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('TIE-OUT'!P74+'TIE-OUT'!R74)+(RECLASS!P74+RECLASS!R74)</f>
        <v>0</v>
      </c>
      <c r="G74" s="60">
        <f>('TIE-OUT'!Q74+'TIE-OUT'!S74)+(RECLASS!Q74+RECLASS!S74)</f>
        <v>858169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-3146.5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154602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('TIE-OUT'!P75+'TIE-OUT'!R75)+(RECLASS!P75+RECLASS!R75)</f>
        <v>0</v>
      </c>
      <c r="G75" s="60">
        <f>('TIE-OUT'!Q75+'TIE-OUT'!S75)+(RECLASS!Q75+RECLASS!S75)</f>
        <v>81300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-3750</v>
      </c>
      <c r="J76" s="60">
        <f>'TX-EGM-GL'!J76+'TX-HPL-GL '!J76</f>
        <v>0</v>
      </c>
      <c r="K76" s="38">
        <f>'TX-EGM-GL'!K76+'TX-HPL-GL '!K76</f>
        <v>-6309.73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31161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2084198.6821999955</v>
      </c>
      <c r="F82" s="92">
        <f>F16+F24+F29+F36+F43+F45+F47+F49</f>
        <v>0</v>
      </c>
      <c r="G82" s="93">
        <f>SUM(G72:G81)+G16+G24+G29+G36+G43+G45+G47+G49+G51+G56+G61+G66</f>
        <v>-2327881.2000000002</v>
      </c>
      <c r="H82" s="92">
        <f>H16+H24+H29+H36+H43+H45+H47+H49</f>
        <v>0</v>
      </c>
      <c r="I82" s="93">
        <f>SUM(I72:I81)+I16+I24+I29+I36+I43+I45+I47+I49+I51+I56+I61+I66</f>
        <v>4844944.1959999744</v>
      </c>
      <c r="J82" s="92">
        <f>J16+J24+J29+J36+J43+J45+J47+J49</f>
        <v>0</v>
      </c>
      <c r="K82" s="93">
        <f>SUM(K72:K81)+K16+K24+K29+K36+K43+K45+K47+K49+K51+K56+K61+K66</f>
        <v>-570559.97960000159</v>
      </c>
      <c r="L82" s="92">
        <f>L16+L24+L29+L36+L43+L45+L47+L49</f>
        <v>0</v>
      </c>
      <c r="M82" s="93">
        <f>SUM(M72:M81)+M16+M24+M29+M36+M43+M45+M47+M49+M51+M56+M61+M66</f>
        <v>1540793.5896000001</v>
      </c>
      <c r="N82" s="92">
        <f>N16+N24+N29+N36+N43+N45+N47+N49</f>
        <v>0</v>
      </c>
      <c r="O82" s="93">
        <f>SUM(O72:O81)+O16+O24+O29+O36+O43+O45+O47+O49+O51+O56+O61+O66</f>
        <v>-1940601.0584000004</v>
      </c>
      <c r="P82" s="92">
        <f>P16+P24+P29+P36+P43+P45+P47+P49</f>
        <v>0</v>
      </c>
      <c r="Q82" s="93">
        <f>SUM(Q72:Q81)+Q16+Q24+Q29+Q36+Q43+Q45+Q47+Q49+Q51+Q56+Q61+Q66</f>
        <v>94060.227200000038</v>
      </c>
      <c r="R82" s="92">
        <f>R16+R24+R29+R36+R43+R45+R47+R49</f>
        <v>0</v>
      </c>
      <c r="S82" s="93">
        <f>SUM(S72:S81)+S16+S24+S29+S36+S43+S45+S47+S49+S51+S56+S61+S66</f>
        <v>334285.54000000004</v>
      </c>
      <c r="T82" s="92">
        <f>T16+T24+T29+T36+T43+T45+T47+T49</f>
        <v>0</v>
      </c>
      <c r="U82" s="93">
        <f>SUM(U72:U81)+U16+U24+U29+U36+U43+U45+U47+U49+U51+U56+U61+U66</f>
        <v>84865.32799999998</v>
      </c>
      <c r="V82" s="92">
        <f>V16+V24+V29+V36+V43+V45+V47+V49</f>
        <v>0</v>
      </c>
      <c r="W82" s="93">
        <f>SUM(W72:W81)+W16+W24+W29+W36+W43+W45+W47+W49+W51+W56+W61+W66</f>
        <v>-28642.88600000002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-899.89459999997234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'TX-EGM-GL'!F86+'TX-HPL-GL '!F86</f>
        <v>0</v>
      </c>
      <c r="G86" s="175">
        <f>'TX-EGM-GL'!G86+'TX-HPL-GL '!G86</f>
        <v>69330.429999999993</v>
      </c>
      <c r="H86" s="175">
        <f>'TX-EGM-GL'!H86+'TX-HPL-GL '!H86</f>
        <v>0</v>
      </c>
      <c r="I86" s="175">
        <f>'TX-EGM-GL'!I86+'TX-HPL-GL '!I86</f>
        <v>0</v>
      </c>
      <c r="J86" s="175">
        <f>'TX-EGM-GL'!J86+'TX-HPL-GL '!J86</f>
        <v>0</v>
      </c>
      <c r="K86" s="175">
        <f>'TX-EGM-GL'!K86+'TX-HPL-GL '!K86</f>
        <v>0</v>
      </c>
      <c r="L86" s="175">
        <f>'TX-EGM-GL'!L86+'TX-HPL-GL '!L86</f>
        <v>0</v>
      </c>
      <c r="M86" s="175">
        <f>'TX-EGM-GL'!M86+'TX-HPL-GL '!M86</f>
        <v>0</v>
      </c>
      <c r="N86" s="175">
        <f>'TX-EGM-GL'!N86+'TX-HPL-GL '!N86</f>
        <v>0</v>
      </c>
      <c r="O86" s="175">
        <f>'TX-EGM-GL'!O86+'TX-HPL-GL '!O86</f>
        <v>0</v>
      </c>
      <c r="P86" s="175">
        <f>'TX-EGM-GL'!P86+'TX-HPL-GL '!P86</f>
        <v>0</v>
      </c>
      <c r="Q86" s="175">
        <f>'TX-EGM-GL'!Q86+'TX-HPL-GL '!Q86</f>
        <v>0</v>
      </c>
      <c r="R86" s="175">
        <f>'TX-EGM-GL'!R86+'TX-HPL-GL '!R86</f>
        <v>0</v>
      </c>
      <c r="S86" s="175">
        <f>'TX-EGM-GL'!S86+'TX-HPL-GL '!S86</f>
        <v>0</v>
      </c>
      <c r="T86" s="175">
        <f>'TX-EGM-GL'!T86+'TX-HPL-GL '!T86</f>
        <v>0</v>
      </c>
      <c r="U86" s="175">
        <f>'TX-EGM-GL'!U86+'TX-HPL-GL '!U86</f>
        <v>0</v>
      </c>
      <c r="V86" s="175">
        <f>'TX-EGM-GL'!V86+'TX-HPL-GL '!V86</f>
        <v>0</v>
      </c>
      <c r="W86" s="175">
        <f>'TX-EGM-GL'!W86+'TX-HPL-GL '!W86</f>
        <v>0</v>
      </c>
      <c r="X86" s="175">
        <f>'TX-EGM-GL'!X86+'TX-HPL-GL '!X86</f>
        <v>0</v>
      </c>
      <c r="Y86" s="175">
        <f>'TX-EGM-GL'!Y86+'TX-HPL-GL '!Y86</f>
        <v>0</v>
      </c>
      <c r="Z86" s="175">
        <f>'TX-EGM-GL'!Z86+'TX-HPL-GL '!Z86</f>
        <v>0</v>
      </c>
      <c r="AA86" s="175">
        <f>'TX-EGM-GL'!AA86+'TX-HPL-GL '!AA86</f>
        <v>0</v>
      </c>
      <c r="AB86" s="175">
        <f>'TX-EGM-GL'!AB86+'TX-HPL-GL '!AB86</f>
        <v>0</v>
      </c>
      <c r="AC86" s="175">
        <f>'TX-EGM-GL'!AC86+'TX-HPL-GL '!AC86</f>
        <v>0</v>
      </c>
      <c r="AD86" s="175">
        <f>'TX-EGM-GL'!AD86+'TX-HPL-GL '!AD86</f>
        <v>0</v>
      </c>
      <c r="AE86" s="175">
        <f>'TX-EGM-GL'!AE86+'TX-HPL-GL '!AE86</f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'TX-EGM-GL'!F87+'TX-HPL-GL '!F87</f>
        <v>0</v>
      </c>
      <c r="G87" s="176">
        <f>'TX-EGM-GL'!G87+'TX-HPL-GL '!G87</f>
        <v>0</v>
      </c>
      <c r="H87" s="176">
        <f>'TX-EGM-GL'!H87+'TX-HPL-GL '!H87</f>
        <v>0</v>
      </c>
      <c r="I87" s="176">
        <f>'TX-EGM-GL'!I87+'TX-HPL-GL '!I87</f>
        <v>0</v>
      </c>
      <c r="J87" s="176">
        <f>'TX-EGM-GL'!J87+'TX-HPL-GL '!J87</f>
        <v>0</v>
      </c>
      <c r="K87" s="176">
        <f>'TX-EGM-GL'!K87+'TX-HPL-GL '!K87</f>
        <v>0</v>
      </c>
      <c r="L87" s="176">
        <f>'TX-EGM-GL'!L87+'TX-HPL-GL '!L87</f>
        <v>0</v>
      </c>
      <c r="M87" s="176">
        <f>'TX-EGM-GL'!M87+'TX-HPL-GL '!M87</f>
        <v>0</v>
      </c>
      <c r="N87" s="176">
        <f>'TX-EGM-GL'!N87+'TX-HPL-GL '!N87</f>
        <v>0</v>
      </c>
      <c r="O87" s="176">
        <f>'TX-EGM-GL'!O87+'TX-HPL-GL '!O87</f>
        <v>0</v>
      </c>
      <c r="P87" s="176">
        <f>'TX-EGM-GL'!P87+'TX-HPL-GL '!P87</f>
        <v>0</v>
      </c>
      <c r="Q87" s="176">
        <f>'TX-EGM-GL'!Q87+'TX-HPL-GL '!Q87</f>
        <v>0</v>
      </c>
      <c r="R87" s="176">
        <f>'TX-EGM-GL'!R87+'TX-HPL-GL '!R87</f>
        <v>0</v>
      </c>
      <c r="S87" s="176">
        <f>'TX-EGM-GL'!S87+'TX-HPL-GL '!S87</f>
        <v>0</v>
      </c>
      <c r="T87" s="176">
        <f>'TX-EGM-GL'!T87+'TX-HPL-GL '!T87</f>
        <v>0</v>
      </c>
      <c r="U87" s="176">
        <f>'TX-EGM-GL'!U87+'TX-HPL-GL '!U87</f>
        <v>0</v>
      </c>
      <c r="V87" s="176">
        <f>'TX-EGM-GL'!V87+'TX-HPL-GL '!V87</f>
        <v>0</v>
      </c>
      <c r="W87" s="176">
        <f>'TX-EGM-GL'!W87+'TX-HPL-GL '!W87</f>
        <v>0</v>
      </c>
      <c r="X87" s="176">
        <f>'TX-EGM-GL'!X87+'TX-HPL-GL '!X87</f>
        <v>0</v>
      </c>
      <c r="Y87" s="176">
        <f>'TX-EGM-GL'!Y87+'TX-HPL-GL '!Y87</f>
        <v>0</v>
      </c>
      <c r="Z87" s="176">
        <f>'TX-EGM-GL'!Z87+'TX-HPL-GL '!Z87</f>
        <v>0</v>
      </c>
      <c r="AA87" s="176">
        <f>'TX-EGM-GL'!AA87+'TX-HPL-GL '!AA87</f>
        <v>0</v>
      </c>
      <c r="AB87" s="176">
        <f>'TX-EGM-GL'!AB87+'TX-HPL-GL '!AB87</f>
        <v>0</v>
      </c>
      <c r="AC87" s="176">
        <f>'TX-EGM-GL'!AC87+'TX-HPL-GL '!AC87</f>
        <v>0</v>
      </c>
      <c r="AD87" s="176">
        <f>'TX-EGM-GL'!AD87+'TX-HPL-GL '!AD87</f>
        <v>0</v>
      </c>
      <c r="AE87" s="176">
        <f>'TX-EGM-GL'!AE87+'TX-HPL-GL '!AE87</f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'TX-EGM-GL'!F88+'TX-HPL-GL '!F88</f>
        <v>0</v>
      </c>
      <c r="G88" s="177">
        <f>'TX-EGM-GL'!G88+'TX-HPL-GL '!G88</f>
        <v>-35600</v>
      </c>
      <c r="H88" s="177">
        <f>'TX-EGM-GL'!H88+'TX-HPL-GL '!H88</f>
        <v>0</v>
      </c>
      <c r="I88" s="177">
        <f>'TX-EGM-GL'!I88+'TX-HPL-GL '!I88</f>
        <v>0</v>
      </c>
      <c r="J88" s="177">
        <f>'TX-EGM-GL'!J88+'TX-HPL-GL '!J88</f>
        <v>0</v>
      </c>
      <c r="K88" s="177">
        <f>'TX-EGM-GL'!K88+'TX-HPL-GL '!K88</f>
        <v>0</v>
      </c>
      <c r="L88" s="177">
        <f>'TX-EGM-GL'!L88+'TX-HPL-GL '!L88</f>
        <v>0</v>
      </c>
      <c r="M88" s="177">
        <f>'TX-EGM-GL'!M88+'TX-HPL-GL '!M88</f>
        <v>0</v>
      </c>
      <c r="N88" s="177">
        <f>'TX-EGM-GL'!N88+'TX-HPL-GL '!N88</f>
        <v>0</v>
      </c>
      <c r="O88" s="177">
        <f>'TX-EGM-GL'!O88+'TX-HPL-GL '!O88</f>
        <v>0</v>
      </c>
      <c r="P88" s="177">
        <f>'TX-EGM-GL'!P88+'TX-HPL-GL '!P88</f>
        <v>0</v>
      </c>
      <c r="Q88" s="177">
        <f>'TX-EGM-GL'!Q88+'TX-HPL-GL '!Q88</f>
        <v>0</v>
      </c>
      <c r="R88" s="177">
        <f>'TX-EGM-GL'!R88+'TX-HPL-GL '!R88</f>
        <v>0</v>
      </c>
      <c r="S88" s="177">
        <f>'TX-EGM-GL'!S88+'TX-HPL-GL '!S88</f>
        <v>0</v>
      </c>
      <c r="T88" s="177">
        <f>'TX-EGM-GL'!T88+'TX-HPL-GL '!T88</f>
        <v>0</v>
      </c>
      <c r="U88" s="177">
        <f>'TX-EGM-GL'!U88+'TX-HPL-GL '!U88</f>
        <v>0</v>
      </c>
      <c r="V88" s="177">
        <f>'TX-EGM-GL'!V88+'TX-HPL-GL '!V88</f>
        <v>0</v>
      </c>
      <c r="W88" s="177">
        <f>'TX-EGM-GL'!W88+'TX-HPL-GL '!W88</f>
        <v>0</v>
      </c>
      <c r="X88" s="177">
        <f>'TX-EGM-GL'!X88+'TX-HPL-GL '!X88</f>
        <v>0</v>
      </c>
      <c r="Y88" s="177">
        <f>'TX-EGM-GL'!Y88+'TX-HPL-GL '!Y88</f>
        <v>0</v>
      </c>
      <c r="Z88" s="177">
        <f>'TX-EGM-GL'!Z88+'TX-HPL-GL '!Z88</f>
        <v>0</v>
      </c>
      <c r="AA88" s="177">
        <f>'TX-EGM-GL'!AA88+'TX-HPL-GL '!AA88</f>
        <v>0</v>
      </c>
      <c r="AB88" s="177">
        <f>'TX-EGM-GL'!AB88+'TX-HPL-GL '!AB88</f>
        <v>0</v>
      </c>
      <c r="AC88" s="177">
        <f>'TX-EGM-GL'!AC88+'TX-HPL-GL '!AC88</f>
        <v>0</v>
      </c>
      <c r="AD88" s="177">
        <f>'TX-EGM-GL'!AD88+'TX-HPL-GL '!AD88</f>
        <v>0</v>
      </c>
      <c r="AE88" s="177">
        <f>'TX-EGM-GL'!AE88+'TX-HPL-GL '!AE88</f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2117929.1121999957</v>
      </c>
      <c r="F91" s="185">
        <f t="shared" si="28"/>
        <v>0</v>
      </c>
      <c r="G91" s="185">
        <f t="shared" si="28"/>
        <v>-2294150.77</v>
      </c>
      <c r="H91" s="185">
        <f t="shared" si="28"/>
        <v>0</v>
      </c>
      <c r="I91" s="185">
        <f t="shared" si="28"/>
        <v>4844944.1959999744</v>
      </c>
      <c r="J91" s="185">
        <f t="shared" si="28"/>
        <v>0</v>
      </c>
      <c r="K91" s="185">
        <f t="shared" si="28"/>
        <v>-570559.97960000159</v>
      </c>
      <c r="L91" s="185">
        <f t="shared" si="28"/>
        <v>0</v>
      </c>
      <c r="M91" s="185">
        <f t="shared" si="28"/>
        <v>1540793.5896000001</v>
      </c>
      <c r="N91" s="185">
        <f t="shared" ref="N91:AE91" si="29">+N82+N89</f>
        <v>0</v>
      </c>
      <c r="O91" s="185">
        <f t="shared" si="29"/>
        <v>-1940601.0584000004</v>
      </c>
      <c r="P91" s="185">
        <f t="shared" si="29"/>
        <v>0</v>
      </c>
      <c r="Q91" s="185">
        <f t="shared" si="29"/>
        <v>94060.227200000038</v>
      </c>
      <c r="R91" s="185">
        <f t="shared" si="29"/>
        <v>0</v>
      </c>
      <c r="S91" s="185">
        <f t="shared" si="29"/>
        <v>334285.54000000004</v>
      </c>
      <c r="T91" s="185">
        <f t="shared" si="29"/>
        <v>0</v>
      </c>
      <c r="U91" s="185">
        <f t="shared" si="29"/>
        <v>84865.32799999998</v>
      </c>
      <c r="V91" s="185">
        <f t="shared" si="29"/>
        <v>0</v>
      </c>
      <c r="W91" s="185">
        <f t="shared" si="29"/>
        <v>-28642.88600000002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-899.89459999997234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12" sqref="A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32522649</v>
      </c>
      <c r="E11" s="38">
        <f>SUM(G11,I11,K11,M11,O11,Q11,S11,U11,W11,Y11,AA11,AC11,AE11)</f>
        <v>67487091.209999993</v>
      </c>
      <c r="F11" s="60">
        <f>'TIE-OUT'!N11+RECLASS!N11</f>
        <v>0</v>
      </c>
      <c r="G11" s="38">
        <f>'TIE-OUT'!O11+RECLASS!O11</f>
        <v>0</v>
      </c>
      <c r="H11" s="129">
        <f>+Actuals!E284</f>
        <v>32514422</v>
      </c>
      <c r="I11" s="130">
        <f>+Actuals!F284</f>
        <v>68594901.099999994</v>
      </c>
      <c r="J11" s="129">
        <f>+Actuals!G284</f>
        <v>-15328</v>
      </c>
      <c r="K11" s="130">
        <f>+Actuals!H284</f>
        <v>-50455.83</v>
      </c>
      <c r="L11" s="129">
        <f>+Actuals!I284</f>
        <v>40636</v>
      </c>
      <c r="M11" s="130">
        <f>+Actuals!J284</f>
        <v>144310.38</v>
      </c>
      <c r="N11" s="129">
        <f>+Actuals!K284</f>
        <v>576</v>
      </c>
      <c r="O11" s="130">
        <f>+Actuals!L284</f>
        <v>3035.5</v>
      </c>
      <c r="P11" s="129">
        <f>+Actuals!M284</f>
        <v>12913</v>
      </c>
      <c r="Q11" s="130">
        <f>+Actuals!N284</f>
        <v>25144.19</v>
      </c>
      <c r="R11" s="129">
        <f>+Actuals!O284</f>
        <v>0</v>
      </c>
      <c r="S11" s="130">
        <f>+Actuals!P284</f>
        <v>0</v>
      </c>
      <c r="T11" s="129">
        <f>+Actuals!Q284</f>
        <v>0</v>
      </c>
      <c r="U11" s="130">
        <f>+Actuals!R284</f>
        <v>0</v>
      </c>
      <c r="V11" s="129">
        <f>+Actuals!S284</f>
        <v>0</v>
      </c>
      <c r="W11" s="130">
        <f>+Actuals!T284</f>
        <v>0</v>
      </c>
      <c r="X11" s="129">
        <f>+Actuals!U484</f>
        <v>0</v>
      </c>
      <c r="Y11" s="130">
        <f>+Actuals!V484</f>
        <v>-959372.83</v>
      </c>
      <c r="Z11" s="129">
        <f>+Actuals!W484</f>
        <v>0</v>
      </c>
      <c r="AA11" s="130">
        <f>+Actuals!X484</f>
        <v>0</v>
      </c>
      <c r="AB11" s="129">
        <f>+Actuals!Y484</f>
        <v>-30570</v>
      </c>
      <c r="AC11" s="130">
        <f>+Actuals!Z484+-209637</f>
        <v>-270471.3</v>
      </c>
      <c r="AD11" s="129">
        <f>+Actuals!AA484</f>
        <v>0</v>
      </c>
      <c r="AE11" s="130">
        <f>+Actuals!AB484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862645.79</v>
      </c>
      <c r="F12" s="60">
        <f>'TIE-OUT'!N12+RECLASS!N12</f>
        <v>0</v>
      </c>
      <c r="G12" s="38">
        <f>'TIE-OUT'!O12+RECLASS!O12</f>
        <v>866214.79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+Actuals!H285-3569</f>
        <v>-3569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30">
        <f>+Actuals!N285</f>
        <v>0</v>
      </c>
      <c r="R12" s="129">
        <f>+Actuals!O285</f>
        <v>0</v>
      </c>
      <c r="S12" s="130">
        <f>+Actuals!P285</f>
        <v>0</v>
      </c>
      <c r="T12" s="129">
        <f>+Actuals!Q285</f>
        <v>0</v>
      </c>
      <c r="U12" s="130">
        <f>+Actuals!R285</f>
        <v>0</v>
      </c>
      <c r="V12" s="129">
        <f>+Actuals!S285</f>
        <v>0</v>
      </c>
      <c r="W12" s="130">
        <f>+Actuals!T285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+Actuals!Y485</f>
        <v>0</v>
      </c>
      <c r="AC12" s="130">
        <f>+Actuals!Z485</f>
        <v>0</v>
      </c>
      <c r="AD12" s="129">
        <f>+Actuals!AA485</f>
        <v>0</v>
      </c>
      <c r="AE12" s="130">
        <f>+Actuals!AB485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22897735</v>
      </c>
      <c r="E13" s="38">
        <f t="shared" si="0"/>
        <v>48355097</v>
      </c>
      <c r="F13" s="60">
        <f>'TIE-OUT'!N13+RECLASS!N13</f>
        <v>0</v>
      </c>
      <c r="G13" s="38">
        <f>'TIE-OUT'!O13+RECLASS!O13</f>
        <v>0</v>
      </c>
      <c r="H13" s="129">
        <f>+Actuals!E286</f>
        <v>22897735</v>
      </c>
      <c r="I13" s="130">
        <f>+Actuals!F286</f>
        <v>48355097</v>
      </c>
      <c r="J13" s="129">
        <f>+Actuals!G286</f>
        <v>-433945</v>
      </c>
      <c r="K13" s="130">
        <f>+Actuals!H286</f>
        <v>-964232</v>
      </c>
      <c r="L13" s="129">
        <f>+Actuals!I286</f>
        <v>0</v>
      </c>
      <c r="M13" s="130">
        <f>+Actuals!J286</f>
        <v>0</v>
      </c>
      <c r="N13" s="129">
        <f>+Actuals!K286</f>
        <v>-11465</v>
      </c>
      <c r="O13" s="130">
        <f>+Actuals!L286</f>
        <v>-24290</v>
      </c>
      <c r="P13" s="129">
        <f>+Actuals!M286</f>
        <v>0</v>
      </c>
      <c r="Q13" s="130">
        <f>+Actuals!N286</f>
        <v>0</v>
      </c>
      <c r="R13" s="129">
        <f>+Actuals!O286</f>
        <v>1671113</v>
      </c>
      <c r="S13" s="130">
        <f>+Actuals!P286</f>
        <v>3648501</v>
      </c>
      <c r="T13" s="129">
        <f>+Actuals!Q286</f>
        <v>2022546</v>
      </c>
      <c r="U13" s="130">
        <f>+Actuals!R286</f>
        <v>4430233</v>
      </c>
      <c r="V13" s="129">
        <f>+Actuals!S286</f>
        <v>-3248249</v>
      </c>
      <c r="W13" s="130">
        <f>+Actuals!T286</f>
        <v>-7090212</v>
      </c>
      <c r="X13" s="129">
        <f>+Actuals!U486</f>
        <v>3248249</v>
      </c>
      <c r="Y13" s="130">
        <f>+Actuals!V486</f>
        <v>7090212</v>
      </c>
      <c r="Z13" s="129">
        <f>+Actuals!W486</f>
        <v>0</v>
      </c>
      <c r="AA13" s="130">
        <f>+Actuals!X486</f>
        <v>0</v>
      </c>
      <c r="AB13" s="129">
        <f>+Actuals!Y486</f>
        <v>-3248249</v>
      </c>
      <c r="AC13" s="130">
        <f>+Actuals!Z486</f>
        <v>-7090212</v>
      </c>
      <c r="AD13" s="129">
        <f>+Actuals!AA486</f>
        <v>0</v>
      </c>
      <c r="AE13" s="130">
        <f>+Actuals!AB486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+Actuals!Q287</f>
        <v>0</v>
      </c>
      <c r="U14" s="130">
        <f>+Actuals!R287</f>
        <v>0</v>
      </c>
      <c r="V14" s="129">
        <f>+Actuals!S287</f>
        <v>0</v>
      </c>
      <c r="W14" s="130">
        <f>+Actuals!T287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+Actuals!Y487</f>
        <v>0</v>
      </c>
      <c r="AC14" s="130">
        <f>+Actuals!Z487</f>
        <v>0</v>
      </c>
      <c r="AD14" s="129">
        <f>+Actuals!AA487</f>
        <v>0</v>
      </c>
      <c r="AE14" s="130">
        <f>+Actuals!AB487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+Actuals!Q288</f>
        <v>0</v>
      </c>
      <c r="U15" s="130">
        <f>+Actuals!R288</f>
        <v>0</v>
      </c>
      <c r="V15" s="129">
        <f>+Actuals!S288</f>
        <v>0</v>
      </c>
      <c r="W15" s="130">
        <f>+Actuals!T288</f>
        <v>0</v>
      </c>
      <c r="X15" s="129">
        <f>+Actuals!U488</f>
        <v>0</v>
      </c>
      <c r="Y15" s="130">
        <f>+Actuals!V488</f>
        <v>0</v>
      </c>
      <c r="Z15" s="129">
        <f>+Actuals!W488</f>
        <v>0</v>
      </c>
      <c r="AA15" s="130">
        <f>+Actuals!X488</f>
        <v>0</v>
      </c>
      <c r="AB15" s="129">
        <f>+Actuals!Y488</f>
        <v>0</v>
      </c>
      <c r="AC15" s="130">
        <f>+Actuals!Z488</f>
        <v>0</v>
      </c>
      <c r="AD15" s="129">
        <f>+Actuals!AA488</f>
        <v>0</v>
      </c>
      <c r="AE15" s="130">
        <f>+Actuals!AB488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55420384</v>
      </c>
      <c r="E16" s="39">
        <f t="shared" si="1"/>
        <v>116704834</v>
      </c>
      <c r="F16" s="61">
        <f t="shared" si="1"/>
        <v>0</v>
      </c>
      <c r="G16" s="39">
        <f t="shared" si="1"/>
        <v>866214.79</v>
      </c>
      <c r="H16" s="61">
        <f t="shared" si="1"/>
        <v>55412157</v>
      </c>
      <c r="I16" s="39">
        <f t="shared" si="1"/>
        <v>116949998.09999999</v>
      </c>
      <c r="J16" s="61">
        <f t="shared" si="1"/>
        <v>-449273</v>
      </c>
      <c r="K16" s="39">
        <f t="shared" si="1"/>
        <v>-1018256.83</v>
      </c>
      <c r="L16" s="61">
        <f t="shared" si="1"/>
        <v>40636</v>
      </c>
      <c r="M16" s="39">
        <f t="shared" si="1"/>
        <v>144310.38</v>
      </c>
      <c r="N16" s="61">
        <f t="shared" si="1"/>
        <v>-10889</v>
      </c>
      <c r="O16" s="39">
        <f t="shared" si="1"/>
        <v>-21254.5</v>
      </c>
      <c r="P16" s="61">
        <f t="shared" si="1"/>
        <v>12913</v>
      </c>
      <c r="Q16" s="39">
        <f t="shared" si="1"/>
        <v>25144.19</v>
      </c>
      <c r="R16" s="61">
        <f t="shared" si="1"/>
        <v>1671113</v>
      </c>
      <c r="S16" s="39">
        <f t="shared" si="1"/>
        <v>3648501</v>
      </c>
      <c r="T16" s="61">
        <f t="shared" si="1"/>
        <v>2022546</v>
      </c>
      <c r="U16" s="39">
        <f t="shared" si="1"/>
        <v>4430233</v>
      </c>
      <c r="V16" s="61">
        <f t="shared" si="1"/>
        <v>-3248249</v>
      </c>
      <c r="W16" s="39">
        <f t="shared" si="1"/>
        <v>-7090212</v>
      </c>
      <c r="X16" s="61">
        <f t="shared" si="1"/>
        <v>3248249</v>
      </c>
      <c r="Y16" s="39">
        <f t="shared" si="1"/>
        <v>6130839.1699999999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-3278819</v>
      </c>
      <c r="AC16" s="39">
        <f t="shared" si="2"/>
        <v>-7360683.2999999998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-35984079</v>
      </c>
      <c r="E19" s="38">
        <f t="shared" si="3"/>
        <v>-72780416.859999999</v>
      </c>
      <c r="F19" s="64">
        <f>'TIE-OUT'!N19+RECLASS!N19</f>
        <v>0</v>
      </c>
      <c r="G19" s="68">
        <f>'TIE-OUT'!O19+RECLASS!O19</f>
        <v>0</v>
      </c>
      <c r="H19" s="129">
        <f>+Actuals!E289</f>
        <v>-35982628</v>
      </c>
      <c r="I19" s="130">
        <f>+Actuals!F289</f>
        <v>-73391551.450000003</v>
      </c>
      <c r="J19" s="129">
        <f>+Actuals!G289</f>
        <v>-1838</v>
      </c>
      <c r="K19" s="130">
        <f>+Actuals!H289</f>
        <v>341199.59</v>
      </c>
      <c r="L19" s="129">
        <f>+Actuals!I289</f>
        <v>-7576</v>
      </c>
      <c r="M19" s="130">
        <f>+Actuals!J289</f>
        <v>-15066.74</v>
      </c>
      <c r="N19" s="129">
        <f>+Actuals!K289</f>
        <v>0</v>
      </c>
      <c r="O19" s="130">
        <f>+Actuals!L289</f>
        <v>0</v>
      </c>
      <c r="P19" s="129">
        <f>+Actuals!M289</f>
        <v>0</v>
      </c>
      <c r="Q19" s="130">
        <f>+Actuals!N289</f>
        <v>223386</v>
      </c>
      <c r="R19" s="129">
        <f>+Actuals!O289</f>
        <v>0</v>
      </c>
      <c r="S19" s="130">
        <f>+Actuals!P289</f>
        <v>0</v>
      </c>
      <c r="T19" s="129">
        <f>+Actuals!Q289</f>
        <v>0</v>
      </c>
      <c r="U19" s="130">
        <f>+Actuals!R289</f>
        <v>0</v>
      </c>
      <c r="V19" s="129">
        <f>+Actuals!S289</f>
        <v>0</v>
      </c>
      <c r="W19" s="130">
        <f>+Actuals!T289</f>
        <v>46881.22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+Actuals!Y489</f>
        <v>7963</v>
      </c>
      <c r="AC19" s="130">
        <f>+Actuals!Z489</f>
        <v>14734.52</v>
      </c>
      <c r="AD19" s="129">
        <f>+Actuals!AA489</f>
        <v>0</v>
      </c>
      <c r="AE19" s="130">
        <f>+Actuals!AB489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-370802.91000000015</v>
      </c>
      <c r="F20" s="60">
        <f>'TIE-OUT'!N20+RECLASS!N20</f>
        <v>0</v>
      </c>
      <c r="G20" s="38">
        <f>'TIE-OUT'!O20+RECLASS!O20</f>
        <v>-1539812.8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+Actuals!J290+1169009.89</f>
        <v>1169009.8899999999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+Actuals!Q290</f>
        <v>0</v>
      </c>
      <c r="U20" s="130">
        <f>+Actuals!R290</f>
        <v>0</v>
      </c>
      <c r="V20" s="129">
        <f>+Actuals!S290</f>
        <v>0</v>
      </c>
      <c r="W20" s="130">
        <f>+Actuals!T290</f>
        <v>0</v>
      </c>
      <c r="X20" s="129">
        <f>+Actuals!U490</f>
        <v>0</v>
      </c>
      <c r="Y20" s="159">
        <v>0</v>
      </c>
      <c r="Z20" s="129">
        <f>+Actuals!W490</f>
        <v>0</v>
      </c>
      <c r="AA20" s="130">
        <v>0</v>
      </c>
      <c r="AB20" s="129">
        <f>+Actuals!Y490</f>
        <v>0</v>
      </c>
      <c r="AC20" s="130">
        <v>0</v>
      </c>
      <c r="AD20" s="129">
        <f>+Actuals!AA490</f>
        <v>0</v>
      </c>
      <c r="AE20" s="130"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-20800712</v>
      </c>
      <c r="E21" s="38">
        <f t="shared" si="3"/>
        <v>-43759144</v>
      </c>
      <c r="F21" s="60">
        <f>'TIE-OUT'!N21+RECLASS!N21</f>
        <v>0</v>
      </c>
      <c r="G21" s="38">
        <f>'TIE-OUT'!O21+RECLASS!O21</f>
        <v>0</v>
      </c>
      <c r="H21" s="129">
        <f>+Actuals!E291</f>
        <v>-20800712</v>
      </c>
      <c r="I21" s="130">
        <f>+Actuals!F291</f>
        <v>-43759144</v>
      </c>
      <c r="J21" s="129">
        <f>+Actuals!G291</f>
        <v>0</v>
      </c>
      <c r="K21" s="130">
        <f>+Actuals!H291</f>
        <v>0</v>
      </c>
      <c r="L21" s="129">
        <f>+Actuals!I291</f>
        <v>0</v>
      </c>
      <c r="M21" s="130">
        <f>+Actuals!J291</f>
        <v>0</v>
      </c>
      <c r="N21" s="129">
        <f>+Actuals!K291</f>
        <v>0</v>
      </c>
      <c r="O21" s="130">
        <f>+Actuals!L291</f>
        <v>0</v>
      </c>
      <c r="P21" s="129">
        <f>+Actuals!M291</f>
        <v>0</v>
      </c>
      <c r="Q21" s="130">
        <f>+Actuals!N291</f>
        <v>0</v>
      </c>
      <c r="R21" s="129">
        <f>+Actuals!O291</f>
        <v>-1671113</v>
      </c>
      <c r="S21" s="130">
        <f>+Actuals!P291</f>
        <v>-3648501</v>
      </c>
      <c r="T21" s="129">
        <f>+Actuals!Q291</f>
        <v>-2022546</v>
      </c>
      <c r="U21" s="130">
        <f>+Actuals!R291</f>
        <v>-4430233</v>
      </c>
      <c r="V21" s="129">
        <f>+Actuals!S291</f>
        <v>3693659</v>
      </c>
      <c r="W21" s="130">
        <f>+Actuals!T291</f>
        <v>8078734</v>
      </c>
      <c r="X21" s="129">
        <f>+Actuals!U491</f>
        <v>-3693659</v>
      </c>
      <c r="Y21" s="130">
        <f>+Actuals!V491</f>
        <v>-8078734</v>
      </c>
      <c r="Z21" s="129">
        <f>+Actuals!W491</f>
        <v>0</v>
      </c>
      <c r="AA21" s="130">
        <f>+Actuals!X491</f>
        <v>0</v>
      </c>
      <c r="AB21" s="129">
        <f>+Actuals!Y491</f>
        <v>3693659</v>
      </c>
      <c r="AC21" s="130">
        <f>+Actuals!Z491</f>
        <v>8078734</v>
      </c>
      <c r="AD21" s="129">
        <f>+Actuals!AA491</f>
        <v>0</v>
      </c>
      <c r="AE21" s="130">
        <f>+Actuals!AB491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+Actuals!Q292</f>
        <v>0</v>
      </c>
      <c r="U22" s="130">
        <f>+Actuals!R292</f>
        <v>0</v>
      </c>
      <c r="V22" s="129">
        <f>+Actuals!S292</f>
        <v>0</v>
      </c>
      <c r="W22" s="130">
        <f>+Actuals!T292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+Actuals!Y492</f>
        <v>0</v>
      </c>
      <c r="AC22" s="130">
        <f>+Actuals!Z492</f>
        <v>0</v>
      </c>
      <c r="AD22" s="129">
        <f>+Actuals!AA492</f>
        <v>0</v>
      </c>
      <c r="AE22" s="130">
        <f>+Actuals!AB492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285033</v>
      </c>
      <c r="E23" s="38">
        <f t="shared" si="3"/>
        <v>592868.6399999999</v>
      </c>
      <c r="F23" s="81">
        <f>'TIE-OUT'!N23+RECLASS!N23</f>
        <v>0</v>
      </c>
      <c r="G23" s="82">
        <f>'TIE-OUT'!O23+RECLASS!O23</f>
        <v>0</v>
      </c>
      <c r="H23" s="129">
        <f>+Actuals!E293</f>
        <v>277879</v>
      </c>
      <c r="I23" s="130">
        <f>+Actuals!F293</f>
        <v>577988.31999999995</v>
      </c>
      <c r="J23" s="129">
        <f>+Actuals!G293</f>
        <v>7155</v>
      </c>
      <c r="K23" s="130">
        <f>+Actuals!H293</f>
        <v>14882.4</v>
      </c>
      <c r="L23" s="129">
        <f>+Actuals!I293</f>
        <v>-2</v>
      </c>
      <c r="M23" s="130">
        <f>+Actuals!J293</f>
        <v>-4.16</v>
      </c>
      <c r="N23" s="129">
        <f>+Actuals!K293</f>
        <v>0</v>
      </c>
      <c r="O23" s="130">
        <f>+Actuals!L293</f>
        <v>0</v>
      </c>
      <c r="P23" s="129">
        <f>+Actuals!M293</f>
        <v>1</v>
      </c>
      <c r="Q23" s="130">
        <f>+Actuals!N293</f>
        <v>2.08</v>
      </c>
      <c r="R23" s="129">
        <f>+Actuals!O293</f>
        <v>0</v>
      </c>
      <c r="S23" s="130">
        <f>+Actuals!P293</f>
        <v>0</v>
      </c>
      <c r="T23" s="129">
        <f>+Actuals!Q293</f>
        <v>0</v>
      </c>
      <c r="U23" s="130">
        <f>+Actuals!R293</f>
        <v>0</v>
      </c>
      <c r="V23" s="129">
        <f>+Actuals!S293</f>
        <v>0</v>
      </c>
      <c r="W23" s="130">
        <f>+Actuals!T293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+Actuals!Y493</f>
        <v>0</v>
      </c>
      <c r="AC23" s="130">
        <f>+Actuals!Z493</f>
        <v>0</v>
      </c>
      <c r="AD23" s="129">
        <f>+Actuals!AA493</f>
        <v>0</v>
      </c>
      <c r="AE23" s="130">
        <f>+Actuals!AB493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-56499758</v>
      </c>
      <c r="E24" s="39">
        <f t="shared" si="4"/>
        <v>-116317495.13</v>
      </c>
      <c r="F24" s="61">
        <f t="shared" si="4"/>
        <v>0</v>
      </c>
      <c r="G24" s="39">
        <f t="shared" si="4"/>
        <v>-1539812.8</v>
      </c>
      <c r="H24" s="61">
        <f t="shared" si="4"/>
        <v>-56505461</v>
      </c>
      <c r="I24" s="39">
        <f t="shared" si="4"/>
        <v>-116572707.13000001</v>
      </c>
      <c r="J24" s="61">
        <f t="shared" si="4"/>
        <v>5317</v>
      </c>
      <c r="K24" s="39">
        <f t="shared" si="4"/>
        <v>356081.99000000005</v>
      </c>
      <c r="L24" s="61">
        <f t="shared" si="4"/>
        <v>-7578</v>
      </c>
      <c r="M24" s="39">
        <f t="shared" si="4"/>
        <v>1153938.99</v>
      </c>
      <c r="N24" s="61">
        <f t="shared" si="4"/>
        <v>0</v>
      </c>
      <c r="O24" s="39">
        <f t="shared" si="4"/>
        <v>0</v>
      </c>
      <c r="P24" s="61">
        <f t="shared" si="4"/>
        <v>1</v>
      </c>
      <c r="Q24" s="39">
        <f t="shared" si="4"/>
        <v>223388.08</v>
      </c>
      <c r="R24" s="61">
        <f t="shared" si="4"/>
        <v>-1671113</v>
      </c>
      <c r="S24" s="39">
        <f t="shared" si="4"/>
        <v>-3648501</v>
      </c>
      <c r="T24" s="61">
        <f t="shared" si="4"/>
        <v>-2022546</v>
      </c>
      <c r="U24" s="39">
        <f t="shared" si="4"/>
        <v>-4430233</v>
      </c>
      <c r="V24" s="61">
        <f t="shared" si="4"/>
        <v>3693659</v>
      </c>
      <c r="W24" s="39">
        <f t="shared" si="4"/>
        <v>8125615.2199999997</v>
      </c>
      <c r="X24" s="61">
        <f t="shared" si="4"/>
        <v>-3693659</v>
      </c>
      <c r="Y24" s="39">
        <f t="shared" si="4"/>
        <v>-8078734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3701622</v>
      </c>
      <c r="AC24" s="39">
        <f t="shared" si="5"/>
        <v>8093468.5199999996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+Actuals!Q294</f>
        <v>0</v>
      </c>
      <c r="U27" s="130">
        <f>+Actuals!R294</f>
        <v>0</v>
      </c>
      <c r="V27" s="129">
        <f>+Actuals!S294</f>
        <v>0</v>
      </c>
      <c r="W27" s="130">
        <f>+Actuals!T294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+Actuals!Y494</f>
        <v>0</v>
      </c>
      <c r="AC27" s="130">
        <f>+Actuals!Z494</f>
        <v>0</v>
      </c>
      <c r="AD27" s="129">
        <f>+Actuals!AA494</f>
        <v>0</v>
      </c>
      <c r="AE27" s="130">
        <f>+Actuals!AB494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'TIE-OUT'!N28+RECLASS!N28</f>
        <v>0</v>
      </c>
      <c r="G28" s="82">
        <f>'TIE-OUT'!O28+RECLASS!O28</f>
        <v>0</v>
      </c>
      <c r="H28" s="129">
        <f>+Actuals!E295</f>
        <v>0</v>
      </c>
      <c r="I28" s="130">
        <f>+Actuals!F295</f>
        <v>0</v>
      </c>
      <c r="J28" s="129">
        <f>+Actuals!G295</f>
        <v>0</v>
      </c>
      <c r="K28" s="130">
        <f>+Actuals!H295</f>
        <v>0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+Actuals!Q295</f>
        <v>0</v>
      </c>
      <c r="U28" s="130">
        <f>+Actuals!R295</f>
        <v>0</v>
      </c>
      <c r="V28" s="129">
        <f>+Actuals!S295</f>
        <v>0</v>
      </c>
      <c r="W28" s="130">
        <f>+Actuals!T295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+Actuals!Y495</f>
        <v>0</v>
      </c>
      <c r="AC28" s="130">
        <f>+Actuals!Z495</f>
        <v>0</v>
      </c>
      <c r="AD28" s="129">
        <f>+Actuals!AA495</f>
        <v>0</v>
      </c>
      <c r="AE28" s="130">
        <f>+Actuals!AB495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-36635</v>
      </c>
      <c r="E32" s="38">
        <f t="shared" si="8"/>
        <v>-74735.574999999983</v>
      </c>
      <c r="F32" s="64">
        <f>'TIE-OUT'!N32+RECLASS!N32</f>
        <v>0</v>
      </c>
      <c r="G32" s="68">
        <f>'TIE-OUT'!O32+RECLASS!O32</f>
        <v>0</v>
      </c>
      <c r="H32" s="129">
        <f>+Actuals!E296</f>
        <v>18263</v>
      </c>
      <c r="I32" s="130">
        <f>+Actuals!F296</f>
        <v>37987.040000000001</v>
      </c>
      <c r="J32" s="129">
        <f>+Actuals!G296</f>
        <v>35358</v>
      </c>
      <c r="K32" s="130">
        <f>+Actuals!H296</f>
        <v>73544.639999999999</v>
      </c>
      <c r="L32" s="129">
        <f>+Actuals!I296</f>
        <v>-77346</v>
      </c>
      <c r="M32" s="130">
        <f>+Actuals!J296</f>
        <v>-161045.755</v>
      </c>
      <c r="N32" s="129">
        <f>+Actuals!K296</f>
        <v>0</v>
      </c>
      <c r="O32" s="130">
        <f>+Actuals!L296</f>
        <v>-10889.775</v>
      </c>
      <c r="P32" s="129">
        <f>+Actuals!M296</f>
        <v>-12909</v>
      </c>
      <c r="Q32" s="130">
        <f>+Actuals!N296</f>
        <v>-36163.298999999999</v>
      </c>
      <c r="R32" s="129">
        <f>+Actuals!O296</f>
        <v>-1</v>
      </c>
      <c r="S32" s="130">
        <f>+Actuals!P296+546214</f>
        <v>21831.574000000022</v>
      </c>
      <c r="T32" s="129">
        <f>+Actuals!Q296</f>
        <v>0</v>
      </c>
      <c r="U32" s="130">
        <f>+Actuals!R296</f>
        <v>0</v>
      </c>
      <c r="V32" s="129">
        <f>+Actuals!S296</f>
        <v>0</v>
      </c>
      <c r="W32" s="130">
        <f>+Actuals!T296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+Actuals!Y496</f>
        <v>0</v>
      </c>
      <c r="AC32" s="130">
        <f>+Actuals!Z496</f>
        <v>0</v>
      </c>
      <c r="AD32" s="129">
        <f>+Actuals!AA496</f>
        <v>0</v>
      </c>
      <c r="AE32" s="130">
        <f>+Actuals!AB496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-5786</v>
      </c>
      <c r="E33" s="38">
        <f t="shared" si="8"/>
        <v>-11908.38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0</v>
      </c>
      <c r="K33" s="130">
        <f>+Actuals!H297</f>
        <v>0</v>
      </c>
      <c r="L33" s="129">
        <f>+Actuals!I297</f>
        <v>-5786</v>
      </c>
      <c r="M33" s="130">
        <f>+Actuals!J297</f>
        <v>-11908.38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+Actuals!Q297</f>
        <v>0</v>
      </c>
      <c r="U33" s="130">
        <f>+Actuals!R297</f>
        <v>0</v>
      </c>
      <c r="V33" s="129">
        <f>+Actuals!S297</f>
        <v>0</v>
      </c>
      <c r="W33" s="130">
        <f>+Actuals!T297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+Actuals!Y497</f>
        <v>0</v>
      </c>
      <c r="AC33" s="130">
        <f>+Actuals!Z497</f>
        <v>0</v>
      </c>
      <c r="AD33" s="129">
        <f>+Actuals!AA497</f>
        <v>0</v>
      </c>
      <c r="AE33" s="130">
        <f>+Actuals!AB497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23164</v>
      </c>
      <c r="E34" s="38">
        <f t="shared" si="8"/>
        <v>47475.09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1</v>
      </c>
      <c r="K34" s="130">
        <f>+Actuals!H298</f>
        <v>1.85</v>
      </c>
      <c r="L34" s="129">
        <f>+Actuals!I298</f>
        <v>23163</v>
      </c>
      <c r="M34" s="130">
        <f>+Actuals!J298</f>
        <v>47473.24</v>
      </c>
      <c r="N34" s="129">
        <f>+Actuals!K298</f>
        <v>0</v>
      </c>
      <c r="O34" s="130">
        <f>+Actuals!L298</f>
        <v>0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+Actuals!Q298</f>
        <v>0</v>
      </c>
      <c r="U34" s="130">
        <f>+Actuals!R298</f>
        <v>0</v>
      </c>
      <c r="V34" s="129">
        <f>+Actuals!S298</f>
        <v>0</v>
      </c>
      <c r="W34" s="130">
        <f>+Actuals!T298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+Actuals!Y498</f>
        <v>0</v>
      </c>
      <c r="AC34" s="130">
        <f>+Actuals!Z498</f>
        <v>0</v>
      </c>
      <c r="AD34" s="129">
        <f>+Actuals!AA498</f>
        <v>0</v>
      </c>
      <c r="AE34" s="130">
        <f>+Actuals!AB498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600017</v>
      </c>
      <c r="E35" s="38">
        <f t="shared" si="8"/>
        <v>701821.01</v>
      </c>
      <c r="F35" s="81">
        <f>'TIE-OUT'!N35+RECLASS!N35</f>
        <v>0</v>
      </c>
      <c r="G35" s="82">
        <f>'TIE-OUT'!O35+RECLASS!O35</f>
        <v>0</v>
      </c>
      <c r="H35" s="129">
        <f>+Actuals!E299</f>
        <v>-602585</v>
      </c>
      <c r="I35" s="130">
        <f>+Actuals!F299</f>
        <v>0.01</v>
      </c>
      <c r="J35" s="129">
        <f>+Actuals!G299</f>
        <v>-2568</v>
      </c>
      <c r="K35" s="130">
        <f>+Actuals!H299</f>
        <v>0</v>
      </c>
      <c r="L35" s="129">
        <f>+Actuals!I299</f>
        <v>1205170</v>
      </c>
      <c r="M35" s="130">
        <f>+Actuals!J299</f>
        <v>0</v>
      </c>
      <c r="N35" s="129">
        <f>+Actuals!K299</f>
        <v>0</v>
      </c>
      <c r="O35" s="130">
        <f>+Actuals!L299</f>
        <v>1248035</v>
      </c>
      <c r="P35" s="129">
        <f>+Actuals!M299</f>
        <v>0</v>
      </c>
      <c r="Q35" s="159">
        <f>+Actuals!N299-546214</f>
        <v>-546214</v>
      </c>
      <c r="R35" s="129">
        <f>+Actuals!O299</f>
        <v>0</v>
      </c>
      <c r="S35" s="159">
        <f>+Actuals!P299</f>
        <v>0</v>
      </c>
      <c r="T35" s="129">
        <f>+Actuals!Q299</f>
        <v>0</v>
      </c>
      <c r="U35" s="130">
        <f>+Actuals!R299</f>
        <v>0</v>
      </c>
      <c r="V35" s="129">
        <f>+Actuals!S299</f>
        <v>0</v>
      </c>
      <c r="W35" s="130">
        <f>+Actuals!T299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+Actuals!Y499</f>
        <v>0</v>
      </c>
      <c r="AC35" s="130">
        <f>+Actuals!Z499</f>
        <v>0</v>
      </c>
      <c r="AD35" s="129">
        <f>+Actuals!AA499</f>
        <v>0</v>
      </c>
      <c r="AE35" s="130">
        <f>+Actuals!AB499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580760</v>
      </c>
      <c r="E36" s="39">
        <f t="shared" si="9"/>
        <v>662652.14500000002</v>
      </c>
      <c r="F36" s="61">
        <f t="shared" si="9"/>
        <v>0</v>
      </c>
      <c r="G36" s="39">
        <f t="shared" si="9"/>
        <v>0</v>
      </c>
      <c r="H36" s="61">
        <f t="shared" si="9"/>
        <v>-584322</v>
      </c>
      <c r="I36" s="39">
        <f t="shared" si="9"/>
        <v>37987.050000000003</v>
      </c>
      <c r="J36" s="61">
        <f t="shared" si="9"/>
        <v>32791</v>
      </c>
      <c r="K36" s="39">
        <f t="shared" si="9"/>
        <v>73546.490000000005</v>
      </c>
      <c r="L36" s="61">
        <f t="shared" si="9"/>
        <v>1145201</v>
      </c>
      <c r="M36" s="39">
        <f t="shared" si="9"/>
        <v>-125480.89500000002</v>
      </c>
      <c r="N36" s="61">
        <f t="shared" si="9"/>
        <v>0</v>
      </c>
      <c r="O36" s="39">
        <f t="shared" si="9"/>
        <v>1237145.2250000001</v>
      </c>
      <c r="P36" s="61">
        <f t="shared" si="9"/>
        <v>-12909</v>
      </c>
      <c r="Q36" s="39">
        <f t="shared" si="9"/>
        <v>-582377.299</v>
      </c>
      <c r="R36" s="61">
        <f t="shared" si="9"/>
        <v>-1</v>
      </c>
      <c r="S36" s="39">
        <f t="shared" si="9"/>
        <v>21831.574000000022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+Actuals!Q300</f>
        <v>0</v>
      </c>
      <c r="U39" s="130">
        <f>+Actuals!R300</f>
        <v>0</v>
      </c>
      <c r="V39" s="129">
        <f>+Actuals!S300</f>
        <v>0</v>
      </c>
      <c r="W39" s="130">
        <f>+Actuals!T300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+Actuals!Y500</f>
        <v>0</v>
      </c>
      <c r="AC39" s="130">
        <f>+Actuals!Z500</f>
        <v>0</v>
      </c>
      <c r="AD39" s="129">
        <f>+Actuals!AA500</f>
        <v>0</v>
      </c>
      <c r="AE39" s="130">
        <f>+Actuals!AB500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+Actuals!Q301</f>
        <v>0</v>
      </c>
      <c r="U40" s="130">
        <f>+Actuals!R301</f>
        <v>0</v>
      </c>
      <c r="V40" s="129">
        <f>+Actuals!S301</f>
        <v>0</v>
      </c>
      <c r="W40" s="130">
        <f>+Actuals!T301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+Actuals!Y501</f>
        <v>0</v>
      </c>
      <c r="AC40" s="130">
        <f>+Actuals!Z501</f>
        <v>0</v>
      </c>
      <c r="AD40" s="129">
        <f>+Actuals!AA501</f>
        <v>0</v>
      </c>
      <c r="AE40" s="130">
        <f>+Actuals!AB501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+Actuals!Q302</f>
        <v>0</v>
      </c>
      <c r="U41" s="130">
        <f>+Actuals!R302</f>
        <v>0</v>
      </c>
      <c r="V41" s="129">
        <f>+Actuals!S302</f>
        <v>0</v>
      </c>
      <c r="W41" s="130">
        <f>+Actuals!T302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+Actuals!Y502</f>
        <v>0</v>
      </c>
      <c r="AC41" s="130">
        <f>+Actuals!Z502</f>
        <v>0</v>
      </c>
      <c r="AD41" s="129">
        <f>+Actuals!AA502</f>
        <v>0</v>
      </c>
      <c r="AE41" s="130">
        <f>+Actuals!AB502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+Actuals!Q303</f>
        <v>0</v>
      </c>
      <c r="U45" s="130">
        <f>+Actuals!R303</f>
        <v>0</v>
      </c>
      <c r="V45" s="129">
        <f>+Actuals!S303</f>
        <v>0</v>
      </c>
      <c r="W45" s="130">
        <f>+Actuals!T303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+Actuals!Y503</f>
        <v>0</v>
      </c>
      <c r="AC45" s="130">
        <f>+Actuals!Z503</f>
        <v>0</v>
      </c>
      <c r="AD45" s="129">
        <f>+Actuals!AA503</f>
        <v>0</v>
      </c>
      <c r="AE45" s="130">
        <f>+Actuals!AB503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+Actuals!Q304</f>
        <v>0</v>
      </c>
      <c r="U47" s="130">
        <f>+Actuals!R304</f>
        <v>0</v>
      </c>
      <c r="V47" s="129">
        <f>+Actuals!S304</f>
        <v>0</v>
      </c>
      <c r="W47" s="130">
        <f>+Actuals!T304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+Actuals!Y504</f>
        <v>0</v>
      </c>
      <c r="AC47" s="130">
        <f>+Actuals!Z504</f>
        <v>0</v>
      </c>
      <c r="AD47" s="129">
        <f>+Actuals!AA504</f>
        <v>0</v>
      </c>
      <c r="AE47" s="130">
        <f>+Actuals!AB504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498614</v>
      </c>
      <c r="E49" s="38">
        <f>SUM(G49,I49,K49,M49,O49,Q49,S49,U49,W49,Y49,AA49,AC49,AE49)</f>
        <v>1037117.1200000003</v>
      </c>
      <c r="F49" s="60">
        <f>'TIE-OUT'!N49+RECLASS!N49</f>
        <v>0</v>
      </c>
      <c r="G49" s="38">
        <f>'TIE-OUT'!O49+RECLASS!O49</f>
        <v>0</v>
      </c>
      <c r="H49" s="129">
        <f>+Actuals!E305</f>
        <v>1677626</v>
      </c>
      <c r="I49" s="130">
        <f>+Actuals!F305</f>
        <v>3489462.08</v>
      </c>
      <c r="J49" s="129">
        <f>+Actuals!G305</f>
        <v>411165</v>
      </c>
      <c r="K49" s="130">
        <f>+Actuals!H305</f>
        <v>855223.2</v>
      </c>
      <c r="L49" s="129">
        <f>+Actuals!I305</f>
        <v>-1178259</v>
      </c>
      <c r="M49" s="130">
        <f>+Actuals!J305</f>
        <v>-2450778.7200000002</v>
      </c>
      <c r="N49" s="129">
        <f>+Actuals!K305</f>
        <v>10889</v>
      </c>
      <c r="O49" s="130">
        <f>+Actuals!L305</f>
        <v>22649.119999999999</v>
      </c>
      <c r="P49" s="129">
        <f>+Actuals!M305</f>
        <v>-5</v>
      </c>
      <c r="Q49" s="130">
        <f>+Actuals!N305</f>
        <v>-10.4</v>
      </c>
      <c r="R49" s="129">
        <f>+Actuals!O305</f>
        <v>1</v>
      </c>
      <c r="S49" s="130">
        <f>+Actuals!P305</f>
        <v>2.08</v>
      </c>
      <c r="T49" s="129">
        <f>+Actuals!Q305</f>
        <v>0</v>
      </c>
      <c r="U49" s="130">
        <f>+Actuals!R305</f>
        <v>0</v>
      </c>
      <c r="V49" s="129">
        <f>+Actuals!S305</f>
        <v>-445410</v>
      </c>
      <c r="W49" s="130">
        <f>+Actuals!T305</f>
        <v>-926452.8</v>
      </c>
      <c r="X49" s="129">
        <f>+Actuals!U505</f>
        <v>445410</v>
      </c>
      <c r="Y49" s="130">
        <f>+Actuals!V505</f>
        <v>926452.8</v>
      </c>
      <c r="Z49" s="129">
        <f>+Actuals!W505</f>
        <v>0</v>
      </c>
      <c r="AA49" s="130">
        <f>+Actuals!X505</f>
        <v>0</v>
      </c>
      <c r="AB49" s="129">
        <f>+Actuals!Y505</f>
        <v>-422803</v>
      </c>
      <c r="AC49" s="130">
        <f>+Actuals!Z505</f>
        <v>-879430.24</v>
      </c>
      <c r="AD49" s="129">
        <f>+Actuals!AA505</f>
        <v>0</v>
      </c>
      <c r="AE49" s="130">
        <f>+Actuals!AB505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-285033</v>
      </c>
      <c r="E51" s="38">
        <f>SUM(G51,I51,K51,M51,O51,Q51,S51,U51,W51,Y51,AA51,AC51,AE51)</f>
        <v>-592868.6399999999</v>
      </c>
      <c r="F51" s="60">
        <f>'TIE-OUT'!N51+RECLASS!N51</f>
        <v>0</v>
      </c>
      <c r="G51" s="38">
        <f>'TIE-OUT'!O51+RECLASS!O51</f>
        <v>0</v>
      </c>
      <c r="H51" s="129">
        <f>+Actuals!E306</f>
        <v>-277879</v>
      </c>
      <c r="I51" s="130">
        <f>+Actuals!F306</f>
        <v>-577988.31999999995</v>
      </c>
      <c r="J51" s="129">
        <f>+Actuals!G306</f>
        <v>-7155</v>
      </c>
      <c r="K51" s="130">
        <f>+Actuals!H306</f>
        <v>-14882.4</v>
      </c>
      <c r="L51" s="129">
        <f>+Actuals!I306</f>
        <v>2</v>
      </c>
      <c r="M51" s="130">
        <f>+Actuals!J306</f>
        <v>4.16</v>
      </c>
      <c r="N51" s="129">
        <f>+Actuals!K306</f>
        <v>0</v>
      </c>
      <c r="O51" s="130">
        <f>+Actuals!L306</f>
        <v>0</v>
      </c>
      <c r="P51" s="129">
        <f>+Actuals!M306</f>
        <v>-1</v>
      </c>
      <c r="Q51" s="130">
        <f>+Actuals!N306</f>
        <v>-2.08</v>
      </c>
      <c r="R51" s="129">
        <f>+Actuals!O306</f>
        <v>0</v>
      </c>
      <c r="S51" s="130">
        <f>+Actuals!P306</f>
        <v>0</v>
      </c>
      <c r="T51" s="129">
        <f>+Actuals!Q306</f>
        <v>0</v>
      </c>
      <c r="U51" s="130">
        <f>+Actuals!R306</f>
        <v>0</v>
      </c>
      <c r="V51" s="129">
        <f>+Actuals!S306</f>
        <v>0</v>
      </c>
      <c r="W51" s="130">
        <f>+Actuals!T306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+Actuals!Y506</f>
        <v>0</v>
      </c>
      <c r="AC51" s="130">
        <f>+Actuals!Z506</f>
        <v>0</v>
      </c>
      <c r="AD51" s="129">
        <f>+Actuals!AA506</f>
        <v>0</v>
      </c>
      <c r="AE51" s="130">
        <f>+Actuals!AB506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-11699377</v>
      </c>
      <c r="E54" s="38">
        <f>SUM(G54,I54,K54,M54,O54,Q54,S54,U54,W54,Y54,AA54,AC54,AE54)</f>
        <v>-141902.24</v>
      </c>
      <c r="F54" s="64">
        <f>'TIE-OUT'!N54+RECLASS!N54</f>
        <v>0</v>
      </c>
      <c r="G54" s="68">
        <f>'TIE-OUT'!O54+RECLASS!O54</f>
        <v>0</v>
      </c>
      <c r="H54" s="129">
        <f>+Actuals!E307</f>
        <v>-11559079</v>
      </c>
      <c r="I54" s="130">
        <f>+Actuals!F307</f>
        <v>-318911.11</v>
      </c>
      <c r="J54" s="129">
        <f>+Actuals!G307</f>
        <v>-140298</v>
      </c>
      <c r="K54" s="130">
        <f>+Actuals!H307</f>
        <v>169068.64</v>
      </c>
      <c r="L54" s="129">
        <f>+Actuals!I307</f>
        <v>0</v>
      </c>
      <c r="M54" s="130">
        <f>+Actuals!J307</f>
        <v>0</v>
      </c>
      <c r="N54" s="129">
        <f>+Actuals!K307</f>
        <v>0</v>
      </c>
      <c r="O54" s="130">
        <f>+Actuals!L307</f>
        <v>10629.75</v>
      </c>
      <c r="P54" s="129">
        <f>+Actuals!M307</f>
        <v>0</v>
      </c>
      <c r="Q54" s="130">
        <f>+Actuals!N307</f>
        <v>-8.57</v>
      </c>
      <c r="R54" s="129">
        <f>+Actuals!O307</f>
        <v>0</v>
      </c>
      <c r="S54" s="130">
        <f>+Actuals!P307</f>
        <v>0</v>
      </c>
      <c r="T54" s="129">
        <f>+Actuals!Q307</f>
        <v>0</v>
      </c>
      <c r="U54" s="130">
        <f>+Actuals!R307</f>
        <v>0</v>
      </c>
      <c r="V54" s="129">
        <f>+Actuals!S307</f>
        <v>0</v>
      </c>
      <c r="W54" s="130">
        <f>+Actuals!T307</f>
        <v>0</v>
      </c>
      <c r="X54" s="129">
        <f>+Actuals!U507</f>
        <v>0</v>
      </c>
      <c r="Y54" s="130">
        <f>+Actuals!V507</f>
        <v>0</v>
      </c>
      <c r="Z54" s="129">
        <f>+Actuals!W507</f>
        <v>0</v>
      </c>
      <c r="AA54" s="130">
        <f>+Actuals!X507</f>
        <v>-2680.95</v>
      </c>
      <c r="AB54" s="129">
        <f>+Actuals!Y507</f>
        <v>0</v>
      </c>
      <c r="AC54" s="130">
        <f>+Actuals!Z507</f>
        <v>0</v>
      </c>
      <c r="AD54" s="129">
        <f>+Actuals!AA507</f>
        <v>0</v>
      </c>
      <c r="AE54" s="130">
        <f>+Actuals!AB507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-1130</v>
      </c>
      <c r="E55" s="38">
        <f>SUM(G55,I55,K55,M55,O55,Q55,S55,U55,W55,Y55,AA55,AC55,AE55)</f>
        <v>-1629652.1900000004</v>
      </c>
      <c r="F55" s="81">
        <f>'TIE-OUT'!N55+RECLASS!N55</f>
        <v>0</v>
      </c>
      <c r="G55" s="82">
        <f>'TIE-OUT'!O55+RECLASS!O55</f>
        <v>809669.11</v>
      </c>
      <c r="H55" s="129">
        <f>+Actuals!E308</f>
        <v>0</v>
      </c>
      <c r="I55" s="130">
        <f>+Actuals!F308</f>
        <v>-2653958.9500000002</v>
      </c>
      <c r="J55" s="129">
        <f>+Actuals!G308</f>
        <v>0</v>
      </c>
      <c r="K55" s="130">
        <f>+Actuals!H308</f>
        <v>216841.69</v>
      </c>
      <c r="L55" s="129">
        <f>+Actuals!I308</f>
        <v>0</v>
      </c>
      <c r="M55" s="130">
        <f>+Actuals!J308</f>
        <v>0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+Actuals!Q308</f>
        <v>0</v>
      </c>
      <c r="U55" s="130">
        <f>+Actuals!R308</f>
        <v>0</v>
      </c>
      <c r="V55" s="129">
        <f>+Actuals!S308</f>
        <v>0</v>
      </c>
      <c r="W55" s="130">
        <f>+Actuals!T308</f>
        <v>0</v>
      </c>
      <c r="X55" s="129">
        <f>+Actuals!U508</f>
        <v>0</v>
      </c>
      <c r="Y55" s="130">
        <f>+Actuals!V508</f>
        <v>0</v>
      </c>
      <c r="Z55" s="129">
        <f>+Actuals!W508</f>
        <v>-1130</v>
      </c>
      <c r="AA55" s="130">
        <f>+Actuals!X508</f>
        <v>-2204.04</v>
      </c>
      <c r="AB55" s="129">
        <f>+Actuals!Y508</f>
        <v>0</v>
      </c>
      <c r="AC55" s="130">
        <f>+Actuals!Z508</f>
        <v>0</v>
      </c>
      <c r="AD55" s="129">
        <f>+Actuals!AA508</f>
        <v>0</v>
      </c>
      <c r="AE55" s="130">
        <f>+Actuals!AB508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-11700507</v>
      </c>
      <c r="E56" s="39">
        <f t="shared" si="16"/>
        <v>-1771554.4300000004</v>
      </c>
      <c r="F56" s="61">
        <f t="shared" si="16"/>
        <v>0</v>
      </c>
      <c r="G56" s="39">
        <f t="shared" si="16"/>
        <v>809669.11</v>
      </c>
      <c r="H56" s="61">
        <f t="shared" si="16"/>
        <v>-11559079</v>
      </c>
      <c r="I56" s="39">
        <f t="shared" si="16"/>
        <v>-2972870.06</v>
      </c>
      <c r="J56" s="61">
        <f t="shared" si="16"/>
        <v>-140298</v>
      </c>
      <c r="K56" s="39">
        <f t="shared" si="16"/>
        <v>385910.33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10629.75</v>
      </c>
      <c r="P56" s="61">
        <f t="shared" si="16"/>
        <v>0</v>
      </c>
      <c r="Q56" s="39">
        <f t="shared" si="16"/>
        <v>-8.57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-1130</v>
      </c>
      <c r="AA56" s="39">
        <f t="shared" si="17"/>
        <v>-4884.99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+Actuals!Q309</f>
        <v>0</v>
      </c>
      <c r="U59" s="130">
        <f>+Actuals!R309</f>
        <v>0</v>
      </c>
      <c r="V59" s="129">
        <f>+Actuals!S309</f>
        <v>0</v>
      </c>
      <c r="W59" s="130">
        <f>+Actuals!T309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+Actuals!Y509</f>
        <v>0</v>
      </c>
      <c r="AC59" s="130">
        <f>+Actuals!Z509</f>
        <v>0</v>
      </c>
      <c r="AD59" s="129">
        <f>+Actuals!AA509</f>
        <v>0</v>
      </c>
      <c r="AE59" s="130">
        <f>+Actuals!AB509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+Actuals!Q310</f>
        <v>0</v>
      </c>
      <c r="U60" s="130">
        <f>+Actuals!R310</f>
        <v>0</v>
      </c>
      <c r="V60" s="129">
        <f>+Actuals!S310</f>
        <v>0</v>
      </c>
      <c r="W60" s="130">
        <f>+Actuals!T310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+Actuals!Y510</f>
        <v>0</v>
      </c>
      <c r="AC60" s="130">
        <f>+Actuals!Z510</f>
        <v>0</v>
      </c>
      <c r="AD60" s="129">
        <f>+Actuals!AA510</f>
        <v>0</v>
      </c>
      <c r="AE60" s="130">
        <f>+Actuals!AB510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+Actuals!Q311</f>
        <v>0</v>
      </c>
      <c r="U64" s="130">
        <f>+Actuals!R311</f>
        <v>0</v>
      </c>
      <c r="V64" s="129">
        <f>+Actuals!S311</f>
        <v>0</v>
      </c>
      <c r="W64" s="130">
        <f>+Actuals!T311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+Actuals!Y511</f>
        <v>0</v>
      </c>
      <c r="AC64" s="130">
        <f>+Actuals!Z511</f>
        <v>0</v>
      </c>
      <c r="AD64" s="129">
        <f>+Actuals!AA511</f>
        <v>0</v>
      </c>
      <c r="AE64" s="130">
        <f>+Actuals!AB511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+Actuals!Q312</f>
        <v>0</v>
      </c>
      <c r="U65" s="130">
        <f>+Actuals!R312</f>
        <v>0</v>
      </c>
      <c r="V65" s="129">
        <f>+Actuals!S312</f>
        <v>0</v>
      </c>
      <c r="W65" s="130">
        <f>+Actuals!T312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+Actuals!Y512</f>
        <v>0</v>
      </c>
      <c r="AC65" s="130">
        <f>+Actuals!Z512</f>
        <v>0</v>
      </c>
      <c r="AD65" s="129">
        <f>+Actuals!AA512</f>
        <v>0</v>
      </c>
      <c r="AE65" s="130">
        <f>+Actuals!AB512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1493640</v>
      </c>
      <c r="F70" s="64">
        <f>'TIE-OUT'!N70+RECLASS!N70</f>
        <v>0</v>
      </c>
      <c r="G70" s="68">
        <f>'TIE-OUT'!O70+RECLASS!O70</f>
        <v>1493640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+Actuals!Q313</f>
        <v>0</v>
      </c>
      <c r="U70" s="130">
        <f>+Actuals!R313</f>
        <v>0</v>
      </c>
      <c r="V70" s="129">
        <f>+Actuals!S313</f>
        <v>0</v>
      </c>
      <c r="W70" s="130">
        <f>+Actuals!T313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+Actuals!Y513</f>
        <v>0</v>
      </c>
      <c r="AC70" s="130">
        <f>+Actuals!Z513</f>
        <v>0</v>
      </c>
      <c r="AD70" s="129">
        <f>+Actuals!AA513</f>
        <v>0</v>
      </c>
      <c r="AE70" s="130">
        <f>+Actuals!AB513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-709561.76</v>
      </c>
      <c r="F71" s="81">
        <f>'TIE-OUT'!N71+RECLASS!N71</f>
        <v>0</v>
      </c>
      <c r="G71" s="82">
        <f>'TIE-OUT'!O71+RECLASS!O71</f>
        <v>-709561.76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+Actuals!Q314</f>
        <v>0</v>
      </c>
      <c r="U71" s="130">
        <f>+Actuals!R314</f>
        <v>0</v>
      </c>
      <c r="V71" s="129">
        <f>+Actuals!S314</f>
        <v>0</v>
      </c>
      <c r="W71" s="130">
        <f>+Actuals!T314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+Actuals!Y514</f>
        <v>0</v>
      </c>
      <c r="AC71" s="130">
        <f>+Actuals!Z514</f>
        <v>0</v>
      </c>
      <c r="AD71" s="129">
        <f>+Actuals!AA514</f>
        <v>0</v>
      </c>
      <c r="AE71" s="130">
        <f>+Actuals!AB514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784078.24</v>
      </c>
      <c r="F72" s="61">
        <f t="shared" si="22"/>
        <v>0</v>
      </c>
      <c r="G72" s="39">
        <f t="shared" si="22"/>
        <v>784078.24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+Actuals!Q315</f>
        <v>0</v>
      </c>
      <c r="U73" s="130">
        <f>+Actuals!R315</f>
        <v>0</v>
      </c>
      <c r="V73" s="129">
        <f>+Actuals!S315</f>
        <v>0</v>
      </c>
      <c r="W73" s="130">
        <f>+Actuals!T315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+Actuals!Y515</f>
        <v>0</v>
      </c>
      <c r="AC73" s="130">
        <f>+Actuals!Z515</f>
        <v>0</v>
      </c>
      <c r="AD73" s="129">
        <f>+Actuals!AA515</f>
        <v>0</v>
      </c>
      <c r="AE73" s="130">
        <f>+Actuals!AB515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573023</v>
      </c>
      <c r="F74" s="60">
        <f>'TIE-OUT'!N74+RECLASS!N74</f>
        <v>0</v>
      </c>
      <c r="G74" s="60">
        <f>'TIE-OUT'!O74+RECLASS!O74</f>
        <v>573023</v>
      </c>
      <c r="H74" s="129">
        <f>+Actuals!E316</f>
        <v>0</v>
      </c>
      <c r="I74" s="130">
        <f>+Actuals!F316</f>
        <v>0</v>
      </c>
      <c r="J74" s="129">
        <f>+Actuals!G316</f>
        <v>0</v>
      </c>
      <c r="K74" s="159">
        <f>+Actuals!H316</f>
        <v>0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59">
        <v>-546214</v>
      </c>
      <c r="R74" s="129">
        <f>+Actuals!O316</f>
        <v>0</v>
      </c>
      <c r="S74" s="159">
        <v>546214</v>
      </c>
      <c r="T74" s="129">
        <f>+Actuals!Q316</f>
        <v>0</v>
      </c>
      <c r="U74" s="130">
        <f>+Actuals!R316</f>
        <v>0</v>
      </c>
      <c r="V74" s="129">
        <f>+Actuals!S316</f>
        <v>0</v>
      </c>
      <c r="W74" s="130">
        <f>+Actuals!T316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+Actuals!Y516</f>
        <v>0</v>
      </c>
      <c r="AC74" s="130">
        <f>+Actuals!Z516</f>
        <v>0</v>
      </c>
      <c r="AD74" s="129">
        <f>+Actuals!AA516</f>
        <v>0</v>
      </c>
      <c r="AE74" s="130">
        <f>+Actuals!AB516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111300</v>
      </c>
      <c r="F75" s="60">
        <f>'TIE-OUT'!N75+RECLASS!N75</f>
        <v>0</v>
      </c>
      <c r="G75" s="60">
        <f>'TIE-OUT'!O75+RECLASS!O75</f>
        <v>111300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+Actuals!Q317</f>
        <v>0</v>
      </c>
      <c r="U75" s="130">
        <f>+Actuals!R317</f>
        <v>0</v>
      </c>
      <c r="V75" s="129">
        <f>+Actuals!S317</f>
        <v>0</v>
      </c>
      <c r="W75" s="130">
        <f>+Actuals!T317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+Actuals!Y517</f>
        <v>0</v>
      </c>
      <c r="AC75" s="130">
        <f>+Actuals!Z517</f>
        <v>0</v>
      </c>
      <c r="AD75" s="129">
        <f>+Actuals!AA517</f>
        <v>0</v>
      </c>
      <c r="AE75" s="130">
        <f>+Actuals!AB517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-32332.43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-9282.51</v>
      </c>
      <c r="J76" s="129">
        <f>+Actuals!G318</f>
        <v>0</v>
      </c>
      <c r="K76" s="130">
        <f>+Actuals!H318</f>
        <v>-23049.919999999998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+Actuals!Q318</f>
        <v>0</v>
      </c>
      <c r="U76" s="130">
        <f>+Actuals!R318</f>
        <v>0</v>
      </c>
      <c r="V76" s="129">
        <f>+Actuals!S318</f>
        <v>0</v>
      </c>
      <c r="W76" s="130">
        <f>+Actuals!T318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+Actuals!Y518</f>
        <v>0</v>
      </c>
      <c r="AC76" s="130">
        <f>+Actuals!Z518</f>
        <v>0</v>
      </c>
      <c r="AD76" s="129">
        <f>+Actuals!AA518</f>
        <v>0</v>
      </c>
      <c r="AE76" s="130">
        <f>+Actuals!AB518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+Actuals!Q319</f>
        <v>0</v>
      </c>
      <c r="U77" s="130">
        <f>+Actuals!R319</f>
        <v>0</v>
      </c>
      <c r="V77" s="129">
        <f>+Actuals!S319</f>
        <v>0</v>
      </c>
      <c r="W77" s="130">
        <f>+Actuals!T319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+Actuals!Y519</f>
        <v>0</v>
      </c>
      <c r="AC77" s="130">
        <f>+Actuals!Z519</f>
        <v>0</v>
      </c>
      <c r="AD77" s="129">
        <f>+Actuals!AA519</f>
        <v>0</v>
      </c>
      <c r="AE77" s="130">
        <f>+Actuals!AB519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+Actuals!Q320</f>
        <v>0</v>
      </c>
      <c r="U78" s="130">
        <f>+Actuals!R320</f>
        <v>0</v>
      </c>
      <c r="V78" s="129">
        <f>+Actuals!S320</f>
        <v>0</v>
      </c>
      <c r="W78" s="130">
        <f>+Actuals!T320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+Actuals!Y520</f>
        <v>0</v>
      </c>
      <c r="AC78" s="130">
        <f>+Actuals!Z520</f>
        <v>0</v>
      </c>
      <c r="AD78" s="129">
        <f>+Actuals!AA520</f>
        <v>0</v>
      </c>
      <c r="AE78" s="130">
        <f>+Actuals!AB520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+Actuals!Q321</f>
        <v>0</v>
      </c>
      <c r="U79" s="130">
        <f>+Actuals!R321</f>
        <v>0</v>
      </c>
      <c r="V79" s="129">
        <f>+Actuals!S321</f>
        <v>0</v>
      </c>
      <c r="W79" s="130">
        <f>+Actuals!T321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+Actuals!Y521</f>
        <v>0</v>
      </c>
      <c r="AC79" s="130">
        <f>+Actuals!Z521</f>
        <v>0</v>
      </c>
      <c r="AD79" s="129">
        <f>+Actuals!AA521</f>
        <v>0</v>
      </c>
      <c r="AE79" s="130">
        <f>+Actuals!AB521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+Actuals!Q322</f>
        <v>0</v>
      </c>
      <c r="U80" s="130">
        <f>+Actuals!R322</f>
        <v>0</v>
      </c>
      <c r="V80" s="129">
        <f>+Actuals!S322</f>
        <v>0</v>
      </c>
      <c r="W80" s="130">
        <f>+Actuals!T322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+Actuals!Y522</f>
        <v>0</v>
      </c>
      <c r="AC80" s="130">
        <f>+Actuals!Z522</f>
        <v>0</v>
      </c>
      <c r="AD80" s="129">
        <f>+Actuals!AA522</f>
        <v>0</v>
      </c>
      <c r="AE80" s="130">
        <f>+Actuals!AB522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68664.55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61413.86</v>
      </c>
      <c r="J81" s="129">
        <f>+Actuals!G323</f>
        <v>0</v>
      </c>
      <c r="K81" s="130">
        <f>+Actuals!H323</f>
        <v>-3602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0</v>
      </c>
      <c r="P81" s="129">
        <f>+Actuals!M323</f>
        <v>0</v>
      </c>
      <c r="Q81" s="130">
        <f>+Actuals!N323</f>
        <v>10852.69</v>
      </c>
      <c r="R81" s="129">
        <f>+Actuals!O323</f>
        <v>0</v>
      </c>
      <c r="S81" s="130">
        <f>+Actuals!P323</f>
        <v>0</v>
      </c>
      <c r="T81" s="129">
        <f>+Actuals!Q323</f>
        <v>0</v>
      </c>
      <c r="U81" s="130">
        <f>+Actuals!R323</f>
        <v>0</v>
      </c>
      <c r="V81" s="129">
        <f>+Actuals!S323</f>
        <v>0</v>
      </c>
      <c r="W81" s="130">
        <f>+Actuals!T323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+Actuals!Y523</f>
        <v>0</v>
      </c>
      <c r="AC81" s="130">
        <f>+Actuals!Z523</f>
        <v>0</v>
      </c>
      <c r="AD81" s="129">
        <f>+Actuals!AA523</f>
        <v>0</v>
      </c>
      <c r="AE81" s="130">
        <f>+Actuals!AB523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1227418.4250000047</v>
      </c>
      <c r="F82" s="92">
        <f>F16+F24+F29+F36+F43+F45+F47+F49</f>
        <v>0</v>
      </c>
      <c r="G82" s="93">
        <f>SUM(G72:G81)+G16+G24+G29+G36+G43+G45+G47+G49+G51+G56+G61+G66</f>
        <v>1604472.3400000003</v>
      </c>
      <c r="H82" s="92">
        <f>H16+H24+H29+H36+H43+H45+H47+H49</f>
        <v>0</v>
      </c>
      <c r="I82" s="93">
        <f>SUM(I72:I81)+I16+I24+I29+I36+I43+I45+I47+I49+I51+I56+I61+I66</f>
        <v>406013.06999997795</v>
      </c>
      <c r="J82" s="92">
        <f>J16+J24+J29+J36+J43+J45+J47+J49</f>
        <v>0</v>
      </c>
      <c r="K82" s="160">
        <f>SUM(K72:K81)+K16+K24+K29+K36+K43+K45+K47+K49+K51+K56+K61+K66</f>
        <v>610970.86</v>
      </c>
      <c r="L82" s="92">
        <f>L16+L24+L29+L36+L43+L45+L47+L49</f>
        <v>0</v>
      </c>
      <c r="M82" s="93">
        <f>SUM(M72:M81)+M16+M24+M29+M36+M43+M45+M47+M49+M51+M56+M61+M66</f>
        <v>-1278006.0850000002</v>
      </c>
      <c r="N82" s="92">
        <f>N16+N24+N29+N36+N43+N45+N47+N49</f>
        <v>0</v>
      </c>
      <c r="O82" s="93">
        <f>SUM(O72:O81)+O16+O24+O29+O36+O43+O45+O47+O49+O51+O56+O61+O66</f>
        <v>1249169.5950000002</v>
      </c>
      <c r="P82" s="92">
        <f>P16+P24+P29+P36+P43+P45+P47+P49</f>
        <v>0</v>
      </c>
      <c r="Q82" s="93">
        <f>SUM(Q72:Q81)+Q16+Q24+Q29+Q36+Q43+Q45+Q47+Q49+Q51+Q56+Q61+Q66</f>
        <v>-869227.38899999997</v>
      </c>
      <c r="R82" s="92">
        <f>R16+R24+R29+R36+R43+R45+R47+R49</f>
        <v>0</v>
      </c>
      <c r="S82" s="93">
        <f>SUM(S72:S81)+S16+S24+S29+S36+S43+S45+S47+S49+S51+S56+S61+S66</f>
        <v>568047.65399999998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108950.41999999969</v>
      </c>
      <c r="X82" s="92">
        <f>X16+X24+X29+X36+X43+X45+X47+X49</f>
        <v>0</v>
      </c>
      <c r="Y82" s="93">
        <f>SUM(Y72:Y81)+Y16+Y24+Y29+Y36+Y43+Y45+Y47+Y49+Y51+Y56+Y61+Y66</f>
        <v>-1021442.03</v>
      </c>
      <c r="Z82" s="92">
        <f>Z16+Z24+Z29+Z36+Z43+Z45+Z47+Z49</f>
        <v>0</v>
      </c>
      <c r="AA82" s="93">
        <f>SUM(AA72:AA81)+AA16+AA24+AA29+AA36+AA43+AA45+AA47+AA49+AA51+AA56+AA61+AA66</f>
        <v>-4884.99</v>
      </c>
      <c r="AB82" s="92">
        <f>AB16+AB24+AB29+AB36+AB43+AB45+AB47+AB49</f>
        <v>0</v>
      </c>
      <c r="AC82" s="93">
        <f>SUM(AC72:AC81)+AC16+AC24+AC29+AC36+AC43+AC45+AC47+AC49+AC51+AC56+AC61+AC66</f>
        <v>-146645.02000000025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V1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6463380</v>
      </c>
      <c r="E11" s="38">
        <f>SUM(G11,I11,K11,M11,O11,Q11,S11,U11,W11,Y11,AA11,AC11,AE11)</f>
        <v>22017902</v>
      </c>
      <c r="F11" s="60">
        <f>'TIE-OUT'!X11+RECLASS!X11</f>
        <v>0</v>
      </c>
      <c r="G11" s="38">
        <f>'TIE-OUT'!Y11+RECLASS!Y11</f>
        <v>0</v>
      </c>
      <c r="H11" s="132">
        <f>+Actuals!E84+6908931</f>
        <v>6908931</v>
      </c>
      <c r="I11" s="133">
        <f>+Actuals!F84+15136614+722350</f>
        <v>15858964</v>
      </c>
      <c r="J11" s="132">
        <f>+Actuals!G84</f>
        <v>0</v>
      </c>
      <c r="K11" s="149">
        <f>+Actuals!H84+-7272248</f>
        <v>-7272248</v>
      </c>
      <c r="L11" s="132">
        <f>+Actuals!I84</f>
        <v>0</v>
      </c>
      <c r="M11" s="133">
        <f>+Actuals!J84</f>
        <v>0</v>
      </c>
      <c r="N11" s="132">
        <f>+Actuals!K84</f>
        <v>0</v>
      </c>
      <c r="O11" s="133">
        <f>+Actuals!L84</f>
        <v>0</v>
      </c>
      <c r="P11" s="132">
        <f>+Actuals!M84</f>
        <v>0</v>
      </c>
      <c r="Q11" s="133">
        <f>+Actuals!N84</f>
        <v>0</v>
      </c>
      <c r="R11" s="132">
        <v>-445551</v>
      </c>
      <c r="S11" s="133">
        <v>13613205</v>
      </c>
      <c r="T11" s="132">
        <f>+Actuals!Q84</f>
        <v>0</v>
      </c>
      <c r="U11" s="133">
        <f>+Actuals!R84</f>
        <v>0</v>
      </c>
      <c r="V11" s="132">
        <f>+Actuals!S84</f>
        <v>0</v>
      </c>
      <c r="W11" s="133">
        <v>-182019</v>
      </c>
      <c r="X11" s="129">
        <f>+Actuals!U124</f>
        <v>0</v>
      </c>
      <c r="Y11" s="130">
        <f>+Actuals!V124</f>
        <v>0</v>
      </c>
      <c r="Z11" s="132">
        <f>+Actuals!W124</f>
        <v>0</v>
      </c>
      <c r="AA11" s="133">
        <f>+Actuals!X124</f>
        <v>0</v>
      </c>
      <c r="AB11" s="132">
        <f>+Actuals!Y124</f>
        <v>0</v>
      </c>
      <c r="AC11" s="133">
        <f>+Actuals!Z124</f>
        <v>0</v>
      </c>
      <c r="AD11" s="132">
        <f>+Actuals!AA124</f>
        <v>0</v>
      </c>
      <c r="AE11" s="133">
        <f>+Actuals!AB124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33">
        <f>+Actuals!J85</f>
        <v>0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f>+Actuals!N85</f>
        <v>0</v>
      </c>
      <c r="R12" s="132">
        <f>+Actuals!O85</f>
        <v>0</v>
      </c>
      <c r="S12" s="133">
        <f>+Actuals!P85</f>
        <v>0</v>
      </c>
      <c r="T12" s="132">
        <f>+Actuals!Q85</f>
        <v>0</v>
      </c>
      <c r="U12" s="133">
        <f>+Actuals!R85</f>
        <v>0</v>
      </c>
      <c r="V12" s="132">
        <f>+Actuals!S85</f>
        <v>0</v>
      </c>
      <c r="W12" s="133">
        <f>+Actuals!T85</f>
        <v>0</v>
      </c>
      <c r="X12" s="129">
        <f>+Actuals!U125</f>
        <v>0</v>
      </c>
      <c r="Y12" s="130">
        <f>+Actuals!V125</f>
        <v>0</v>
      </c>
      <c r="Z12" s="132">
        <f>+Actuals!W125</f>
        <v>0</v>
      </c>
      <c r="AA12" s="133">
        <f>+Actuals!X125</f>
        <v>0</v>
      </c>
      <c r="AB12" s="132">
        <f>+Actuals!Y125</f>
        <v>0</v>
      </c>
      <c r="AC12" s="133">
        <f>+Actuals!Z125</f>
        <v>0</v>
      </c>
      <c r="AD12" s="132">
        <f>+Actuals!AA125</f>
        <v>0</v>
      </c>
      <c r="AE12" s="133">
        <f>+Actuals!AB125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22912116</v>
      </c>
      <c r="E13" s="38">
        <f t="shared" si="0"/>
        <v>54912658</v>
      </c>
      <c r="F13" s="60">
        <f>'TIE-OUT'!X13+RECLASS!X13</f>
        <v>0</v>
      </c>
      <c r="G13" s="38">
        <f>'TIE-OUT'!Y13+RECLASS!Y13</f>
        <v>0</v>
      </c>
      <c r="H13" s="132">
        <f>+Actuals!E86+22912116</f>
        <v>22912116</v>
      </c>
      <c r="I13" s="133">
        <f>+Actuals!F86+54912658</f>
        <v>54912658</v>
      </c>
      <c r="J13" s="132">
        <f>+Actuals!G86</f>
        <v>0</v>
      </c>
      <c r="K13" s="149">
        <f>+Actuals!H86</f>
        <v>0</v>
      </c>
      <c r="L13" s="132">
        <f>+Actuals!I86</f>
        <v>0</v>
      </c>
      <c r="M13" s="133">
        <f>+Actuals!J86</f>
        <v>0</v>
      </c>
      <c r="N13" s="132">
        <f>+Actuals!K86</f>
        <v>0</v>
      </c>
      <c r="O13" s="133">
        <f>+Actuals!L86</f>
        <v>0</v>
      </c>
      <c r="P13" s="132">
        <f>+Actuals!M86</f>
        <v>0</v>
      </c>
      <c r="Q13" s="133">
        <f>+Actuals!N86</f>
        <v>0</v>
      </c>
      <c r="R13" s="132">
        <f>+Actuals!O86</f>
        <v>0</v>
      </c>
      <c r="S13" s="133">
        <f>+Actuals!P86</f>
        <v>0</v>
      </c>
      <c r="T13" s="132">
        <f>+Actuals!Q86</f>
        <v>0</v>
      </c>
      <c r="U13" s="133">
        <f>+Actuals!R86</f>
        <v>0</v>
      </c>
      <c r="V13" s="132">
        <f>+Actuals!S86</f>
        <v>0</v>
      </c>
      <c r="W13" s="133">
        <f>+Actuals!T86</f>
        <v>0</v>
      </c>
      <c r="X13" s="129">
        <f>+Actuals!U126</f>
        <v>0</v>
      </c>
      <c r="Y13" s="130">
        <f>+Actuals!V126</f>
        <v>0</v>
      </c>
      <c r="Z13" s="132">
        <f>+Actuals!W126</f>
        <v>0</v>
      </c>
      <c r="AA13" s="133">
        <f>+Actuals!X126</f>
        <v>0</v>
      </c>
      <c r="AB13" s="132">
        <f>+Actuals!Y126</f>
        <v>0</v>
      </c>
      <c r="AC13" s="133">
        <f>+Actuals!Z126</f>
        <v>0</v>
      </c>
      <c r="AD13" s="132">
        <f>+Actuals!AA126</f>
        <v>0</v>
      </c>
      <c r="AE13" s="133">
        <f>+Actuals!AB126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32">
        <f>+Actuals!Q87</f>
        <v>0</v>
      </c>
      <c r="U14" s="133">
        <f>+Actuals!R87</f>
        <v>0</v>
      </c>
      <c r="V14" s="132">
        <f>+Actuals!S87</f>
        <v>0</v>
      </c>
      <c r="W14" s="133">
        <f>+Actuals!T87</f>
        <v>0</v>
      </c>
      <c r="X14" s="129">
        <f>+Actuals!U127</f>
        <v>0</v>
      </c>
      <c r="Y14" s="130">
        <f>+Actuals!V127</f>
        <v>0</v>
      </c>
      <c r="Z14" s="132">
        <f>+Actuals!W127</f>
        <v>0</v>
      </c>
      <c r="AA14" s="133">
        <f>+Actuals!X127</f>
        <v>0</v>
      </c>
      <c r="AB14" s="132">
        <f>+Actuals!Y127</f>
        <v>0</v>
      </c>
      <c r="AC14" s="133">
        <f>+Actuals!Z127</f>
        <v>0</v>
      </c>
      <c r="AD14" s="132">
        <f>+Actuals!AA127</f>
        <v>0</v>
      </c>
      <c r="AE14" s="133">
        <f>+Actuals!AB127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2">
        <f>+Actuals!E88</f>
        <v>0</v>
      </c>
      <c r="I15" s="133">
        <f>+Actuals!F88</f>
        <v>0</v>
      </c>
      <c r="J15" s="132">
        <f>+Actuals!G88</f>
        <v>0</v>
      </c>
      <c r="K15" s="149">
        <f>+Actuals!H88</f>
        <v>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32">
        <f>+Actuals!Q88</f>
        <v>0</v>
      </c>
      <c r="U15" s="133">
        <f>+Actuals!R88</f>
        <v>0</v>
      </c>
      <c r="V15" s="132">
        <f>+Actuals!S88</f>
        <v>0</v>
      </c>
      <c r="W15" s="133">
        <f>+Actuals!T88</f>
        <v>0</v>
      </c>
      <c r="X15" s="129">
        <f>+Actuals!U128</f>
        <v>0</v>
      </c>
      <c r="Y15" s="131">
        <f>+Actuals!V128</f>
        <v>0</v>
      </c>
      <c r="Z15" s="132">
        <f>+Actuals!W128</f>
        <v>0</v>
      </c>
      <c r="AA15" s="133">
        <f>+Actuals!X128</f>
        <v>0</v>
      </c>
      <c r="AB15" s="132">
        <f>+Actuals!Y128</f>
        <v>0</v>
      </c>
      <c r="AC15" s="133">
        <f>+Actuals!Z128</f>
        <v>0</v>
      </c>
      <c r="AD15" s="132">
        <f>+Actuals!AA128</f>
        <v>0</v>
      </c>
      <c r="AE15" s="133">
        <f>+Actuals!AB128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29375496</v>
      </c>
      <c r="E16" s="39">
        <f t="shared" si="1"/>
        <v>76930560</v>
      </c>
      <c r="F16" s="61">
        <f t="shared" si="1"/>
        <v>0</v>
      </c>
      <c r="G16" s="39">
        <f t="shared" si="1"/>
        <v>0</v>
      </c>
      <c r="H16" s="61">
        <f t="shared" si="1"/>
        <v>29821047</v>
      </c>
      <c r="I16" s="39">
        <f t="shared" si="1"/>
        <v>70771622</v>
      </c>
      <c r="J16" s="61">
        <f t="shared" si="1"/>
        <v>0</v>
      </c>
      <c r="K16" s="150">
        <f t="shared" si="1"/>
        <v>-7272248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-445551</v>
      </c>
      <c r="S16" s="39">
        <f t="shared" si="1"/>
        <v>13613205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-182019</v>
      </c>
      <c r="X16" s="61">
        <f t="shared" si="1"/>
        <v>0</v>
      </c>
      <c r="Y16" s="82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-5309286</v>
      </c>
      <c r="E19" s="38">
        <f t="shared" si="3"/>
        <v>-10567518</v>
      </c>
      <c r="F19" s="64">
        <f>'TIE-OUT'!X19+RECLASS!X19</f>
        <v>0</v>
      </c>
      <c r="G19" s="68">
        <f>'TIE-OUT'!Y19+RECLASS!Y19</f>
        <v>0</v>
      </c>
      <c r="H19" s="132">
        <f>+Actuals!E89+576813</f>
        <v>576813</v>
      </c>
      <c r="I19" s="133">
        <f>+Actuals!F89+1358971</f>
        <v>1358971</v>
      </c>
      <c r="J19" s="132">
        <f>+Actuals!G89-22146</f>
        <v>-22146</v>
      </c>
      <c r="K19" s="149">
        <f>+Actuals!H89-52176</f>
        <v>-52176</v>
      </c>
      <c r="L19" s="132">
        <f>+Actuals!I89</f>
        <v>0</v>
      </c>
      <c r="M19" s="133">
        <f>+Actuals!J89</f>
        <v>0</v>
      </c>
      <c r="N19" s="132">
        <f>+Actuals!K89</f>
        <v>0</v>
      </c>
      <c r="O19" s="133">
        <f>+Actuals!L89</f>
        <v>0</v>
      </c>
      <c r="P19" s="132">
        <f>+Actuals!M89</f>
        <v>0</v>
      </c>
      <c r="Q19" s="133">
        <f>+Actuals!N89</f>
        <v>0</v>
      </c>
      <c r="R19" s="132">
        <v>-5863953</v>
      </c>
      <c r="S19" s="133">
        <v>-11874313</v>
      </c>
      <c r="T19" s="132">
        <f>+Actuals!Q89</f>
        <v>0</v>
      </c>
      <c r="U19" s="133">
        <f>+Actuals!R89</f>
        <v>0</v>
      </c>
      <c r="V19" s="132">
        <f>+Actuals!S89</f>
        <v>0</v>
      </c>
      <c r="W19" s="133">
        <f>+Actuals!T89</f>
        <v>0</v>
      </c>
      <c r="X19" s="129">
        <f>+Actuals!U129</f>
        <v>0</v>
      </c>
      <c r="Y19" s="130">
        <f>+Actuals!V129</f>
        <v>0</v>
      </c>
      <c r="Z19" s="132">
        <f>+Actuals!W129</f>
        <v>0</v>
      </c>
      <c r="AA19" s="133">
        <f>+Actuals!X129</f>
        <v>0</v>
      </c>
      <c r="AB19" s="132">
        <f>+Actuals!Y129</f>
        <v>0</v>
      </c>
      <c r="AC19" s="133">
        <f>+Actuals!Z129</f>
        <v>0</v>
      </c>
      <c r="AD19" s="132">
        <f>+Actuals!AA129</f>
        <v>0</v>
      </c>
      <c r="AE19" s="133">
        <f>+Actuals!AB129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32">
        <f>+Actuals!Q90</f>
        <v>0</v>
      </c>
      <c r="U20" s="133">
        <f>+Actuals!R90</f>
        <v>0</v>
      </c>
      <c r="V20" s="132">
        <f>+Actuals!S90</f>
        <v>0</v>
      </c>
      <c r="W20" s="133">
        <f>+Actuals!T90</f>
        <v>0</v>
      </c>
      <c r="X20" s="129">
        <f>+Actuals!U130</f>
        <v>0</v>
      </c>
      <c r="Y20" s="130">
        <f>+Actuals!V130</f>
        <v>0</v>
      </c>
      <c r="Z20" s="132">
        <f>+Actuals!W130</f>
        <v>0</v>
      </c>
      <c r="AA20" s="133">
        <f>+Actuals!X130</f>
        <v>0</v>
      </c>
      <c r="AB20" s="132">
        <f>+Actuals!Y130</f>
        <v>0</v>
      </c>
      <c r="AC20" s="133">
        <f>+Actuals!Z130</f>
        <v>0</v>
      </c>
      <c r="AD20" s="132">
        <f>+Actuals!AA130</f>
        <v>0</v>
      </c>
      <c r="AE20" s="133">
        <f>+Actuals!AB130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-31442257</v>
      </c>
      <c r="E21" s="38">
        <f t="shared" si="3"/>
        <v>-74998745</v>
      </c>
      <c r="F21" s="60">
        <f>'TIE-OUT'!X21+RECLASS!X21</f>
        <v>0</v>
      </c>
      <c r="G21" s="38">
        <f>'TIE-OUT'!Y21+RECLASS!Y21</f>
        <v>0</v>
      </c>
      <c r="H21" s="132">
        <f>+Actuals!E91-31442257</f>
        <v>-31442257</v>
      </c>
      <c r="I21" s="133">
        <f>+Actuals!F91-74998745</f>
        <v>-74998745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f>+Actuals!K91</f>
        <v>0</v>
      </c>
      <c r="O21" s="133">
        <f>+Actuals!L91</f>
        <v>0</v>
      </c>
      <c r="P21" s="132">
        <f>+Actuals!M91</f>
        <v>0</v>
      </c>
      <c r="Q21" s="133">
        <f>+Actuals!N91</f>
        <v>0</v>
      </c>
      <c r="R21" s="132">
        <f>+Actuals!O91</f>
        <v>0</v>
      </c>
      <c r="S21" s="133">
        <f>+Actuals!P91</f>
        <v>0</v>
      </c>
      <c r="T21" s="132">
        <f>+Actuals!Q91</f>
        <v>0</v>
      </c>
      <c r="U21" s="133">
        <f>+Actuals!R91</f>
        <v>0</v>
      </c>
      <c r="V21" s="132">
        <f>+Actuals!S91</f>
        <v>0</v>
      </c>
      <c r="W21" s="133">
        <f>+Actuals!T91</f>
        <v>0</v>
      </c>
      <c r="X21" s="129">
        <f>+Actuals!U131</f>
        <v>0</v>
      </c>
      <c r="Y21" s="130">
        <f>+Actuals!V131</f>
        <v>0</v>
      </c>
      <c r="Z21" s="132">
        <f>+Actuals!W131</f>
        <v>0</v>
      </c>
      <c r="AA21" s="133">
        <f>+Actuals!X131</f>
        <v>0</v>
      </c>
      <c r="AB21" s="132">
        <f>+Actuals!Y131</f>
        <v>0</v>
      </c>
      <c r="AC21" s="133">
        <f>+Actuals!Z131</f>
        <v>0</v>
      </c>
      <c r="AD21" s="132">
        <f>+Actuals!AA131</f>
        <v>0</v>
      </c>
      <c r="AE21" s="133">
        <f>+Actuals!AB131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32">
        <f>+Actuals!Q92</f>
        <v>0</v>
      </c>
      <c r="U22" s="133">
        <f>+Actuals!R92</f>
        <v>0</v>
      </c>
      <c r="V22" s="132">
        <f>+Actuals!S92</f>
        <v>0</v>
      </c>
      <c r="W22" s="133">
        <f>+Actuals!T92</f>
        <v>0</v>
      </c>
      <c r="X22" s="129">
        <f>+Actuals!U132</f>
        <v>0</v>
      </c>
      <c r="Y22" s="130">
        <f>+Actuals!V132</f>
        <v>0</v>
      </c>
      <c r="Z22" s="132">
        <f>+Actuals!W132</f>
        <v>0</v>
      </c>
      <c r="AA22" s="133">
        <f>+Actuals!X132</f>
        <v>0</v>
      </c>
      <c r="AB22" s="132">
        <f>+Actuals!Y132</f>
        <v>0</v>
      </c>
      <c r="AC22" s="133">
        <f>+Actuals!Z132</f>
        <v>0</v>
      </c>
      <c r="AD22" s="132">
        <f>+Actuals!AA132</f>
        <v>0</v>
      </c>
      <c r="AE22" s="133">
        <f>+Actuals!AB132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f>+Actuals!M93</f>
        <v>0</v>
      </c>
      <c r="Q23" s="133">
        <f>+Actuals!N93</f>
        <v>0</v>
      </c>
      <c r="R23" s="132">
        <f>+Actuals!O93</f>
        <v>0</v>
      </c>
      <c r="S23" s="133">
        <f>+Actuals!P93</f>
        <v>0</v>
      </c>
      <c r="T23" s="132">
        <f>+Actuals!Q93</f>
        <v>0</v>
      </c>
      <c r="U23" s="133">
        <f>+Actuals!R93</f>
        <v>0</v>
      </c>
      <c r="V23" s="132">
        <f>+Actuals!S93</f>
        <v>0</v>
      </c>
      <c r="W23" s="133">
        <f>+Actuals!T93</f>
        <v>0</v>
      </c>
      <c r="X23" s="129">
        <f>+Actuals!U133</f>
        <v>0</v>
      </c>
      <c r="Y23" s="131">
        <f>+Actuals!V133</f>
        <v>0</v>
      </c>
      <c r="Z23" s="132">
        <f>+Actuals!W133</f>
        <v>0</v>
      </c>
      <c r="AA23" s="133">
        <f>+Actuals!X133</f>
        <v>0</v>
      </c>
      <c r="AB23" s="132">
        <f>+Actuals!Y133</f>
        <v>0</v>
      </c>
      <c r="AC23" s="133">
        <f>+Actuals!Z133</f>
        <v>0</v>
      </c>
      <c r="AD23" s="132">
        <f>+Actuals!AA133</f>
        <v>0</v>
      </c>
      <c r="AE23" s="133">
        <f>+Actuals!AB133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-36751543</v>
      </c>
      <c r="E24" s="39">
        <f t="shared" si="4"/>
        <v>-85566263</v>
      </c>
      <c r="F24" s="61">
        <f t="shared" si="4"/>
        <v>0</v>
      </c>
      <c r="G24" s="39">
        <f t="shared" si="4"/>
        <v>0</v>
      </c>
      <c r="H24" s="61">
        <f t="shared" si="4"/>
        <v>-30865444</v>
      </c>
      <c r="I24" s="39">
        <f t="shared" si="4"/>
        <v>-73639774</v>
      </c>
      <c r="J24" s="61">
        <f t="shared" si="4"/>
        <v>-22146</v>
      </c>
      <c r="K24" s="150">
        <f t="shared" si="4"/>
        <v>-52176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-5863953</v>
      </c>
      <c r="S24" s="39">
        <f t="shared" si="4"/>
        <v>-11874313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f>+Actuals!I94</f>
        <v>0</v>
      </c>
      <c r="M27" s="133">
        <f>+Actuals!J94</f>
        <v>0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32">
        <f>+Actuals!Q94</f>
        <v>0</v>
      </c>
      <c r="U27" s="133">
        <f>+Actuals!R94</f>
        <v>0</v>
      </c>
      <c r="V27" s="132">
        <f>+Actuals!S94</f>
        <v>0</v>
      </c>
      <c r="W27" s="133">
        <f>+Actuals!T94</f>
        <v>0</v>
      </c>
      <c r="X27" s="129">
        <f>+Actuals!U134</f>
        <v>0</v>
      </c>
      <c r="Y27" s="130">
        <f>+Actuals!V134</f>
        <v>0</v>
      </c>
      <c r="Z27" s="132">
        <f>+Actuals!W134</f>
        <v>0</v>
      </c>
      <c r="AA27" s="133">
        <f>+Actuals!X134</f>
        <v>0</v>
      </c>
      <c r="AB27" s="132">
        <f>+Actuals!Y134</f>
        <v>0</v>
      </c>
      <c r="AC27" s="133">
        <f>+Actuals!Z134</f>
        <v>0</v>
      </c>
      <c r="AD27" s="132">
        <f>+Actuals!AA134</f>
        <v>0</v>
      </c>
      <c r="AE27" s="133">
        <f>+Actuals!AB134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32">
        <f>+Actuals!Q95</f>
        <v>0</v>
      </c>
      <c r="U28" s="133">
        <f>+Actuals!R95</f>
        <v>0</v>
      </c>
      <c r="V28" s="132">
        <f>+Actuals!S95</f>
        <v>0</v>
      </c>
      <c r="W28" s="133">
        <f>+Actuals!T95</f>
        <v>0</v>
      </c>
      <c r="X28" s="129">
        <f>+Actuals!U135</f>
        <v>0</v>
      </c>
      <c r="Y28" s="130">
        <f>+Actuals!V135</f>
        <v>0</v>
      </c>
      <c r="Z28" s="132">
        <f>+Actuals!W135</f>
        <v>0</v>
      </c>
      <c r="AA28" s="133">
        <f>+Actuals!X135</f>
        <v>0</v>
      </c>
      <c r="AB28" s="132">
        <f>+Actuals!Y135</f>
        <v>0</v>
      </c>
      <c r="AC28" s="133">
        <f>+Actuals!Z135</f>
        <v>0</v>
      </c>
      <c r="AD28" s="132">
        <f>+Actuals!AA135</f>
        <v>0</v>
      </c>
      <c r="AE28" s="133">
        <f>+Actuals!AB135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132"/>
      <c r="U31" s="133"/>
      <c r="V31" s="132"/>
      <c r="W31" s="133"/>
      <c r="X31" s="60"/>
      <c r="Y31" s="38"/>
      <c r="Z31" s="132"/>
      <c r="AA31" s="133"/>
      <c r="AB31" s="132"/>
      <c r="AC31" s="133"/>
      <c r="AD31" s="132"/>
      <c r="AE31" s="133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1814</v>
      </c>
      <c r="E32" s="38">
        <f t="shared" si="8"/>
        <v>4274</v>
      </c>
      <c r="F32" s="64">
        <f>'TIE-OUT'!X32+RECLASS!X32</f>
        <v>0</v>
      </c>
      <c r="G32" s="68">
        <f>'TIE-OUT'!Y32+RECLASS!Y32</f>
        <v>0</v>
      </c>
      <c r="H32" s="132">
        <f>+Actuals!E96+617301-5814117</f>
        <v>-5196816</v>
      </c>
      <c r="I32" s="133">
        <f>+Actuals!F96+1454361-13698060</f>
        <v>-12243699</v>
      </c>
      <c r="J32" s="132">
        <f>+Actuals!G96-615517+5814117</f>
        <v>5198600</v>
      </c>
      <c r="K32" s="149">
        <f>+Actuals!H96-1450388+13698060</f>
        <v>12247672</v>
      </c>
      <c r="L32" s="132">
        <f>+Actuals!I96+30</f>
        <v>30</v>
      </c>
      <c r="M32" s="133">
        <f>+Actuals!J96+136</f>
        <v>136</v>
      </c>
      <c r="N32" s="132">
        <f>+Actuals!K96</f>
        <v>0</v>
      </c>
      <c r="O32" s="133">
        <v>1112</v>
      </c>
      <c r="P32" s="132">
        <f>+Actuals!M96</f>
        <v>0</v>
      </c>
      <c r="Q32" s="133">
        <v>37</v>
      </c>
      <c r="R32" s="132">
        <f>+Actuals!O96</f>
        <v>0</v>
      </c>
      <c r="S32" s="133">
        <v>-984</v>
      </c>
      <c r="T32" s="132">
        <f>+Actuals!Q96</f>
        <v>0</v>
      </c>
      <c r="U32" s="133">
        <f>+Actuals!R96</f>
        <v>0</v>
      </c>
      <c r="V32" s="132">
        <f>+Actuals!S96</f>
        <v>0</v>
      </c>
      <c r="W32" s="133">
        <f>+Actuals!T96</f>
        <v>0</v>
      </c>
      <c r="X32" s="129">
        <f>+Actuals!U136</f>
        <v>0</v>
      </c>
      <c r="Y32" s="130">
        <f>+Actuals!V136</f>
        <v>0</v>
      </c>
      <c r="Z32" s="132">
        <f>+Actuals!W136</f>
        <v>0</v>
      </c>
      <c r="AA32" s="133">
        <f>+Actuals!X136</f>
        <v>0</v>
      </c>
      <c r="AB32" s="132">
        <f>+Actuals!Y136</f>
        <v>0</v>
      </c>
      <c r="AC32" s="133">
        <f>+Actuals!Z136</f>
        <v>0</v>
      </c>
      <c r="AD32" s="132">
        <f>+Actuals!AA136</f>
        <v>0</v>
      </c>
      <c r="AE32" s="133">
        <f>+Actuals!AB136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32">
        <f>+Actuals!Q97</f>
        <v>0</v>
      </c>
      <c r="U33" s="133">
        <f>+Actuals!R97</f>
        <v>0</v>
      </c>
      <c r="V33" s="132">
        <f>+Actuals!S97</f>
        <v>0</v>
      </c>
      <c r="W33" s="133">
        <f>+Actuals!T97</f>
        <v>0</v>
      </c>
      <c r="X33" s="129">
        <f>+Actuals!U137</f>
        <v>0</v>
      </c>
      <c r="Y33" s="130">
        <f>+Actuals!V137</f>
        <v>0</v>
      </c>
      <c r="Z33" s="132">
        <f>+Actuals!W137</f>
        <v>0</v>
      </c>
      <c r="AA33" s="133">
        <f>+Actuals!X137</f>
        <v>0</v>
      </c>
      <c r="AB33" s="132">
        <f>+Actuals!Y137</f>
        <v>0</v>
      </c>
      <c r="AC33" s="133">
        <f>+Actuals!Z137</f>
        <v>0</v>
      </c>
      <c r="AD33" s="132">
        <f>+Actuals!AA137</f>
        <v>0</v>
      </c>
      <c r="AE33" s="133">
        <f>+Actuals!AB137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30547</v>
      </c>
      <c r="E34" s="38">
        <f t="shared" si="8"/>
        <v>68076</v>
      </c>
      <c r="F34" s="60">
        <f>'TIE-OUT'!X34+RECLASS!X34</f>
        <v>0</v>
      </c>
      <c r="G34" s="38">
        <f>'TIE-OUT'!Y34+RECLASS!Y34</f>
        <v>0</v>
      </c>
      <c r="H34" s="132">
        <f>+Actuals!E98</f>
        <v>0</v>
      </c>
      <c r="I34" s="133">
        <f>+Actuals!F98</f>
        <v>0</v>
      </c>
      <c r="J34" s="132">
        <f>+Actuals!G98+30547</f>
        <v>30547</v>
      </c>
      <c r="K34" s="149">
        <f>+Actuals!H98+68076</f>
        <v>68076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32">
        <f>+Actuals!Q98</f>
        <v>0</v>
      </c>
      <c r="U34" s="133">
        <f>+Actuals!R98</f>
        <v>0</v>
      </c>
      <c r="V34" s="132">
        <f>+Actuals!S98</f>
        <v>0</v>
      </c>
      <c r="W34" s="133">
        <f>+Actuals!T98</f>
        <v>0</v>
      </c>
      <c r="X34" s="129">
        <f>+Actuals!U138</f>
        <v>0</v>
      </c>
      <c r="Y34" s="130">
        <f>+Actuals!V138</f>
        <v>0</v>
      </c>
      <c r="Z34" s="132">
        <f>+Actuals!W138</f>
        <v>0</v>
      </c>
      <c r="AA34" s="133">
        <f>+Actuals!X138</f>
        <v>0</v>
      </c>
      <c r="AB34" s="132">
        <f>+Actuals!Y138</f>
        <v>0</v>
      </c>
      <c r="AC34" s="133">
        <f>+Actuals!Z138</f>
        <v>0</v>
      </c>
      <c r="AD34" s="132">
        <f>+Actuals!AA138</f>
        <v>0</v>
      </c>
      <c r="AE34" s="133">
        <f>+Actuals!AB138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32">
        <f>+Actuals!Q99</f>
        <v>0</v>
      </c>
      <c r="U35" s="133">
        <f>+Actuals!R99</f>
        <v>0</v>
      </c>
      <c r="V35" s="132">
        <f>+Actuals!S99</f>
        <v>0</v>
      </c>
      <c r="W35" s="133">
        <f>+Actuals!T99</f>
        <v>0</v>
      </c>
      <c r="X35" s="129">
        <f>+Actuals!U139</f>
        <v>0</v>
      </c>
      <c r="Y35" s="130">
        <f>+Actuals!V139</f>
        <v>0</v>
      </c>
      <c r="Z35" s="132">
        <f>+Actuals!W139</f>
        <v>0</v>
      </c>
      <c r="AA35" s="133">
        <f>+Actuals!X139</f>
        <v>0</v>
      </c>
      <c r="AB35" s="132">
        <f>+Actuals!Y139</f>
        <v>0</v>
      </c>
      <c r="AC35" s="133">
        <f>+Actuals!Z139</f>
        <v>0</v>
      </c>
      <c r="AD35" s="132">
        <f>+Actuals!AA139</f>
        <v>0</v>
      </c>
      <c r="AE35" s="133">
        <f>+Actuals!AB139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32361</v>
      </c>
      <c r="E36" s="39">
        <f t="shared" si="9"/>
        <v>72350</v>
      </c>
      <c r="F36" s="61">
        <f t="shared" si="9"/>
        <v>0</v>
      </c>
      <c r="G36" s="39">
        <f t="shared" si="9"/>
        <v>0</v>
      </c>
      <c r="H36" s="61">
        <f t="shared" si="9"/>
        <v>-5196816</v>
      </c>
      <c r="I36" s="39">
        <f t="shared" si="9"/>
        <v>-12243699</v>
      </c>
      <c r="J36" s="61">
        <f t="shared" si="9"/>
        <v>5229147</v>
      </c>
      <c r="K36" s="150">
        <f t="shared" si="9"/>
        <v>12315748</v>
      </c>
      <c r="L36" s="61">
        <f t="shared" si="9"/>
        <v>30</v>
      </c>
      <c r="M36" s="39">
        <f t="shared" si="9"/>
        <v>136</v>
      </c>
      <c r="N36" s="61">
        <f t="shared" si="9"/>
        <v>0</v>
      </c>
      <c r="O36" s="39">
        <f t="shared" si="9"/>
        <v>1112</v>
      </c>
      <c r="P36" s="61">
        <f t="shared" si="9"/>
        <v>0</v>
      </c>
      <c r="Q36" s="39">
        <f t="shared" si="9"/>
        <v>37</v>
      </c>
      <c r="R36" s="61">
        <f t="shared" si="9"/>
        <v>0</v>
      </c>
      <c r="S36" s="39">
        <f t="shared" si="9"/>
        <v>-984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7287166</v>
      </c>
      <c r="E39" s="38">
        <f t="shared" si="11"/>
        <v>18488043</v>
      </c>
      <c r="F39" s="64">
        <f>'TIE-OUT'!X39+RECLASS!X39</f>
        <v>0</v>
      </c>
      <c r="G39" s="68">
        <f>'TIE-OUT'!Y39+RECLASS!Y39</f>
        <v>0</v>
      </c>
      <c r="H39" s="132">
        <f>+Actuals!E100+6241213</f>
        <v>6241213</v>
      </c>
      <c r="I39" s="133">
        <f>+Actuals!F100+15790086</f>
        <v>15790086</v>
      </c>
      <c r="J39" s="132">
        <f>+Actuals!G100+627077</f>
        <v>627077</v>
      </c>
      <c r="K39" s="149">
        <f>+Actuals!H100+1609272</f>
        <v>1609272</v>
      </c>
      <c r="L39" s="132">
        <f>+Actuals!I100+425316</f>
        <v>425316</v>
      </c>
      <c r="M39" s="133">
        <f>+Actuals!J100+1105043</f>
        <v>1105043</v>
      </c>
      <c r="N39" s="132">
        <v>-6440</v>
      </c>
      <c r="O39" s="133">
        <v>-16358</v>
      </c>
      <c r="P39" s="132">
        <f>+Actuals!M100</f>
        <v>0</v>
      </c>
      <c r="Q39" s="133">
        <f>+Actuals!N100</f>
        <v>0</v>
      </c>
      <c r="R39" s="132">
        <f>+Actuals!O100</f>
        <v>0</v>
      </c>
      <c r="S39" s="133">
        <f>+Actuals!P100</f>
        <v>0</v>
      </c>
      <c r="T39" s="132">
        <f>+Actuals!Q100</f>
        <v>0</v>
      </c>
      <c r="U39" s="133">
        <f>+Actuals!R100</f>
        <v>0</v>
      </c>
      <c r="V39" s="132">
        <f>+Actuals!S100</f>
        <v>0</v>
      </c>
      <c r="W39" s="133">
        <f>+Actuals!T100</f>
        <v>0</v>
      </c>
      <c r="X39" s="129">
        <f>+Actuals!U140</f>
        <v>0</v>
      </c>
      <c r="Y39" s="130">
        <f>+Actuals!V140</f>
        <v>0</v>
      </c>
      <c r="Z39" s="132">
        <f>+Actuals!W140</f>
        <v>0</v>
      </c>
      <c r="AA39" s="133">
        <f>+Actuals!X140</f>
        <v>0</v>
      </c>
      <c r="AB39" s="132">
        <f>+Actuals!Y140</f>
        <v>0</v>
      </c>
      <c r="AC39" s="133">
        <f>+Actuals!Z140</f>
        <v>0</v>
      </c>
      <c r="AD39" s="132">
        <f>+Actuals!AA140</f>
        <v>0</v>
      </c>
      <c r="AE39" s="133">
        <f>+Actuals!AB140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f>+Actuals!I101</f>
        <v>0</v>
      </c>
      <c r="M40" s="133">
        <f>+Actuals!J101</f>
        <v>0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32">
        <f>+Actuals!Q101</f>
        <v>0</v>
      </c>
      <c r="U40" s="133">
        <f>+Actuals!R101</f>
        <v>0</v>
      </c>
      <c r="V40" s="132">
        <f>+Actuals!S101</f>
        <v>0</v>
      </c>
      <c r="W40" s="133">
        <f>+Actuals!T101</f>
        <v>0</v>
      </c>
      <c r="X40" s="129">
        <f>+Actuals!U141</f>
        <v>0</v>
      </c>
      <c r="Y40" s="130">
        <f>+Actuals!V141</f>
        <v>0</v>
      </c>
      <c r="Z40" s="132">
        <f>+Actuals!W141</f>
        <v>0</v>
      </c>
      <c r="AA40" s="133">
        <f>+Actuals!X141</f>
        <v>0</v>
      </c>
      <c r="AB40" s="132">
        <f>+Actuals!Y141</f>
        <v>0</v>
      </c>
      <c r="AC40" s="133">
        <f>+Actuals!Z141</f>
        <v>0</v>
      </c>
      <c r="AD40" s="132">
        <f>+Actuals!AA141</f>
        <v>0</v>
      </c>
      <c r="AE40" s="133">
        <f>+Actuals!AB141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32">
        <f>+Actuals!Q102</f>
        <v>0</v>
      </c>
      <c r="U41" s="133">
        <f>+Actuals!R102</f>
        <v>0</v>
      </c>
      <c r="V41" s="132">
        <f>+Actuals!S102</f>
        <v>0</v>
      </c>
      <c r="W41" s="133">
        <f>+Actuals!T102</f>
        <v>0</v>
      </c>
      <c r="X41" s="129">
        <f>+Actuals!U142</f>
        <v>0</v>
      </c>
      <c r="Y41" s="130">
        <f>+Actuals!V142</f>
        <v>0</v>
      </c>
      <c r="Z41" s="132">
        <f>+Actuals!W142</f>
        <v>0</v>
      </c>
      <c r="AA41" s="133">
        <f>+Actuals!X142</f>
        <v>0</v>
      </c>
      <c r="AB41" s="132">
        <f>+Actuals!Y142</f>
        <v>0</v>
      </c>
      <c r="AC41" s="133">
        <f>+Actuals!Z142</f>
        <v>0</v>
      </c>
      <c r="AD41" s="132">
        <f>+Actuals!AA142</f>
        <v>0</v>
      </c>
      <c r="AE41" s="133">
        <f>+Actuals!AB142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7287166</v>
      </c>
      <c r="E43" s="39">
        <f t="shared" si="14"/>
        <v>18488043</v>
      </c>
      <c r="F43" s="61">
        <f t="shared" si="14"/>
        <v>0</v>
      </c>
      <c r="G43" s="39">
        <f t="shared" si="14"/>
        <v>0</v>
      </c>
      <c r="H43" s="61">
        <f t="shared" si="14"/>
        <v>6241213</v>
      </c>
      <c r="I43" s="39">
        <f t="shared" si="14"/>
        <v>15790086</v>
      </c>
      <c r="J43" s="61">
        <f t="shared" si="14"/>
        <v>627077</v>
      </c>
      <c r="K43" s="150">
        <f t="shared" si="14"/>
        <v>1609272</v>
      </c>
      <c r="L43" s="61">
        <f t="shared" si="14"/>
        <v>425316</v>
      </c>
      <c r="M43" s="39">
        <f t="shared" si="14"/>
        <v>1105043</v>
      </c>
      <c r="N43" s="61">
        <f t="shared" si="14"/>
        <v>-6440</v>
      </c>
      <c r="O43" s="39">
        <f t="shared" si="14"/>
        <v>-16358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32">
        <f>+Actuals!Q103</f>
        <v>0</v>
      </c>
      <c r="U45" s="133">
        <f>+Actuals!R103</f>
        <v>0</v>
      </c>
      <c r="V45" s="132">
        <f>+Actuals!S103</f>
        <v>0</v>
      </c>
      <c r="W45" s="133">
        <f>+Actuals!T103</f>
        <v>0</v>
      </c>
      <c r="X45" s="129">
        <f>+Actuals!U143</f>
        <v>0</v>
      </c>
      <c r="Y45" s="130">
        <f>+Actuals!V143</f>
        <v>0</v>
      </c>
      <c r="Z45" s="132">
        <f>+Actuals!W143</f>
        <v>0</v>
      </c>
      <c r="AA45" s="133">
        <f>+Actuals!X143</f>
        <v>0</v>
      </c>
      <c r="AB45" s="132">
        <f>+Actuals!Y143</f>
        <v>0</v>
      </c>
      <c r="AC45" s="133">
        <f>+Actuals!Z143</f>
        <v>0</v>
      </c>
      <c r="AD45" s="132">
        <f>+Actuals!AA143</f>
        <v>0</v>
      </c>
      <c r="AE45" s="133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32">
        <f>+Actuals!Q104</f>
        <v>0</v>
      </c>
      <c r="U47" s="133">
        <f>+Actuals!R104</f>
        <v>0</v>
      </c>
      <c r="V47" s="132">
        <f>+Actuals!S104</f>
        <v>0</v>
      </c>
      <c r="W47" s="133">
        <f>+Actuals!T104</f>
        <v>0</v>
      </c>
      <c r="X47" s="129">
        <f>+Actuals!U144</f>
        <v>0</v>
      </c>
      <c r="Y47" s="130">
        <f>+Actuals!V144</f>
        <v>0</v>
      </c>
      <c r="Z47" s="132">
        <f>+Actuals!W144</f>
        <v>0</v>
      </c>
      <c r="AA47" s="133">
        <f>+Actuals!X144</f>
        <v>0</v>
      </c>
      <c r="AB47" s="132">
        <f>+Actuals!Y144</f>
        <v>0</v>
      </c>
      <c r="AC47" s="133">
        <f>+Actuals!Z144</f>
        <v>0</v>
      </c>
      <c r="AD47" s="132">
        <f>+Actuals!AA144</f>
        <v>0</v>
      </c>
      <c r="AE47" s="133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56520</v>
      </c>
      <c r="E49" s="38">
        <f>SUM(G49,I49,K49,M49,O49,Q49,S49,U49,W49,Y49,AA49,AC49,AE49)</f>
        <v>133161</v>
      </c>
      <c r="F49" s="60">
        <f>'TIE-OUT'!X49+RECLASS!X49</f>
        <v>0</v>
      </c>
      <c r="G49" s="38">
        <f>'TIE-OUT'!Y49+RECLASS!Y49</f>
        <v>0</v>
      </c>
      <c r="H49" s="132">
        <f>+Actuals!E105</f>
        <v>0</v>
      </c>
      <c r="I49" s="133">
        <f>+Actuals!F105</f>
        <v>0</v>
      </c>
      <c r="J49" s="132">
        <f>+Actuals!G105-5834078</f>
        <v>-5834078</v>
      </c>
      <c r="K49" s="149">
        <f>+Actuals!H105-13745088</f>
        <v>-13745088</v>
      </c>
      <c r="L49" s="132">
        <f>+Actuals!I105-425346</f>
        <v>-425346</v>
      </c>
      <c r="M49" s="133">
        <f>+Actuals!J105-1002115</f>
        <v>-1002115</v>
      </c>
      <c r="N49" s="132">
        <v>6440</v>
      </c>
      <c r="O49" s="133">
        <v>15173</v>
      </c>
      <c r="P49" s="132">
        <f>+Actuals!M105</f>
        <v>0</v>
      </c>
      <c r="Q49" s="133">
        <f>+Actuals!N105</f>
        <v>0</v>
      </c>
      <c r="R49" s="132">
        <v>6309504</v>
      </c>
      <c r="S49" s="133">
        <v>14865191</v>
      </c>
      <c r="T49" s="132">
        <f>+Actuals!Q105</f>
        <v>0</v>
      </c>
      <c r="U49" s="133">
        <f>+Actuals!R105</f>
        <v>0</v>
      </c>
      <c r="V49" s="132">
        <f>+Actuals!S105</f>
        <v>0</v>
      </c>
      <c r="W49" s="133">
        <f>+Actuals!T105</f>
        <v>0</v>
      </c>
      <c r="X49" s="129">
        <f>+Actuals!U145</f>
        <v>0</v>
      </c>
      <c r="Y49" s="130">
        <f>+Actuals!V145</f>
        <v>0</v>
      </c>
      <c r="Z49" s="132">
        <f>+Actuals!W145</f>
        <v>0</v>
      </c>
      <c r="AA49" s="133">
        <f>+Actuals!X145</f>
        <v>0</v>
      </c>
      <c r="AB49" s="132">
        <f>+Actuals!Y145</f>
        <v>0</v>
      </c>
      <c r="AC49" s="133">
        <f>+Actuals!Z145</f>
        <v>0</v>
      </c>
      <c r="AD49" s="132">
        <f>+Actuals!AA145</f>
        <v>0</v>
      </c>
      <c r="AE49" s="133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-467440</v>
      </c>
      <c r="E51" s="38">
        <f>SUM(G51,I51,K51,M51,O51,Q51,S51,U51,W51,Y51,AA51,AC51,AE51)</f>
        <v>-1306724</v>
      </c>
      <c r="F51" s="60">
        <f>'TIE-OUT'!X51+RECLASS!X51</f>
        <v>0</v>
      </c>
      <c r="G51" s="38">
        <f>'TIE-OUT'!Y51+RECLASS!Y51</f>
        <v>0</v>
      </c>
      <c r="H51" s="132">
        <f>+Actuals!E106-576813</f>
        <v>-576813</v>
      </c>
      <c r="I51" s="133">
        <f>+Actuals!F106-1358971</f>
        <v>-1358971</v>
      </c>
      <c r="J51" s="132">
        <f>+Actuals!G106+22146</f>
        <v>22146</v>
      </c>
      <c r="K51" s="149">
        <f>+Actuals!H106+52176</f>
        <v>52176</v>
      </c>
      <c r="L51" s="132">
        <f>+Actuals!I106+30</f>
        <v>30</v>
      </c>
      <c r="M51" s="133">
        <f>+Actuals!J106+71</f>
        <v>71</v>
      </c>
      <c r="N51" s="132">
        <f>+Actuals!K106</f>
        <v>0</v>
      </c>
      <c r="O51" s="133">
        <f>+Actuals!L106</f>
        <v>0</v>
      </c>
      <c r="P51" s="132">
        <f>+Actuals!M106</f>
        <v>0</v>
      </c>
      <c r="Q51" s="133">
        <f>+Actuals!N106</f>
        <v>0</v>
      </c>
      <c r="R51" s="132">
        <v>87197</v>
      </c>
      <c r="S51" s="133">
        <f>+Actuals!P106</f>
        <v>0</v>
      </c>
      <c r="T51" s="132">
        <f>+Actuals!Q106</f>
        <v>0</v>
      </c>
      <c r="U51" s="133">
        <f>+Actuals!R106</f>
        <v>0</v>
      </c>
      <c r="V51" s="132">
        <f>+Actuals!S106</f>
        <v>0</v>
      </c>
      <c r="W51" s="133">
        <f>+Actuals!T106</f>
        <v>0</v>
      </c>
      <c r="X51" s="129">
        <f>+Actuals!U146</f>
        <v>0</v>
      </c>
      <c r="Y51" s="130">
        <f>+Actuals!V146</f>
        <v>0</v>
      </c>
      <c r="Z51" s="132">
        <f>+Actuals!W146</f>
        <v>0</v>
      </c>
      <c r="AA51" s="133">
        <f>+Actuals!X146</f>
        <v>0</v>
      </c>
      <c r="AB51" s="132">
        <f>+Actuals!Y146</f>
        <v>0</v>
      </c>
      <c r="AC51" s="133">
        <f>+Actuals!Z146</f>
        <v>0</v>
      </c>
      <c r="AD51" s="132">
        <f>+Actuals!AA146</f>
        <v>0</v>
      </c>
      <c r="AE51" s="133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-16056952</v>
      </c>
      <c r="E54" s="38">
        <f>SUM(G54,I54,K54,M54,O54,Q54,S54,U54,W54,Y54,AA54,AC54,AE54)</f>
        <v>-659934</v>
      </c>
      <c r="F54" s="64">
        <f>'TIE-OUT'!X54+RECLASS!X54</f>
        <v>0</v>
      </c>
      <c r="G54" s="68">
        <f>'TIE-OUT'!Y54+RECLASS!Y54</f>
        <v>0</v>
      </c>
      <c r="H54" s="132">
        <f>+Actuals!E107-20053450</f>
        <v>-20053450</v>
      </c>
      <c r="I54" s="133">
        <f>+Actuals!F107-695794</f>
        <v>-695794</v>
      </c>
      <c r="J54" s="132">
        <f>+Actuals!G107+4011740</f>
        <v>4011740</v>
      </c>
      <c r="K54" s="149">
        <f>+Actuals!H107-67923-142546+249744</f>
        <v>39275</v>
      </c>
      <c r="L54" s="132">
        <f>+Actuals!I107-15242</f>
        <v>-15242</v>
      </c>
      <c r="M54" s="133">
        <f>+Actuals!J107-3415</f>
        <v>-3415</v>
      </c>
      <c r="N54" s="132">
        <f>+Actuals!K107</f>
        <v>0</v>
      </c>
      <c r="O54" s="133">
        <f>+Actuals!L107</f>
        <v>0</v>
      </c>
      <c r="P54" s="132">
        <f>+Actuals!M107</f>
        <v>0</v>
      </c>
      <c r="Q54" s="133">
        <f>+Actuals!N107</f>
        <v>0</v>
      </c>
      <c r="R54" s="132">
        <f>+Actuals!O107</f>
        <v>0</v>
      </c>
      <c r="S54" s="133">
        <f>+Actuals!P107</f>
        <v>0</v>
      </c>
      <c r="T54" s="132">
        <f>+Actuals!Q107</f>
        <v>0</v>
      </c>
      <c r="U54" s="133">
        <f>+Actuals!R107</f>
        <v>0</v>
      </c>
      <c r="V54" s="132">
        <f>+Actuals!S107</f>
        <v>0</v>
      </c>
      <c r="W54" s="133">
        <f>+Actuals!T107</f>
        <v>0</v>
      </c>
      <c r="X54" s="129">
        <f>+Actuals!U147</f>
        <v>0</v>
      </c>
      <c r="Y54" s="130">
        <f>+Actuals!V147</f>
        <v>0</v>
      </c>
      <c r="Z54" s="132">
        <f>+Actuals!W147</f>
        <v>0</v>
      </c>
      <c r="AA54" s="133">
        <f>+Actuals!X147</f>
        <v>0</v>
      </c>
      <c r="AB54" s="132">
        <f>+Actuals!Y147</f>
        <v>0</v>
      </c>
      <c r="AC54" s="133">
        <f>+Actuals!Z147</f>
        <v>0</v>
      </c>
      <c r="AD54" s="132">
        <f>+Actuals!AA147</f>
        <v>0</v>
      </c>
      <c r="AE54" s="133">
        <f>+Actuals!AB147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-1716128</v>
      </c>
      <c r="E55" s="38">
        <f>SUM(G55,I55,K55,M55,O55,Q55,S55,U55,W55,Y55,AA55,AC55,AE55)</f>
        <v>-8386018</v>
      </c>
      <c r="F55" s="81">
        <f>'TIE-OUT'!X55+RECLASS!X55</f>
        <v>0</v>
      </c>
      <c r="G55" s="82">
        <f>'TIE-OUT'!Y55+RECLASS!Y55</f>
        <v>0</v>
      </c>
      <c r="H55" s="132">
        <f>+Actuals!E108-1716128</f>
        <v>-1716128</v>
      </c>
      <c r="I55" s="133">
        <f>+Actuals!F108-23489-8283618</f>
        <v>-8307107</v>
      </c>
      <c r="J55" s="132">
        <f>+Actuals!G108</f>
        <v>0</v>
      </c>
      <c r="K55" s="149">
        <f>142546-249744</f>
        <v>-107198</v>
      </c>
      <c r="L55" s="132">
        <f>+Actuals!I108</f>
        <v>0</v>
      </c>
      <c r="M55" s="133">
        <f>+Actuals!J108</f>
        <v>0</v>
      </c>
      <c r="N55" s="132">
        <f>+Actuals!K108</f>
        <v>0</v>
      </c>
      <c r="O55" s="133">
        <f>+Actuals!L108</f>
        <v>0</v>
      </c>
      <c r="P55" s="132">
        <f>+Actuals!M108</f>
        <v>0</v>
      </c>
      <c r="Q55" s="133">
        <v>28287</v>
      </c>
      <c r="R55" s="132">
        <f>+Actuals!O108</f>
        <v>0</v>
      </c>
      <c r="S55" s="133">
        <f>+Actuals!P108</f>
        <v>0</v>
      </c>
      <c r="T55" s="132">
        <f>+Actuals!Q108</f>
        <v>0</v>
      </c>
      <c r="U55" s="133">
        <f>+Actuals!R108</f>
        <v>0</v>
      </c>
      <c r="V55" s="132">
        <f>+Actuals!S108</f>
        <v>0</v>
      </c>
      <c r="W55" s="133">
        <f>+Actuals!T108</f>
        <v>0</v>
      </c>
      <c r="X55" s="129">
        <f>+Actuals!U148</f>
        <v>0</v>
      </c>
      <c r="Y55" s="130">
        <f>+Actuals!V148</f>
        <v>0</v>
      </c>
      <c r="Z55" s="132">
        <f>+Actuals!W148</f>
        <v>0</v>
      </c>
      <c r="AA55" s="133">
        <f>+Actuals!X148</f>
        <v>0</v>
      </c>
      <c r="AB55" s="132">
        <f>+Actuals!Y148</f>
        <v>0</v>
      </c>
      <c r="AC55" s="133">
        <f>+Actuals!Z148</f>
        <v>0</v>
      </c>
      <c r="AD55" s="132">
        <f>+Actuals!AA148</f>
        <v>0</v>
      </c>
      <c r="AE55" s="133">
        <f>+Actuals!AB148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-17773080</v>
      </c>
      <c r="E56" s="39">
        <f t="shared" si="16"/>
        <v>-9045952</v>
      </c>
      <c r="F56" s="61">
        <f t="shared" si="16"/>
        <v>0</v>
      </c>
      <c r="G56" s="39">
        <f t="shared" si="16"/>
        <v>0</v>
      </c>
      <c r="H56" s="61">
        <f t="shared" si="16"/>
        <v>-21769578</v>
      </c>
      <c r="I56" s="39">
        <f t="shared" si="16"/>
        <v>-9002901</v>
      </c>
      <c r="J56" s="61">
        <f t="shared" si="16"/>
        <v>4011740</v>
      </c>
      <c r="K56" s="150">
        <f t="shared" si="16"/>
        <v>-67923</v>
      </c>
      <c r="L56" s="61">
        <f t="shared" si="16"/>
        <v>-15242</v>
      </c>
      <c r="M56" s="39">
        <f t="shared" si="16"/>
        <v>-3415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28287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-16</v>
      </c>
      <c r="F59" s="64">
        <f>'TIE-OUT'!X59+RECLASS!X59</f>
        <v>0</v>
      </c>
      <c r="G59" s="68">
        <f>'TIE-OUT'!Y59+RECLASS!Y59</f>
        <v>0</v>
      </c>
      <c r="H59" s="132">
        <f>+Actuals!E109</f>
        <v>0</v>
      </c>
      <c r="I59" s="133">
        <f>+Actuals!F109</f>
        <v>0</v>
      </c>
      <c r="J59" s="132">
        <f>+Actuals!G109</f>
        <v>0</v>
      </c>
      <c r="K59" s="149">
        <f>+Actuals!H109</f>
        <v>0</v>
      </c>
      <c r="L59" s="132">
        <f>+Actuals!I109</f>
        <v>0</v>
      </c>
      <c r="M59" s="133">
        <f>+Actuals!J109-16</f>
        <v>-16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32">
        <f>+Actuals!Q109</f>
        <v>0</v>
      </c>
      <c r="U59" s="133">
        <f>+Actuals!R109</f>
        <v>0</v>
      </c>
      <c r="V59" s="132">
        <f>+Actuals!S109</f>
        <v>0</v>
      </c>
      <c r="W59" s="133">
        <f>+Actuals!T109</f>
        <v>0</v>
      </c>
      <c r="X59" s="129">
        <f>+Actuals!U149</f>
        <v>0</v>
      </c>
      <c r="Y59" s="130">
        <f>+Actuals!V149</f>
        <v>0</v>
      </c>
      <c r="Z59" s="132">
        <f>+Actuals!W149</f>
        <v>0</v>
      </c>
      <c r="AA59" s="133">
        <f>+Actuals!X149</f>
        <v>0</v>
      </c>
      <c r="AB59" s="132">
        <f>+Actuals!Y149</f>
        <v>0</v>
      </c>
      <c r="AC59" s="133">
        <f>+Actuals!Z149</f>
        <v>0</v>
      </c>
      <c r="AD59" s="132">
        <f>+Actuals!AA149</f>
        <v>0</v>
      </c>
      <c r="AE59" s="133">
        <f>+Actuals!AB149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32">
        <f>+Actuals!Q110</f>
        <v>0</v>
      </c>
      <c r="U60" s="133">
        <f>+Actuals!R110</f>
        <v>0</v>
      </c>
      <c r="V60" s="132">
        <f>+Actuals!S110</f>
        <v>0</v>
      </c>
      <c r="W60" s="133">
        <f>+Actuals!T110</f>
        <v>0</v>
      </c>
      <c r="X60" s="129">
        <f>+Actuals!U150</f>
        <v>0</v>
      </c>
      <c r="Y60" s="130">
        <f>+Actuals!V150</f>
        <v>0</v>
      </c>
      <c r="Z60" s="132">
        <f>+Actuals!W150</f>
        <v>0</v>
      </c>
      <c r="AA60" s="133">
        <f>+Actuals!X150</f>
        <v>0</v>
      </c>
      <c r="AB60" s="132">
        <f>+Actuals!Y150</f>
        <v>0</v>
      </c>
      <c r="AC60" s="133">
        <f>+Actuals!Z150</f>
        <v>0</v>
      </c>
      <c r="AD60" s="132">
        <f>+Actuals!AA150</f>
        <v>0</v>
      </c>
      <c r="AE60" s="133">
        <f>+Actuals!AB150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-16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-16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32">
        <f>+Actuals!Q111</f>
        <v>0</v>
      </c>
      <c r="U64" s="133">
        <f>+Actuals!R111</f>
        <v>0</v>
      </c>
      <c r="V64" s="132">
        <f>+Actuals!S111</f>
        <v>0</v>
      </c>
      <c r="W64" s="133">
        <f>+Actuals!T111</f>
        <v>0</v>
      </c>
      <c r="X64" s="129">
        <f>+Actuals!U151</f>
        <v>0</v>
      </c>
      <c r="Y64" s="130">
        <f>+Actuals!V151</f>
        <v>0</v>
      </c>
      <c r="Z64" s="132">
        <f>+Actuals!W151</f>
        <v>0</v>
      </c>
      <c r="AA64" s="133">
        <f>+Actuals!X151</f>
        <v>0</v>
      </c>
      <c r="AB64" s="132">
        <f>+Actuals!Y151</f>
        <v>0</v>
      </c>
      <c r="AC64" s="133">
        <f>+Actuals!Z151</f>
        <v>0</v>
      </c>
      <c r="AD64" s="132">
        <f>+Actuals!AA151</f>
        <v>0</v>
      </c>
      <c r="AE64" s="133">
        <f>+Actuals!AB151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32">
        <f>+Actuals!Q112</f>
        <v>0</v>
      </c>
      <c r="U65" s="133">
        <f>+Actuals!R112</f>
        <v>0</v>
      </c>
      <c r="V65" s="132">
        <f>+Actuals!S112</f>
        <v>0</v>
      </c>
      <c r="W65" s="133">
        <f>+Actuals!T112</f>
        <v>0</v>
      </c>
      <c r="X65" s="129">
        <f>+Actuals!U152</f>
        <v>0</v>
      </c>
      <c r="Y65" s="130">
        <f>+Actuals!V152</f>
        <v>0</v>
      </c>
      <c r="Z65" s="132">
        <f>+Actuals!W152</f>
        <v>0</v>
      </c>
      <c r="AA65" s="133">
        <f>+Actuals!X152</f>
        <v>0</v>
      </c>
      <c r="AB65" s="132">
        <f>+Actuals!Y152</f>
        <v>0</v>
      </c>
      <c r="AC65" s="133">
        <f>+Actuals!Z152</f>
        <v>0</v>
      </c>
      <c r="AD65" s="132">
        <f>+Actuals!AA152</f>
        <v>0</v>
      </c>
      <c r="AE65" s="133">
        <f>+Actuals!AB152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5852332.7300000004</v>
      </c>
      <c r="F70" s="64">
        <f>'TIE-OUT'!X70+RECLASS!X70</f>
        <v>0</v>
      </c>
      <c r="G70" s="68">
        <f>'TIE-OUT'!Y70+RECLASS!Y70</f>
        <v>5852332.7300000004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32">
        <f>+Actuals!Q113</f>
        <v>0</v>
      </c>
      <c r="U70" s="133">
        <f>+Actuals!R113</f>
        <v>0</v>
      </c>
      <c r="V70" s="132">
        <f>+Actuals!S113</f>
        <v>0</v>
      </c>
      <c r="W70" s="133">
        <f>+Actuals!T113</f>
        <v>0</v>
      </c>
      <c r="X70" s="129">
        <f>+Actuals!U153</f>
        <v>0</v>
      </c>
      <c r="Y70" s="130">
        <f>+Actuals!V153</f>
        <v>0</v>
      </c>
      <c r="Z70" s="132">
        <f>+Actuals!W153</f>
        <v>0</v>
      </c>
      <c r="AA70" s="133">
        <f>+Actuals!X153</f>
        <v>0</v>
      </c>
      <c r="AB70" s="132">
        <f>+Actuals!Y153</f>
        <v>0</v>
      </c>
      <c r="AC70" s="133">
        <f>+Actuals!Z153</f>
        <v>0</v>
      </c>
      <c r="AD70" s="132">
        <f>+Actuals!AA153</f>
        <v>0</v>
      </c>
      <c r="AE70" s="133">
        <f>+Actuals!AB153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-7770576</v>
      </c>
      <c r="F71" s="81">
        <f>'TIE-OUT'!X71+RECLASS!X71</f>
        <v>0</v>
      </c>
      <c r="G71" s="82">
        <f>'TIE-OUT'!Y71+RECLASS!Y71</f>
        <v>-7770576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32">
        <f>+Actuals!Q114</f>
        <v>0</v>
      </c>
      <c r="U71" s="133">
        <f>+Actuals!R114</f>
        <v>0</v>
      </c>
      <c r="V71" s="132">
        <f>+Actuals!S114</f>
        <v>0</v>
      </c>
      <c r="W71" s="133">
        <f>+Actuals!T114</f>
        <v>0</v>
      </c>
      <c r="X71" s="129">
        <f>+Actuals!U154</f>
        <v>0</v>
      </c>
      <c r="Y71" s="130">
        <f>+Actuals!V154</f>
        <v>0</v>
      </c>
      <c r="Z71" s="132">
        <f>+Actuals!W154</f>
        <v>0</v>
      </c>
      <c r="AA71" s="133">
        <f>+Actuals!X154</f>
        <v>0</v>
      </c>
      <c r="AB71" s="132">
        <f>+Actuals!Y154</f>
        <v>0</v>
      </c>
      <c r="AC71" s="133">
        <f>+Actuals!Z154</f>
        <v>0</v>
      </c>
      <c r="AD71" s="132">
        <f>+Actuals!AA154</f>
        <v>0</v>
      </c>
      <c r="AE71" s="133">
        <f>+Actuals!AB154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-1918243.2699999996</v>
      </c>
      <c r="F72" s="61">
        <f t="shared" si="22"/>
        <v>0</v>
      </c>
      <c r="G72" s="39">
        <f t="shared" si="22"/>
        <v>-1918243.2699999996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32">
        <f>+Actuals!Q115</f>
        <v>0</v>
      </c>
      <c r="U73" s="133">
        <f>+Actuals!R115</f>
        <v>0</v>
      </c>
      <c r="V73" s="132">
        <f>+Actuals!S115</f>
        <v>0</v>
      </c>
      <c r="W73" s="133">
        <f>+Actuals!T115</f>
        <v>0</v>
      </c>
      <c r="X73" s="129">
        <f>+Actuals!U155</f>
        <v>0</v>
      </c>
      <c r="Y73" s="130">
        <f>+Actuals!V155</f>
        <v>0</v>
      </c>
      <c r="Z73" s="132">
        <f>+Actuals!W155</f>
        <v>0</v>
      </c>
      <c r="AA73" s="133">
        <f>+Actuals!X155</f>
        <v>0</v>
      </c>
      <c r="AB73" s="132">
        <f>+Actuals!Y155</f>
        <v>0</v>
      </c>
      <c r="AC73" s="133">
        <f>+Actuals!Z155</f>
        <v>0</v>
      </c>
      <c r="AD73" s="132">
        <f>+Actuals!AA155</f>
        <v>0</v>
      </c>
      <c r="AE73" s="133">
        <f>+Actuals!AB155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2374528</v>
      </c>
      <c r="F74" s="60">
        <f>'TIE-OUT'!X74+RECLASS!X74</f>
        <v>0</v>
      </c>
      <c r="G74" s="60">
        <f>'TIE-OUT'!Y74+RECLASS!Y74</f>
        <v>2374528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62"/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32">
        <f>+Actuals!Q116</f>
        <v>0</v>
      </c>
      <c r="U74" s="133">
        <f>+Actuals!R116</f>
        <v>0</v>
      </c>
      <c r="V74" s="132">
        <f>+Actuals!S116</f>
        <v>0</v>
      </c>
      <c r="W74" s="133">
        <f>+Actuals!T116</f>
        <v>0</v>
      </c>
      <c r="X74" s="129">
        <f>+Actuals!U156</f>
        <v>0</v>
      </c>
      <c r="Y74" s="130">
        <f>+Actuals!V156</f>
        <v>0</v>
      </c>
      <c r="Z74" s="132">
        <f>+Actuals!W156</f>
        <v>0</v>
      </c>
      <c r="AA74" s="133">
        <f>+Actuals!X156</f>
        <v>0</v>
      </c>
      <c r="AB74" s="132">
        <f>+Actuals!Y156</f>
        <v>0</v>
      </c>
      <c r="AC74" s="133">
        <f>+Actuals!Z156</f>
        <v>0</v>
      </c>
      <c r="AD74" s="132">
        <f>+Actuals!AA156</f>
        <v>0</v>
      </c>
      <c r="AE74" s="133">
        <f>+Actuals!AB156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32">
        <f>+Actuals!Q117</f>
        <v>0</v>
      </c>
      <c r="U75" s="133">
        <f>+Actuals!R117</f>
        <v>0</v>
      </c>
      <c r="V75" s="132">
        <f>+Actuals!S117</f>
        <v>0</v>
      </c>
      <c r="W75" s="133">
        <f>+Actuals!T117</f>
        <v>0</v>
      </c>
      <c r="X75" s="129">
        <f>+Actuals!U157</f>
        <v>0</v>
      </c>
      <c r="Y75" s="130">
        <f>+Actuals!V157</f>
        <v>0</v>
      </c>
      <c r="Z75" s="132">
        <f>+Actuals!W157</f>
        <v>0</v>
      </c>
      <c r="AA75" s="133">
        <f>+Actuals!X157</f>
        <v>0</v>
      </c>
      <c r="AB75" s="132">
        <f>+Actuals!Y157</f>
        <v>0</v>
      </c>
      <c r="AC75" s="133">
        <f>+Actuals!Z157</f>
        <v>0</v>
      </c>
      <c r="AD75" s="132">
        <f>+Actuals!AA157</f>
        <v>0</v>
      </c>
      <c r="AE75" s="133">
        <f>+Actuals!AB157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32">
        <f>+Actuals!Q118</f>
        <v>0</v>
      </c>
      <c r="U76" s="133">
        <f>+Actuals!R118</f>
        <v>0</v>
      </c>
      <c r="V76" s="132">
        <f>+Actuals!S118</f>
        <v>0</v>
      </c>
      <c r="W76" s="133">
        <f>+Actuals!T118</f>
        <v>0</v>
      </c>
      <c r="X76" s="129">
        <f>+Actuals!U158</f>
        <v>0</v>
      </c>
      <c r="Y76" s="130">
        <f>+Actuals!V158</f>
        <v>0</v>
      </c>
      <c r="Z76" s="132">
        <f>+Actuals!W158</f>
        <v>0</v>
      </c>
      <c r="AA76" s="133">
        <f>+Actuals!X158</f>
        <v>0</v>
      </c>
      <c r="AB76" s="132">
        <f>+Actuals!Y158</f>
        <v>0</v>
      </c>
      <c r="AC76" s="133">
        <f>+Actuals!Z158</f>
        <v>0</v>
      </c>
      <c r="AD76" s="132">
        <f>+Actuals!AA158</f>
        <v>0</v>
      </c>
      <c r="AE76" s="133">
        <f>+Actuals!AB158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32">
        <f>+Actuals!Q119</f>
        <v>0</v>
      </c>
      <c r="U77" s="133">
        <f>+Actuals!R119</f>
        <v>0</v>
      </c>
      <c r="V77" s="132">
        <f>+Actuals!S119</f>
        <v>0</v>
      </c>
      <c r="W77" s="133">
        <f>+Actuals!T119</f>
        <v>0</v>
      </c>
      <c r="X77" s="129">
        <f>+Actuals!U159</f>
        <v>0</v>
      </c>
      <c r="Y77" s="130">
        <f>+Actuals!V159</f>
        <v>0</v>
      </c>
      <c r="Z77" s="132">
        <f>+Actuals!W159</f>
        <v>0</v>
      </c>
      <c r="AA77" s="133">
        <f>+Actuals!X159</f>
        <v>0</v>
      </c>
      <c r="AB77" s="132">
        <f>+Actuals!Y159</f>
        <v>0</v>
      </c>
      <c r="AC77" s="133">
        <f>+Actuals!Z159</f>
        <v>0</v>
      </c>
      <c r="AD77" s="132">
        <f>+Actuals!AA159</f>
        <v>0</v>
      </c>
      <c r="AE77" s="133">
        <f>+Actuals!AB159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32">
        <f>+Actuals!Q120</f>
        <v>0</v>
      </c>
      <c r="U78" s="133">
        <f>+Actuals!R120</f>
        <v>0</v>
      </c>
      <c r="V78" s="132">
        <f>+Actuals!S120</f>
        <v>0</v>
      </c>
      <c r="W78" s="133">
        <f>+Actuals!T120</f>
        <v>0</v>
      </c>
      <c r="X78" s="129">
        <f>+Actuals!U160</f>
        <v>0</v>
      </c>
      <c r="Y78" s="130">
        <f>+Actuals!V160</f>
        <v>0</v>
      </c>
      <c r="Z78" s="132">
        <f>+Actuals!W160</f>
        <v>0</v>
      </c>
      <c r="AA78" s="133">
        <f>+Actuals!X160</f>
        <v>0</v>
      </c>
      <c r="AB78" s="132">
        <f>+Actuals!Y160</f>
        <v>0</v>
      </c>
      <c r="AC78" s="133">
        <f>+Actuals!Z160</f>
        <v>0</v>
      </c>
      <c r="AD78" s="132">
        <f>+Actuals!AA160</f>
        <v>0</v>
      </c>
      <c r="AE78" s="133">
        <f>+Actuals!AB160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32">
        <f>+Actuals!Q121</f>
        <v>0</v>
      </c>
      <c r="U79" s="133">
        <f>+Actuals!R121</f>
        <v>0</v>
      </c>
      <c r="V79" s="132">
        <f>+Actuals!S121</f>
        <v>0</v>
      </c>
      <c r="W79" s="133">
        <f>+Actuals!T121</f>
        <v>0</v>
      </c>
      <c r="X79" s="129">
        <f>+Actuals!U161</f>
        <v>0</v>
      </c>
      <c r="Y79" s="130">
        <f>+Actuals!V161</f>
        <v>0</v>
      </c>
      <c r="Z79" s="132">
        <f>+Actuals!W161</f>
        <v>0</v>
      </c>
      <c r="AA79" s="133">
        <f>+Actuals!X161</f>
        <v>0</v>
      </c>
      <c r="AB79" s="132">
        <f>+Actuals!Y161</f>
        <v>0</v>
      </c>
      <c r="AC79" s="133">
        <f>+Actuals!Z161</f>
        <v>0</v>
      </c>
      <c r="AD79" s="132">
        <f>+Actuals!AA161</f>
        <v>0</v>
      </c>
      <c r="AE79" s="133">
        <f>+Actuals!AB161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32">
        <f>+Actuals!Q122</f>
        <v>0</v>
      </c>
      <c r="U80" s="133">
        <f>+Actuals!R122</f>
        <v>0</v>
      </c>
      <c r="V80" s="132">
        <f>+Actuals!S122</f>
        <v>0</v>
      </c>
      <c r="W80" s="133">
        <f>+Actuals!T122</f>
        <v>0</v>
      </c>
      <c r="X80" s="129">
        <f>+Actuals!U162</f>
        <v>0</v>
      </c>
      <c r="Y80" s="130">
        <f>+Actuals!V162</f>
        <v>0</v>
      </c>
      <c r="Z80" s="132">
        <f>+Actuals!W162</f>
        <v>0</v>
      </c>
      <c r="AA80" s="133">
        <f>+Actuals!X162</f>
        <v>0</v>
      </c>
      <c r="AB80" s="132">
        <f>+Actuals!Y162</f>
        <v>0</v>
      </c>
      <c r="AC80" s="133">
        <f>+Actuals!Z162</f>
        <v>0</v>
      </c>
      <c r="AD80" s="132">
        <f>+Actuals!AA162</f>
        <v>0</v>
      </c>
      <c r="AE80" s="133">
        <f>+Actuals!AB162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32">
        <f>+Actuals!Q123</f>
        <v>0</v>
      </c>
      <c r="U81" s="133">
        <f>+Actuals!R123</f>
        <v>0</v>
      </c>
      <c r="V81" s="132">
        <f>+Actuals!S123</f>
        <v>0</v>
      </c>
      <c r="W81" s="133">
        <f>+Actuals!T123</f>
        <v>0</v>
      </c>
      <c r="X81" s="129">
        <f>+Actuals!U163</f>
        <v>0</v>
      </c>
      <c r="Y81" s="130">
        <f>+Actuals!V163</f>
        <v>0</v>
      </c>
      <c r="Z81" s="132">
        <f>+Actuals!W163</f>
        <v>0</v>
      </c>
      <c r="AA81" s="133">
        <f>+Actuals!X163</f>
        <v>0</v>
      </c>
      <c r="AB81" s="132">
        <f>+Actuals!Y163</f>
        <v>0</v>
      </c>
      <c r="AC81" s="133">
        <f>+Actuals!Z163</f>
        <v>0</v>
      </c>
      <c r="AD81" s="132">
        <f>+Actuals!AA163</f>
        <v>0</v>
      </c>
      <c r="AE81" s="133">
        <f>+Actuals!AB163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161443.73000000417</v>
      </c>
      <c r="F82" s="92">
        <f>F16+F24+F29+F36+F43+F45+F47+F49</f>
        <v>0</v>
      </c>
      <c r="G82" s="93">
        <f>SUM(G72:G81)+G16+G24+G29+G36+G43+G45+G47+G49+G51+G56+G61+G66</f>
        <v>456284.73000000045</v>
      </c>
      <c r="H82" s="92">
        <f>H16+H24+H29+H36+H43+H45+H47+H49</f>
        <v>0</v>
      </c>
      <c r="I82" s="93">
        <f>SUM(I72:I81)+I16+I24+I29+I36+I43+I45+I47+I49+I51+I56+I61+I66</f>
        <v>-9683637</v>
      </c>
      <c r="J82" s="92">
        <f>J16+J24+J29+J36+J43+J45+J47+J49</f>
        <v>0</v>
      </c>
      <c r="K82" s="160">
        <f>SUM(K72:K81)+K16+K24+K29+K36+K43+K45+K47+K49+K51+K56+K61+K66</f>
        <v>-7160239</v>
      </c>
      <c r="L82" s="92">
        <f>L16+L24+L29+L36+L43+L45+L47+L49</f>
        <v>0</v>
      </c>
      <c r="M82" s="93">
        <f>SUM(M72:M81)+M16+M24+M29+M36+M43+M45+M47+M49+M51+M56+M61+M66</f>
        <v>99704</v>
      </c>
      <c r="N82" s="92">
        <f>N16+N24+N29+N36+N43+N45+N47+N49</f>
        <v>0</v>
      </c>
      <c r="O82" s="93">
        <f>SUM(O72:O81)+O16+O24+O29+O36+O43+O45+O47+O49+O51+O56+O61+O66</f>
        <v>-73</v>
      </c>
      <c r="P82" s="92">
        <f>P16+P24+P29+P36+P43+P45+P47+P49</f>
        <v>0</v>
      </c>
      <c r="Q82" s="93">
        <f>SUM(Q72:Q81)+Q16+Q24+Q29+Q36+Q43+Q45+Q47+Q49+Q51+Q56+Q61+Q66</f>
        <v>28324</v>
      </c>
      <c r="R82" s="92">
        <f>R16+R24+R29+R36+R43+R45+R47+R49</f>
        <v>0</v>
      </c>
      <c r="S82" s="93">
        <f>SUM(S72:S81)+S16+S24+S29+S36+S43+S45+S47+S49+S51+S56+S61+S66</f>
        <v>16603099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-182019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AA4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9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-89420</v>
      </c>
      <c r="F12" s="60">
        <f>'TIE-OUT'!T12+RECLASS!T12</f>
        <v>0</v>
      </c>
      <c r="G12" s="38">
        <f>'TIE-OUT'!U12+RECLASS!U12</f>
        <v>-89420</v>
      </c>
      <c r="H12" s="60"/>
      <c r="I12" s="38"/>
      <c r="J12" s="60"/>
      <c r="K12" s="149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197</v>
      </c>
      <c r="D13" s="60">
        <f t="shared" si="0"/>
        <v>0</v>
      </c>
      <c r="E13" s="38">
        <f t="shared" si="0"/>
        <v>-16925369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9"/>
      <c r="L13" s="60"/>
      <c r="M13" s="38"/>
      <c r="N13" s="60"/>
      <c r="O13" s="38"/>
      <c r="P13" s="60"/>
      <c r="Q13" s="38"/>
      <c r="R13" s="60"/>
      <c r="S13" s="38">
        <v>-16825787</v>
      </c>
      <c r="T13" s="60"/>
      <c r="U13" s="38"/>
      <c r="V13" s="60"/>
      <c r="W13" s="38"/>
      <c r="X13" s="60"/>
      <c r="Y13" s="38">
        <v>-352900</v>
      </c>
      <c r="Z13" s="60"/>
      <c r="AA13" s="38"/>
      <c r="AB13" s="60"/>
      <c r="AC13" s="38">
        <v>-96818</v>
      </c>
      <c r="AD13" s="60"/>
      <c r="AE13" s="38">
        <v>350136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32</v>
      </c>
      <c r="C16" s="6"/>
      <c r="D16" s="61">
        <f>SUM(D11:D15)</f>
        <v>0</v>
      </c>
      <c r="E16" s="39">
        <f>SUM(E11:E15)</f>
        <v>-17014789</v>
      </c>
      <c r="F16" s="61">
        <f t="shared" ref="F16:X16" si="1">SUM(F11:F15)</f>
        <v>0</v>
      </c>
      <c r="G16" s="39">
        <f t="shared" si="1"/>
        <v>-89420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-16825787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 t="shared" ref="Y16:AE16" si="2">SUM(Y11:Y15)</f>
        <v>-352900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-96818</v>
      </c>
      <c r="AD16" s="61">
        <f t="shared" si="2"/>
        <v>0</v>
      </c>
      <c r="AE16" s="39">
        <f t="shared" si="2"/>
        <v>350136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X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>SUM(W19:W23)</f>
        <v>0</v>
      </c>
      <c r="X24" s="61">
        <f t="shared" si="4"/>
        <v>0</v>
      </c>
      <c r="Y24" s="39">
        <f t="shared" ref="Y24:AE24" si="5">SUM(Y19:Y23)</f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>SUM(W32:W35)</f>
        <v>0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274973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>
        <v>274973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274973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274973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274973</v>
      </c>
      <c r="F43" s="61">
        <f t="shared" ref="F43:X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>W42+W39</f>
        <v>0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274973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X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>SUM(W54:W55)</f>
        <v>0</v>
      </c>
      <c r="X56" s="61">
        <f t="shared" si="16"/>
        <v>0</v>
      </c>
      <c r="Y56" s="39">
        <f t="shared" ref="Y56:AE56" si="17">SUM(Y54:Y55)</f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96833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9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96833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96833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>SUM(W59:W60)</f>
        <v>0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13276154</v>
      </c>
      <c r="F70" s="64">
        <f>'TIE-OUT'!T70+RECLASS!T70</f>
        <v>0</v>
      </c>
      <c r="G70" s="68">
        <f>'TIE-OUT'!U70+RECLASS!U70</f>
        <v>12765894</v>
      </c>
      <c r="H70" s="60"/>
      <c r="I70" s="38">
        <v>7137297</v>
      </c>
      <c r="J70" s="60"/>
      <c r="K70" s="149">
        <v>-23536950</v>
      </c>
      <c r="L70" s="60"/>
      <c r="M70" s="38"/>
      <c r="N70" s="60"/>
      <c r="O70" s="38"/>
      <c r="P70" s="60"/>
      <c r="Q70" s="38"/>
      <c r="R70" s="60"/>
      <c r="S70" s="38">
        <f>84126+16825787</f>
        <v>16909913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13276154</v>
      </c>
      <c r="F72" s="61">
        <f t="shared" ref="F72:X72" si="22">SUM(F70:F71)</f>
        <v>0</v>
      </c>
      <c r="G72" s="39">
        <f t="shared" si="22"/>
        <v>12765894</v>
      </c>
      <c r="H72" s="61">
        <f t="shared" si="22"/>
        <v>0</v>
      </c>
      <c r="I72" s="39">
        <f t="shared" si="22"/>
        <v>7137297</v>
      </c>
      <c r="J72" s="61">
        <f t="shared" si="22"/>
        <v>0</v>
      </c>
      <c r="K72" s="150">
        <f t="shared" si="22"/>
        <v>-23536950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16909913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2737918</v>
      </c>
      <c r="F74" s="60">
        <f>'TIE-OUT'!T74+RECLASS!T74</f>
        <v>0</v>
      </c>
      <c r="G74" s="60">
        <f>'TIE-OUT'!U74+RECLASS!U74</f>
        <v>2713118</v>
      </c>
      <c r="H74" s="60"/>
      <c r="I74" s="38"/>
      <c r="J74" s="60"/>
      <c r="K74" s="162">
        <v>24800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-5660</v>
      </c>
      <c r="F76" s="60">
        <f>'TIE-OUT'!T76+RECLASS!T76</f>
        <v>0</v>
      </c>
      <c r="G76" s="60">
        <f>'TIE-OUT'!U76+RECLASS!U76</f>
        <v>-5660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-707000</v>
      </c>
      <c r="F77" s="60">
        <f>'TIE-OUT'!T77+RECLASS!T77</f>
        <v>0</v>
      </c>
      <c r="G77" s="60">
        <f>'TIE-OUT'!U77+RECLASS!U77</f>
        <v>-707000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-591891</v>
      </c>
      <c r="F81" s="60">
        <f>'TIE-OUT'!T81+RECLASS!T81</f>
        <v>0</v>
      </c>
      <c r="G81" s="60">
        <f>'TIE-OUT'!U81+RECLASS!U81</f>
        <v>-551915</v>
      </c>
      <c r="H81" s="60"/>
      <c r="I81" s="162">
        <v>2088775</v>
      </c>
      <c r="J81" s="60"/>
      <c r="K81" s="162">
        <v>-2088775</v>
      </c>
      <c r="L81" s="60"/>
      <c r="M81" s="38"/>
      <c r="N81" s="60"/>
      <c r="O81" s="38"/>
      <c r="P81" s="60"/>
      <c r="Q81" s="38"/>
      <c r="R81" s="60"/>
      <c r="S81" s="38"/>
      <c r="T81" s="60"/>
      <c r="U81" s="38">
        <v>-39976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-1933462</v>
      </c>
      <c r="F82" s="92">
        <f>F16+F24+F29+F36+F43+F45+F47+F49</f>
        <v>0</v>
      </c>
      <c r="G82" s="93">
        <f>SUM(G72:G81)+G16+G24+G29+G36+G43+G45+G47+G49+G51+G56+G61+G66</f>
        <v>14125017</v>
      </c>
      <c r="H82" s="92">
        <f>H16+H24+H29+H36+H43+H45+H47+H49</f>
        <v>0</v>
      </c>
      <c r="I82" s="166">
        <f>SUM(I72:I81)+I16+I24+I29+I36+I43+I45+I47+I49+I51+I56+I61+I66</f>
        <v>9226072</v>
      </c>
      <c r="J82" s="92">
        <f>J16+J24+J29+J36+J43+J45+J47+J49</f>
        <v>0</v>
      </c>
      <c r="K82" s="166">
        <f>SUM(K72:K81)+K16+K24+K29+K36+K43+K45+K47+K49+K51+K56+K61+K66</f>
        <v>-25504092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84126</v>
      </c>
      <c r="T82" s="92">
        <f>T16+T24+T29+T36+T43+T45+T47+T49</f>
        <v>0</v>
      </c>
      <c r="U82" s="93">
        <f>SUM(U72:U81)+U16+U24+U29+U36+U43+U45+U47+U49+U51+U56+U61+U66</f>
        <v>-39976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-352900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-96818</v>
      </c>
      <c r="AD82" s="92">
        <f>AD16+AD24+AD29+AD36+AD43+AD45+AD47+AD49</f>
        <v>0</v>
      </c>
      <c r="AE82" s="93">
        <f>SUM(AE72:AE81)+AE16+AE24+AE29+AE36+AE43+AE45+AE47+AE49+AE51+AE56+AE61+AE66</f>
        <v>625109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13276154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W52" activePane="bottomRight" state="frozen"/>
      <selection activeCell="X631" sqref="X631"/>
      <selection pane="topRight" activeCell="X631" sqref="X631"/>
      <selection pane="bottomLeft" activeCell="X631" sqref="X631"/>
      <selection pane="bottomRight" activeCell="AE71" sqref="AE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7696881</v>
      </c>
      <c r="E11" s="38">
        <f>SUM(G11,I11,K11,M11,O11,Q11,S11,U11,W11,Y11,AA11,AC11,AE11)</f>
        <v>17163251</v>
      </c>
      <c r="F11" s="60">
        <f>'TIE-OUT'!V11+RECLASS!V11</f>
        <v>0</v>
      </c>
      <c r="G11" s="38">
        <f>'TIE-OUT'!W11+RECLASS!W11</f>
        <v>0</v>
      </c>
      <c r="H11" s="60">
        <v>7915114</v>
      </c>
      <c r="I11" s="38">
        <v>17697601</v>
      </c>
      <c r="J11" s="60">
        <v>-195015</v>
      </c>
      <c r="K11" s="149">
        <v>-457627</v>
      </c>
      <c r="L11" s="60"/>
      <c r="M11" s="38"/>
      <c r="N11" s="60">
        <f>23151-23151-23218</f>
        <v>-23218</v>
      </c>
      <c r="O11" s="38">
        <f>51859-51859-55723</f>
        <v>-55723</v>
      </c>
      <c r="P11" s="60"/>
      <c r="Q11" s="38"/>
      <c r="R11" s="60"/>
      <c r="S11" s="38">
        <v>-21000</v>
      </c>
      <c r="T11" s="60"/>
      <c r="U11" s="38"/>
      <c r="V11" s="60"/>
      <c r="W11" s="38"/>
      <c r="X11" s="129">
        <f>+Actuals!U284</f>
        <v>0</v>
      </c>
      <c r="Y11" s="130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-418888.09</v>
      </c>
      <c r="F12" s="60">
        <f>'TIE-OUT'!V12+RECLASS!V12</f>
        <v>0</v>
      </c>
      <c r="G12" s="38">
        <f>'TIE-OUT'!W12+RECLASS!W12</f>
        <v>-418888.09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129">
        <f>+Actuals!U285</f>
        <v>0</v>
      </c>
      <c r="Y12" s="130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1250927</v>
      </c>
      <c r="E13" s="38">
        <f t="shared" si="0"/>
        <v>2924336</v>
      </c>
      <c r="F13" s="60">
        <f>'TIE-OUT'!V13+RECLASS!V13</f>
        <v>0</v>
      </c>
      <c r="G13" s="38">
        <f>'TIE-OUT'!W13+RECLASS!W13</f>
        <v>0</v>
      </c>
      <c r="H13" s="60">
        <v>1250927</v>
      </c>
      <c r="I13" s="38">
        <v>2924336</v>
      </c>
      <c r="J13" s="60">
        <v>-132333</v>
      </c>
      <c r="K13" s="149">
        <v>-295943</v>
      </c>
      <c r="L13" s="60"/>
      <c r="M13" s="38"/>
      <c r="N13" s="60">
        <v>46369</v>
      </c>
      <c r="O13" s="38">
        <v>107582</v>
      </c>
      <c r="P13" s="60"/>
      <c r="Q13" s="38"/>
      <c r="R13" s="60">
        <v>361848</v>
      </c>
      <c r="S13" s="38">
        <v>847347</v>
      </c>
      <c r="T13" s="60"/>
      <c r="U13" s="38"/>
      <c r="V13" s="60">
        <v>-802696</v>
      </c>
      <c r="W13" s="38">
        <v>-1878927</v>
      </c>
      <c r="X13" s="129">
        <f>+Actuals!U286</f>
        <v>802696</v>
      </c>
      <c r="Y13" s="130">
        <f>+Actuals!V286</f>
        <v>1878927</v>
      </c>
      <c r="Z13" s="60">
        <f>+Actuals!W286</f>
        <v>0</v>
      </c>
      <c r="AA13" s="38">
        <f>+Actuals!X286</f>
        <v>0</v>
      </c>
      <c r="AB13" s="60">
        <f>+Actuals!Y286</f>
        <v>-275884</v>
      </c>
      <c r="AC13" s="38">
        <f>+Actuals!Z286</f>
        <v>-658986</v>
      </c>
      <c r="AD13" s="60">
        <f>+Actuals!AA286</f>
        <v>0</v>
      </c>
      <c r="AE13" s="38">
        <f>+Actuals!AB286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129">
        <f>+Actuals!U287</f>
        <v>0</v>
      </c>
      <c r="Y14" s="130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129">
        <f>+Actuals!U288</f>
        <v>0</v>
      </c>
      <c r="Y15" s="130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</row>
    <row r="16" spans="1:31" x14ac:dyDescent="0.2">
      <c r="A16" s="9"/>
      <c r="B16" s="7" t="s">
        <v>32</v>
      </c>
      <c r="C16" s="6"/>
      <c r="D16" s="61">
        <f>SUM(D11:D15)</f>
        <v>8947808</v>
      </c>
      <c r="E16" s="39">
        <f>SUM(E11:E15)</f>
        <v>19668698.91</v>
      </c>
      <c r="F16" s="61">
        <f t="shared" ref="F16:V16" si="1">SUM(F11:F15)</f>
        <v>0</v>
      </c>
      <c r="G16" s="39">
        <f t="shared" si="1"/>
        <v>-418888.09</v>
      </c>
      <c r="H16" s="61">
        <f t="shared" si="1"/>
        <v>9166041</v>
      </c>
      <c r="I16" s="39">
        <f t="shared" si="1"/>
        <v>20621937</v>
      </c>
      <c r="J16" s="61">
        <f t="shared" si="1"/>
        <v>-327348</v>
      </c>
      <c r="K16" s="150">
        <f t="shared" si="1"/>
        <v>-753570</v>
      </c>
      <c r="L16" s="61">
        <f t="shared" si="1"/>
        <v>0</v>
      </c>
      <c r="M16" s="39">
        <f t="shared" si="1"/>
        <v>0</v>
      </c>
      <c r="N16" s="61">
        <f t="shared" si="1"/>
        <v>23151</v>
      </c>
      <c r="O16" s="39">
        <f t="shared" si="1"/>
        <v>51859</v>
      </c>
      <c r="P16" s="61">
        <f t="shared" si="1"/>
        <v>0</v>
      </c>
      <c r="Q16" s="39">
        <f t="shared" si="1"/>
        <v>0</v>
      </c>
      <c r="R16" s="61">
        <f t="shared" si="1"/>
        <v>361848</v>
      </c>
      <c r="S16" s="39">
        <f t="shared" si="1"/>
        <v>826347</v>
      </c>
      <c r="T16" s="61">
        <f t="shared" si="1"/>
        <v>0</v>
      </c>
      <c r="U16" s="39">
        <f>SUM(U11:U15)</f>
        <v>0</v>
      </c>
      <c r="V16" s="61">
        <f t="shared" si="1"/>
        <v>-802696</v>
      </c>
      <c r="W16" s="39">
        <f t="shared" ref="W16:AE16" si="2">SUM(W11:W15)</f>
        <v>-1878927</v>
      </c>
      <c r="X16" s="61">
        <f t="shared" si="2"/>
        <v>802696</v>
      </c>
      <c r="Y16" s="39">
        <f t="shared" si="2"/>
        <v>1878927</v>
      </c>
      <c r="Z16" s="61">
        <f t="shared" si="2"/>
        <v>0</v>
      </c>
      <c r="AA16" s="39">
        <f t="shared" si="2"/>
        <v>0</v>
      </c>
      <c r="AB16" s="61">
        <f t="shared" si="2"/>
        <v>-275884</v>
      </c>
      <c r="AC16" s="39">
        <f t="shared" si="2"/>
        <v>-658986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-7354776</v>
      </c>
      <c r="E19" s="38">
        <f t="shared" si="3"/>
        <v>-16341609</v>
      </c>
      <c r="F19" s="64">
        <f>'TIE-OUT'!V19+RECLASS!V19</f>
        <v>0</v>
      </c>
      <c r="G19" s="68">
        <f>'TIE-OUT'!W19+RECLASS!W19</f>
        <v>0</v>
      </c>
      <c r="H19" s="60">
        <f>-7112356+635000</f>
        <v>-6477356</v>
      </c>
      <c r="I19" s="38">
        <f>-15619834+1483815</f>
        <v>-14136019</v>
      </c>
      <c r="J19" s="60">
        <v>-289339</v>
      </c>
      <c r="K19" s="149">
        <v>-754966</v>
      </c>
      <c r="L19" s="60">
        <v>6499</v>
      </c>
      <c r="M19" s="38">
        <v>-20718</v>
      </c>
      <c r="N19" s="60">
        <v>-594580</v>
      </c>
      <c r="O19" s="38">
        <v>-1436505</v>
      </c>
      <c r="P19" s="60"/>
      <c r="Q19" s="38">
        <v>6599</v>
      </c>
      <c r="R19" s="60"/>
      <c r="S19" s="38"/>
      <c r="T19" s="60"/>
      <c r="U19" s="38"/>
      <c r="V19" s="60"/>
      <c r="W19" s="38"/>
      <c r="X19" s="129">
        <f>+Actuals!U289</f>
        <v>0</v>
      </c>
      <c r="Y19" s="130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521674.65</v>
      </c>
      <c r="F20" s="60">
        <f>'TIE-OUT'!V20+RECLASS!V20</f>
        <v>0</v>
      </c>
      <c r="G20" s="38">
        <f>'TIE-OUT'!W20+RECLASS!W20</f>
        <v>521674.65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129">
        <f>+Actuals!U290</f>
        <v>0</v>
      </c>
      <c r="Y20" s="130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-635000</v>
      </c>
      <c r="E21" s="38">
        <f t="shared" si="3"/>
        <v>-1483815</v>
      </c>
      <c r="F21" s="60">
        <f>'TIE-OUT'!V21+RECLASS!V21</f>
        <v>0</v>
      </c>
      <c r="G21" s="38">
        <f>'TIE-OUT'!W21+RECLASS!W21</f>
        <v>0</v>
      </c>
      <c r="H21" s="60">
        <v>-635000</v>
      </c>
      <c r="I21" s="38">
        <v>-1483815</v>
      </c>
      <c r="J21" s="60"/>
      <c r="K21" s="149"/>
      <c r="L21" s="60"/>
      <c r="M21" s="38"/>
      <c r="N21" s="60"/>
      <c r="O21" s="38"/>
      <c r="P21" s="60"/>
      <c r="Q21" s="38"/>
      <c r="R21" s="60">
        <v>-361848</v>
      </c>
      <c r="S21" s="38">
        <v>-847347</v>
      </c>
      <c r="T21" s="60"/>
      <c r="U21" s="38"/>
      <c r="V21" s="60">
        <v>888660</v>
      </c>
      <c r="W21" s="38">
        <v>2067288</v>
      </c>
      <c r="X21" s="129">
        <f>+Actuals!U291</f>
        <v>-888660</v>
      </c>
      <c r="Y21" s="130">
        <f>+Actuals!V291</f>
        <v>-2067288</v>
      </c>
      <c r="Z21" s="60">
        <f>+Actuals!W291</f>
        <v>0</v>
      </c>
      <c r="AA21" s="38">
        <f>+Actuals!X291</f>
        <v>0</v>
      </c>
      <c r="AB21" s="60">
        <f>+Actuals!Y291</f>
        <v>361848</v>
      </c>
      <c r="AC21" s="38">
        <f>+Actuals!Z291</f>
        <v>847347</v>
      </c>
      <c r="AD21" s="60">
        <f>+Actuals!AA291</f>
        <v>0</v>
      </c>
      <c r="AE21" s="38">
        <f>+Actuals!AB291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129">
        <f>+Actuals!U292</f>
        <v>0</v>
      </c>
      <c r="Y22" s="130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129">
        <f>+Actuals!U293</f>
        <v>0</v>
      </c>
      <c r="Y23" s="130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</row>
    <row r="24" spans="1:31" x14ac:dyDescent="0.2">
      <c r="A24" s="9"/>
      <c r="B24" s="7" t="s">
        <v>35</v>
      </c>
      <c r="C24" s="6"/>
      <c r="D24" s="61">
        <f>SUM(D19:D23)</f>
        <v>-7989776</v>
      </c>
      <c r="E24" s="39">
        <f>SUM(E19:E23)</f>
        <v>-17303749.350000001</v>
      </c>
      <c r="F24" s="61">
        <f t="shared" ref="F24:V24" si="4">SUM(F19:F23)</f>
        <v>0</v>
      </c>
      <c r="G24" s="39">
        <f t="shared" si="4"/>
        <v>521674.65</v>
      </c>
      <c r="H24" s="61">
        <f t="shared" si="4"/>
        <v>-7112356</v>
      </c>
      <c r="I24" s="39">
        <f t="shared" si="4"/>
        <v>-15619834</v>
      </c>
      <c r="J24" s="61">
        <f t="shared" si="4"/>
        <v>-289339</v>
      </c>
      <c r="K24" s="150">
        <f t="shared" si="4"/>
        <v>-754966</v>
      </c>
      <c r="L24" s="61">
        <f t="shared" si="4"/>
        <v>6499</v>
      </c>
      <c r="M24" s="39">
        <f t="shared" si="4"/>
        <v>-20718</v>
      </c>
      <c r="N24" s="61">
        <f t="shared" si="4"/>
        <v>-594580</v>
      </c>
      <c r="O24" s="39">
        <f t="shared" si="4"/>
        <v>-1436505</v>
      </c>
      <c r="P24" s="61">
        <f t="shared" si="4"/>
        <v>0</v>
      </c>
      <c r="Q24" s="39">
        <f t="shared" si="4"/>
        <v>6599</v>
      </c>
      <c r="R24" s="61">
        <f t="shared" si="4"/>
        <v>-361848</v>
      </c>
      <c r="S24" s="39">
        <f t="shared" si="4"/>
        <v>-847347</v>
      </c>
      <c r="T24" s="61">
        <f t="shared" si="4"/>
        <v>0</v>
      </c>
      <c r="U24" s="39">
        <f>SUM(U19:U23)</f>
        <v>0</v>
      </c>
      <c r="V24" s="61">
        <f t="shared" si="4"/>
        <v>888660</v>
      </c>
      <c r="W24" s="39">
        <f t="shared" ref="W24:AE24" si="5">SUM(W19:W23)</f>
        <v>2067288</v>
      </c>
      <c r="X24" s="61">
        <f t="shared" si="5"/>
        <v>-888660</v>
      </c>
      <c r="Y24" s="39">
        <f t="shared" si="5"/>
        <v>-2067288</v>
      </c>
      <c r="Z24" s="61">
        <f t="shared" si="5"/>
        <v>0</v>
      </c>
      <c r="AA24" s="39">
        <f t="shared" si="5"/>
        <v>0</v>
      </c>
      <c r="AB24" s="61">
        <f t="shared" si="5"/>
        <v>361848</v>
      </c>
      <c r="AC24" s="39">
        <f t="shared" si="5"/>
        <v>847347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129">
        <f>+Actuals!U294</f>
        <v>0</v>
      </c>
      <c r="Y27" s="130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129">
        <f>+Actuals!U295</f>
        <v>0</v>
      </c>
      <c r="Y28" s="130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</row>
    <row r="29" spans="1:3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V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 t="shared" ref="W29:AC29" si="7"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>SUM(AD27:AD28)</f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>
        <v>-2053685</v>
      </c>
      <c r="I32" s="38">
        <v>-4805623</v>
      </c>
      <c r="J32" s="60">
        <v>2053685</v>
      </c>
      <c r="K32" s="149">
        <v>4805623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129">
        <f>+Actuals!U296</f>
        <v>0</v>
      </c>
      <c r="Y32" s="130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129">
        <f>+Actuals!U297</f>
        <v>0</v>
      </c>
      <c r="Y33" s="130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129">
        <f>+Actuals!U298</f>
        <v>0</v>
      </c>
      <c r="Y34" s="130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218793</v>
      </c>
      <c r="E35" s="38">
        <f t="shared" si="8"/>
        <v>514317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/>
      <c r="M35" s="38"/>
      <c r="N35" s="60">
        <v>218793</v>
      </c>
      <c r="O35" s="38">
        <v>514317</v>
      </c>
      <c r="P35" s="60"/>
      <c r="Q35" s="38"/>
      <c r="R35" s="60"/>
      <c r="S35" s="38"/>
      <c r="T35" s="60"/>
      <c r="U35" s="38"/>
      <c r="V35" s="60"/>
      <c r="W35" s="38"/>
      <c r="X35" s="129">
        <f>+Actuals!U299</f>
        <v>0</v>
      </c>
      <c r="Y35" s="130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</row>
    <row r="36" spans="1:31" x14ac:dyDescent="0.2">
      <c r="A36" s="9"/>
      <c r="B36" s="7" t="s">
        <v>45</v>
      </c>
      <c r="C36" s="6"/>
      <c r="D36" s="61">
        <f>SUM(D32:D35)</f>
        <v>218793</v>
      </c>
      <c r="E36" s="39">
        <f>SUM(E32:E35)</f>
        <v>514317</v>
      </c>
      <c r="F36" s="61">
        <f t="shared" ref="F36:V36" si="9">SUM(F32:F35)</f>
        <v>0</v>
      </c>
      <c r="G36" s="39">
        <f t="shared" si="9"/>
        <v>0</v>
      </c>
      <c r="H36" s="61">
        <f t="shared" si="9"/>
        <v>-2053685</v>
      </c>
      <c r="I36" s="39">
        <f t="shared" si="9"/>
        <v>-4805623</v>
      </c>
      <c r="J36" s="61">
        <f t="shared" si="9"/>
        <v>2053685</v>
      </c>
      <c r="K36" s="150">
        <f t="shared" si="9"/>
        <v>4805623</v>
      </c>
      <c r="L36" s="61">
        <f t="shared" si="9"/>
        <v>0</v>
      </c>
      <c r="M36" s="39">
        <f t="shared" si="9"/>
        <v>0</v>
      </c>
      <c r="N36" s="61">
        <f t="shared" si="9"/>
        <v>218793</v>
      </c>
      <c r="O36" s="39">
        <f t="shared" si="9"/>
        <v>514317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 t="shared" ref="W36:AE36" si="10">SUM(W32:W35)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129">
        <f>+Actuals!U300</f>
        <v>0</v>
      </c>
      <c r="Y39" s="130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129">
        <f>+Actuals!U301</f>
        <v>0</v>
      </c>
      <c r="Y40" s="130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129">
        <f>+Actuals!U302</f>
        <v>0</v>
      </c>
      <c r="Y41" s="130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V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 t="shared" ref="W42:AE42" si="13"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V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 t="shared" ref="W43:AE43" si="15"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129">
        <f>+Actuals!U303</f>
        <v>0</v>
      </c>
      <c r="Y45" s="130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129">
        <f>+Actuals!U304</f>
        <v>0</v>
      </c>
      <c r="Y47" s="130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-1176825</v>
      </c>
      <c r="E49" s="38">
        <f>SUM(G49,I49,K49,M49,O49,Q49,S49,U49,W49,Y49,AA49,AC49,AE49)</f>
        <v>-2753771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-1436998</v>
      </c>
      <c r="K49" s="149">
        <v>-3362575</v>
      </c>
      <c r="L49" s="60">
        <v>-6499</v>
      </c>
      <c r="M49" s="38">
        <v>-15208</v>
      </c>
      <c r="N49" s="60">
        <v>352636</v>
      </c>
      <c r="O49" s="38">
        <v>825168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-85964</v>
      </c>
      <c r="W49" s="38">
        <v>-201156</v>
      </c>
      <c r="X49" s="129">
        <f>+Actuals!U305</f>
        <v>85964</v>
      </c>
      <c r="Y49" s="130">
        <f>+Actuals!V305</f>
        <v>201155.76</v>
      </c>
      <c r="Z49" s="60">
        <f>+Actuals!W305</f>
        <v>0</v>
      </c>
      <c r="AA49" s="38">
        <f>+Actuals!X305</f>
        <v>0</v>
      </c>
      <c r="AB49" s="60">
        <f>+Actuals!Y305</f>
        <v>-85964</v>
      </c>
      <c r="AC49" s="38">
        <f>+Actuals!Z305</f>
        <v>-201155.76</v>
      </c>
      <c r="AD49" s="60">
        <f>+Actuals!AA305</f>
        <v>0</v>
      </c>
      <c r="AE49" s="3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129">
        <f>+Actuals!U306</f>
        <v>0</v>
      </c>
      <c r="Y51" s="130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1261908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>
        <v>1261908</v>
      </c>
      <c r="R54" s="60"/>
      <c r="S54" s="38"/>
      <c r="T54" s="60"/>
      <c r="U54" s="38"/>
      <c r="V54" s="60"/>
      <c r="W54" s="38"/>
      <c r="X54" s="129">
        <f>+Actuals!U307</f>
        <v>0</v>
      </c>
      <c r="Y54" s="130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-1237958</v>
      </c>
      <c r="F55" s="81">
        <f>'TIE-OUT'!V55+RECLASS!V55</f>
        <v>0</v>
      </c>
      <c r="G55" s="82">
        <f>'TIE-OUT'!W55+RECLASS!W55</f>
        <v>-1237958</v>
      </c>
      <c r="H55" s="60"/>
      <c r="I55" s="38">
        <v>-620000</v>
      </c>
      <c r="J55" s="60"/>
      <c r="K55" s="149"/>
      <c r="L55" s="60"/>
      <c r="M55" s="38">
        <v>620000</v>
      </c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129">
        <f>+Actuals!U308</f>
        <v>0</v>
      </c>
      <c r="Y55" s="130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23950</v>
      </c>
      <c r="F56" s="61">
        <f t="shared" ref="F56:V56" si="16">SUM(F54:F55)</f>
        <v>0</v>
      </c>
      <c r="G56" s="39">
        <f t="shared" si="16"/>
        <v>-1237958</v>
      </c>
      <c r="H56" s="61">
        <f t="shared" si="16"/>
        <v>0</v>
      </c>
      <c r="I56" s="39">
        <f t="shared" si="16"/>
        <v>-620000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620000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1261908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 t="shared" ref="W56:AC56" si="17"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>SUM(AD54:AD55)</f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129">
        <f>+Actuals!U309</f>
        <v>0</v>
      </c>
      <c r="Y59" s="130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129">
        <f>+Actuals!U310</f>
        <v>0</v>
      </c>
      <c r="Y60" s="130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V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 t="shared" ref="W61:AC61" si="19"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>SUM(AD59:AD60)</f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129">
        <f>+Actuals!U311</f>
        <v>0</v>
      </c>
      <c r="Y64" s="130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129">
        <f>+Actuals!U312</f>
        <v>0</v>
      </c>
      <c r="Y65" s="130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</row>
    <row r="66" spans="1:31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V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 t="shared" ref="W66:AC66" si="21"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>SUM(AD64:AD65)</f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-276473.63</v>
      </c>
      <c r="F70" s="64">
        <f>'TIE-OUT'!V70+RECLASS!V70</f>
        <v>0</v>
      </c>
      <c r="G70" s="68">
        <f>'TIE-OUT'!W70+RECLASS!W70</f>
        <v>-808256.63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129">
        <f>+Actuals!U313</f>
        <v>0</v>
      </c>
      <c r="Y70" s="130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162">
        <v>531783</v>
      </c>
      <c r="AD70" s="60">
        <f>+Actuals!AA313</f>
        <v>0</v>
      </c>
      <c r="AE70" s="38"/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420951</v>
      </c>
      <c r="F71" s="81">
        <f>'TIE-OUT'!V71+RECLASS!V71</f>
        <v>0</v>
      </c>
      <c r="G71" s="82">
        <f>'TIE-OUT'!W71+RECLASS!W71</f>
        <v>420951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129">
        <f>+Actuals!U314</f>
        <v>0</v>
      </c>
      <c r="Y71" s="130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144477.37</v>
      </c>
      <c r="F72" s="61">
        <f t="shared" ref="F72:V72" si="22">SUM(F70:F71)</f>
        <v>0</v>
      </c>
      <c r="G72" s="39">
        <f t="shared" si="22"/>
        <v>-387305.63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 t="shared" ref="W72:AE72" si="23"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531783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129">
        <f>+Actuals!U315</f>
        <v>0</v>
      </c>
      <c r="Y73" s="130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-412865.52</v>
      </c>
      <c r="F74" s="60">
        <f>'TIE-OUT'!V74+RECLASS!V74</f>
        <v>0</v>
      </c>
      <c r="G74" s="60">
        <f>'TIE-OUT'!W74+RECLASS!W74</f>
        <v>-412865.52</v>
      </c>
      <c r="H74" s="60"/>
      <c r="I74" s="38"/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129">
        <f>+Actuals!U316</f>
        <v>0</v>
      </c>
      <c r="Y74" s="130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129">
        <f>+Actuals!U317</f>
        <v>0</v>
      </c>
      <c r="Y75" s="130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/>
      <c r="P76" s="60"/>
      <c r="Q76" s="38">
        <v>0</v>
      </c>
      <c r="R76" s="60"/>
      <c r="S76" s="38"/>
      <c r="T76" s="60"/>
      <c r="U76" s="38"/>
      <c r="V76" s="60"/>
      <c r="W76" s="38"/>
      <c r="X76" s="129">
        <f>+Actuals!U318</f>
        <v>0</v>
      </c>
      <c r="Y76" s="130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129">
        <f>+Actuals!U319</f>
        <v>0</v>
      </c>
      <c r="Y77" s="130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129">
        <f>+Actuals!U320</f>
        <v>0</v>
      </c>
      <c r="Y78" s="130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129">
        <f>+Actuals!U321</f>
        <v>0</v>
      </c>
      <c r="Y79" s="130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129">
        <f>+Actuals!U322</f>
        <v>0</v>
      </c>
      <c r="Y80" s="130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129">
        <f>+Actuals!U323</f>
        <v>0</v>
      </c>
      <c r="Y81" s="130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-118942.58999999985</v>
      </c>
      <c r="F82" s="92">
        <f>F16+F24+F29+F36+F43+F45+F47+F49</f>
        <v>0</v>
      </c>
      <c r="G82" s="93">
        <f>SUM(G72:G81)+G16+G24+G29+G36+G43+G45+G47+G49+G51+G56+G61+G66</f>
        <v>-1935342.5899999999</v>
      </c>
      <c r="H82" s="92">
        <f>H16+H24+H29+H36+H43+H45+H47+H49</f>
        <v>0</v>
      </c>
      <c r="I82" s="93">
        <f>SUM(I72:I81)+I16+I24+I29+I36+I43+I45+I47+I49+I51+I56+I61+I66</f>
        <v>-423520</v>
      </c>
      <c r="J82" s="92">
        <f>J16+J24+J29+J36+J43+J45+J47+J49</f>
        <v>0</v>
      </c>
      <c r="K82" s="166">
        <f>SUM(K72:K81)+K16+K24+K29+K36+K43+K45+K47+K49+K51+K56+K61+K66</f>
        <v>-65488</v>
      </c>
      <c r="L82" s="92">
        <f>L16+L24+L29+L36+L43+L45+L47+L49</f>
        <v>0</v>
      </c>
      <c r="M82" s="93">
        <f>SUM(M72:M81)+M16+M24+M29+M36+M43+M45+M47+M49+M51+M56+M61+M66</f>
        <v>584074</v>
      </c>
      <c r="N82" s="92">
        <f>N16+N24+N29+N36+N43+N45+N47+N49</f>
        <v>0</v>
      </c>
      <c r="O82" s="93">
        <f>SUM(O72:O81)+O16+O24+O29+O36+O43+O45+O47+O49+O51+O56+O61+O66</f>
        <v>-45161</v>
      </c>
      <c r="P82" s="92">
        <f>P16+P24+P29+P36+P43+P45+P47+P49</f>
        <v>0</v>
      </c>
      <c r="Q82" s="93">
        <f>SUM(Q72:Q81)+Q16+Q24+Q29+Q36+Q43+Q45+Q47+Q49+Q51+Q56+Q61+Q66</f>
        <v>1268507</v>
      </c>
      <c r="R82" s="92">
        <f>R16+R24+R29+R36+R43+R45+R47+R49</f>
        <v>0</v>
      </c>
      <c r="S82" s="93">
        <f>SUM(S72:S81)+S16+S24+S29+S36+S43+S45+S47+S49+S51+S56+S61+S66</f>
        <v>-21000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-12795</v>
      </c>
      <c r="X82" s="92">
        <f>X16+X24+X29+X36+X43+X45+X47+X49</f>
        <v>0</v>
      </c>
      <c r="Y82" s="93">
        <f>SUM(Y72:Y81)+Y16+Y24+Y29+Y36+Y43+Y45+Y47+Y49+Y51+Y56+Y61+Y66</f>
        <v>12794.760000000009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518988.24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609448</v>
      </c>
      <c r="F86" s="175">
        <f>'TIE-OUT'!V86+RECLASS!V86</f>
        <v>0</v>
      </c>
      <c r="G86" s="175">
        <f>'TIE-OUT'!W86+RECLASS!W86</f>
        <v>477009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132439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'TIE-OUT'!V87+RECLASS!V87</f>
        <v>0</v>
      </c>
      <c r="G87" s="176">
        <f>'TIE-OUT'!W87+RECLASS!W87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-15648</v>
      </c>
      <c r="F88" s="177">
        <f>'TIE-OUT'!V88+RECLASS!V88</f>
        <v>0</v>
      </c>
      <c r="G88" s="177">
        <f>'TIE-OUT'!W88+RECLASS!W88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-15648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593800</v>
      </c>
      <c r="F89" s="185">
        <f t="shared" si="26"/>
        <v>0</v>
      </c>
      <c r="G89" s="185">
        <f t="shared" si="26"/>
        <v>477009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116791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474857.41000000015</v>
      </c>
      <c r="F91" s="185">
        <f t="shared" si="28"/>
        <v>0</v>
      </c>
      <c r="G91" s="185">
        <f t="shared" si="28"/>
        <v>-1458333.5899999999</v>
      </c>
      <c r="H91" s="185">
        <f t="shared" si="28"/>
        <v>0</v>
      </c>
      <c r="I91" s="185">
        <f t="shared" si="28"/>
        <v>-423520</v>
      </c>
      <c r="J91" s="185">
        <f t="shared" si="28"/>
        <v>0</v>
      </c>
      <c r="K91" s="185">
        <f t="shared" si="28"/>
        <v>-65488</v>
      </c>
      <c r="L91" s="185">
        <f t="shared" si="28"/>
        <v>0</v>
      </c>
      <c r="M91" s="185">
        <f t="shared" si="28"/>
        <v>584074</v>
      </c>
      <c r="N91" s="185">
        <f t="shared" ref="N91:AE91" si="29">+N82+N89</f>
        <v>0</v>
      </c>
      <c r="O91" s="185">
        <f t="shared" si="29"/>
        <v>-45161</v>
      </c>
      <c r="P91" s="185">
        <f t="shared" si="29"/>
        <v>0</v>
      </c>
      <c r="Q91" s="185">
        <f t="shared" si="29"/>
        <v>1385298</v>
      </c>
      <c r="R91" s="185">
        <f t="shared" si="29"/>
        <v>0</v>
      </c>
      <c r="S91" s="185">
        <f t="shared" si="29"/>
        <v>-21000</v>
      </c>
      <c r="T91" s="185">
        <f t="shared" si="29"/>
        <v>0</v>
      </c>
      <c r="U91" s="185">
        <f t="shared" si="29"/>
        <v>0</v>
      </c>
      <c r="V91" s="185">
        <f t="shared" si="29"/>
        <v>0</v>
      </c>
      <c r="W91" s="185">
        <f t="shared" si="29"/>
        <v>-12795</v>
      </c>
      <c r="X91" s="185">
        <f t="shared" si="29"/>
        <v>0</v>
      </c>
      <c r="Y91" s="185">
        <f t="shared" si="29"/>
        <v>12794.760000000009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518988.24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H73" sqref="H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219323483</v>
      </c>
      <c r="E11" s="65">
        <f>STG_VAR!E11+ONT_VAR!E11+'CE-VAR'!E11+'EAST-EGM-VAR'!E11+'BGC-EGM-VAR'!E11+'EAST-LRC-VAR'!E11+'TX-EGM-VAR'!E11+'TX-HPL-VAR '!E11+'WE-VAR'!E11+BUG_VAR!E11</f>
        <v>504099644</v>
      </c>
      <c r="F11" s="65">
        <f>STG_VAR!F11+ONT_VAR!F11+'CE-VAR'!F11+'EAST-EGM-VAR'!F11+'BGC-EGM-VAR'!F11+'EAST-LRC-VAR'!F11+'TX-EGM-VAR'!F11+'TX-HPL-VAR '!F11+'WE-VAR'!F11+BUG_VAR!F11</f>
        <v>238210796</v>
      </c>
      <c r="G11" s="65">
        <f>STG_VAR!G11+ONT_VAR!G11+'CE-VAR'!G11+'EAST-EGM-VAR'!G11+'BGC-EGM-VAR'!G11+'EAST-LRC-VAR'!G11+'TX-EGM-VAR'!G11+'TX-HPL-VAR '!G11+'WE-VAR'!G11+BUG_VAR!G11</f>
        <v>568562723.11000001</v>
      </c>
      <c r="H11" s="60">
        <f>F11-D11</f>
        <v>18887313</v>
      </c>
      <c r="I11" s="38">
        <f>G11-E11</f>
        <v>64463079.110000014</v>
      </c>
    </row>
    <row r="12" spans="1:22" x14ac:dyDescent="0.2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-8436060.6400000006</v>
      </c>
      <c r="H12" s="60">
        <f>F12-D12</f>
        <v>0</v>
      </c>
      <c r="I12" s="38">
        <f>G12-E12</f>
        <v>-8436060.6400000006</v>
      </c>
    </row>
    <row r="13" spans="1:22" x14ac:dyDescent="0.2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141685525</v>
      </c>
      <c r="E13" s="65">
        <f>STG_VAR!E13+ONT_VAR!E13+'CE-VAR'!E13+'EAST-EGM-VAR'!E13+'BGC-EGM-VAR'!E13+'EAST-LRC-VAR'!E13+'TX-EGM-VAR'!E13+'TX-HPL-VAR '!E13+'WE-VAR'!E13+BUG_VAR!E13</f>
        <v>322647436</v>
      </c>
      <c r="F13" s="65">
        <f>STG_VAR!F13+ONT_VAR!F13+'CE-VAR'!F13+'EAST-EGM-VAR'!F13+'BGC-EGM-VAR'!F13+'EAST-LRC-VAR'!F13+'TX-EGM-VAR'!F13+'TX-HPL-VAR '!F13+'WE-VAR'!F13+BUG_VAR!F13</f>
        <v>147258360</v>
      </c>
      <c r="G13" s="65">
        <f>STG_VAR!G13+ONT_VAR!G13+'CE-VAR'!G13+'EAST-EGM-VAR'!G13+'BGC-EGM-VAR'!G13+'EAST-LRC-VAR'!G13+'TX-EGM-VAR'!G13+'TX-HPL-VAR '!G13+'WE-VAR'!G13+BUG_VAR!G13</f>
        <v>317227368</v>
      </c>
      <c r="H13" s="60">
        <f t="shared" ref="H13:I15" si="0">F13-D13</f>
        <v>5572835</v>
      </c>
      <c r="I13" s="38">
        <f t="shared" si="0"/>
        <v>-5420068</v>
      </c>
    </row>
    <row r="14" spans="1:22" x14ac:dyDescent="0.2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24768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361009008</v>
      </c>
      <c r="E16" s="39">
        <f t="shared" si="1"/>
        <v>826771848</v>
      </c>
      <c r="F16" s="61">
        <f t="shared" si="1"/>
        <v>385469156</v>
      </c>
      <c r="G16" s="39">
        <f t="shared" si="1"/>
        <v>876110255.73000002</v>
      </c>
      <c r="H16" s="61">
        <f t="shared" si="1"/>
        <v>24460148</v>
      </c>
      <c r="I16" s="39">
        <f t="shared" si="1"/>
        <v>49338407.730000012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-229891471</v>
      </c>
      <c r="E19" s="65">
        <f>STG_VAR!E19+ONT_VAR!E19+'CE-VAR'!E19+'EAST-EGM-VAR'!E19+'BGC-EGM-VAR'!E19+'EAST-LRC-VAR'!E19+'TX-EGM-VAR'!E19+'TX-HPL-VAR '!E19+'WE-VAR'!E19+BUG_VAR!E19</f>
        <v>-521791328</v>
      </c>
      <c r="F19" s="65">
        <f>STG_VAR!F19+ONT_VAR!F19+'CE-VAR'!F19+'EAST-EGM-VAR'!F19+'BGC-EGM-VAR'!F19+'EAST-LRC-VAR'!F19+'TX-EGM-VAR'!F19+'TX-HPL-VAR '!F19+'WE-VAR'!F19+BUG_VAR!F19</f>
        <v>-230335127</v>
      </c>
      <c r="G19" s="65">
        <f>STG_VAR!G19+ONT_VAR!G19+'CE-VAR'!G19+'EAST-EGM-VAR'!G19+'BGC-EGM-VAR'!G19+'EAST-LRC-VAR'!G19+'TX-EGM-VAR'!G19+'TX-HPL-VAR '!G19+'WE-VAR'!G19+BUG_VAR!G19</f>
        <v>-514601052.06</v>
      </c>
      <c r="H19" s="60">
        <f>F19-D19</f>
        <v>-443656</v>
      </c>
      <c r="I19" s="38">
        <f>G19-E19</f>
        <v>7190275.9399999976</v>
      </c>
    </row>
    <row r="20" spans="1:9" x14ac:dyDescent="0.2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-4628003.6800000006</v>
      </c>
      <c r="H20" s="60">
        <f>F20-D20</f>
        <v>0</v>
      </c>
      <c r="I20" s="38">
        <f>G20-E20</f>
        <v>-4628003.6800000006</v>
      </c>
    </row>
    <row r="21" spans="1:9" x14ac:dyDescent="0.2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-148827028</v>
      </c>
      <c r="E21" s="65">
        <f>STG_VAR!E21+ONT_VAR!E21+'CE-VAR'!E21+'EAST-EGM-VAR'!E21+'BGC-EGM-VAR'!E21+'EAST-LRC-VAR'!E21+'TX-EGM-VAR'!E21+'TX-HPL-VAR '!E21+'WE-VAR'!E21+BUG_VAR!E21</f>
        <v>-338409129</v>
      </c>
      <c r="F21" s="65">
        <f>STG_VAR!F21+ONT_VAR!F21+'CE-VAR'!F21+'EAST-EGM-VAR'!F21+'BGC-EGM-VAR'!F21+'EAST-LRC-VAR'!F21+'TX-EGM-VAR'!F21+'TX-HPL-VAR '!F21+'WE-VAR'!F21+BUG_VAR!F21</f>
        <v>-147258360</v>
      </c>
      <c r="G21" s="65">
        <f>STG_VAR!G21+ONT_VAR!G21+'CE-VAR'!G21+'EAST-EGM-VAR'!G21+'BGC-EGM-VAR'!G21+'EAST-LRC-VAR'!G21+'TX-EGM-VAR'!G21+'TX-HPL-VAR '!G21+'WE-VAR'!G21+BUG_VAR!G21</f>
        <v>-334152737</v>
      </c>
      <c r="H21" s="60">
        <f t="shared" ref="H21:I23" si="2">F21-D21</f>
        <v>1568668</v>
      </c>
      <c r="I21" s="38">
        <f t="shared" si="2"/>
        <v>4256392</v>
      </c>
    </row>
    <row r="22" spans="1:9" x14ac:dyDescent="0.2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1504160</v>
      </c>
      <c r="E23" s="65">
        <f>STG_VAR!E23+ONT_VAR!E23+'CE-VAR'!E23+'EAST-EGM-VAR'!E23+'BGC-EGM-VAR'!E23+'EAST-LRC-VAR'!E23+'TX-EGM-VAR'!E23+'TX-HPL-VAR '!E23+'WE-VAR'!E23+BUG_VAR!E23</f>
        <v>3300458</v>
      </c>
      <c r="F23" s="65">
        <f>STG_VAR!F23+ONT_VAR!F23+'CE-VAR'!F23+'EAST-EGM-VAR'!F23+'BGC-EGM-VAR'!F23+'EAST-LRC-VAR'!F23+'TX-EGM-VAR'!F23+'TX-HPL-VAR '!F23+'WE-VAR'!F23+BUG_VAR!F23</f>
        <v>1189122</v>
      </c>
      <c r="G23" s="65">
        <f>STG_VAR!G23+ONT_VAR!G23+'CE-VAR'!G23+'EAST-EGM-VAR'!G23+'BGC-EGM-VAR'!G23+'EAST-LRC-VAR'!G23+'TX-EGM-VAR'!G23+'TX-HPL-VAR '!G23+'WE-VAR'!G23+BUG_VAR!G23</f>
        <v>2669468.0959999999</v>
      </c>
      <c r="H23" s="60">
        <f t="shared" si="2"/>
        <v>-315038</v>
      </c>
      <c r="I23" s="38">
        <f t="shared" si="2"/>
        <v>-630989.9040000001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-377214339</v>
      </c>
      <c r="E24" s="39">
        <f t="shared" si="3"/>
        <v>-856899999</v>
      </c>
      <c r="F24" s="61">
        <f t="shared" si="3"/>
        <v>-376404365</v>
      </c>
      <c r="G24" s="39">
        <f t="shared" si="3"/>
        <v>-850712324.64400005</v>
      </c>
      <c r="H24" s="61">
        <f t="shared" si="3"/>
        <v>809974</v>
      </c>
      <c r="I24" s="39">
        <f t="shared" si="3"/>
        <v>6187674.3559999969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32997274</v>
      </c>
      <c r="E27" s="65">
        <f>STG_VAR!E27+ONT_VAR!E27+'CE-VAR'!E27+'EAST-EGM-VAR'!E27+'BGC-EGM-VAR'!E27+'EAST-LRC-VAR'!E27+'TX-EGM-VAR'!E27+'TX-HPL-VAR '!E27+'WE-VAR'!E27+BUG_VAR!E27</f>
        <v>74244674.739999995</v>
      </c>
      <c r="F27" s="65">
        <f>STG_VAR!F27+ONT_VAR!F27+'CE-VAR'!F27+'EAST-EGM-VAR'!F27+'BGC-EGM-VAR'!F27+'EAST-LRC-VAR'!F27+'TX-EGM-VAR'!F27+'TX-HPL-VAR '!F27+'WE-VAR'!F27+BUG_VAR!F27</f>
        <v>3587718</v>
      </c>
      <c r="G27" s="65">
        <f>STG_VAR!G27+ONT_VAR!G27+'CE-VAR'!G27+'EAST-EGM-VAR'!G27+'BGC-EGM-VAR'!G27+'EAST-LRC-VAR'!G27+'TX-EGM-VAR'!G27+'TX-HPL-VAR '!G27+'WE-VAR'!G27+BUG_VAR!G27</f>
        <v>8114190.9182000011</v>
      </c>
      <c r="H27" s="60">
        <f>F27-D27</f>
        <v>-29409556</v>
      </c>
      <c r="I27" s="38">
        <f>G27-E27</f>
        <v>-66130483.821799994</v>
      </c>
    </row>
    <row r="28" spans="1:9" x14ac:dyDescent="0.2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-33022074</v>
      </c>
      <c r="E28" s="65">
        <f>STG_VAR!E28+ONT_VAR!E28+'CE-VAR'!E28+'EAST-EGM-VAR'!E28+'BGC-EGM-VAR'!E28+'EAST-LRC-VAR'!E28+'TX-EGM-VAR'!E28+'TX-HPL-VAR '!E28+'WE-VAR'!E28+BUG_VAR!E28</f>
        <v>-74302953</v>
      </c>
      <c r="F28" s="65">
        <f>STG_VAR!F28+ONT_VAR!F28+'CE-VAR'!F28+'EAST-EGM-VAR'!F28+'BGC-EGM-VAR'!F28+'EAST-LRC-VAR'!F28+'TX-EGM-VAR'!F28+'TX-HPL-VAR '!F28+'WE-VAR'!F28+BUG_VAR!F28</f>
        <v>-29730644</v>
      </c>
      <c r="G28" s="65">
        <f>STG_VAR!G28+ONT_VAR!G28+'CE-VAR'!G28+'EAST-EGM-VAR'!G28+'BGC-EGM-VAR'!G28+'EAST-LRC-VAR'!G28+'TX-EGM-VAR'!G28+'TX-HPL-VAR '!G28+'WE-VAR'!G28+BUG_VAR!G28</f>
        <v>-68362266.040000007</v>
      </c>
      <c r="H28" s="60">
        <f>F28-D28</f>
        <v>3291430</v>
      </c>
      <c r="I28" s="38">
        <f>G28-E28</f>
        <v>5940686.9599999934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-26142926</v>
      </c>
      <c r="G29" s="70">
        <f t="shared" si="4"/>
        <v>-60248075.121800005</v>
      </c>
      <c r="H29" s="69">
        <f t="shared" si="4"/>
        <v>-26118126</v>
      </c>
      <c r="I29" s="70">
        <f t="shared" si="4"/>
        <v>-60189796.8618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3209295</v>
      </c>
      <c r="E32" s="65">
        <f>STG_VAR!E32+ONT_VAR!E32+'CE-VAR'!E32+'EAST-EGM-VAR'!E32+'BGC-EGM-VAR'!E32+'EAST-LRC-VAR'!E32+'TX-EGM-VAR'!E32+'TX-HPL-VAR '!E32+'WE-VAR'!E32+BUG_VAR!E32</f>
        <v>7434635</v>
      </c>
      <c r="F32" s="65">
        <f>STG_VAR!F32+ONT_VAR!F32+'CE-VAR'!F32+'EAST-EGM-VAR'!F32+'BGC-EGM-VAR'!F32+'EAST-LRC-VAR'!F32+'TX-EGM-VAR'!F32+'TX-HPL-VAR '!F32+'WE-VAR'!F32+BUG_VAR!F32</f>
        <v>-127676</v>
      </c>
      <c r="G32" s="65">
        <f>STG_VAR!G32+ONT_VAR!G32+'CE-VAR'!G32+'EAST-EGM-VAR'!G32+'BGC-EGM-VAR'!G32+'EAST-LRC-VAR'!G32+'TX-EGM-VAR'!G32+'TX-HPL-VAR '!G32+'WE-VAR'!G32+BUG_VAR!G32</f>
        <v>-245580.38499999986</v>
      </c>
      <c r="H32" s="60">
        <f>F32-D32</f>
        <v>-3336971</v>
      </c>
      <c r="I32" s="38">
        <f>G32-E32</f>
        <v>-7680215.3849999998</v>
      </c>
    </row>
    <row r="33" spans="1:9" x14ac:dyDescent="0.2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-2180517</v>
      </c>
      <c r="E33" s="65">
        <f>STG_VAR!E33+ONT_VAR!E33+'CE-VAR'!E33+'EAST-EGM-VAR'!E33+'BGC-EGM-VAR'!E33+'EAST-LRC-VAR'!E33+'TX-EGM-VAR'!E33+'TX-HPL-VAR '!E33+'WE-VAR'!E33+BUG_VAR!E33</f>
        <v>-5067091.7254931815</v>
      </c>
      <c r="F33" s="65">
        <f>STG_VAR!F33+ONT_VAR!F33+'CE-VAR'!F33+'EAST-EGM-VAR'!F33+'BGC-EGM-VAR'!F33+'EAST-LRC-VAR'!F33+'TX-EGM-VAR'!F33+'TX-HPL-VAR '!F33+'WE-VAR'!F33+BUG_VAR!F33</f>
        <v>-226224</v>
      </c>
      <c r="G33" s="65">
        <f>STG_VAR!G33+ONT_VAR!G33+'CE-VAR'!G33+'EAST-EGM-VAR'!G33+'BGC-EGM-VAR'!G33+'EAST-LRC-VAR'!G33+'TX-EGM-VAR'!G33+'TX-HPL-VAR '!G33+'WE-VAR'!G33+BUG_VAR!G33</f>
        <v>-526048.57000000007</v>
      </c>
      <c r="H33" s="60">
        <f t="shared" ref="H33:I35" si="5">F33-D33</f>
        <v>1954293</v>
      </c>
      <c r="I33" s="38">
        <f t="shared" si="5"/>
        <v>4541043.1554931812</v>
      </c>
    </row>
    <row r="34" spans="1:9" x14ac:dyDescent="0.2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562702</v>
      </c>
      <c r="E34" s="65">
        <f>STG_VAR!E34+ONT_VAR!E34+'CE-VAR'!E34+'EAST-EGM-VAR'!E34+'BGC-EGM-VAR'!E34+'EAST-LRC-VAR'!E34+'TX-EGM-VAR'!E34+'TX-HPL-VAR '!E34+'WE-VAR'!E34+BUG_VAR!E34</f>
        <v>1277234</v>
      </c>
      <c r="F34" s="65">
        <f>STG_VAR!F34+ONT_VAR!F34+'CE-VAR'!F34+'EAST-EGM-VAR'!F34+'BGC-EGM-VAR'!F34+'EAST-LRC-VAR'!F34+'TX-EGM-VAR'!F34+'TX-HPL-VAR '!F34+'WE-VAR'!F34+BUG_VAR!F34</f>
        <v>189552</v>
      </c>
      <c r="G34" s="65">
        <f>STG_VAR!G34+ONT_VAR!G34+'CE-VAR'!G34+'EAST-EGM-VAR'!G34+'BGC-EGM-VAR'!G34+'EAST-LRC-VAR'!G34+'TX-EGM-VAR'!G34+'TX-HPL-VAR '!G34+'WE-VAR'!G34+BUG_VAR!G34</f>
        <v>412300.49</v>
      </c>
      <c r="H34" s="60">
        <f t="shared" si="5"/>
        <v>-373150</v>
      </c>
      <c r="I34" s="38">
        <f t="shared" si="5"/>
        <v>-864933.51</v>
      </c>
    </row>
    <row r="35" spans="1:9" x14ac:dyDescent="0.2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-346452</v>
      </c>
      <c r="E35" s="65">
        <f>STG_VAR!E35+ONT_VAR!E35+'CE-VAR'!E35+'EAST-EGM-VAR'!E35+'BGC-EGM-VAR'!E35+'EAST-LRC-VAR'!E35+'TX-EGM-VAR'!E35+'TX-HPL-VAR '!E35+'WE-VAR'!E35+BUG_VAR!E35</f>
        <v>-778472</v>
      </c>
      <c r="F35" s="65">
        <f>STG_VAR!F35+ONT_VAR!F35+'CE-VAR'!F35+'EAST-EGM-VAR'!F35+'BGC-EGM-VAR'!F35+'EAST-LRC-VAR'!F35+'TX-EGM-VAR'!F35+'TX-HPL-VAR '!F35+'WE-VAR'!F35+BUG_VAR!F35</f>
        <v>1318810</v>
      </c>
      <c r="G35" s="65">
        <f>STG_VAR!G35+ONT_VAR!G35+'CE-VAR'!G35+'EAST-EGM-VAR'!G35+'BGC-EGM-VAR'!G35+'EAST-LRC-VAR'!G35+'TX-EGM-VAR'!G35+'TX-HPL-VAR '!G35+'WE-VAR'!G35+BUG_VAR!G35</f>
        <v>2393637.9900000002</v>
      </c>
      <c r="H35" s="60">
        <f t="shared" si="5"/>
        <v>1665262</v>
      </c>
      <c r="I35" s="38">
        <f t="shared" si="5"/>
        <v>3172109.99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1245028</v>
      </c>
      <c r="E36" s="39">
        <f t="shared" si="6"/>
        <v>2866305.2745068185</v>
      </c>
      <c r="F36" s="61">
        <f t="shared" si="6"/>
        <v>1154462</v>
      </c>
      <c r="G36" s="39">
        <f t="shared" si="6"/>
        <v>2034309.5250000004</v>
      </c>
      <c r="H36" s="61">
        <f t="shared" si="6"/>
        <v>-90566</v>
      </c>
      <c r="I36" s="39">
        <f t="shared" si="6"/>
        <v>-831995.74950681813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15902502</v>
      </c>
      <c r="E39" s="65">
        <f>STG_VAR!E39+ONT_VAR!E39+'CE-VAR'!E39+'EAST-EGM-VAR'!E39+'BGC-EGM-VAR'!E39+'EAST-LRC-VAR'!E39+'TX-EGM-VAR'!E39+'TX-HPL-VAR '!E39+'WE-VAR'!E39+BUG_VAR!E39</f>
        <v>38330046</v>
      </c>
      <c r="F39" s="65">
        <f>STG_VAR!F39+ONT_VAR!F39+'CE-VAR'!F39+'EAST-EGM-VAR'!F39+'BGC-EGM-VAR'!F39+'EAST-LRC-VAR'!F39+'TX-EGM-VAR'!F39+'TX-HPL-VAR '!F39+'WE-VAR'!F39+BUG_VAR!F39</f>
        <v>16572594</v>
      </c>
      <c r="G39" s="65">
        <f>STG_VAR!G39+ONT_VAR!G39+'CE-VAR'!G39+'EAST-EGM-VAR'!G39+'BGC-EGM-VAR'!G39+'EAST-LRC-VAR'!G39+'TX-EGM-VAR'!G39+'TX-HPL-VAR '!G39+'WE-VAR'!G39+BUG_VAR!G39</f>
        <v>40742000.82</v>
      </c>
      <c r="H39" s="60">
        <f t="shared" ref="H39:I41" si="7">F39-D39</f>
        <v>670092</v>
      </c>
      <c r="I39" s="38">
        <f t="shared" si="7"/>
        <v>2411954.8200000003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-1099914</v>
      </c>
      <c r="E40" s="65">
        <f>STG_VAR!E40+ONT_VAR!E40+'CE-VAR'!E40+'EAST-EGM-VAR'!E40+'BGC-EGM-VAR'!E40+'EAST-LRC-VAR'!E40+'TX-EGM-VAR'!E40+'TX-HPL-VAR '!E40+'WE-VAR'!E40+BUG_VAR!E40</f>
        <v>-2446201</v>
      </c>
      <c r="F40" s="65">
        <f>STG_VAR!F40+ONT_VAR!F40+'CE-VAR'!F40+'EAST-EGM-VAR'!F40+'BGC-EGM-VAR'!F40+'EAST-LRC-VAR'!F40+'TX-EGM-VAR'!F40+'TX-HPL-VAR '!F40+'WE-VAR'!F40+BUG_VAR!F40</f>
        <v>-596053</v>
      </c>
      <c r="G40" s="65">
        <f>STG_VAR!G40+ONT_VAR!G40+'CE-VAR'!G40+'EAST-EGM-VAR'!G40+'BGC-EGM-VAR'!G40+'EAST-LRC-VAR'!G40+'TX-EGM-VAR'!G40+'TX-HPL-VAR '!G40+'WE-VAR'!G40+BUG_VAR!G40</f>
        <v>-1400725.4700000002</v>
      </c>
      <c r="H40" s="60">
        <f t="shared" si="7"/>
        <v>503861</v>
      </c>
      <c r="I40" s="38">
        <f t="shared" si="7"/>
        <v>1045475.5299999998</v>
      </c>
    </row>
    <row r="41" spans="1:9" x14ac:dyDescent="0.2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252630</v>
      </c>
      <c r="H41" s="60">
        <f t="shared" si="7"/>
        <v>0</v>
      </c>
      <c r="I41" s="38">
        <f t="shared" si="7"/>
        <v>252630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-1099914</v>
      </c>
      <c r="E42" s="70">
        <f t="shared" si="8"/>
        <v>-2446201</v>
      </c>
      <c r="F42" s="69">
        <f t="shared" si="8"/>
        <v>-596053</v>
      </c>
      <c r="G42" s="70">
        <f t="shared" si="8"/>
        <v>-1148095.4700000002</v>
      </c>
      <c r="H42" s="69">
        <f t="shared" si="8"/>
        <v>503861</v>
      </c>
      <c r="I42" s="70">
        <f t="shared" si="8"/>
        <v>1298105.5299999998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14802588</v>
      </c>
      <c r="E43" s="39">
        <f t="shared" si="9"/>
        <v>35883845</v>
      </c>
      <c r="F43" s="61">
        <f t="shared" si="9"/>
        <v>15976541</v>
      </c>
      <c r="G43" s="39">
        <f t="shared" si="9"/>
        <v>39593905.350000001</v>
      </c>
      <c r="H43" s="61">
        <f t="shared" si="9"/>
        <v>1173953</v>
      </c>
      <c r="I43" s="39">
        <f t="shared" si="9"/>
        <v>3710060.35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20900</v>
      </c>
      <c r="G45" s="65">
        <f>STG_VAR!G45+ONT_VAR!G45+'CE-VAR'!G45+'EAST-EGM-VAR'!G45+'BGC-EGM-VAR'!G45+'EAST-LRC-VAR'!G45+'TX-EGM-VAR'!G45+'TX-HPL-VAR '!G45+'WE-VAR'!G45+BUG_VAR!G45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182515</v>
      </c>
      <c r="E49" s="65">
        <f>STG_VAR!E49+ONT_VAR!E49+'CE-VAR'!E49+'EAST-EGM-VAR'!E49+'BGC-EGM-VAR'!E49+'EAST-LRC-VAR'!E49+'TX-EGM-VAR'!E49+'TX-HPL-VAR '!E49+'WE-VAR'!E49+BUG_VAR!E49</f>
        <v>413524.96555999992</v>
      </c>
      <c r="F49" s="65">
        <f>STG_VAR!F49+ONT_VAR!F49+'CE-VAR'!F49+'EAST-EGM-VAR'!F49+'BGC-EGM-VAR'!F49+'EAST-LRC-VAR'!F49+'TX-EGM-VAR'!F49+'TX-HPL-VAR '!F49+'WE-VAR'!F49+BUG_VAR!F49</f>
        <v>-81946</v>
      </c>
      <c r="G49" s="65">
        <f>STG_VAR!G49+ONT_VAR!G49+'CE-VAR'!G49+'EAST-EGM-VAR'!G49+'BGC-EGM-VAR'!G49+'EAST-LRC-VAR'!G49+'TX-EGM-VAR'!G49+'TX-HPL-VAR '!G49+'WE-VAR'!G49+BUG_VAR!G49</f>
        <v>-282766.57799999998</v>
      </c>
      <c r="H49" s="60">
        <f>F49-D49</f>
        <v>-264461</v>
      </c>
      <c r="I49" s="38">
        <f>G49-E49</f>
        <v>-696291.5435599999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-1504160</v>
      </c>
      <c r="E51" s="65">
        <f>STG_VAR!E51+ONT_VAR!E51+'CE-VAR'!E51+'EAST-EGM-VAR'!E51+'BGC-EGM-VAR'!E51+'EAST-LRC-VAR'!E51+'TX-EGM-VAR'!E51+'TX-HPL-VAR '!E51+'WE-VAR'!E51+BUG_VAR!E51</f>
        <v>-3300458</v>
      </c>
      <c r="F51" s="65">
        <f>STG_VAR!F51+ONT_VAR!F51+'CE-VAR'!F51+'EAST-EGM-VAR'!F51+'BGC-EGM-VAR'!F51+'EAST-LRC-VAR'!F51+'TX-EGM-VAR'!F51+'TX-HPL-VAR '!F51+'WE-VAR'!F51+BUG_VAR!F51</f>
        <v>-1752566</v>
      </c>
      <c r="G51" s="65">
        <f>STG_VAR!G51+ONT_VAR!G51+'CE-VAR'!G51+'EAST-EGM-VAR'!G51+'BGC-EGM-VAR'!G51+'EAST-LRC-VAR'!G51+'TX-EGM-VAR'!G51+'TX-HPL-VAR '!G51+'WE-VAR'!G51+BUG_VAR!G51</f>
        <v>-3996127.7759999996</v>
      </c>
      <c r="H51" s="60">
        <f>F51-D51</f>
        <v>-248406</v>
      </c>
      <c r="I51" s="38">
        <f>G51-E51</f>
        <v>-695669.77599999961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-2432864.27</v>
      </c>
      <c r="F54" s="65">
        <f>STG_VAR!F54+ONT_VAR!F54+'CE-VAR'!F54+'EAST-EGM-VAR'!F54+'BGC-EGM-VAR'!F54+'EAST-LRC-VAR'!F54+'TX-EGM-VAR'!F54+'TX-HPL-VAR '!F54+'WE-VAR'!F54+BUG_VAR!F54</f>
        <v>-90887518</v>
      </c>
      <c r="G54" s="65">
        <f>STG_VAR!G54+ONT_VAR!G54+'CE-VAR'!G54+'EAST-EGM-VAR'!G54+'BGC-EGM-VAR'!G54+'EAST-LRC-VAR'!G54+'TX-EGM-VAR'!G54+'TX-HPL-VAR '!G54+'WE-VAR'!G54+BUG_VAR!G54</f>
        <v>-3547678.9799999995</v>
      </c>
      <c r="H54" s="60">
        <f>F54-D54</f>
        <v>-90887518</v>
      </c>
      <c r="I54" s="38">
        <f>G54-E54</f>
        <v>-1114814.7099999995</v>
      </c>
    </row>
    <row r="55" spans="1:9" x14ac:dyDescent="0.2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-16775532</v>
      </c>
      <c r="F55" s="65">
        <f>STG_VAR!F55+ONT_VAR!F55+'CE-VAR'!F55+'EAST-EGM-VAR'!F55+'BGC-EGM-VAR'!F55+'EAST-LRC-VAR'!F55+'TX-EGM-VAR'!F55+'TX-HPL-VAR '!F55+'WE-VAR'!F55+BUG_VAR!F55</f>
        <v>-1717258</v>
      </c>
      <c r="G55" s="65">
        <f>STG_VAR!G55+ONT_VAR!G55+'CE-VAR'!G55+'EAST-EGM-VAR'!G55+'BGC-EGM-VAR'!G55+'EAST-LRC-VAR'!G55+'TX-EGM-VAR'!G55+'TX-HPL-VAR '!G55+'WE-VAR'!G55+BUG_VAR!G55</f>
        <v>-13564547.41</v>
      </c>
      <c r="H55" s="60">
        <f>F55-D55</f>
        <v>-1717258</v>
      </c>
      <c r="I55" s="38">
        <f>G55-E55</f>
        <v>3210984.59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-19208396.27</v>
      </c>
      <c r="F56" s="61">
        <f t="shared" si="10"/>
        <v>-92604776</v>
      </c>
      <c r="G56" s="39">
        <f t="shared" si="10"/>
        <v>-17112226.390000001</v>
      </c>
      <c r="H56" s="61">
        <f t="shared" si="10"/>
        <v>-92604776</v>
      </c>
      <c r="I56" s="39">
        <f t="shared" si="10"/>
        <v>2096169.8800000004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3034645</v>
      </c>
      <c r="G59" s="65">
        <f>STG_VAR!G59+ONT_VAR!G59+'CE-VAR'!G59+'EAST-EGM-VAR'!G59+'BGC-EGM-VAR'!G59+'EAST-LRC-VAR'!G59+'TX-EGM-VAR'!G59+'TX-HPL-VAR '!G59+'WE-VAR'!G59+BUG_VAR!G59</f>
        <v>53876.2</v>
      </c>
      <c r="H59" s="60">
        <f>F59-D59</f>
        <v>3034645</v>
      </c>
      <c r="I59" s="38">
        <f>G59-E59</f>
        <v>53876.2</v>
      </c>
    </row>
    <row r="60" spans="1:9" x14ac:dyDescent="0.2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150709.20000000001</v>
      </c>
      <c r="H61" s="69">
        <f t="shared" si="11"/>
        <v>3034645</v>
      </c>
      <c r="I61" s="70">
        <f t="shared" si="11"/>
        <v>150709.20000000001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70884</v>
      </c>
      <c r="F64" s="65">
        <f>STG_VAR!F64+ONT_VAR!F64+'CE-VAR'!F64+'EAST-EGM-VAR'!F64+'BGC-EGM-VAR'!F64+'EAST-LRC-VAR'!F64+'TX-EGM-VAR'!F64+'TX-HPL-VAR '!F64+'WE-VAR'!F64+BUG_VAR!F64</f>
        <v>-80933934</v>
      </c>
      <c r="G64" s="65">
        <f>STG_VAR!G64+ONT_VAR!G64+'CE-VAR'!G64+'EAST-EGM-VAR'!G64+'BGC-EGM-VAR'!G64+'EAST-LRC-VAR'!G64+'TX-EGM-VAR'!G64+'TX-HPL-VAR '!G64+'WE-VAR'!G64+BUG_VAR!G64</f>
        <v>-3679539.5500000007</v>
      </c>
      <c r="H64" s="60">
        <f>F64-D64</f>
        <v>-80933934</v>
      </c>
      <c r="I64" s="38">
        <f>G64-E64</f>
        <v>-3750423.5500000007</v>
      </c>
    </row>
    <row r="65" spans="1:9" x14ac:dyDescent="0.2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22202788</v>
      </c>
      <c r="G65" s="65">
        <f>STG_VAR!G65+ONT_VAR!G65+'CE-VAR'!G65+'EAST-EGM-VAR'!G65+'BGC-EGM-VAR'!G65+'EAST-LRC-VAR'!G65+'TX-EGM-VAR'!G65+'TX-HPL-VAR '!G65+'WE-VAR'!G65+BUG_VAR!G65</f>
        <v>3509396.36</v>
      </c>
      <c r="H65" s="60">
        <f>F65-D65</f>
        <v>22202788</v>
      </c>
      <c r="I65" s="38">
        <f>G65-E65</f>
        <v>3509396.36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-58731146</v>
      </c>
      <c r="G66" s="39">
        <f t="shared" si="12"/>
        <v>-170143.19000000088</v>
      </c>
      <c r="H66" s="61">
        <f t="shared" si="12"/>
        <v>-58731146</v>
      </c>
      <c r="I66" s="39">
        <f t="shared" si="12"/>
        <v>-241027.19000000088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7219918.0133007979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24661614.009999998</v>
      </c>
      <c r="H70" s="60">
        <f>F70-D70</f>
        <v>0</v>
      </c>
      <c r="I70" s="38">
        <f>G70-E70</f>
        <v>17441695.996699199</v>
      </c>
    </row>
    <row r="71" spans="1:9" x14ac:dyDescent="0.2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-10745855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-10431488.15</v>
      </c>
      <c r="H71" s="60">
        <f>F71-D71</f>
        <v>0</v>
      </c>
      <c r="I71" s="38">
        <f>G71-E71</f>
        <v>314366.84999999963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-3525936.9866992021</v>
      </c>
      <c r="F72" s="69">
        <f t="shared" si="13"/>
        <v>0</v>
      </c>
      <c r="G72" s="70">
        <f t="shared" si="13"/>
        <v>14230125.859999998</v>
      </c>
      <c r="H72" s="69">
        <f t="shared" si="13"/>
        <v>0</v>
      </c>
      <c r="I72" s="70">
        <f t="shared" si="13"/>
        <v>17756062.846699201</v>
      </c>
    </row>
    <row r="73" spans="1:9" x14ac:dyDescent="0.2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2712566.4688235298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5561609.6300000008</v>
      </c>
      <c r="H74" s="60">
        <f t="shared" ref="H74:I79" si="14">F74-D74</f>
        <v>0</v>
      </c>
      <c r="I74" s="38">
        <f t="shared" si="14"/>
        <v>2849043.161176471</v>
      </c>
    </row>
    <row r="75" spans="1:9" x14ac:dyDescent="0.2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966483.5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966600</v>
      </c>
      <c r="H75" s="60">
        <f t="shared" si="14"/>
        <v>0</v>
      </c>
      <c r="I75" s="38">
        <f t="shared" si="14"/>
        <v>116.5</v>
      </c>
    </row>
    <row r="76" spans="1:9" x14ac:dyDescent="0.2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-22952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-342090.16</v>
      </c>
      <c r="H76" s="60">
        <f t="shared" si="14"/>
        <v>0</v>
      </c>
      <c r="I76" s="38">
        <f t="shared" si="14"/>
        <v>-319138.15999999997</v>
      </c>
    </row>
    <row r="77" spans="1:9" x14ac:dyDescent="0.2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-1335109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-3933809</v>
      </c>
      <c r="H77" s="60">
        <f t="shared" si="14"/>
        <v>0</v>
      </c>
      <c r="I77" s="38">
        <f t="shared" si="14"/>
        <v>-2598700</v>
      </c>
    </row>
    <row r="78" spans="1:9" x14ac:dyDescent="0.2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14466475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-14466475</v>
      </c>
    </row>
    <row r="80" spans="1:9" x14ac:dyDescent="0.2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1758437</v>
      </c>
      <c r="F81" s="65">
        <f>STG_VAR!F81+ONT_VAR!F81+'CE-VAR'!F81+'EAST-EGM-VAR'!F81+'BGC-EGM-VAR'!F81+'EAST-LRC-VAR'!F81+'TX-EGM-VAR'!F81+'TX-HPL-VAR '!F81+'WE-VAR'!F81+BUG_VAR!F81</f>
        <v>-31269</v>
      </c>
      <c r="G81" s="65">
        <f>STG_VAR!G81+ONT_VAR!G81+'CE-VAR'!G81+'EAST-EGM-VAR'!G81+'BGC-EGM-VAR'!G81+'EAST-LRC-VAR'!G81+'TX-EGM-VAR'!G81+'TX-HPL-VAR '!G81+'WE-VAR'!G81+BUG_VAR!G81</f>
        <v>527590.42000000004</v>
      </c>
      <c r="H81" s="60">
        <f>F81-D81</f>
        <v>-31269</v>
      </c>
      <c r="I81" s="38">
        <f>G81-E81</f>
        <v>-1230846.58</v>
      </c>
    </row>
    <row r="82" spans="1:9" s="49" customFormat="1" ht="20.25" customHeight="1" thickBot="1" x14ac:dyDescent="0.25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1583763.637191195</v>
      </c>
      <c r="F82" s="92">
        <f>F16+F24+F29+F36+F43+F45+F47+F49</f>
        <v>-8178</v>
      </c>
      <c r="G82" s="93">
        <f>SUM(G72:G81)+G16+G24+G29+G36+G43+G45+G47+G49+G51+G56+G61+G66</f>
        <v>2403552.9951999574</v>
      </c>
      <c r="H82" s="92">
        <f>H16+H24+H29+H36+H43+H45+H47+H49</f>
        <v>-8178</v>
      </c>
      <c r="I82" s="93">
        <f>SUM(I72:I81)+I16+I24+I29+I36+I43+I45+I47+I49+I51+I56+I61+I66</f>
        <v>819789.35800886317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172</v>
      </c>
      <c r="B85" s="3"/>
      <c r="F85" s="31"/>
      <c r="G85" s="31"/>
      <c r="H85" s="31"/>
      <c r="I85" s="31"/>
    </row>
    <row r="86" spans="1:9" x14ac:dyDescent="0.2">
      <c r="A86" s="174"/>
      <c r="B86" s="3"/>
      <c r="C86" s="10" t="s">
        <v>176</v>
      </c>
      <c r="D86" s="175">
        <f>STG_VAR!D86+ONT_VAR!D86+'CE-VAR'!D86+'EAST-EGM-VAR'!D86+'BGC-EGM-VAR'!D86+'EAST-LRC-VAR'!D86+'TX-EGM-VAR'!D86+'TX-HPL-VAR '!D86+'WE-VAR'!D86+BUG_VAR!D86</f>
        <v>0</v>
      </c>
      <c r="E86" s="175">
        <f>STG_VAR!E86+ONT_VAR!E86+'CE-VAR'!E86+'EAST-EGM-VAR'!E86+'BGC-EGM-VAR'!E86+'EAST-LRC-VAR'!E86+'TX-EGM-VAR'!E86+'TX-HPL-VAR '!E86+'WE-VAR'!E86+BUG_VAR!E86</f>
        <v>508679</v>
      </c>
      <c r="F86" s="175">
        <f>STG_VAR!F86+ONT_VAR!F86+'CE-VAR'!F86+'EAST-EGM-VAR'!F86+'BGC-EGM-VAR'!F86+'EAST-LRC-VAR'!F86+'TX-EGM-VAR'!F86+'TX-HPL-VAR '!F86+'WE-VAR'!F86+BUG_VAR!F86</f>
        <v>0</v>
      </c>
      <c r="G86" s="175">
        <f>STG_VAR!G86+ONT_VAR!G86+'CE-VAR'!G86+'EAST-EGM-VAR'!G86+'BGC-EGM-VAR'!G86+'EAST-LRC-VAR'!G86+'TX-EGM-VAR'!G86+'TX-HPL-VAR '!G86+'WE-VAR'!G86+BUG_VAR!G86</f>
        <v>479591.38999999996</v>
      </c>
      <c r="H86" s="175">
        <f t="shared" ref="H86:I88" si="15">F86-D86</f>
        <v>0</v>
      </c>
      <c r="I86" s="175">
        <f t="shared" si="15"/>
        <v>-29087.610000000044</v>
      </c>
    </row>
    <row r="87" spans="1:9" x14ac:dyDescent="0.2">
      <c r="A87" s="174"/>
      <c r="B87" s="3"/>
      <c r="C87" s="10" t="s">
        <v>73</v>
      </c>
      <c r="D87" s="176">
        <f>STG_VAR!D87+ONT_VAR!D87+'CE-VAR'!D87+'EAST-EGM-VAR'!D87+'BGC-EGM-VAR'!D87+'EAST-LRC-VAR'!D87+'TX-EGM-VAR'!D87+'TX-HPL-VAR '!D87+'WE-VAR'!D87+BUG_VAR!D87</f>
        <v>0</v>
      </c>
      <c r="E87" s="176">
        <f>STG_VAR!E87+ONT_VAR!E87+'CE-VAR'!E87+'EAST-EGM-VAR'!E87+'BGC-EGM-VAR'!E87+'EAST-LRC-VAR'!E87+'TX-EGM-VAR'!E87+'TX-HPL-VAR '!E87+'WE-VAR'!E87+BUG_VAR!E87</f>
        <v>0</v>
      </c>
      <c r="F87" s="176">
        <f>STG_VAR!F87+ONT_VAR!F87+'CE-VAR'!F87+'EAST-EGM-VAR'!F87+'BGC-EGM-VAR'!F87+'EAST-LRC-VAR'!F87+'TX-EGM-VAR'!F87+'TX-HPL-VAR '!F87+'WE-VAR'!F87+BUG_VAR!F87</f>
        <v>0</v>
      </c>
      <c r="G87" s="176">
        <f>STG_VAR!G87+ONT_VAR!G87+'CE-VAR'!G87+'EAST-EGM-VAR'!G87+'BGC-EGM-VAR'!G87+'EAST-LRC-VAR'!G87+'TX-EGM-VAR'!G87+'TX-HPL-VAR '!G87+'WE-VAR'!G87+BUG_VAR!G87</f>
        <v>0</v>
      </c>
      <c r="H87" s="176">
        <f t="shared" si="15"/>
        <v>0</v>
      </c>
      <c r="I87" s="176">
        <f t="shared" si="15"/>
        <v>0</v>
      </c>
    </row>
    <row r="88" spans="1:9" x14ac:dyDescent="0.2">
      <c r="A88" s="174"/>
      <c r="B88" s="3"/>
      <c r="C88" s="10" t="s">
        <v>74</v>
      </c>
      <c r="D88" s="177">
        <f>STG_VAR!D88+ONT_VAR!D88+'CE-VAR'!D88+'EAST-EGM-VAR'!D88+'BGC-EGM-VAR'!D88+'EAST-LRC-VAR'!D88+'TX-EGM-VAR'!D88+'TX-HPL-VAR '!D88+'WE-VAR'!D88+BUG_VAR!D88</f>
        <v>0</v>
      </c>
      <c r="E88" s="177">
        <f>STG_VAR!E88+ONT_VAR!E88+'CE-VAR'!E88+'EAST-EGM-VAR'!E88+'BGC-EGM-VAR'!E88+'EAST-LRC-VAR'!E88+'TX-EGM-VAR'!E88+'TX-HPL-VAR '!E88+'WE-VAR'!E88+BUG_VAR!E88</f>
        <v>-113464</v>
      </c>
      <c r="F88" s="177">
        <f>STG_VAR!F88+ONT_VAR!F88+'CE-VAR'!F88+'EAST-EGM-VAR'!F88+'BGC-EGM-VAR'!F88+'EAST-LRC-VAR'!F88+'TX-EGM-VAR'!F88+'TX-HPL-VAR '!F88+'WE-VAR'!F88+BUG_VAR!F88</f>
        <v>0</v>
      </c>
      <c r="G88" s="177">
        <f>STG_VAR!G88+ONT_VAR!G88+'CE-VAR'!G88+'EAST-EGM-VAR'!G88+'BGC-EGM-VAR'!G88+'EAST-LRC-VAR'!G88+'TX-EGM-VAR'!G88+'TX-HPL-VAR '!G88+'WE-VAR'!G88+BUG_VAR!G88</f>
        <v>-51248</v>
      </c>
      <c r="H88" s="177">
        <f t="shared" si="15"/>
        <v>0</v>
      </c>
      <c r="I88" s="177">
        <f t="shared" si="15"/>
        <v>62216</v>
      </c>
    </row>
    <row r="89" spans="1:9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395215</v>
      </c>
      <c r="F89" s="190">
        <f t="shared" si="16"/>
        <v>0</v>
      </c>
      <c r="G89" s="190">
        <f t="shared" si="16"/>
        <v>428343.38999999996</v>
      </c>
      <c r="H89" s="190">
        <f t="shared" si="16"/>
        <v>0</v>
      </c>
      <c r="I89" s="190">
        <f t="shared" si="16"/>
        <v>33128.389999999956</v>
      </c>
    </row>
    <row r="90" spans="1:9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9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1978978.637191195</v>
      </c>
      <c r="F91" s="190">
        <f t="shared" si="17"/>
        <v>-8178</v>
      </c>
      <c r="G91" s="190">
        <f t="shared" si="17"/>
        <v>2831896.3851999575</v>
      </c>
      <c r="H91" s="190">
        <f t="shared" si="17"/>
        <v>-8178</v>
      </c>
      <c r="I91" s="190">
        <f t="shared" si="17"/>
        <v>852917.74800886307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'CE-FLSH'!L11</f>
        <v>46055997</v>
      </c>
      <c r="E11" s="66">
        <f>'CE-FLSH'!M11</f>
        <v>105225079</v>
      </c>
      <c r="F11" s="60">
        <f>CE_GL!D11</f>
        <v>46988958</v>
      </c>
      <c r="G11" s="38">
        <f>CE_GL!E11</f>
        <v>113241030.24000001</v>
      </c>
      <c r="H11" s="60">
        <f>F11-D11</f>
        <v>932961</v>
      </c>
      <c r="I11" s="38">
        <f>G11-E11</f>
        <v>8015951.2400000095</v>
      </c>
    </row>
    <row r="12" spans="1:22" x14ac:dyDescent="0.2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-4081461.65</v>
      </c>
      <c r="H12" s="60">
        <f>F12-D12</f>
        <v>0</v>
      </c>
      <c r="I12" s="38">
        <f>G12-E12</f>
        <v>-4081461.65</v>
      </c>
    </row>
    <row r="13" spans="1:22" x14ac:dyDescent="0.2">
      <c r="A13" s="9">
        <v>3</v>
      </c>
      <c r="B13" s="7"/>
      <c r="C13" s="18" t="s">
        <v>29</v>
      </c>
      <c r="D13" s="65">
        <f>'CE-FLSH'!L13</f>
        <v>20240342</v>
      </c>
      <c r="E13" s="66">
        <f>'CE-FLSH'!M13</f>
        <v>46092175</v>
      </c>
      <c r="F13" s="60">
        <f>CE_GL!D13</f>
        <v>19030434</v>
      </c>
      <c r="G13" s="38">
        <f>CE_GL!E13</f>
        <v>43171267</v>
      </c>
      <c r="H13" s="60">
        <f t="shared" ref="H13:I15" si="0">F13-D13</f>
        <v>-1209908</v>
      </c>
      <c r="I13" s="38">
        <f t="shared" si="0"/>
        <v>-2920908</v>
      </c>
    </row>
    <row r="14" spans="1:22" x14ac:dyDescent="0.2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66296339</v>
      </c>
      <c r="E16" s="39">
        <f t="shared" si="1"/>
        <v>151317254</v>
      </c>
      <c r="F16" s="61">
        <f t="shared" si="1"/>
        <v>66019392</v>
      </c>
      <c r="G16" s="39">
        <f t="shared" si="1"/>
        <v>151087060.84999999</v>
      </c>
      <c r="H16" s="61">
        <f t="shared" si="1"/>
        <v>-276947</v>
      </c>
      <c r="I16" s="39">
        <f t="shared" si="1"/>
        <v>-230193.14999999036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'CE-FLSH'!L19</f>
        <v>-39778827</v>
      </c>
      <c r="E19" s="66">
        <f>'CE-FLSH'!M19</f>
        <v>-89690039</v>
      </c>
      <c r="F19" s="60">
        <f>CE_GL!D19</f>
        <v>-47210656</v>
      </c>
      <c r="G19" s="38">
        <f>CE_GL!E19</f>
        <v>-103773340.03999996</v>
      </c>
      <c r="H19" s="60">
        <f>F19-D19</f>
        <v>-7431829</v>
      </c>
      <c r="I19" s="38">
        <f>G19-E19</f>
        <v>-14083301.039999962</v>
      </c>
    </row>
    <row r="20" spans="1:9" x14ac:dyDescent="0.2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-874736.80999999994</v>
      </c>
      <c r="H20" s="60">
        <f>F20-D20</f>
        <v>0</v>
      </c>
      <c r="I20" s="38">
        <f>G20-E20</f>
        <v>-874736.80999999994</v>
      </c>
    </row>
    <row r="21" spans="1:9" x14ac:dyDescent="0.2">
      <c r="A21" s="9">
        <v>8</v>
      </c>
      <c r="B21" s="7"/>
      <c r="C21" s="18" t="s">
        <v>29</v>
      </c>
      <c r="D21" s="65">
        <f>'CE-FLSH'!L21</f>
        <v>-26987857</v>
      </c>
      <c r="E21" s="66">
        <f>'CE-FLSH'!M21</f>
        <v>-61385107</v>
      </c>
      <c r="F21" s="60">
        <f>CE_GL!D21</f>
        <v>-18815314</v>
      </c>
      <c r="G21" s="38">
        <f>CE_GL!E21</f>
        <v>-42663071</v>
      </c>
      <c r="H21" s="60">
        <f t="shared" ref="H21:I23" si="2">F21-D21</f>
        <v>8172543</v>
      </c>
      <c r="I21" s="38">
        <f t="shared" si="2"/>
        <v>18722036</v>
      </c>
    </row>
    <row r="22" spans="1:9" x14ac:dyDescent="0.2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'CE-FLSH'!L23</f>
        <v>333756</v>
      </c>
      <c r="E23" s="66">
        <f>'CE-FLSH'!M23</f>
        <v>726383</v>
      </c>
      <c r="F23" s="60">
        <f>CE_GL!D23</f>
        <v>552798</v>
      </c>
      <c r="G23" s="38">
        <f>CE_GL!E23</f>
        <v>1252640.2660000001</v>
      </c>
      <c r="H23" s="60">
        <f t="shared" si="2"/>
        <v>219042</v>
      </c>
      <c r="I23" s="38">
        <f t="shared" si="2"/>
        <v>526257.26600000006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-66432928</v>
      </c>
      <c r="E24" s="39">
        <f t="shared" si="3"/>
        <v>-150348763</v>
      </c>
      <c r="F24" s="61">
        <f t="shared" si="3"/>
        <v>-65473172</v>
      </c>
      <c r="G24" s="39">
        <f t="shared" si="3"/>
        <v>-146058507.58399996</v>
      </c>
      <c r="H24" s="61">
        <f t="shared" si="3"/>
        <v>959756</v>
      </c>
      <c r="I24" s="39">
        <f t="shared" si="3"/>
        <v>4290255.4160000375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8901</v>
      </c>
      <c r="G27" s="38">
        <f>CE_GL!E27</f>
        <v>19849.23</v>
      </c>
      <c r="H27" s="60">
        <f>F27-D27</f>
        <v>8901</v>
      </c>
      <c r="I27" s="38">
        <f>G27-E27</f>
        <v>19849.23</v>
      </c>
    </row>
    <row r="28" spans="1:9" x14ac:dyDescent="0.2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-18600</v>
      </c>
      <c r="G28" s="38">
        <f>CE_GL!E28</f>
        <v>-42180.15</v>
      </c>
      <c r="H28" s="60">
        <f>F28-D28</f>
        <v>-18600</v>
      </c>
      <c r="I28" s="38">
        <f>G28-E28</f>
        <v>-42180.15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-9699</v>
      </c>
      <c r="G29" s="70">
        <f t="shared" si="4"/>
        <v>-22330.920000000002</v>
      </c>
      <c r="H29" s="69">
        <f t="shared" si="4"/>
        <v>-9699</v>
      </c>
      <c r="I29" s="70">
        <f t="shared" si="4"/>
        <v>-22330.920000000002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'CE-FLSH'!L32</f>
        <v>2812410</v>
      </c>
      <c r="E32" s="66">
        <f>'CE-FLSH'!M32</f>
        <v>6475934</v>
      </c>
      <c r="F32" s="60">
        <f>CE_GL!D32</f>
        <v>-234691</v>
      </c>
      <c r="G32" s="38">
        <f>CE_GL!E32</f>
        <v>-532329.47799999977</v>
      </c>
      <c r="H32" s="60">
        <f>F32-D32</f>
        <v>-3047101</v>
      </c>
      <c r="I32" s="38">
        <f>G32-E32</f>
        <v>-7008263.4780000001</v>
      </c>
    </row>
    <row r="33" spans="1:9" x14ac:dyDescent="0.2">
      <c r="A33" s="9">
        <v>14</v>
      </c>
      <c r="B33" s="7"/>
      <c r="C33" s="18" t="s">
        <v>42</v>
      </c>
      <c r="D33" s="65">
        <f>'CE-FLSH'!L33</f>
        <v>-2858336</v>
      </c>
      <c r="E33" s="66">
        <f>'CE-FLSH'!M33</f>
        <v>-6575369</v>
      </c>
      <c r="F33" s="60">
        <f>CE_GL!D33</f>
        <v>-19231</v>
      </c>
      <c r="G33" s="38">
        <f>CE_GL!E33</f>
        <v>-44195.33</v>
      </c>
      <c r="H33" s="60">
        <f t="shared" ref="H33:I35" si="5">F33-D33</f>
        <v>2839105</v>
      </c>
      <c r="I33" s="38">
        <f t="shared" si="5"/>
        <v>6531173.6699999999</v>
      </c>
    </row>
    <row r="34" spans="1:9" x14ac:dyDescent="0.2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1046</v>
      </c>
      <c r="G34" s="38">
        <f>CE_GL!E34</f>
        <v>2322.9499999999998</v>
      </c>
      <c r="H34" s="60">
        <f t="shared" si="5"/>
        <v>1046</v>
      </c>
      <c r="I34" s="38">
        <f t="shared" si="5"/>
        <v>2322.9499999999998</v>
      </c>
    </row>
    <row r="35" spans="1:9" x14ac:dyDescent="0.2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-45926</v>
      </c>
      <c r="E36" s="39">
        <f t="shared" si="6"/>
        <v>-99435</v>
      </c>
      <c r="F36" s="61">
        <f t="shared" si="6"/>
        <v>-252876</v>
      </c>
      <c r="G36" s="39">
        <f t="shared" si="6"/>
        <v>-574201.87799999979</v>
      </c>
      <c r="H36" s="61">
        <f t="shared" si="6"/>
        <v>-206950</v>
      </c>
      <c r="I36" s="39">
        <f t="shared" si="6"/>
        <v>-474766.8780000002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'CE-FLSH'!L39</f>
        <v>0</v>
      </c>
      <c r="E39" s="66">
        <f>'CE-FLSH'!M39</f>
        <v>0</v>
      </c>
      <c r="F39" s="60">
        <f>CE_GL!D39</f>
        <v>86548</v>
      </c>
      <c r="G39" s="38">
        <f>CE_GL!E39</f>
        <v>195532.79999999996</v>
      </c>
      <c r="H39" s="60">
        <f t="shared" ref="H39:I41" si="7">F39-D39</f>
        <v>86548</v>
      </c>
      <c r="I39" s="38">
        <f t="shared" si="7"/>
        <v>195532.79999999996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'CE-FLSH'!L40</f>
        <v>0</v>
      </c>
      <c r="E40" s="66">
        <f>'CE-FLSH'!M40</f>
        <v>0</v>
      </c>
      <c r="F40" s="60">
        <f>CE_GL!D40</f>
        <v>11</v>
      </c>
      <c r="G40" s="38">
        <f>CE_GL!E40</f>
        <v>24.929999999999836</v>
      </c>
      <c r="H40" s="60">
        <f t="shared" si="7"/>
        <v>11</v>
      </c>
      <c r="I40" s="38">
        <f t="shared" si="7"/>
        <v>24.929999999999836</v>
      </c>
    </row>
    <row r="41" spans="1:9" x14ac:dyDescent="0.2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</v>
      </c>
      <c r="G42" s="70">
        <f t="shared" si="8"/>
        <v>24.929999999999836</v>
      </c>
      <c r="H42" s="69">
        <f t="shared" si="8"/>
        <v>11</v>
      </c>
      <c r="I42" s="70">
        <f t="shared" si="8"/>
        <v>24.929999999999836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86559</v>
      </c>
      <c r="G43" s="39">
        <f t="shared" si="9"/>
        <v>195557.72999999995</v>
      </c>
      <c r="H43" s="61">
        <f t="shared" si="9"/>
        <v>86559</v>
      </c>
      <c r="I43" s="39">
        <f t="shared" si="9"/>
        <v>195557.72999999995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'CE-FLSH'!L49</f>
        <v>182515</v>
      </c>
      <c r="E49" s="66">
        <f>'CE-FLSH'!M49</f>
        <v>413524.96555999998</v>
      </c>
      <c r="F49" s="60">
        <f>CE_GL!D49</f>
        <v>-370204</v>
      </c>
      <c r="G49" s="38">
        <f>CE_GL!E49</f>
        <v>-838882.26399999997</v>
      </c>
      <c r="H49" s="60">
        <f>F49-D49</f>
        <v>-552719</v>
      </c>
      <c r="I49" s="38">
        <f>G49-E49</f>
        <v>-1252407.2295599999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'CE-FLSH'!L51</f>
        <v>-333756</v>
      </c>
      <c r="E51" s="66">
        <f>'CE-FLSH'!M51</f>
        <v>-726383</v>
      </c>
      <c r="F51" s="60">
        <f>CE_GL!D51</f>
        <v>-552798</v>
      </c>
      <c r="G51" s="38">
        <f>CE_GL!E51</f>
        <v>-1271531.2660000001</v>
      </c>
      <c r="H51" s="60">
        <f>F51-D51</f>
        <v>-219042</v>
      </c>
      <c r="I51" s="38">
        <f>G51-E51</f>
        <v>-545148.26600000006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-83193</v>
      </c>
      <c r="F54" s="60">
        <f>CE_GL!D54</f>
        <v>-28058459</v>
      </c>
      <c r="G54" s="38">
        <f>CE_GL!E54</f>
        <v>-3146258.4599999995</v>
      </c>
      <c r="H54" s="60">
        <f>F54-D54</f>
        <v>-28058459</v>
      </c>
      <c r="I54" s="38">
        <f>G54-E54</f>
        <v>-3063065.4599999995</v>
      </c>
    </row>
    <row r="55" spans="1:9" x14ac:dyDescent="0.2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-2261341</v>
      </c>
      <c r="F55" s="60">
        <f>CE_GL!D55</f>
        <v>0</v>
      </c>
      <c r="G55" s="38">
        <f>CE_GL!E55</f>
        <v>999813.00999999989</v>
      </c>
      <c r="H55" s="60">
        <f>F55-D55</f>
        <v>0</v>
      </c>
      <c r="I55" s="38">
        <f>G55-E55</f>
        <v>3261154.01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-2344534</v>
      </c>
      <c r="F56" s="61">
        <f t="shared" si="10"/>
        <v>-28058459</v>
      </c>
      <c r="G56" s="39">
        <f t="shared" si="10"/>
        <v>-2146445.4499999997</v>
      </c>
      <c r="H56" s="61">
        <f t="shared" si="10"/>
        <v>-28058459</v>
      </c>
      <c r="I56" s="39">
        <f t="shared" si="10"/>
        <v>198088.55000000028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-8137.5</v>
      </c>
      <c r="H59" s="60">
        <f>F59-D59</f>
        <v>0</v>
      </c>
      <c r="I59" s="38">
        <f>G59-E59</f>
        <v>-8137.5</v>
      </c>
    </row>
    <row r="60" spans="1:9" x14ac:dyDescent="0.2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-8137.5</v>
      </c>
      <c r="H61" s="69">
        <f t="shared" si="11"/>
        <v>0</v>
      </c>
      <c r="I61" s="70">
        <f t="shared" si="11"/>
        <v>-8137.5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1086087</v>
      </c>
      <c r="F70" s="60">
        <f>CE_GL!D70</f>
        <v>0</v>
      </c>
      <c r="G70" s="38">
        <f>CE_GL!E70</f>
        <v>1086087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-2230799</v>
      </c>
      <c r="F71" s="60">
        <f>CE_GL!D71</f>
        <v>0</v>
      </c>
      <c r="G71" s="38">
        <f>CE_GL!E71</f>
        <v>-1513816.64</v>
      </c>
      <c r="H71" s="60">
        <f>F71-D71</f>
        <v>0</v>
      </c>
      <c r="I71" s="38">
        <f>G71-E71</f>
        <v>716982.3600000001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-1144712</v>
      </c>
      <c r="F72" s="69">
        <f t="shared" si="13"/>
        <v>0</v>
      </c>
      <c r="G72" s="70">
        <f t="shared" si="13"/>
        <v>-427729.6399999999</v>
      </c>
      <c r="H72" s="69">
        <f t="shared" si="13"/>
        <v>0</v>
      </c>
      <c r="I72" s="70">
        <f t="shared" si="13"/>
        <v>716982.3600000001</v>
      </c>
    </row>
    <row r="73" spans="1:9" x14ac:dyDescent="0.2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2293654.0588235296</v>
      </c>
      <c r="F74" s="60">
        <f>CE_GL!D74</f>
        <v>0</v>
      </c>
      <c r="G74" s="38">
        <f>CE_GL!E74</f>
        <v>2342273</v>
      </c>
      <c r="H74" s="60">
        <f t="shared" ref="H74:I79" si="14">F74-D74</f>
        <v>0</v>
      </c>
      <c r="I74" s="38">
        <f t="shared" si="14"/>
        <v>48618.941176470369</v>
      </c>
    </row>
    <row r="75" spans="1:9" x14ac:dyDescent="0.2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106310.5</v>
      </c>
      <c r="F75" s="60">
        <f>CE_GL!D75</f>
        <v>0</v>
      </c>
      <c r="G75" s="38">
        <f>CE_GL!E75</f>
        <v>106300</v>
      </c>
      <c r="H75" s="60">
        <f t="shared" si="14"/>
        <v>0</v>
      </c>
      <c r="I75" s="38">
        <f t="shared" si="14"/>
        <v>-10.5</v>
      </c>
    </row>
    <row r="76" spans="1:9" x14ac:dyDescent="0.2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-10679</v>
      </c>
      <c r="F76" s="60">
        <f>CE_GL!D76</f>
        <v>0</v>
      </c>
      <c r="G76" s="38">
        <f>CE_GL!E76</f>
        <v>-10200.48</v>
      </c>
      <c r="H76" s="60">
        <f t="shared" si="14"/>
        <v>0</v>
      </c>
      <c r="I76" s="38">
        <f t="shared" si="14"/>
        <v>478.52000000000044</v>
      </c>
    </row>
    <row r="77" spans="1:9" x14ac:dyDescent="0.2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1385895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-1385895</v>
      </c>
    </row>
    <row r="80" spans="1:9" x14ac:dyDescent="0.2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331813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-331813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1173945.5243835263</v>
      </c>
      <c r="F82" s="71">
        <f>F16+F24+F29+F36+F43+F45+F47+F49</f>
        <v>0</v>
      </c>
      <c r="G82" s="72">
        <f>SUM(G72:G81)+G16+G24+G29+G36+G43+G45+G47+G49+G51+G56+G61+G66</f>
        <v>2373224.5980000277</v>
      </c>
      <c r="H82" s="71">
        <f>H16+H24+H29+H36+H43+H45+H47+H49</f>
        <v>0</v>
      </c>
      <c r="I82" s="72">
        <f>SUM(I72:I81)+I16+I24+I29+I36+I43+I45+I47+I49+I51+I56+I61+I66</f>
        <v>1199279.0736165179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'EAST-EGM-FLSH'!L11</f>
        <v>66050158</v>
      </c>
      <c r="E11" s="66">
        <f>'EAST-EGM-FLSH'!M11</f>
        <v>157021800.05000001</v>
      </c>
      <c r="F11" s="60">
        <f>'EAST-EGM-GL'!D11</f>
        <v>85213112</v>
      </c>
      <c r="G11" s="38">
        <f>'EAST-EGM-GL'!E11</f>
        <v>207548370.57999998</v>
      </c>
      <c r="H11" s="60">
        <f>F11-D11</f>
        <v>19162954</v>
      </c>
      <c r="I11" s="38">
        <f>G11-E11</f>
        <v>50526570.529999971</v>
      </c>
    </row>
    <row r="12" spans="1:22" x14ac:dyDescent="0.2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-1670858.48</v>
      </c>
      <c r="H12" s="60">
        <f>F12-D12</f>
        <v>0</v>
      </c>
      <c r="I12" s="38">
        <f>G12-E12</f>
        <v>-1670858.48</v>
      </c>
    </row>
    <row r="13" spans="1:22" x14ac:dyDescent="0.2">
      <c r="A13" s="9">
        <v>3</v>
      </c>
      <c r="B13" s="7"/>
      <c r="C13" s="18" t="s">
        <v>29</v>
      </c>
      <c r="D13" s="65">
        <f>'EAST-EGM-FLSH'!L13</f>
        <v>69521578</v>
      </c>
      <c r="E13" s="66">
        <f>'EAST-EGM-FLSH'!M13</f>
        <v>159508985.94999999</v>
      </c>
      <c r="F13" s="60">
        <f>'EAST-EGM-GL'!D13</f>
        <v>48098747</v>
      </c>
      <c r="G13" s="38">
        <f>'EAST-EGM-GL'!E13</f>
        <v>110384760</v>
      </c>
      <c r="H13" s="60">
        <f t="shared" ref="H13:I15" si="0">F13-D13</f>
        <v>-21422831</v>
      </c>
      <c r="I13" s="38">
        <f t="shared" si="0"/>
        <v>-49124225.949999988</v>
      </c>
    </row>
    <row r="14" spans="1:22" x14ac:dyDescent="0.2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24768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135571736</v>
      </c>
      <c r="E16" s="39">
        <f t="shared" si="1"/>
        <v>316555554</v>
      </c>
      <c r="F16" s="61">
        <f t="shared" si="1"/>
        <v>133311859</v>
      </c>
      <c r="G16" s="39">
        <f t="shared" si="1"/>
        <v>316262272.10000002</v>
      </c>
      <c r="H16" s="61">
        <f t="shared" si="1"/>
        <v>-2259877</v>
      </c>
      <c r="I16" s="39">
        <f t="shared" si="1"/>
        <v>-293281.90000001341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'EAST-EGM-FLSH'!L19</f>
        <v>-86507193</v>
      </c>
      <c r="E19" s="66">
        <f>'EAST-EGM-FLSH'!M19</f>
        <v>-202900168</v>
      </c>
      <c r="F19" s="60">
        <f>'EAST-EGM-GL'!D19</f>
        <v>-91658498</v>
      </c>
      <c r="G19" s="38">
        <f>'EAST-EGM-GL'!E19</f>
        <v>-214688081.88000003</v>
      </c>
      <c r="H19" s="60">
        <f>F19-D19</f>
        <v>-5151305</v>
      </c>
      <c r="I19" s="38">
        <f>G19-E19</f>
        <v>-11787913.880000025</v>
      </c>
    </row>
    <row r="20" spans="1:9" x14ac:dyDescent="0.2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-3291131.21</v>
      </c>
      <c r="H20" s="60">
        <f>F20-D20</f>
        <v>0</v>
      </c>
      <c r="I20" s="38">
        <f>G20-E20</f>
        <v>-3291131.21</v>
      </c>
    </row>
    <row r="21" spans="1:9" x14ac:dyDescent="0.2">
      <c r="A21" s="9">
        <v>8</v>
      </c>
      <c r="B21" s="7"/>
      <c r="C21" s="18" t="s">
        <v>29</v>
      </c>
      <c r="D21" s="65">
        <f>'EAST-EGM-FLSH'!L21</f>
        <v>-49770103</v>
      </c>
      <c r="E21" s="66">
        <f>'EAST-EGM-FLSH'!M21</f>
        <v>-114326909</v>
      </c>
      <c r="F21" s="60">
        <f>'EAST-EGM-GL'!D21</f>
        <v>-40530677</v>
      </c>
      <c r="G21" s="38">
        <f>'EAST-EGM-GL'!E21</f>
        <v>-92564051</v>
      </c>
      <c r="H21" s="60">
        <f t="shared" ref="H21:I23" si="2">F21-D21</f>
        <v>9239426</v>
      </c>
      <c r="I21" s="38">
        <f t="shared" si="2"/>
        <v>21762858</v>
      </c>
    </row>
    <row r="22" spans="1:9" x14ac:dyDescent="0.2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'EAST-EGM-FLSH'!L23</f>
        <v>237567</v>
      </c>
      <c r="E23" s="66">
        <f>'EAST-EGM-FLSH'!M23</f>
        <v>531921</v>
      </c>
      <c r="F23" s="60">
        <f>'EAST-EGM-GL'!D23</f>
        <v>309807</v>
      </c>
      <c r="G23" s="38">
        <f>'EAST-EGM-GL'!E23</f>
        <v>729595.46</v>
      </c>
      <c r="H23" s="60">
        <f t="shared" si="2"/>
        <v>72240</v>
      </c>
      <c r="I23" s="38">
        <f t="shared" si="2"/>
        <v>197674.45999999996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-136039729</v>
      </c>
      <c r="E24" s="39">
        <f t="shared" si="3"/>
        <v>-316695156</v>
      </c>
      <c r="F24" s="61">
        <f t="shared" si="3"/>
        <v>-131879368</v>
      </c>
      <c r="G24" s="39">
        <f t="shared" si="3"/>
        <v>-309813668.63000005</v>
      </c>
      <c r="H24" s="61">
        <f t="shared" si="3"/>
        <v>4160361</v>
      </c>
      <c r="I24" s="39">
        <f t="shared" si="3"/>
        <v>6881487.369999974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'EAST-EGM-FLSH'!L27</f>
        <v>-1004508</v>
      </c>
      <c r="E27" s="66">
        <f>'EAST-EGM-FLSH'!M27</f>
        <v>-2299953</v>
      </c>
      <c r="F27" s="60">
        <f>'EAST-EGM-GL'!D27</f>
        <v>-27001</v>
      </c>
      <c r="G27" s="38">
        <f>'EAST-EGM-GL'!E27</f>
        <v>-62507.23</v>
      </c>
      <c r="H27" s="60">
        <f>F27-D27</f>
        <v>977507</v>
      </c>
      <c r="I27" s="38">
        <f>G27-E27</f>
        <v>2237445.77</v>
      </c>
    </row>
    <row r="28" spans="1:9" x14ac:dyDescent="0.2">
      <c r="A28" s="9">
        <v>12</v>
      </c>
      <c r="B28" s="7"/>
      <c r="C28" s="18" t="s">
        <v>38</v>
      </c>
      <c r="D28" s="65">
        <f>'EAST-EGM-FLSH'!L28</f>
        <v>582660</v>
      </c>
      <c r="E28" s="66">
        <f>'EAST-EGM-FLSH'!M28</f>
        <v>1315137</v>
      </c>
      <c r="F28" s="60">
        <f>'EAST-EGM-GL'!D28</f>
        <v>-3076342</v>
      </c>
      <c r="G28" s="38">
        <f>'EAST-EGM-GL'!E28</f>
        <v>-6935034.3099999996</v>
      </c>
      <c r="H28" s="60">
        <f>F28-D28</f>
        <v>-3659002</v>
      </c>
      <c r="I28" s="38">
        <f>G28-E28</f>
        <v>-8250171.3099999996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-421848</v>
      </c>
      <c r="E29" s="70">
        <f t="shared" si="4"/>
        <v>-984816</v>
      </c>
      <c r="F29" s="69">
        <f t="shared" si="4"/>
        <v>-3103343</v>
      </c>
      <c r="G29" s="70">
        <f t="shared" si="4"/>
        <v>-6997541.54</v>
      </c>
      <c r="H29" s="69">
        <f t="shared" si="4"/>
        <v>-2681495</v>
      </c>
      <c r="I29" s="70">
        <f t="shared" si="4"/>
        <v>-6012725.5399999991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'EAST-EGM-FLSH'!L32</f>
        <v>326249</v>
      </c>
      <c r="E32" s="66">
        <f>'EAST-EGM-FLSH'!M32</f>
        <v>812865</v>
      </c>
      <c r="F32" s="60">
        <f>'EAST-EGM-GL'!D32</f>
        <v>390442</v>
      </c>
      <c r="G32" s="38">
        <f>'EAST-EGM-GL'!E32</f>
        <v>919491.57499999995</v>
      </c>
      <c r="H32" s="60">
        <f>F32-D32</f>
        <v>64193</v>
      </c>
      <c r="I32" s="38">
        <f>G32-E32</f>
        <v>106626.57499999995</v>
      </c>
    </row>
    <row r="33" spans="1:9" x14ac:dyDescent="0.2">
      <c r="A33" s="9">
        <v>14</v>
      </c>
      <c r="B33" s="7"/>
      <c r="C33" s="18" t="s">
        <v>42</v>
      </c>
      <c r="D33" s="65">
        <f>'EAST-EGM-FLSH'!L33</f>
        <v>41175</v>
      </c>
      <c r="E33" s="66">
        <f>'EAST-EGM-FLSH'!M33</f>
        <v>54822.219054628862</v>
      </c>
      <c r="F33" s="60">
        <f>'EAST-EGM-GL'!D33</f>
        <v>-201207</v>
      </c>
      <c r="G33" s="38">
        <f>'EAST-EGM-GL'!E33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'EAST-EGM-FLSH'!L34</f>
        <v>559377</v>
      </c>
      <c r="E34" s="66">
        <f>'EAST-EGM-FLSH'!M34</f>
        <v>1269071</v>
      </c>
      <c r="F34" s="60">
        <f>'EAST-EGM-GL'!D34</f>
        <v>134795</v>
      </c>
      <c r="G34" s="38">
        <f>'EAST-EGM-GL'!E34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'EAST-EGM-FLSH'!L35</f>
        <v>-346452</v>
      </c>
      <c r="E35" s="66">
        <f>'EAST-EGM-FLSH'!M35</f>
        <v>-778472</v>
      </c>
      <c r="F35" s="60">
        <f>'EAST-EGM-GL'!D35</f>
        <v>500000</v>
      </c>
      <c r="G35" s="38">
        <f>'EAST-EGM-GL'!E35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824030</v>
      </c>
      <c r="G36" s="39">
        <f t="shared" si="6"/>
        <v>1921473.1549999998</v>
      </c>
      <c r="H36" s="61">
        <f t="shared" si="6"/>
        <v>243681</v>
      </c>
      <c r="I36" s="39">
        <f t="shared" si="6"/>
        <v>563186.93594537093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'EAST-EGM-FLSH'!L39</f>
        <v>-311859</v>
      </c>
      <c r="E39" s="66">
        <f>'EAST-EGM-FLSH'!M39</f>
        <v>-736027</v>
      </c>
      <c r="F39" s="60">
        <f>'EAST-EGM-GL'!D39</f>
        <v>0</v>
      </c>
      <c r="G39" s="38">
        <f>'EAST-EGM-GL'!E39</f>
        <v>0</v>
      </c>
      <c r="H39" s="60">
        <f t="shared" ref="H39:I41" si="7">F39-D39</f>
        <v>311859</v>
      </c>
      <c r="I39" s="38">
        <f t="shared" si="7"/>
        <v>736027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'EAST-EGM-FLSH'!L40</f>
        <v>205867</v>
      </c>
      <c r="E40" s="66">
        <f>'EAST-EGM-FLSH'!M40</f>
        <v>483787</v>
      </c>
      <c r="F40" s="60">
        <f>'EAST-EGM-GL'!D40</f>
        <v>0</v>
      </c>
      <c r="G40" s="38">
        <f>'EAST-EGM-GL'!E40</f>
        <v>0</v>
      </c>
      <c r="H40" s="60">
        <f t="shared" si="7"/>
        <v>-205867</v>
      </c>
      <c r="I40" s="38">
        <f t="shared" si="7"/>
        <v>-483787</v>
      </c>
    </row>
    <row r="41" spans="1:9" x14ac:dyDescent="0.2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205867</v>
      </c>
      <c r="E42" s="70">
        <f t="shared" si="8"/>
        <v>483787</v>
      </c>
      <c r="F42" s="69">
        <f t="shared" si="8"/>
        <v>0</v>
      </c>
      <c r="G42" s="70">
        <f t="shared" si="8"/>
        <v>0</v>
      </c>
      <c r="H42" s="69">
        <f t="shared" si="8"/>
        <v>-205867</v>
      </c>
      <c r="I42" s="70">
        <f t="shared" si="8"/>
        <v>-483787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-105992</v>
      </c>
      <c r="E43" s="39">
        <f t="shared" si="9"/>
        <v>-252240</v>
      </c>
      <c r="F43" s="61">
        <f t="shared" si="9"/>
        <v>0</v>
      </c>
      <c r="G43" s="39">
        <f t="shared" si="9"/>
        <v>0</v>
      </c>
      <c r="H43" s="61">
        <f t="shared" si="9"/>
        <v>105992</v>
      </c>
      <c r="I43" s="39">
        <f t="shared" si="9"/>
        <v>252240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'EAST-EGM-FLSH'!L49</f>
        <v>475484</v>
      </c>
      <c r="E49" s="66">
        <f>'EAST-EGM-FLSH'!M49</f>
        <v>1074270.9391440554</v>
      </c>
      <c r="F49" s="60">
        <f>'EAST-EGM-GL'!D49</f>
        <v>846822</v>
      </c>
      <c r="G49" s="38">
        <f>'EAST-EGM-GL'!E49</f>
        <v>1994265.8099999996</v>
      </c>
      <c r="H49" s="60">
        <f>F49-D49</f>
        <v>371338</v>
      </c>
      <c r="I49" s="38">
        <f>G49-E49</f>
        <v>919994.87085594423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'EAST-EGM-FLSH'!L51</f>
        <v>-237567</v>
      </c>
      <c r="E51" s="66">
        <f>'EAST-EGM-FLSH'!M51</f>
        <v>-531921</v>
      </c>
      <c r="F51" s="60">
        <f>'EAST-EGM-GL'!D51</f>
        <v>-397034</v>
      </c>
      <c r="G51" s="38">
        <f>'EAST-EGM-GL'!E51</f>
        <v>-729666.14</v>
      </c>
      <c r="H51" s="60">
        <f>F51-D51</f>
        <v>-159467</v>
      </c>
      <c r="I51" s="38">
        <f>G51-E51</f>
        <v>-197745.14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-509841</v>
      </c>
      <c r="F54" s="60">
        <f>'EAST-EGM-GL'!D54</f>
        <v>-27579579</v>
      </c>
      <c r="G54" s="38">
        <f>'EAST-EGM-GL'!E54</f>
        <v>-535671.41</v>
      </c>
      <c r="H54" s="60">
        <f>F54-D54</f>
        <v>-27579579</v>
      </c>
      <c r="I54" s="38">
        <f>G54-E54</f>
        <v>-25830.410000000033</v>
      </c>
    </row>
    <row r="55" spans="1:9" x14ac:dyDescent="0.2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-1302091</v>
      </c>
      <c r="F55" s="60">
        <f>'EAST-EGM-GL'!D55</f>
        <v>0</v>
      </c>
      <c r="G55" s="38">
        <f>'EAST-EGM-GL'!E55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-27579579</v>
      </c>
      <c r="G56" s="39">
        <f t="shared" si="10"/>
        <v>-3176610.6400000006</v>
      </c>
      <c r="H56" s="61">
        <f t="shared" si="10"/>
        <v>-27579579</v>
      </c>
      <c r="I56" s="39">
        <f t="shared" si="10"/>
        <v>-1364678.6400000006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-104001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-104001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104001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70884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-70884</v>
      </c>
    </row>
    <row r="65" spans="1:9" x14ac:dyDescent="0.2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-70884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2849705.85</v>
      </c>
      <c r="F70" s="60">
        <f>'EAST-EGM-GL'!D70</f>
        <v>0</v>
      </c>
      <c r="G70" s="38">
        <f>'EAST-EGM-GL'!E70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196193</v>
      </c>
      <c r="F71" s="60">
        <f>'EAST-EGM-GL'!D71</f>
        <v>0</v>
      </c>
      <c r="G71" s="38">
        <f>'EAST-EGM-GL'!E71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-2871909</v>
      </c>
      <c r="F74" s="60">
        <f>'EAST-EGM-GL'!D74</f>
        <v>0</v>
      </c>
      <c r="G74" s="38">
        <f>'EAST-EGM-GL'!E74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667651</v>
      </c>
      <c r="F75" s="60">
        <f>'EAST-EGM-GL'!D75</f>
        <v>0</v>
      </c>
      <c r="G75" s="38">
        <f>'EAST-EGM-GL'!E75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-8213</v>
      </c>
      <c r="F76" s="60">
        <f>'EAST-EGM-GL'!D76</f>
        <v>0</v>
      </c>
      <c r="G76" s="38">
        <f>'EAST-EGM-GL'!E76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2670191</v>
      </c>
      <c r="F77" s="60">
        <f>'EAST-EGM-GL'!D77</f>
        <v>0</v>
      </c>
      <c r="G77" s="38">
        <f>'EAST-EGM-GL'!E77</f>
        <v>-3226809</v>
      </c>
      <c r="H77" s="60">
        <f t="shared" si="14"/>
        <v>0</v>
      </c>
      <c r="I77" s="38">
        <f t="shared" si="14"/>
        <v>-5897000</v>
      </c>
    </row>
    <row r="78" spans="1:9" x14ac:dyDescent="0.2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878217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-1987039</v>
      </c>
      <c r="F81" s="60">
        <f>'EAST-EGM-GL'!D81</f>
        <v>0</v>
      </c>
      <c r="G81" s="38">
        <f>'EAST-EGM-GL'!E81</f>
        <v>849655.87</v>
      </c>
      <c r="H81" s="60">
        <f>F81-D81</f>
        <v>0</v>
      </c>
      <c r="I81" s="38">
        <f>G81-E81</f>
        <v>2836694.87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1098249.9531987011</v>
      </c>
      <c r="F82" s="71">
        <f>F16+F24+F29+F36+F43+F45+F47+F49</f>
        <v>0</v>
      </c>
      <c r="G82" s="72">
        <f>SUM(G72:G81)+G16+G24+G29+G36+G43+G45+G47+G49+G51+G56+G61+G66</f>
        <v>-2420588.9750000061</v>
      </c>
      <c r="H82" s="71">
        <f>H16+H24+H29+H36+H43+H45+H47+H49</f>
        <v>-60000</v>
      </c>
      <c r="I82" s="72">
        <f>SUM(I72:I81)+I16+I24+I29+I36+I43+I45+I47+I49+I51+I56+I61+I66</f>
        <v>-3518838.9281987245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'EAST-EGM-FLSH'!L86</f>
        <v>0</v>
      </c>
      <c r="E86" s="175">
        <f>'EAST-EGM-FLSH'!M86</f>
        <v>-199187</v>
      </c>
      <c r="F86" s="175">
        <f>'EAST-EGM-GL'!D86</f>
        <v>0</v>
      </c>
      <c r="G86" s="175">
        <f>'EAST-EGM-GL'!E86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">
      <c r="A87" s="174"/>
      <c r="B87" s="3"/>
      <c r="C87" s="10" t="s">
        <v>73</v>
      </c>
      <c r="D87" s="176">
        <f>'EAST-EGM-FLSH'!L87</f>
        <v>0</v>
      </c>
      <c r="E87" s="176">
        <f>'EAST-EGM-FLSH'!M87</f>
        <v>0</v>
      </c>
      <c r="F87" s="176">
        <f>'EAST-EGM-GL'!D87</f>
        <v>0</v>
      </c>
      <c r="G87" s="176">
        <f>'EAST-EGM-GL'!E87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'EAST-EGM-FLSH'!L88</f>
        <v>0</v>
      </c>
      <c r="E88" s="177">
        <f>'EAST-EGM-FLSH'!M88</f>
        <v>0</v>
      </c>
      <c r="F88" s="177">
        <f>'EAST-EGM-GL'!D88</f>
        <v>0</v>
      </c>
      <c r="G88" s="177">
        <f>'EAST-EGM-GL'!E88</f>
        <v>0</v>
      </c>
      <c r="H88" s="177">
        <f t="shared" si="15"/>
        <v>0</v>
      </c>
      <c r="I88" s="177">
        <f t="shared" si="15"/>
        <v>0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-199187</v>
      </c>
      <c r="F89" s="190">
        <f t="shared" si="16"/>
        <v>0</v>
      </c>
      <c r="G89" s="190">
        <f t="shared" si="16"/>
        <v>-199187.04</v>
      </c>
      <c r="H89" s="190">
        <f t="shared" si="16"/>
        <v>0</v>
      </c>
      <c r="I89" s="190">
        <f t="shared" si="16"/>
        <v>-4.0000000008149073E-2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60000</v>
      </c>
      <c r="E91" s="190">
        <f t="shared" si="17"/>
        <v>899062.95319870114</v>
      </c>
      <c r="F91" s="190">
        <f t="shared" si="17"/>
        <v>0</v>
      </c>
      <c r="G91" s="190">
        <f t="shared" si="17"/>
        <v>-2619776.0150000062</v>
      </c>
      <c r="H91" s="190">
        <f t="shared" si="17"/>
        <v>-60000</v>
      </c>
      <c r="I91" s="190">
        <f t="shared" si="17"/>
        <v>-3518838.9681987246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'EAST-LRC-FLSH'!L11</f>
        <v>8944488</v>
      </c>
      <c r="E11" s="66">
        <f>'EAST-LRC-FLSH'!M11</f>
        <v>21132760.949999999</v>
      </c>
      <c r="F11" s="60">
        <f>'EAST-LRC-GL'!D11</f>
        <v>8540664</v>
      </c>
      <c r="G11" s="38">
        <f>'EAST-LRC-GL'!E11</f>
        <v>20328942.759999998</v>
      </c>
      <c r="H11" s="60">
        <f>F11-D11</f>
        <v>-403824</v>
      </c>
      <c r="I11" s="38">
        <f>G11-E11</f>
        <v>-803818.19000000134</v>
      </c>
    </row>
    <row r="12" spans="1:22" x14ac:dyDescent="0.2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19314.579999999998</v>
      </c>
      <c r="H12" s="60">
        <f>F12-D12</f>
        <v>0</v>
      </c>
      <c r="I12" s="38">
        <f>G12-E12</f>
        <v>19314.579999999998</v>
      </c>
    </row>
    <row r="13" spans="1:22" x14ac:dyDescent="0.2">
      <c r="A13" s="9">
        <v>3</v>
      </c>
      <c r="B13" s="7"/>
      <c r="C13" s="18" t="s">
        <v>29</v>
      </c>
      <c r="D13" s="65">
        <f>'EAST-LRC-FLSH'!L13</f>
        <v>3201196</v>
      </c>
      <c r="E13" s="66">
        <f>'EAST-LRC-FLSH'!M13</f>
        <v>7224493.0499999998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-3201196</v>
      </c>
      <c r="I13" s="38">
        <f t="shared" si="0"/>
        <v>-7224493.0499999998</v>
      </c>
    </row>
    <row r="14" spans="1:22" x14ac:dyDescent="0.2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12145684</v>
      </c>
      <c r="E16" s="39">
        <f t="shared" si="1"/>
        <v>28357254</v>
      </c>
      <c r="F16" s="61">
        <f t="shared" si="1"/>
        <v>8540664</v>
      </c>
      <c r="G16" s="39">
        <f t="shared" si="1"/>
        <v>20348257.339999996</v>
      </c>
      <c r="H16" s="61">
        <f t="shared" si="1"/>
        <v>-3605020</v>
      </c>
      <c r="I16" s="39">
        <f t="shared" si="1"/>
        <v>-8008996.6600000011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'EAST-LRC-FLSH'!L19</f>
        <v>-1284613</v>
      </c>
      <c r="E19" s="66">
        <f>'EAST-LRC-FLSH'!M19</f>
        <v>-2888637</v>
      </c>
      <c r="F19" s="60">
        <f>'EAST-LRC-GL'!D19</f>
        <v>-939754</v>
      </c>
      <c r="G19" s="38">
        <f>'EAST-LRC-GL'!E19</f>
        <v>-2183142.54</v>
      </c>
      <c r="H19" s="60">
        <f>F19-D19</f>
        <v>344859</v>
      </c>
      <c r="I19" s="38">
        <f>G19-E19</f>
        <v>705494.46</v>
      </c>
    </row>
    <row r="20" spans="1:9" x14ac:dyDescent="0.2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2188.84</v>
      </c>
      <c r="H20" s="60">
        <f>F20-D20</f>
        <v>0</v>
      </c>
      <c r="I20" s="38">
        <f>G20-E20</f>
        <v>2188.84</v>
      </c>
    </row>
    <row r="21" spans="1:9" x14ac:dyDescent="0.2">
      <c r="A21" s="9">
        <v>8</v>
      </c>
      <c r="B21" s="7"/>
      <c r="C21" s="18" t="s">
        <v>29</v>
      </c>
      <c r="D21" s="65">
        <f>'EAST-LRC-FLSH'!L21</f>
        <v>-11270806</v>
      </c>
      <c r="E21" s="66">
        <f>'EAST-LRC-FLSH'!M21</f>
        <v>-25429998</v>
      </c>
      <c r="F21" s="60">
        <f>'EAST-LRC-GL'!D21</f>
        <v>0</v>
      </c>
      <c r="G21" s="38">
        <f>'EAST-LRC-GL'!E21</f>
        <v>0</v>
      </c>
      <c r="H21" s="60">
        <f t="shared" ref="H21:I23" si="2">F21-D21</f>
        <v>11270806</v>
      </c>
      <c r="I21" s="38">
        <f t="shared" si="2"/>
        <v>25429998</v>
      </c>
    </row>
    <row r="22" spans="1:9" x14ac:dyDescent="0.2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29643</v>
      </c>
      <c r="G23" s="38">
        <f>'EAST-LRC-GL'!E23</f>
        <v>67271.51999999999</v>
      </c>
      <c r="H23" s="60">
        <f t="shared" si="2"/>
        <v>29643</v>
      </c>
      <c r="I23" s="38">
        <f t="shared" si="2"/>
        <v>67271.51999999999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-12555419</v>
      </c>
      <c r="E24" s="39">
        <f t="shared" si="3"/>
        <v>-28318635</v>
      </c>
      <c r="F24" s="61">
        <f t="shared" si="3"/>
        <v>-910111</v>
      </c>
      <c r="G24" s="39">
        <f t="shared" si="3"/>
        <v>-2113682.1800000002</v>
      </c>
      <c r="H24" s="61">
        <f t="shared" si="3"/>
        <v>11645308</v>
      </c>
      <c r="I24" s="39">
        <f t="shared" si="3"/>
        <v>26204952.82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'EAST-LRC-FLSH'!L27</f>
        <v>1004508</v>
      </c>
      <c r="E27" s="66">
        <f>'EAST-LRC-FLSH'!M27</f>
        <v>2299953</v>
      </c>
      <c r="F27" s="60">
        <f>'EAST-LRC-GL'!D27</f>
        <v>3209792</v>
      </c>
      <c r="G27" s="38">
        <f>'EAST-LRC-GL'!E27</f>
        <v>7225555.830000001</v>
      </c>
      <c r="H27" s="60">
        <f>F27-D27</f>
        <v>2205284</v>
      </c>
      <c r="I27" s="38">
        <f>G27-E27</f>
        <v>4925602.830000001</v>
      </c>
    </row>
    <row r="28" spans="1:9" x14ac:dyDescent="0.2">
      <c r="A28" s="9">
        <v>12</v>
      </c>
      <c r="B28" s="7"/>
      <c r="C28" s="18" t="s">
        <v>38</v>
      </c>
      <c r="D28" s="65">
        <f>'EAST-LRC-FLSH'!L28</f>
        <v>-582660</v>
      </c>
      <c r="E28" s="66">
        <f>'EAST-LRC-FLSH'!M28</f>
        <v>-1315137</v>
      </c>
      <c r="F28" s="60">
        <f>'EAST-LRC-GL'!D28</f>
        <v>-11381875</v>
      </c>
      <c r="G28" s="38">
        <f>'EAST-LRC-GL'!E28</f>
        <v>-25670940.670000006</v>
      </c>
      <c r="H28" s="60">
        <f>F28-D28</f>
        <v>-10799215</v>
      </c>
      <c r="I28" s="38">
        <f>G28-E28</f>
        <v>-24355803.670000006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421848</v>
      </c>
      <c r="E29" s="70">
        <f t="shared" si="4"/>
        <v>984816</v>
      </c>
      <c r="F29" s="69">
        <f t="shared" si="4"/>
        <v>-8172083</v>
      </c>
      <c r="G29" s="70">
        <f t="shared" si="4"/>
        <v>-18445384.840000004</v>
      </c>
      <c r="H29" s="69">
        <f t="shared" si="4"/>
        <v>-8593931</v>
      </c>
      <c r="I29" s="70">
        <f t="shared" si="4"/>
        <v>-19430200.840000004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97465</v>
      </c>
      <c r="G32" s="38">
        <f>'EAST-LRC-GL'!E32</f>
        <v>229530.07500000001</v>
      </c>
      <c r="H32" s="60">
        <f>F32-D32</f>
        <v>97465</v>
      </c>
      <c r="I32" s="38">
        <f>G32-E32</f>
        <v>229530.07500000001</v>
      </c>
    </row>
    <row r="33" spans="1:9" x14ac:dyDescent="0.2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97465</v>
      </c>
      <c r="G36" s="39">
        <f t="shared" si="6"/>
        <v>229530.07500000001</v>
      </c>
      <c r="H36" s="61">
        <f t="shared" si="6"/>
        <v>97465</v>
      </c>
      <c r="I36" s="39">
        <f t="shared" si="6"/>
        <v>229530.07500000001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'EAST-LRC-FLSH'!L39</f>
        <v>947768</v>
      </c>
      <c r="E39" s="66">
        <f>'EAST-LRC-FLSH'!M39</f>
        <v>2227256</v>
      </c>
      <c r="F39" s="60">
        <f>'EAST-LRC-GL'!D39</f>
        <v>997496</v>
      </c>
      <c r="G39" s="38">
        <f>'EAST-LRC-GL'!E39</f>
        <v>2344115.6</v>
      </c>
      <c r="H39" s="60">
        <f t="shared" ref="H39:I41" si="7">F39-D39</f>
        <v>49728</v>
      </c>
      <c r="I39" s="38">
        <f t="shared" si="7"/>
        <v>116859.60000000009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'EAST-LRC-FLSH'!L40</f>
        <v>-544397</v>
      </c>
      <c r="E40" s="66">
        <f>'EAST-LRC-FLSH'!M40</f>
        <v>-1279332</v>
      </c>
      <c r="F40" s="60">
        <f>'EAST-LRC-GL'!D40</f>
        <v>-596064</v>
      </c>
      <c r="G40" s="38">
        <f>'EAST-LRC-GL'!E40</f>
        <v>-1400750.4000000001</v>
      </c>
      <c r="H40" s="60">
        <f t="shared" si="7"/>
        <v>-51667</v>
      </c>
      <c r="I40" s="38">
        <f t="shared" si="7"/>
        <v>-121418.40000000014</v>
      </c>
    </row>
    <row r="41" spans="1:9" x14ac:dyDescent="0.2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-544397</v>
      </c>
      <c r="E42" s="70">
        <f t="shared" si="8"/>
        <v>-1279332</v>
      </c>
      <c r="F42" s="69">
        <f t="shared" si="8"/>
        <v>-596064</v>
      </c>
      <c r="G42" s="70">
        <f t="shared" si="8"/>
        <v>-1400750.4000000001</v>
      </c>
      <c r="H42" s="69">
        <f t="shared" si="8"/>
        <v>-51667</v>
      </c>
      <c r="I42" s="70">
        <f t="shared" si="8"/>
        <v>-121418.40000000014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403371</v>
      </c>
      <c r="E43" s="39">
        <f t="shared" si="9"/>
        <v>947924</v>
      </c>
      <c r="F43" s="61">
        <f t="shared" si="9"/>
        <v>401432</v>
      </c>
      <c r="G43" s="39">
        <f t="shared" si="9"/>
        <v>943365.2</v>
      </c>
      <c r="H43" s="61">
        <f t="shared" si="9"/>
        <v>-1939</v>
      </c>
      <c r="I43" s="39">
        <f t="shared" si="9"/>
        <v>-4558.8000000000466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20900</v>
      </c>
      <c r="G45" s="38">
        <f>'EAST-LRC-GL'!E45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'EAST-LRC-FLSH'!L49</f>
        <v>-475484</v>
      </c>
      <c r="E49" s="66">
        <f>'EAST-LRC-FLSH'!M49</f>
        <v>-1074270.9391440554</v>
      </c>
      <c r="F49" s="60">
        <f>'EAST-LRC-GL'!D49</f>
        <v>13555</v>
      </c>
      <c r="G49" s="38">
        <f>'EAST-LRC-GL'!E49</f>
        <v>31922.019999999953</v>
      </c>
      <c r="H49" s="60">
        <f>F49-D49</f>
        <v>489039</v>
      </c>
      <c r="I49" s="38">
        <f>G49-E49</f>
        <v>1106192.9591440554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-38420</v>
      </c>
      <c r="G51" s="38">
        <f>'EAST-LRC-GL'!E51</f>
        <v>-87136.51999999999</v>
      </c>
      <c r="H51" s="60">
        <f>F51-D51</f>
        <v>-38420</v>
      </c>
      <c r="I51" s="38">
        <f>G51-E51</f>
        <v>-87136.51999999999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-11444</v>
      </c>
      <c r="G54" s="38">
        <f>'EAST-LRC-GL'!E54</f>
        <v>29294.05</v>
      </c>
      <c r="H54" s="60">
        <f>F54-D54</f>
        <v>-11444</v>
      </c>
      <c r="I54" s="38">
        <f>G54-E54</f>
        <v>29294.05</v>
      </c>
    </row>
    <row r="55" spans="1:9" x14ac:dyDescent="0.2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-11444</v>
      </c>
      <c r="G56" s="39">
        <f t="shared" si="10"/>
        <v>29294.05</v>
      </c>
      <c r="H56" s="61">
        <f t="shared" si="10"/>
        <v>-11444</v>
      </c>
      <c r="I56" s="39">
        <f t="shared" si="10"/>
        <v>29294.05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3034645</v>
      </c>
      <c r="G59" s="38">
        <f>'EAST-LRC-GL'!E59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104001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104001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-45633.16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-22171519</v>
      </c>
      <c r="G64" s="38">
        <f>'EAST-LRC-GL'!E64</f>
        <v>-2470573.3600000003</v>
      </c>
      <c r="H64" s="60">
        <f>F64-D64</f>
        <v>-22171519</v>
      </c>
      <c r="I64" s="38">
        <f>G64-E64</f>
        <v>-2470573.3600000003</v>
      </c>
    </row>
    <row r="65" spans="1:9" x14ac:dyDescent="0.2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22202788</v>
      </c>
      <c r="G65" s="38">
        <f>'EAST-LRC-GL'!E65</f>
        <v>2300573.36</v>
      </c>
      <c r="H65" s="60">
        <f>F65-D65</f>
        <v>22202788</v>
      </c>
      <c r="I65" s="38">
        <f>G65-E65</f>
        <v>2300573.36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-170000.00000000047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-31269</v>
      </c>
      <c r="G81" s="38">
        <f>'EAST-LRC-GL'!E81</f>
        <v>170000</v>
      </c>
      <c r="H81" s="60">
        <f>F81-D81</f>
        <v>-31269</v>
      </c>
      <c r="I81" s="38">
        <f>G81-E81</f>
        <v>170000</v>
      </c>
    </row>
    <row r="82" spans="1:63" s="12" customFormat="1" ht="20.25" customHeight="1" thickBot="1" x14ac:dyDescent="0.3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-2895910.9391440554</v>
      </c>
      <c r="F82" s="71">
        <f>F16+F24+F29+F36+F43+F45+F47+F49</f>
        <v>-8178</v>
      </c>
      <c r="G82" s="72">
        <f>SUM(G72:G81)+G16+G24+G29+G36+G43+G45+G47+G49+G51+G56+G61+G66</f>
        <v>1030261.1249999925</v>
      </c>
      <c r="H82" s="71">
        <f>H16+H24+H29+H36+H43+H45+H47+H49</f>
        <v>51822</v>
      </c>
      <c r="I82" s="72">
        <f>SUM(I72:I81)+I16+I24+I29+I36+I43+I45+I47+I49+I51+I56+I61+I66</f>
        <v>3926172.0641440516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H86" sqref="H86"/>
      <selection pane="topRight" activeCell="H86" sqref="H86"/>
      <selection pane="bottomLeft" activeCell="H86" sqref="H86"/>
      <selection pane="bottomRight" activeCell="I26" sqref="I2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'EAST-CON-FLSH'!L11</f>
        <v>74994646</v>
      </c>
      <c r="E11" s="66">
        <f>'EAST-CON-FLSH'!M11</f>
        <v>178154561</v>
      </c>
      <c r="F11" s="60">
        <f>'EAST-CON-GL '!D11</f>
        <v>93753776</v>
      </c>
      <c r="G11" s="38">
        <f>'EAST-CON-GL '!E11</f>
        <v>227877313.33999997</v>
      </c>
      <c r="H11" s="60">
        <f>F11-D11</f>
        <v>18759130</v>
      </c>
      <c r="I11" s="38">
        <f>G11-E11</f>
        <v>49722752.339999974</v>
      </c>
    </row>
    <row r="12" spans="1:22" x14ac:dyDescent="0.2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-1651543.9000000001</v>
      </c>
      <c r="H12" s="60">
        <f>F12-D12</f>
        <v>0</v>
      </c>
      <c r="I12" s="38">
        <f>G12-E12</f>
        <v>-1651543.9000000001</v>
      </c>
    </row>
    <row r="13" spans="1:22" x14ac:dyDescent="0.2">
      <c r="A13" s="9">
        <v>3</v>
      </c>
      <c r="B13" s="7"/>
      <c r="C13" s="18" t="s">
        <v>29</v>
      </c>
      <c r="D13" s="65">
        <f>'EAST-CON-FLSH'!L13</f>
        <v>72722774</v>
      </c>
      <c r="E13" s="66">
        <f>'EAST-CON-FLSH'!M13</f>
        <v>166733479</v>
      </c>
      <c r="F13" s="60">
        <f>'EAST-CON-GL '!D13</f>
        <v>48098747</v>
      </c>
      <c r="G13" s="38">
        <f>'EAST-CON-GL '!E13</f>
        <v>110384760</v>
      </c>
      <c r="H13" s="60">
        <f t="shared" ref="H13:I15" si="0">F13-D13</f>
        <v>-24624027</v>
      </c>
      <c r="I13" s="38">
        <f t="shared" si="0"/>
        <v>-56348719</v>
      </c>
    </row>
    <row r="14" spans="1:22" x14ac:dyDescent="0.2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24768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147717420</v>
      </c>
      <c r="E16" s="39">
        <f t="shared" si="1"/>
        <v>344912808</v>
      </c>
      <c r="F16" s="61">
        <f t="shared" si="1"/>
        <v>141852523</v>
      </c>
      <c r="G16" s="39">
        <f t="shared" si="1"/>
        <v>336610529.43999994</v>
      </c>
      <c r="H16" s="61">
        <f t="shared" si="1"/>
        <v>-5864897</v>
      </c>
      <c r="I16" s="39">
        <f t="shared" si="1"/>
        <v>-8302278.5600000247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'EAST-CON-FLSH'!L19</f>
        <v>-87791806</v>
      </c>
      <c r="E19" s="66">
        <f>'EAST-CON-FLSH'!M19</f>
        <v>-205788805</v>
      </c>
      <c r="F19" s="60">
        <f>'EAST-CON-GL '!D19</f>
        <v>-92598252</v>
      </c>
      <c r="G19" s="38">
        <f>'EAST-CON-GL '!E19</f>
        <v>-216871224.41999996</v>
      </c>
      <c r="H19" s="60">
        <f>F19-D19</f>
        <v>-4806446</v>
      </c>
      <c r="I19" s="38">
        <f>G19-E19</f>
        <v>-11082419.419999957</v>
      </c>
    </row>
    <row r="20" spans="1:9" x14ac:dyDescent="0.2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-3288942.37</v>
      </c>
      <c r="H20" s="60">
        <f>F20-D20</f>
        <v>0</v>
      </c>
      <c r="I20" s="38">
        <f>G20-E20</f>
        <v>-3288942.37</v>
      </c>
    </row>
    <row r="21" spans="1:9" x14ac:dyDescent="0.2">
      <c r="A21" s="9">
        <v>8</v>
      </c>
      <c r="B21" s="7"/>
      <c r="C21" s="18" t="s">
        <v>29</v>
      </c>
      <c r="D21" s="65">
        <f>'EAST-CON-FLSH'!L21</f>
        <v>-61040909</v>
      </c>
      <c r="E21" s="66">
        <f>'EAST-CON-FLSH'!M21</f>
        <v>-139756907</v>
      </c>
      <c r="F21" s="60">
        <f>'EAST-CON-GL '!D21</f>
        <v>-40530677</v>
      </c>
      <c r="G21" s="38">
        <f>'EAST-CON-GL '!E21</f>
        <v>-92564051</v>
      </c>
      <c r="H21" s="60">
        <f t="shared" ref="H21:I23" si="2">F21-D21</f>
        <v>20510232</v>
      </c>
      <c r="I21" s="38">
        <f t="shared" si="2"/>
        <v>47192856</v>
      </c>
    </row>
    <row r="22" spans="1:9" x14ac:dyDescent="0.2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'EAST-CON-FLSH'!L23</f>
        <v>237567</v>
      </c>
      <c r="E23" s="66">
        <f>'EAST-CON-FLSH'!M23</f>
        <v>531921</v>
      </c>
      <c r="F23" s="60">
        <f>'EAST-CON-GL '!D23</f>
        <v>339450</v>
      </c>
      <c r="G23" s="38">
        <f>'EAST-CON-GL '!E23</f>
        <v>796866.98</v>
      </c>
      <c r="H23" s="60">
        <f t="shared" si="2"/>
        <v>101883</v>
      </c>
      <c r="I23" s="38">
        <f t="shared" si="2"/>
        <v>264945.98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-148595148</v>
      </c>
      <c r="E24" s="39">
        <f t="shared" si="3"/>
        <v>-345013791</v>
      </c>
      <c r="F24" s="61">
        <f t="shared" si="3"/>
        <v>-132789479</v>
      </c>
      <c r="G24" s="39">
        <f t="shared" si="3"/>
        <v>-311927350.80999994</v>
      </c>
      <c r="H24" s="61">
        <f t="shared" si="3"/>
        <v>15805669</v>
      </c>
      <c r="I24" s="39">
        <f t="shared" si="3"/>
        <v>33086440.190000042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3182791</v>
      </c>
      <c r="G27" s="38">
        <f>'EAST-CON-GL '!E27</f>
        <v>7163048.6000000006</v>
      </c>
      <c r="H27" s="60">
        <f>F27-D27</f>
        <v>3182791</v>
      </c>
      <c r="I27" s="38">
        <f>G27-E27</f>
        <v>7163048.6000000006</v>
      </c>
    </row>
    <row r="28" spans="1:9" x14ac:dyDescent="0.2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-14458217</v>
      </c>
      <c r="G28" s="38">
        <f>'EAST-CON-GL '!E28</f>
        <v>-32605974.980000008</v>
      </c>
      <c r="H28" s="60">
        <f>F28-D28</f>
        <v>-14458217</v>
      </c>
      <c r="I28" s="38">
        <f>G28-E28</f>
        <v>-32605974.980000008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-11275426</v>
      </c>
      <c r="G29" s="70">
        <f t="shared" si="4"/>
        <v>-25442926.380000006</v>
      </c>
      <c r="H29" s="69">
        <f t="shared" si="4"/>
        <v>-11275426</v>
      </c>
      <c r="I29" s="70">
        <f t="shared" si="4"/>
        <v>-25442926.380000006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'EAST-CON-FLSH'!L32</f>
        <v>326249</v>
      </c>
      <c r="E32" s="66">
        <f>'EAST-CON-FLSH'!M32</f>
        <v>812865</v>
      </c>
      <c r="F32" s="60">
        <f>'EAST-CON-GL '!D32</f>
        <v>487907</v>
      </c>
      <c r="G32" s="38">
        <f>'EAST-CON-GL '!E32</f>
        <v>1149021.6500000001</v>
      </c>
      <c r="H32" s="60">
        <f>F32-D32</f>
        <v>161658</v>
      </c>
      <c r="I32" s="38">
        <f>G32-E32</f>
        <v>336156.65000000014</v>
      </c>
    </row>
    <row r="33" spans="1:9" x14ac:dyDescent="0.2">
      <c r="A33" s="9">
        <v>14</v>
      </c>
      <c r="B33" s="7"/>
      <c r="C33" s="18" t="s">
        <v>42</v>
      </c>
      <c r="D33" s="65">
        <f>'EAST-CON-FLSH'!L33</f>
        <v>41175</v>
      </c>
      <c r="E33" s="66">
        <f>'EAST-CON-FLSH'!M33</f>
        <v>54822.219054628862</v>
      </c>
      <c r="F33" s="60">
        <f>'EAST-CON-GL '!D33</f>
        <v>-201207</v>
      </c>
      <c r="G33" s="38">
        <f>'EAST-CON-GL 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'EAST-CON-FLSH'!L34</f>
        <v>559377</v>
      </c>
      <c r="E34" s="66">
        <f>'EAST-CON-FLSH'!M34</f>
        <v>1269071</v>
      </c>
      <c r="F34" s="60">
        <f>'EAST-CON-GL '!D34</f>
        <v>134795</v>
      </c>
      <c r="G34" s="38">
        <f>'EAST-CON-GL 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'EAST-CON-FLSH'!L35</f>
        <v>-346452</v>
      </c>
      <c r="E35" s="66">
        <f>'EAST-CON-FLSH'!M35</f>
        <v>-778472</v>
      </c>
      <c r="F35" s="60">
        <f>'EAST-CON-GL '!D35</f>
        <v>500000</v>
      </c>
      <c r="G35" s="38">
        <f>'EAST-CON-GL 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921495</v>
      </c>
      <c r="G36" s="39">
        <f t="shared" si="6"/>
        <v>2151003.23</v>
      </c>
      <c r="H36" s="61">
        <f t="shared" si="6"/>
        <v>341146</v>
      </c>
      <c r="I36" s="39">
        <f t="shared" si="6"/>
        <v>792717.01094537112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'EAST-CON-FLSH'!L39</f>
        <v>635909</v>
      </c>
      <c r="E39" s="66">
        <f>'EAST-CON-FLSH'!M39</f>
        <v>1491229</v>
      </c>
      <c r="F39" s="60">
        <f>'EAST-CON-GL '!D39</f>
        <v>997496</v>
      </c>
      <c r="G39" s="38">
        <f>'EAST-CON-GL '!E39</f>
        <v>2344115.6</v>
      </c>
      <c r="H39" s="60">
        <f t="shared" ref="H39:I41" si="7">F39-D39</f>
        <v>361587</v>
      </c>
      <c r="I39" s="38">
        <f t="shared" si="7"/>
        <v>852886.60000000009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'EAST-CON-FLSH'!L40</f>
        <v>-338530</v>
      </c>
      <c r="E40" s="66">
        <f>'EAST-CON-FLSH'!M40</f>
        <v>-795545</v>
      </c>
      <c r="F40" s="60">
        <f>'EAST-CON-GL '!D40</f>
        <v>-596064</v>
      </c>
      <c r="G40" s="38">
        <f>'EAST-CON-GL '!E40</f>
        <v>-1400750.4000000001</v>
      </c>
      <c r="H40" s="60">
        <f t="shared" si="7"/>
        <v>-257534</v>
      </c>
      <c r="I40" s="38">
        <f t="shared" si="7"/>
        <v>-605205.40000000014</v>
      </c>
    </row>
    <row r="41" spans="1:9" x14ac:dyDescent="0.2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-338530</v>
      </c>
      <c r="E42" s="70">
        <f t="shared" si="8"/>
        <v>-795545</v>
      </c>
      <c r="F42" s="69">
        <f t="shared" si="8"/>
        <v>-596064</v>
      </c>
      <c r="G42" s="70">
        <f t="shared" si="8"/>
        <v>-1400750.4000000001</v>
      </c>
      <c r="H42" s="69">
        <f t="shared" si="8"/>
        <v>-257534</v>
      </c>
      <c r="I42" s="70">
        <f t="shared" si="8"/>
        <v>-605205.40000000014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297379</v>
      </c>
      <c r="E43" s="39">
        <f t="shared" si="9"/>
        <v>695684</v>
      </c>
      <c r="F43" s="61">
        <f t="shared" si="9"/>
        <v>401432</v>
      </c>
      <c r="G43" s="39">
        <f t="shared" si="9"/>
        <v>943365.2</v>
      </c>
      <c r="H43" s="61">
        <f t="shared" si="9"/>
        <v>104053</v>
      </c>
      <c r="I43" s="39">
        <f t="shared" si="9"/>
        <v>247681.19999999995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20900</v>
      </c>
      <c r="G45" s="38">
        <f>'EAST-CON-GL 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860377</v>
      </c>
      <c r="G49" s="38">
        <f>'EAST-CON-GL '!E49</f>
        <v>2026187.8299999991</v>
      </c>
      <c r="H49" s="60">
        <f>F49-D49</f>
        <v>860377</v>
      </c>
      <c r="I49" s="38">
        <f>G49-E49</f>
        <v>2026187.8299999991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'EAST-CON-FLSH'!L51</f>
        <v>-237567</v>
      </c>
      <c r="E51" s="66">
        <f>'EAST-CON-FLSH'!M51</f>
        <v>-531921</v>
      </c>
      <c r="F51" s="60">
        <f>'EAST-CON-GL '!D51</f>
        <v>-435454</v>
      </c>
      <c r="G51" s="38">
        <f>'EAST-CON-GL '!E51</f>
        <v>-816802.66</v>
      </c>
      <c r="H51" s="60">
        <f>F51-D51</f>
        <v>-197887</v>
      </c>
      <c r="I51" s="38">
        <f>G51-E51</f>
        <v>-284881.66000000003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-509841</v>
      </c>
      <c r="F54" s="60">
        <f>'EAST-CON-GL '!D54</f>
        <v>-27591023</v>
      </c>
      <c r="G54" s="38">
        <f>'EAST-CON-GL '!E54</f>
        <v>-506377.36000000004</v>
      </c>
      <c r="H54" s="60">
        <f>F54-D54</f>
        <v>-27591023</v>
      </c>
      <c r="I54" s="38">
        <f>G54-E54</f>
        <v>3463.6399999999558</v>
      </c>
    </row>
    <row r="55" spans="1:9" x14ac:dyDescent="0.2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-1302091</v>
      </c>
      <c r="F55" s="60">
        <f>'EAST-CON-GL '!D55</f>
        <v>0</v>
      </c>
      <c r="G55" s="38">
        <f>'EAST-CON-GL 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-27591023</v>
      </c>
      <c r="G56" s="39">
        <f t="shared" si="10"/>
        <v>-3147316.5900000003</v>
      </c>
      <c r="H56" s="61">
        <f t="shared" si="10"/>
        <v>-27591023</v>
      </c>
      <c r="I56" s="39">
        <f t="shared" si="10"/>
        <v>-1335384.5900000005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3034645</v>
      </c>
      <c r="G59" s="38">
        <f>'EAST-CON-GL 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58367.839999999997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70884</v>
      </c>
      <c r="F64" s="60">
        <f>'EAST-CON-GL '!D64</f>
        <v>-22331183</v>
      </c>
      <c r="G64" s="38">
        <f>'EAST-CON-GL '!E64</f>
        <v>-2486539.7600000002</v>
      </c>
      <c r="H64" s="60">
        <f>F64-D64</f>
        <v>-22331183</v>
      </c>
      <c r="I64" s="38">
        <f>G64-E64</f>
        <v>-2557423.7600000002</v>
      </c>
    </row>
    <row r="65" spans="1:9" x14ac:dyDescent="0.2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22362452</v>
      </c>
      <c r="G65" s="38">
        <f>'EAST-CON-GL '!E65</f>
        <v>2316539.7599999998</v>
      </c>
      <c r="H65" s="60">
        <f>F65-D65</f>
        <v>22362452</v>
      </c>
      <c r="I65" s="38">
        <f>G65-E65</f>
        <v>2316539.7599999998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-240884.00000000047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2849705.85</v>
      </c>
      <c r="F70" s="60">
        <f>'EAST-CON-GL '!D70</f>
        <v>0</v>
      </c>
      <c r="G70" s="38">
        <f>'EAST-CON-GL 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196193</v>
      </c>
      <c r="F71" s="60">
        <f>'EAST-CON-GL '!D71</f>
        <v>0</v>
      </c>
      <c r="G71" s="38">
        <f>'EAST-CON-GL 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-2871909</v>
      </c>
      <c r="F74" s="60">
        <f>'EAST-CON-GL '!D74</f>
        <v>0</v>
      </c>
      <c r="G74" s="38">
        <f>'EAST-CON-GL 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667651</v>
      </c>
      <c r="F75" s="60">
        <f>'EAST-CON-GL '!D75</f>
        <v>0</v>
      </c>
      <c r="G75" s="38">
        <f>'EAST-CON-GL 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-8213</v>
      </c>
      <c r="F76" s="60">
        <f>'EAST-CON-GL '!D76</f>
        <v>0</v>
      </c>
      <c r="G76" s="38">
        <f>'EAST-CON-GL 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-3226809</v>
      </c>
      <c r="H77" s="60">
        <f t="shared" si="14"/>
        <v>0</v>
      </c>
      <c r="I77" s="38">
        <f t="shared" si="14"/>
        <v>-2000000</v>
      </c>
    </row>
    <row r="78" spans="1:9" x14ac:dyDescent="0.2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878217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-1987039</v>
      </c>
      <c r="F81" s="60">
        <f>'EAST-CON-GL '!D81</f>
        <v>-31269</v>
      </c>
      <c r="G81" s="38">
        <f>'EAST-CON-GL '!E81</f>
        <v>1019655.87</v>
      </c>
      <c r="H81" s="60">
        <f>F81-D81</f>
        <v>-31269</v>
      </c>
      <c r="I81" s="38">
        <f>G81-E81</f>
        <v>3006694.87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-1797660.9859453542</v>
      </c>
      <c r="F82" s="111">
        <f>F16+F24+F29+F36+F43+F45+F47+F49</f>
        <v>-8178</v>
      </c>
      <c r="G82" s="112">
        <f>SUM(G72:G81)+G16+G24+G29+G36+G43+G45+G47+G49+G51+G56+G61+G66</f>
        <v>-1390327.8499999868</v>
      </c>
      <c r="H82" s="111">
        <f>H16+H24+H29+H36+H43+H45+H47+H49</f>
        <v>-8178</v>
      </c>
      <c r="I82" s="112">
        <f>SUM(I72:I81)+I16+I24+I29+I36+I43+I45+I47+I49+I51+I56+I61+I66</f>
        <v>407333.13594538241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'EAST-CON-FLSH'!L86</f>
        <v>0</v>
      </c>
      <c r="E86" s="175">
        <f>'EAST-CON-FLSH'!M86</f>
        <v>-199187</v>
      </c>
      <c r="F86" s="175">
        <f>'EAST-CON-GL '!D86</f>
        <v>0</v>
      </c>
      <c r="G86" s="175">
        <f>'EAST-CON-GL 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">
      <c r="A87" s="174"/>
      <c r="B87" s="3"/>
      <c r="C87" s="10" t="s">
        <v>73</v>
      </c>
      <c r="D87" s="176">
        <f>'EAST-CON-FLSH'!L87</f>
        <v>0</v>
      </c>
      <c r="E87" s="176">
        <f>'EAST-CON-FLSH'!M87</f>
        <v>0</v>
      </c>
      <c r="F87" s="176">
        <f>'EAST-CON-GL '!D87</f>
        <v>0</v>
      </c>
      <c r="G87" s="176">
        <f>'EAST-CON-GL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'EAST-CON-FLSH'!L88</f>
        <v>0</v>
      </c>
      <c r="E88" s="177">
        <f>'EAST-CON-FLSH'!M88</f>
        <v>0</v>
      </c>
      <c r="F88" s="177">
        <f>'EAST-CON-GL '!D88</f>
        <v>0</v>
      </c>
      <c r="G88" s="177">
        <f>'EAST-CON-GL '!E88</f>
        <v>0</v>
      </c>
      <c r="H88" s="177">
        <f t="shared" si="15"/>
        <v>0</v>
      </c>
      <c r="I88" s="177">
        <f t="shared" si="15"/>
        <v>0</v>
      </c>
    </row>
    <row r="89" spans="1:63" ht="15" x14ac:dyDescent="0.2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-199187</v>
      </c>
      <c r="F89" s="185">
        <f t="shared" si="16"/>
        <v>0</v>
      </c>
      <c r="G89" s="185">
        <f t="shared" si="16"/>
        <v>-199187.04</v>
      </c>
      <c r="H89" s="185">
        <f t="shared" si="16"/>
        <v>0</v>
      </c>
      <c r="I89" s="185">
        <f t="shared" si="16"/>
        <v>-4.0000000008149073E-2</v>
      </c>
    </row>
    <row r="90" spans="1:63" x14ac:dyDescent="0.2">
      <c r="A90" s="4"/>
      <c r="B90" s="3"/>
      <c r="F90" s="31"/>
      <c r="G90" s="31"/>
      <c r="H90" s="31"/>
      <c r="I90" s="31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-1996847.9859453542</v>
      </c>
      <c r="F91" s="190">
        <f t="shared" si="17"/>
        <v>-8178</v>
      </c>
      <c r="G91" s="190">
        <f t="shared" si="17"/>
        <v>-1589514.8899999869</v>
      </c>
      <c r="H91" s="190">
        <f t="shared" si="17"/>
        <v>-8178</v>
      </c>
      <c r="I91" s="190">
        <f t="shared" si="17"/>
        <v>407333.09594538237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4"/>
      <c r="B94" s="195"/>
      <c r="D94" s="31"/>
      <c r="E94" s="14">
        <f>+'EAST-EGM-VAR'!E91+'EAST-LRC-VAR'!E82</f>
        <v>-1996847.9859453542</v>
      </c>
      <c r="G94" s="14">
        <f>+'EAST-EGM-VAR'!G91+'EAST-LRC-VAR'!G82</f>
        <v>-1589514.8900000136</v>
      </c>
      <c r="I94" s="14">
        <f>+'EAST-EGM-VAR'!I91+'EAST-LRC-VAR'!I82</f>
        <v>407333.09594532708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'TX-EGM-FLSH'!L11</f>
        <v>50782978</v>
      </c>
      <c r="E11" s="66">
        <f>'TX-EGM-FLSH'!M11</f>
        <v>118286936.95999998</v>
      </c>
      <c r="F11" s="60">
        <f>'TX-EGM-GL'!D11</f>
        <v>49835777</v>
      </c>
      <c r="G11" s="38">
        <f>'TX-EGM-GL'!E11</f>
        <v>118641300.59999999</v>
      </c>
      <c r="H11" s="60">
        <f>F11-D11</f>
        <v>-947201</v>
      </c>
      <c r="I11" s="38">
        <f>G11-E11</f>
        <v>354363.6400000155</v>
      </c>
    </row>
    <row r="12" spans="1:22" x14ac:dyDescent="0.2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-3061539.4299999997</v>
      </c>
      <c r="H12" s="60">
        <f>F12-D12</f>
        <v>0</v>
      </c>
      <c r="I12" s="38">
        <f>G12-E12</f>
        <v>-3061539.4299999997</v>
      </c>
    </row>
    <row r="13" spans="1:22" x14ac:dyDescent="0.2">
      <c r="A13" s="9">
        <v>3</v>
      </c>
      <c r="B13" s="7"/>
      <c r="C13" s="18" t="s">
        <v>29</v>
      </c>
      <c r="D13" s="65">
        <f>'TX-EGM-FLSH'!L13</f>
        <v>71127</v>
      </c>
      <c r="E13" s="66">
        <f>'TX-EGM-FLSH'!M13</f>
        <v>159944.9</v>
      </c>
      <c r="F13" s="60">
        <f>'TX-EGM-GL'!D13</f>
        <v>33068401</v>
      </c>
      <c r="G13" s="38">
        <f>'TX-EGM-GL'!E13</f>
        <v>74404619</v>
      </c>
      <c r="H13" s="60">
        <f t="shared" ref="H13:I15" si="0">F13-D13</f>
        <v>32997274</v>
      </c>
      <c r="I13" s="38">
        <f t="shared" si="0"/>
        <v>74244674.099999994</v>
      </c>
    </row>
    <row r="14" spans="1:22" x14ac:dyDescent="0.2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50854105</v>
      </c>
      <c r="E16" s="39">
        <f t="shared" si="1"/>
        <v>118446881.85999998</v>
      </c>
      <c r="F16" s="61">
        <f t="shared" si="1"/>
        <v>82904178</v>
      </c>
      <c r="G16" s="39">
        <f t="shared" si="1"/>
        <v>189984380.16999999</v>
      </c>
      <c r="H16" s="61">
        <f t="shared" si="1"/>
        <v>32050073</v>
      </c>
      <c r="I16" s="39">
        <f t="shared" si="1"/>
        <v>71537498.310000002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'TX-EGM-FLSH'!L19</f>
        <v>-56565409</v>
      </c>
      <c r="E19" s="66">
        <f>'TX-EGM-FLSH'!M19</f>
        <v>-129583943.57000001</v>
      </c>
      <c r="F19" s="60">
        <f>'TX-EGM-GL'!D19</f>
        <v>-40757693</v>
      </c>
      <c r="G19" s="38">
        <f>'TX-EGM-GL'!E19</f>
        <v>-91742607.249999985</v>
      </c>
      <c r="H19" s="60">
        <f>F19-D19</f>
        <v>15807716</v>
      </c>
      <c r="I19" s="38">
        <f>G19-E19</f>
        <v>37841336.320000023</v>
      </c>
    </row>
    <row r="20" spans="1:9" x14ac:dyDescent="0.2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-602673.74000000011</v>
      </c>
      <c r="H20" s="60">
        <f>F20-D20</f>
        <v>0</v>
      </c>
      <c r="I20" s="38">
        <f>G20-E20</f>
        <v>-602673.74000000011</v>
      </c>
    </row>
    <row r="21" spans="1:9" x14ac:dyDescent="0.2">
      <c r="A21" s="9">
        <v>8</v>
      </c>
      <c r="B21" s="7"/>
      <c r="C21" s="18" t="s">
        <v>29</v>
      </c>
      <c r="D21" s="65">
        <f>'TX-EGM-FLSH'!L21</f>
        <v>-2052275</v>
      </c>
      <c r="E21" s="66">
        <f>'TX-EGM-FLSH'!M21</f>
        <v>-4472679.1100000003</v>
      </c>
      <c r="F21" s="60">
        <f>'TX-EGM-GL'!D21</f>
        <v>-35034400</v>
      </c>
      <c r="G21" s="38">
        <f>'TX-EGM-GL'!E21</f>
        <v>-78683911</v>
      </c>
      <c r="H21" s="60">
        <f t="shared" ref="H21:I23" si="2">F21-D21</f>
        <v>-32982125</v>
      </c>
      <c r="I21" s="38">
        <f t="shared" si="2"/>
        <v>-74211231.890000001</v>
      </c>
    </row>
    <row r="22" spans="1:9" x14ac:dyDescent="0.2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11841</v>
      </c>
      <c r="G23" s="38">
        <f>'TX-EGM-GL'!E23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-58617684</v>
      </c>
      <c r="E24" s="39">
        <f t="shared" si="3"/>
        <v>-134056622.68000001</v>
      </c>
      <c r="F24" s="61">
        <f t="shared" si="3"/>
        <v>-75780252</v>
      </c>
      <c r="G24" s="39">
        <f t="shared" si="3"/>
        <v>-171002099.77999997</v>
      </c>
      <c r="H24" s="61">
        <f t="shared" si="3"/>
        <v>-17162568</v>
      </c>
      <c r="I24" s="39">
        <f t="shared" si="3"/>
        <v>-36945477.099999979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'TX-EGM-FLSH'!L27</f>
        <v>32997274</v>
      </c>
      <c r="E27" s="66">
        <f>'TX-EGM-FLSH'!M27</f>
        <v>74244674.739999995</v>
      </c>
      <c r="F27" s="60">
        <f>'TX-EGM-GL'!D27</f>
        <v>216189</v>
      </c>
      <c r="G27" s="38">
        <f>'TX-EGM-GL'!E27</f>
        <v>508044.6</v>
      </c>
      <c r="H27" s="60">
        <f>F27-D27</f>
        <v>-32781085</v>
      </c>
      <c r="I27" s="38">
        <f>G27-E27</f>
        <v>-73736630.140000001</v>
      </c>
    </row>
    <row r="28" spans="1:9" x14ac:dyDescent="0.2">
      <c r="A28" s="9">
        <v>12</v>
      </c>
      <c r="B28" s="7"/>
      <c r="C28" s="18" t="s">
        <v>38</v>
      </c>
      <c r="D28" s="65">
        <f>'TX-EGM-FLSH'!L28</f>
        <v>-33022074</v>
      </c>
      <c r="E28" s="66">
        <f>'TX-EGM-FLSH'!M28</f>
        <v>-74302955</v>
      </c>
      <c r="F28" s="60">
        <f>'TX-EGM-GL'!D28</f>
        <v>-15244992</v>
      </c>
      <c r="G28" s="38">
        <f>'TX-EGM-GL'!E28</f>
        <v>-35694043.590000011</v>
      </c>
      <c r="H28" s="60">
        <f>F28-D28</f>
        <v>17777082</v>
      </c>
      <c r="I28" s="38">
        <f>G28-E28</f>
        <v>38608911.409999989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-58280.260000005364</v>
      </c>
      <c r="F29" s="69">
        <f t="shared" si="4"/>
        <v>-15028803</v>
      </c>
      <c r="G29" s="70">
        <f t="shared" si="4"/>
        <v>-35185998.99000001</v>
      </c>
      <c r="H29" s="69">
        <f t="shared" si="4"/>
        <v>-15004003</v>
      </c>
      <c r="I29" s="70">
        <f t="shared" si="4"/>
        <v>-35127718.730000012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-346079</v>
      </c>
      <c r="G32" s="38">
        <f>'TX-EGM-GL'!E32</f>
        <v>-791829.28200000012</v>
      </c>
      <c r="H32" s="60">
        <f>F32-D32</f>
        <v>-346079</v>
      </c>
      <c r="I32" s="38">
        <f>G32-E32</f>
        <v>-791829.28200000012</v>
      </c>
    </row>
    <row r="33" spans="1:9" x14ac:dyDescent="0.2">
      <c r="A33" s="9">
        <v>14</v>
      </c>
      <c r="B33" s="7"/>
      <c r="C33" s="18" t="s">
        <v>42</v>
      </c>
      <c r="D33" s="65">
        <f>'TX-EGM-FLSH'!L33</f>
        <v>1027777</v>
      </c>
      <c r="E33" s="66">
        <f>'TX-EGM-FLSH'!M33</f>
        <v>1867759.4615309306</v>
      </c>
      <c r="F33" s="60">
        <f>'TX-EGM-GL'!D33</f>
        <v>0</v>
      </c>
      <c r="G33" s="38">
        <f>'TX-EGM-GL'!E33</f>
        <v>0</v>
      </c>
      <c r="H33" s="60">
        <f t="shared" ref="H33:I35" si="5">F33-D33</f>
        <v>-1027777</v>
      </c>
      <c r="I33" s="38">
        <f t="shared" si="5"/>
        <v>-1867759.4615309306</v>
      </c>
    </row>
    <row r="34" spans="1:9" x14ac:dyDescent="0.2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1027777</v>
      </c>
      <c r="E36" s="39">
        <f t="shared" si="6"/>
        <v>1867759.4615309306</v>
      </c>
      <c r="F36" s="61">
        <f t="shared" si="6"/>
        <v>-346079</v>
      </c>
      <c r="G36" s="39">
        <f t="shared" si="6"/>
        <v>-791829.27200000011</v>
      </c>
      <c r="H36" s="61">
        <f t="shared" si="6"/>
        <v>-1373856</v>
      </c>
      <c r="I36" s="39">
        <f t="shared" si="6"/>
        <v>-2659588.7335309312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'TX-EGM-FLSH'!L39</f>
        <v>7337145</v>
      </c>
      <c r="E39" s="66">
        <f>'TX-EGM-FLSH'!M39</f>
        <v>16945465.600000001</v>
      </c>
      <c r="F39" s="60">
        <f>'TX-EGM-GL'!D39</f>
        <v>8201384</v>
      </c>
      <c r="G39" s="38">
        <f>'TX-EGM-GL'!E39</f>
        <v>19714309.420000002</v>
      </c>
      <c r="H39" s="60">
        <f t="shared" ref="H39:I41" si="7">F39-D39</f>
        <v>864239</v>
      </c>
      <c r="I39" s="38">
        <f t="shared" si="7"/>
        <v>2768843.8200000003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'TX-EGM-FLSH'!L40</f>
        <v>-576543</v>
      </c>
      <c r="E40" s="66">
        <f>'TX-EGM-FLSH'!M40</f>
        <v>-1293656.32</v>
      </c>
      <c r="F40" s="60">
        <f>'TX-EGM-GL'!D40</f>
        <v>0</v>
      </c>
      <c r="G40" s="38">
        <f>'TX-EGM-GL'!E40</f>
        <v>0</v>
      </c>
      <c r="H40" s="60">
        <f t="shared" si="7"/>
        <v>576543</v>
      </c>
      <c r="I40" s="38">
        <f t="shared" si="7"/>
        <v>1293656.32</v>
      </c>
    </row>
    <row r="41" spans="1:9" x14ac:dyDescent="0.2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-1293656.32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1271313.32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15651809.280000001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4040157.1400000006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49572</v>
      </c>
      <c r="G49" s="38">
        <f>'TX-EGM-GL'!E49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-11841</v>
      </c>
      <c r="G51" s="38">
        <f>'TX-EGM-GL'!E51</f>
        <v>-8201.2100000000009</v>
      </c>
      <c r="H51" s="60">
        <f>F51-D51</f>
        <v>-11841</v>
      </c>
      <c r="I51" s="38">
        <f>G51-E51</f>
        <v>16798.79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-992568.27</v>
      </c>
      <c r="F54" s="60">
        <f>'TX-EGM-GL'!D54</f>
        <v>-7481707</v>
      </c>
      <c r="G54" s="38">
        <f>'TX-EGM-GL'!E54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-355114.91999999993</v>
      </c>
      <c r="H56" s="61">
        <f t="shared" si="10"/>
        <v>-7481707</v>
      </c>
      <c r="I56" s="39">
        <f t="shared" si="10"/>
        <v>637453.35000000009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8204.74</v>
      </c>
      <c r="H59" s="60">
        <f>F59-D59</f>
        <v>0</v>
      </c>
      <c r="I59" s="38">
        <f>G59-E59</f>
        <v>8204.74</v>
      </c>
    </row>
    <row r="60" spans="1:9" x14ac:dyDescent="0.2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8204.74</v>
      </c>
      <c r="H61" s="69">
        <f t="shared" si="11"/>
        <v>0</v>
      </c>
      <c r="I61" s="70">
        <f t="shared" si="11"/>
        <v>8204.74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-57911952</v>
      </c>
      <c r="G64" s="38">
        <f>'TX-EGM-GL'!E64</f>
        <v>-1111113.99</v>
      </c>
      <c r="H64" s="60">
        <f>F64-D64</f>
        <v>-57911952</v>
      </c>
      <c r="I64" s="38">
        <f>G64-E64</f>
        <v>-1111113.99</v>
      </c>
    </row>
    <row r="65" spans="1:9" x14ac:dyDescent="0.2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1039798</v>
      </c>
      <c r="H65" s="60">
        <f>F65-D65</f>
        <v>0</v>
      </c>
      <c r="I65" s="38">
        <f>G65-E65</f>
        <v>1039798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-57911952</v>
      </c>
      <c r="G66" s="39">
        <f t="shared" si="12"/>
        <v>-71315.989999999991</v>
      </c>
      <c r="H66" s="61">
        <f t="shared" si="12"/>
        <v>-57911952</v>
      </c>
      <c r="I66" s="39">
        <f t="shared" si="12"/>
        <v>-71315.989999999991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250999.06</v>
      </c>
      <c r="F70" s="60">
        <f>'TX-EGM-GL'!D70</f>
        <v>0</v>
      </c>
      <c r="G70" s="38">
        <f>'TX-EGM-GL'!E70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-1054678</v>
      </c>
      <c r="F71" s="60">
        <f>'TX-EGM-GL'!D71</f>
        <v>0</v>
      </c>
      <c r="G71" s="38">
        <f>'TX-EGM-GL'!E71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1019748.41</v>
      </c>
      <c r="F74" s="60">
        <f>'TX-EGM-GL'!D74</f>
        <v>0</v>
      </c>
      <c r="G74" s="38">
        <f>'TX-EGM-GL'!E74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81200</v>
      </c>
      <c r="F75" s="60">
        <f>'TX-EGM-GL'!D75</f>
        <v>0</v>
      </c>
      <c r="G75" s="38">
        <f>'TX-EGM-GL'!E75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-4060</v>
      </c>
      <c r="F76" s="60">
        <f>'TX-EGM-GL'!D76</f>
        <v>0</v>
      </c>
      <c r="G76" s="38">
        <f>'TX-EGM-GL'!E76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1018888.8615309033</v>
      </c>
      <c r="F82" s="111">
        <f>F16+F24+F29+F36+F43+F45+F47+F49</f>
        <v>0</v>
      </c>
      <c r="G82" s="112">
        <f>SUM(G72:G81)+G16+G24+G29+G36+G43+G45+G47+G49+G51+G56+G61+G66</f>
        <v>2660596.9240000192</v>
      </c>
      <c r="H82" s="111">
        <f>H16+H24+H29+H36+H43+H45+H47+H49</f>
        <v>0</v>
      </c>
      <c r="I82" s="112">
        <f>SUM(I72:I81)+I16+I24+I29+I36+I43+I45+I47+I49+I51+I56+I61+I66</f>
        <v>1641708.0624690782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'TX-EGM-FLSH'!L86</f>
        <v>0</v>
      </c>
      <c r="E86" s="175">
        <f>'TX-EGM-FLSH'!M86</f>
        <v>114066</v>
      </c>
      <c r="F86" s="175">
        <f>'TX-EGM-GL'!D86</f>
        <v>0</v>
      </c>
      <c r="G86" s="175">
        <f>'TX-EGM-GL'!E86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">
      <c r="A87" s="174"/>
      <c r="B87" s="3"/>
      <c r="C87" s="10" t="s">
        <v>73</v>
      </c>
      <c r="D87" s="176">
        <f>'TX-EGM-FLSH'!L87</f>
        <v>0</v>
      </c>
      <c r="E87" s="176">
        <f>'TX-EGM-FLSH'!M87</f>
        <v>0</v>
      </c>
      <c r="F87" s="176">
        <f>'TX-EGM-GL'!D87</f>
        <v>0</v>
      </c>
      <c r="G87" s="176">
        <f>'TX-EGM-GL'!E87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'TX-EGM-FLSH'!L88</f>
        <v>0</v>
      </c>
      <c r="E88" s="177">
        <f>'TX-EGM-FLSH'!M88</f>
        <v>-113464</v>
      </c>
      <c r="F88" s="177">
        <f>'TX-EGM-GL'!D88</f>
        <v>0</v>
      </c>
      <c r="G88" s="177">
        <f>'TX-EGM-GL'!E88</f>
        <v>-35600</v>
      </c>
      <c r="H88" s="177">
        <f t="shared" si="15"/>
        <v>0</v>
      </c>
      <c r="I88" s="177">
        <f t="shared" si="15"/>
        <v>77864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602</v>
      </c>
      <c r="F89" s="190">
        <f t="shared" si="16"/>
        <v>0</v>
      </c>
      <c r="G89" s="190">
        <f t="shared" si="16"/>
        <v>33730.429999999993</v>
      </c>
      <c r="H89" s="190">
        <f t="shared" si="16"/>
        <v>0</v>
      </c>
      <c r="I89" s="190">
        <f t="shared" si="16"/>
        <v>33128.429999999993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1019490.8615309033</v>
      </c>
      <c r="F91" s="190">
        <f t="shared" si="17"/>
        <v>0</v>
      </c>
      <c r="G91" s="190">
        <f t="shared" si="17"/>
        <v>2694327.3540000194</v>
      </c>
      <c r="H91" s="190">
        <f t="shared" si="17"/>
        <v>0</v>
      </c>
      <c r="I91" s="190">
        <f t="shared" si="17"/>
        <v>1674836.4924690782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'TX-HPL-FLSH'!L11</f>
        <v>942514</v>
      </c>
      <c r="E11" s="66">
        <f>'TX-HPL-FLSH'!M11</f>
        <v>2190441.0400000215</v>
      </c>
      <c r="F11" s="60">
        <f>'TX-HPL-GL '!D11</f>
        <v>949375</v>
      </c>
      <c r="G11" s="38">
        <f>'TX-HPL-GL '!E11</f>
        <v>2134834.7200000002</v>
      </c>
      <c r="H11" s="60">
        <f>F11-D11</f>
        <v>6861</v>
      </c>
      <c r="I11" s="38">
        <f>G11-E11</f>
        <v>-55606.320000021253</v>
      </c>
    </row>
    <row r="12" spans="1:22" x14ac:dyDescent="0.2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4146.6399999999994</v>
      </c>
      <c r="H12" s="60">
        <f>F12-D12</f>
        <v>0</v>
      </c>
      <c r="I12" s="38">
        <f>G12-E12</f>
        <v>4146.6399999999994</v>
      </c>
    </row>
    <row r="13" spans="1:22" x14ac:dyDescent="0.2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-0.89999999999417923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0.89999999999417923</v>
      </c>
    </row>
    <row r="14" spans="1:22" x14ac:dyDescent="0.2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942514</v>
      </c>
      <c r="E16" s="39">
        <f t="shared" si="1"/>
        <v>2190440.1400000216</v>
      </c>
      <c r="F16" s="61">
        <f t="shared" si="1"/>
        <v>949375</v>
      </c>
      <c r="G16" s="39">
        <f t="shared" si="1"/>
        <v>2138981.3600000003</v>
      </c>
      <c r="H16" s="61">
        <f t="shared" si="1"/>
        <v>6861</v>
      </c>
      <c r="I16" s="39">
        <f t="shared" si="1"/>
        <v>-51458.780000021259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'TX-HPL-FLSH'!L19</f>
        <v>-1123944</v>
      </c>
      <c r="E19" s="66">
        <f>'TX-HPL-FLSH'!M19</f>
        <v>-2561345.4299999923</v>
      </c>
      <c r="F19" s="60">
        <f>'TX-HPL-GL '!D19</f>
        <v>-1120385</v>
      </c>
      <c r="G19" s="38">
        <f>'TX-HPL-GL '!E19</f>
        <v>-2524336.4900000002</v>
      </c>
      <c r="H19" s="60">
        <f>F19-D19</f>
        <v>3559</v>
      </c>
      <c r="I19" s="38">
        <f>G19-E19</f>
        <v>37008.939999992028</v>
      </c>
    </row>
    <row r="20" spans="1:9" x14ac:dyDescent="0.2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-12522.5</v>
      </c>
      <c r="H20" s="60">
        <f>F20-D20</f>
        <v>0</v>
      </c>
      <c r="I20" s="38">
        <f>G20-E20</f>
        <v>-12522.5</v>
      </c>
    </row>
    <row r="21" spans="1:9" x14ac:dyDescent="0.2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0.10999999940395355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-0.10999999940395355</v>
      </c>
    </row>
    <row r="22" spans="1:9" x14ac:dyDescent="0.2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'TX-HPL-FLSH'!L23</f>
        <v>0</v>
      </c>
      <c r="E23" s="66">
        <f>'TX-HPL-FLSH'!M23</f>
        <v>0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-1123944</v>
      </c>
      <c r="E24" s="39">
        <f t="shared" si="3"/>
        <v>-2561345.3199999928</v>
      </c>
      <c r="F24" s="61">
        <f t="shared" si="3"/>
        <v>-1120385</v>
      </c>
      <c r="G24" s="39">
        <f t="shared" si="3"/>
        <v>-2536858.9900000002</v>
      </c>
      <c r="H24" s="61">
        <f t="shared" si="3"/>
        <v>3559</v>
      </c>
      <c r="I24" s="39">
        <f t="shared" si="3"/>
        <v>24486.329999992624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'TX-HPL-FLSH'!L27</f>
        <v>0</v>
      </c>
      <c r="E27" s="66">
        <f>'TX-HPL-FLSH'!M27</f>
        <v>0</v>
      </c>
      <c r="F27" s="60">
        <f>'TX-HPL-GL '!D27</f>
        <v>179837</v>
      </c>
      <c r="G27" s="38">
        <f>'TX-HPL-GL '!E27</f>
        <v>423248.48820000002</v>
      </c>
      <c r="H27" s="60">
        <f>F27-D27</f>
        <v>179837</v>
      </c>
      <c r="I27" s="38">
        <f>G27-E27</f>
        <v>423248.48820000002</v>
      </c>
    </row>
    <row r="28" spans="1:9" x14ac:dyDescent="0.2">
      <c r="A28" s="9">
        <v>12</v>
      </c>
      <c r="B28" s="7"/>
      <c r="C28" s="18" t="s">
        <v>38</v>
      </c>
      <c r="D28" s="65">
        <f>'TX-HPL-FLSH'!L28</f>
        <v>0</v>
      </c>
      <c r="E28" s="66">
        <f>'TX-HPL-FLSH'!M28</f>
        <v>2</v>
      </c>
      <c r="F28" s="60">
        <f>'TX-HPL-GL '!D28</f>
        <v>-8835</v>
      </c>
      <c r="G28" s="38">
        <f>'TX-HPL-GL '!E28</f>
        <v>-20067.32</v>
      </c>
      <c r="H28" s="60">
        <f>F28-D28</f>
        <v>-8835</v>
      </c>
      <c r="I28" s="38">
        <f>G28-E28</f>
        <v>-20069.32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2</v>
      </c>
      <c r="F29" s="69">
        <f t="shared" si="4"/>
        <v>171002</v>
      </c>
      <c r="G29" s="70">
        <f t="shared" si="4"/>
        <v>403181.16820000001</v>
      </c>
      <c r="H29" s="69">
        <f t="shared" si="4"/>
        <v>171002</v>
      </c>
      <c r="I29" s="70">
        <f t="shared" si="4"/>
        <v>403179.16820000001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8</v>
      </c>
      <c r="G32" s="38">
        <f>'TX-HPL-GL '!E32</f>
        <v>18.3</v>
      </c>
      <c r="H32" s="60">
        <f>F32-D32</f>
        <v>8</v>
      </c>
      <c r="I32" s="38">
        <f>G32-E32</f>
        <v>18.3</v>
      </c>
    </row>
    <row r="33" spans="1:9" x14ac:dyDescent="0.2">
      <c r="A33" s="9">
        <v>14</v>
      </c>
      <c r="B33" s="7"/>
      <c r="C33" s="18" t="s">
        <v>42</v>
      </c>
      <c r="D33" s="65">
        <f>'TX-HPL-FLSH'!L33</f>
        <v>181430</v>
      </c>
      <c r="E33" s="66">
        <f>'TX-HPL-FLSH'!M33</f>
        <v>899183.66491468926</v>
      </c>
      <c r="F33" s="60">
        <f>'TX-HPL-GL '!D33</f>
        <v>0</v>
      </c>
      <c r="G33" s="38">
        <f>'TX-HPL-GL '!E33</f>
        <v>0</v>
      </c>
      <c r="H33" s="60">
        <f t="shared" ref="H33:I35" si="5">F33-D33</f>
        <v>-181430</v>
      </c>
      <c r="I33" s="38">
        <f t="shared" si="5"/>
        <v>-899183.66491468926</v>
      </c>
    </row>
    <row r="34" spans="1:9" x14ac:dyDescent="0.2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181430</v>
      </c>
      <c r="E36" s="39">
        <f t="shared" si="6"/>
        <v>899183.66491468926</v>
      </c>
      <c r="F36" s="61">
        <f t="shared" si="6"/>
        <v>8</v>
      </c>
      <c r="G36" s="39">
        <f t="shared" si="6"/>
        <v>18.3</v>
      </c>
      <c r="H36" s="61">
        <f t="shared" si="6"/>
        <v>-181422</v>
      </c>
      <c r="I36" s="39">
        <f t="shared" si="6"/>
        <v>-899165.36491468921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-0.60000000149011612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0.60000000149011612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-0.67999999993480742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0.67999999993480742</v>
      </c>
    </row>
    <row r="41" spans="1:9" x14ac:dyDescent="0.2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-0.67999999993480742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0.67999999993480742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-1.2800000014249235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1.2800000014249235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-669793</v>
      </c>
      <c r="H55" s="60">
        <f>F55-D55</f>
        <v>0</v>
      </c>
      <c r="I55" s="38">
        <f>G55-E55</f>
        <v>-669793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-669793</v>
      </c>
      <c r="H56" s="61">
        <f t="shared" si="10"/>
        <v>0</v>
      </c>
      <c r="I56" s="39">
        <f t="shared" si="10"/>
        <v>-669793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-4542.88</v>
      </c>
      <c r="H59" s="60">
        <f>F59-D59</f>
        <v>0</v>
      </c>
      <c r="I59" s="38">
        <f>G59-E59</f>
        <v>-4542.88</v>
      </c>
    </row>
    <row r="60" spans="1:9" x14ac:dyDescent="0.2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-4542.88</v>
      </c>
      <c r="H61" s="69">
        <f t="shared" si="11"/>
        <v>0</v>
      </c>
      <c r="I61" s="70">
        <f t="shared" si="11"/>
        <v>-4542.88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-850463</v>
      </c>
      <c r="G64" s="38">
        <f>'TX-HPL-GL '!E64</f>
        <v>-97852.200000000012</v>
      </c>
      <c r="H64" s="60">
        <f>F64-D64</f>
        <v>-850463</v>
      </c>
      <c r="I64" s="38">
        <f>G64-E64</f>
        <v>-97852.200000000012</v>
      </c>
    </row>
    <row r="65" spans="1:9" x14ac:dyDescent="0.2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169025</v>
      </c>
      <c r="H65" s="60">
        <f>F65-D65</f>
        <v>0</v>
      </c>
      <c r="I65" s="38">
        <f>G65-E65</f>
        <v>169025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-850463</v>
      </c>
      <c r="G66" s="39">
        <f t="shared" si="12"/>
        <v>71172.799999999988</v>
      </c>
      <c r="H66" s="61">
        <f t="shared" si="12"/>
        <v>-850463</v>
      </c>
      <c r="I66" s="39">
        <f t="shared" si="12"/>
        <v>71172.799999999988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553279.20491471654</v>
      </c>
      <c r="F82" s="111">
        <f>F16+F24+F29+F36+F43+F45+F47+F49</f>
        <v>0</v>
      </c>
      <c r="G82" s="112">
        <f>SUM(G72:G81)+G16+G24+G29+G36+G43+G45+G47+G49+G51+G56+G61+G66</f>
        <v>-576398.24179999996</v>
      </c>
      <c r="H82" s="111">
        <f>H16+H24+H29+H36+H43+H45+H47+H49</f>
        <v>0</v>
      </c>
      <c r="I82" s="112">
        <f>SUM(I72:I81)+I16+I24+I29+I36+I43+I45+I47+I49+I51+I56+I61+I66</f>
        <v>-1129677.4467147163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'TX-CON-FLSH'!L11</f>
        <v>51725492</v>
      </c>
      <c r="E11" s="66">
        <f>'TX-CON-FLSH'!M11</f>
        <v>120477378</v>
      </c>
      <c r="F11" s="60">
        <f>'TX-CON-GL '!D11</f>
        <v>50785152</v>
      </c>
      <c r="G11" s="38">
        <f>'TX-CON-GL '!E11</f>
        <v>120776135.31999999</v>
      </c>
      <c r="H11" s="60">
        <f>F11-D11</f>
        <v>-940340</v>
      </c>
      <c r="I11" s="38">
        <f>G11-E11</f>
        <v>298757.31999999285</v>
      </c>
    </row>
    <row r="12" spans="1:22" x14ac:dyDescent="0.2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-3057392.79</v>
      </c>
      <c r="H12" s="60">
        <f>F12-D12</f>
        <v>0</v>
      </c>
      <c r="I12" s="38">
        <f>G12-E12</f>
        <v>-3057392.79</v>
      </c>
    </row>
    <row r="13" spans="1:22" x14ac:dyDescent="0.2">
      <c r="A13" s="9">
        <v>3</v>
      </c>
      <c r="B13" s="7"/>
      <c r="C13" s="18" t="s">
        <v>29</v>
      </c>
      <c r="D13" s="65">
        <f>'TX-CON-FLSH'!L13</f>
        <v>71127</v>
      </c>
      <c r="E13" s="66">
        <f>'TX-CON-FLSH'!M13</f>
        <v>159944</v>
      </c>
      <c r="F13" s="60">
        <f>'TX-CON-GL '!D13</f>
        <v>33068401</v>
      </c>
      <c r="G13" s="38">
        <f>'TX-CON-GL '!E13</f>
        <v>74404619</v>
      </c>
      <c r="H13" s="60">
        <f t="shared" ref="H13:I15" si="0">F13-D13</f>
        <v>32997274</v>
      </c>
      <c r="I13" s="38">
        <f t="shared" si="0"/>
        <v>74244675</v>
      </c>
    </row>
    <row r="14" spans="1:22" x14ac:dyDescent="0.2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51796619</v>
      </c>
      <c r="E16" s="39">
        <f t="shared" si="1"/>
        <v>120637322</v>
      </c>
      <c r="F16" s="61">
        <f t="shared" si="1"/>
        <v>83853553</v>
      </c>
      <c r="G16" s="39">
        <f t="shared" si="1"/>
        <v>192123361.52999997</v>
      </c>
      <c r="H16" s="61">
        <f t="shared" si="1"/>
        <v>32056934</v>
      </c>
      <c r="I16" s="39">
        <f t="shared" si="1"/>
        <v>71486039.529999986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'TX-CON-FLSH'!L19</f>
        <v>-57689353</v>
      </c>
      <c r="E19" s="66">
        <f>'TX-CON-FLSH'!M19</f>
        <v>-132145289</v>
      </c>
      <c r="F19" s="60">
        <f>'TX-CON-GL '!D19</f>
        <v>-41878078</v>
      </c>
      <c r="G19" s="38">
        <f>'TX-CON-GL '!E19</f>
        <v>-94266943.739999995</v>
      </c>
      <c r="H19" s="60">
        <f>F19-D19</f>
        <v>15811275</v>
      </c>
      <c r="I19" s="38">
        <f>G19-E19</f>
        <v>37878345.260000005</v>
      </c>
    </row>
    <row r="20" spans="1:9" x14ac:dyDescent="0.2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-615196.24000000011</v>
      </c>
      <c r="H20" s="60">
        <f>F20-D20</f>
        <v>0</v>
      </c>
      <c r="I20" s="38">
        <f>G20-E20</f>
        <v>-615196.24000000011</v>
      </c>
    </row>
    <row r="21" spans="1:9" x14ac:dyDescent="0.2">
      <c r="A21" s="9">
        <v>8</v>
      </c>
      <c r="B21" s="7"/>
      <c r="C21" s="18" t="s">
        <v>29</v>
      </c>
      <c r="D21" s="65">
        <f>'TX-CON-FLSH'!L21</f>
        <v>-2052275</v>
      </c>
      <c r="E21" s="66">
        <f>'TX-CON-FLSH'!M21</f>
        <v>-4472679.0000000009</v>
      </c>
      <c r="F21" s="60">
        <f>'TX-CON-GL '!D21</f>
        <v>-35034400</v>
      </c>
      <c r="G21" s="38">
        <f>'TX-CON-GL '!E21</f>
        <v>-78683911</v>
      </c>
      <c r="H21" s="60">
        <f t="shared" ref="H21:I23" si="2">F21-D21</f>
        <v>-32982125</v>
      </c>
      <c r="I21" s="38">
        <f t="shared" si="2"/>
        <v>-74211232</v>
      </c>
    </row>
    <row r="22" spans="1:9" x14ac:dyDescent="0.2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'TX-CON-FLSH'!L23</f>
        <v>0</v>
      </c>
      <c r="E23" s="66">
        <f>'TX-CON-FLSH'!M23</f>
        <v>0</v>
      </c>
      <c r="F23" s="60">
        <f>'TX-CON-GL '!D23</f>
        <v>11841</v>
      </c>
      <c r="G23" s="38">
        <f>'TX-CON-GL 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-59741628</v>
      </c>
      <c r="E24" s="39">
        <f t="shared" si="3"/>
        <v>-136617968</v>
      </c>
      <c r="F24" s="61">
        <f t="shared" si="3"/>
        <v>-76900637</v>
      </c>
      <c r="G24" s="39">
        <f t="shared" si="3"/>
        <v>-173538958.76999998</v>
      </c>
      <c r="H24" s="61">
        <f t="shared" si="3"/>
        <v>-17159009</v>
      </c>
      <c r="I24" s="39">
        <f t="shared" si="3"/>
        <v>-36920990.769999996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'TX-CON-FLSH'!L27</f>
        <v>32997274</v>
      </c>
      <c r="E27" s="66">
        <f>'TX-CON-FLSH'!M27</f>
        <v>74244674.739999995</v>
      </c>
      <c r="F27" s="60">
        <f>'TX-CON-GL '!D27</f>
        <v>396026</v>
      </c>
      <c r="G27" s="38">
        <f>'TX-CON-GL '!E27</f>
        <v>931293.08819999988</v>
      </c>
      <c r="H27" s="60">
        <f>F27-D27</f>
        <v>-32601248</v>
      </c>
      <c r="I27" s="38">
        <f>G27-E27</f>
        <v>-73313381.651799992</v>
      </c>
    </row>
    <row r="28" spans="1:9" x14ac:dyDescent="0.2">
      <c r="A28" s="9">
        <v>12</v>
      </c>
      <c r="B28" s="7"/>
      <c r="C28" s="18" t="s">
        <v>38</v>
      </c>
      <c r="D28" s="65">
        <f>'TX-CON-FLSH'!L28</f>
        <v>-33022074</v>
      </c>
      <c r="E28" s="66">
        <f>'TX-CON-FLSH'!M28</f>
        <v>-74302953</v>
      </c>
      <c r="F28" s="60">
        <f>'TX-CON-GL '!D28</f>
        <v>-15253827</v>
      </c>
      <c r="G28" s="38">
        <f>'TX-CON-GL '!E28</f>
        <v>-35714110.910000011</v>
      </c>
      <c r="H28" s="60">
        <f>F28-D28</f>
        <v>17768247</v>
      </c>
      <c r="I28" s="38">
        <f>G28-E28</f>
        <v>38588842.089999989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-14857801</v>
      </c>
      <c r="G29" s="70">
        <f t="shared" si="4"/>
        <v>-34782817.821800008</v>
      </c>
      <c r="H29" s="69">
        <f t="shared" si="4"/>
        <v>-14833001</v>
      </c>
      <c r="I29" s="70">
        <f t="shared" si="4"/>
        <v>-34724539.561800003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-346071</v>
      </c>
      <c r="G32" s="38">
        <f>'TX-CON-GL '!E32</f>
        <v>-791810.98199999984</v>
      </c>
      <c r="H32" s="60">
        <f>F32-D32</f>
        <v>-346071</v>
      </c>
      <c r="I32" s="38">
        <f>G32-E32</f>
        <v>-791810.98199999984</v>
      </c>
    </row>
    <row r="33" spans="1:9" x14ac:dyDescent="0.2">
      <c r="A33" s="9">
        <v>14</v>
      </c>
      <c r="B33" s="7"/>
      <c r="C33" s="18" t="s">
        <v>42</v>
      </c>
      <c r="D33" s="65">
        <f>'TX-CON-FLSH'!L33</f>
        <v>1209207</v>
      </c>
      <c r="E33" s="66">
        <f>'TX-CON-FLSH'!M33</f>
        <v>2766943.1264456199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-1209207</v>
      </c>
      <c r="I33" s="38">
        <f t="shared" si="5"/>
        <v>-2766943.1264456199</v>
      </c>
    </row>
    <row r="34" spans="1:9" x14ac:dyDescent="0.2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1209207</v>
      </c>
      <c r="E36" s="39">
        <f t="shared" si="6"/>
        <v>2766943.1264456199</v>
      </c>
      <c r="F36" s="61">
        <f t="shared" si="6"/>
        <v>-346071</v>
      </c>
      <c r="G36" s="39">
        <f t="shared" si="6"/>
        <v>-791810.97199999983</v>
      </c>
      <c r="H36" s="61">
        <f t="shared" si="6"/>
        <v>-1555278</v>
      </c>
      <c r="I36" s="39">
        <f t="shared" si="6"/>
        <v>-3558754.0984456199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'TX-CON-FLSH'!L39</f>
        <v>7337145</v>
      </c>
      <c r="E39" s="66">
        <f>'TX-CON-FLSH'!M39</f>
        <v>16945465</v>
      </c>
      <c r="F39" s="60">
        <f>'TX-CON-GL '!D39</f>
        <v>8201384</v>
      </c>
      <c r="G39" s="38">
        <f>'TX-CON-GL '!E39</f>
        <v>19714309.420000002</v>
      </c>
      <c r="H39" s="60">
        <f t="shared" ref="H39:I41" si="7">F39-D39</f>
        <v>864239</v>
      </c>
      <c r="I39" s="38">
        <f t="shared" si="7"/>
        <v>2768844.4200000018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'TX-CON-FLSH'!L40</f>
        <v>-576543</v>
      </c>
      <c r="E40" s="66">
        <f>'TX-CON-FLSH'!M40</f>
        <v>-1293657</v>
      </c>
      <c r="F40" s="60">
        <f>'TX-CON-GL '!D40</f>
        <v>0</v>
      </c>
      <c r="G40" s="38">
        <f>'TX-CON-GL '!E40</f>
        <v>0</v>
      </c>
      <c r="H40" s="60">
        <f t="shared" si="7"/>
        <v>576543</v>
      </c>
      <c r="I40" s="38">
        <f t="shared" si="7"/>
        <v>1293657</v>
      </c>
    </row>
    <row r="41" spans="1:9" x14ac:dyDescent="0.2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-1293657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15651808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4040158.4200000018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49572</v>
      </c>
      <c r="G49" s="38">
        <f>'TX-CON-GL 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-11841</v>
      </c>
      <c r="G51" s="38">
        <f>'TX-CON-GL '!E51</f>
        <v>-8201.2100000000009</v>
      </c>
      <c r="H51" s="60">
        <f>F51-D51</f>
        <v>-11841</v>
      </c>
      <c r="I51" s="38">
        <f>G51-E51</f>
        <v>-8201.2100000000009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-992568.27</v>
      </c>
      <c r="F54" s="60">
        <f>'TX-CON-GL '!D54</f>
        <v>-7481707</v>
      </c>
      <c r="G54" s="38">
        <f>'TX-CON-GL 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-669793</v>
      </c>
      <c r="H55" s="60">
        <f>F55-D55</f>
        <v>0</v>
      </c>
      <c r="I55" s="38">
        <f>G55-E55</f>
        <v>-669793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-1024907.9199999999</v>
      </c>
      <c r="H56" s="61">
        <f t="shared" si="10"/>
        <v>-7481707</v>
      </c>
      <c r="I56" s="39">
        <f t="shared" si="10"/>
        <v>-32339.649999999907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3661.8599999999997</v>
      </c>
      <c r="H59" s="60">
        <f>F59-D59</f>
        <v>0</v>
      </c>
      <c r="I59" s="38">
        <f>G59-E59</f>
        <v>3661.8599999999997</v>
      </c>
    </row>
    <row r="60" spans="1:9" x14ac:dyDescent="0.2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3661.8599999999997</v>
      </c>
      <c r="H61" s="69">
        <f t="shared" si="11"/>
        <v>0</v>
      </c>
      <c r="I61" s="70">
        <f t="shared" si="11"/>
        <v>3661.8599999999997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-58762415</v>
      </c>
      <c r="G64" s="38">
        <f>'TX-CON-GL '!E64</f>
        <v>-1208966.1900000002</v>
      </c>
      <c r="H64" s="60">
        <f>F64-D64</f>
        <v>-58762415</v>
      </c>
      <c r="I64" s="38">
        <f>G64-E64</f>
        <v>-1208966.1900000002</v>
      </c>
    </row>
    <row r="65" spans="1:9" x14ac:dyDescent="0.2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1208823</v>
      </c>
      <c r="H65" s="60">
        <f>F65-D65</f>
        <v>0</v>
      </c>
      <c r="I65" s="38">
        <f>G65-E65</f>
        <v>1208823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-58762415</v>
      </c>
      <c r="G66" s="39">
        <f t="shared" si="12"/>
        <v>-143.19000000017695</v>
      </c>
      <c r="H66" s="61">
        <f t="shared" si="12"/>
        <v>-58762415</v>
      </c>
      <c r="I66" s="39">
        <f t="shared" si="12"/>
        <v>-143.19000000017695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250999.06</v>
      </c>
      <c r="F70" s="60">
        <f>'TX-CON-GL '!D70</f>
        <v>0</v>
      </c>
      <c r="G70" s="38">
        <f>'TX-CON-GL 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-1054678</v>
      </c>
      <c r="F71" s="60">
        <f>'TX-CON-GL '!D71</f>
        <v>0</v>
      </c>
      <c r="G71" s="38">
        <f>'TX-CON-GL 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1019748.41</v>
      </c>
      <c r="F74" s="60">
        <f>'TX-CON-GL '!D74</f>
        <v>0</v>
      </c>
      <c r="G74" s="38">
        <f>'TX-CON-GL 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81200</v>
      </c>
      <c r="F75" s="60">
        <f>'TX-CON-GL '!D75</f>
        <v>0</v>
      </c>
      <c r="G75" s="38">
        <f>'TX-CON-GL 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-4060</v>
      </c>
      <c r="F76" s="60">
        <f>'TX-CON-GL '!D76</f>
        <v>0</v>
      </c>
      <c r="G76" s="38">
        <f>'TX-CON-GL 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0</v>
      </c>
      <c r="F81" s="60">
        <f>'TX-CON-GL '!D81</f>
        <v>0</v>
      </c>
      <c r="G81" s="38">
        <f>'TX-CON-GL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1572168.0664456128</v>
      </c>
      <c r="F82" s="111">
        <f>F16+F24+F29+F36+F43+F45+F47+F49</f>
        <v>0</v>
      </c>
      <c r="G82" s="112">
        <f>SUM(G72:G81)+G16+G24+G29+G36+G43+G45+G47+G49+G51+G56+G61+G66</f>
        <v>2084198.6821999955</v>
      </c>
      <c r="H82" s="111">
        <f>H16+H24+H29+H36+H43+H45+H47+H49</f>
        <v>0</v>
      </c>
      <c r="I82" s="112">
        <f>SUM(I72:I81)+I16+I24+I29+I36+I43+I45+I47+I49+I51+I56+I61+I66</f>
        <v>512030.61575436627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'TX-CON-FLSH'!L86</f>
        <v>0</v>
      </c>
      <c r="E86" s="175">
        <f>'TX-CON-FLSH'!M86</f>
        <v>114066</v>
      </c>
      <c r="F86" s="175">
        <f>'TX-CON-GL '!D86</f>
        <v>0</v>
      </c>
      <c r="G86" s="175">
        <f>'TX-CON-GL 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">
      <c r="A87" s="174"/>
      <c r="B87" s="3"/>
      <c r="C87" s="10" t="s">
        <v>73</v>
      </c>
      <c r="D87" s="176">
        <f>'TX-CON-FLSH'!L87</f>
        <v>0</v>
      </c>
      <c r="E87" s="176">
        <f>'TX-CON-FLSH'!M87</f>
        <v>0</v>
      </c>
      <c r="F87" s="176">
        <f>'TX-CON-GL '!D87</f>
        <v>0</v>
      </c>
      <c r="G87" s="176">
        <f>'TX-CON-GL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'TX-CON-FLSH'!L88</f>
        <v>0</v>
      </c>
      <c r="E88" s="177">
        <f>'TX-CON-FLSH'!M88</f>
        <v>-113464</v>
      </c>
      <c r="F88" s="177">
        <f>'TX-CON-GL '!D88</f>
        <v>0</v>
      </c>
      <c r="G88" s="177">
        <f>'TX-CON-GL '!E88</f>
        <v>-35600</v>
      </c>
      <c r="H88" s="177">
        <f t="shared" si="15"/>
        <v>0</v>
      </c>
      <c r="I88" s="177">
        <f t="shared" si="15"/>
        <v>77864</v>
      </c>
    </row>
    <row r="89" spans="1:63" ht="15" x14ac:dyDescent="0.2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602</v>
      </c>
      <c r="F89" s="185">
        <f t="shared" si="16"/>
        <v>0</v>
      </c>
      <c r="G89" s="185">
        <f t="shared" si="16"/>
        <v>33730.429999999993</v>
      </c>
      <c r="H89" s="185">
        <f t="shared" si="16"/>
        <v>0</v>
      </c>
      <c r="I89" s="185">
        <f t="shared" si="16"/>
        <v>33128.429999999993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81"/>
      <c r="B91" s="182"/>
      <c r="C91" s="187" t="s">
        <v>182</v>
      </c>
      <c r="D91" s="185">
        <f t="shared" ref="D91:I91" si="17">+D82+D89</f>
        <v>0</v>
      </c>
      <c r="E91" s="185">
        <f t="shared" si="17"/>
        <v>1572770.0664456128</v>
      </c>
      <c r="F91" s="185">
        <f t="shared" si="17"/>
        <v>0</v>
      </c>
      <c r="G91" s="185">
        <f t="shared" si="17"/>
        <v>2117929.1121999957</v>
      </c>
      <c r="H91" s="185">
        <f t="shared" si="17"/>
        <v>0</v>
      </c>
      <c r="I91" s="185">
        <f t="shared" si="17"/>
        <v>545159.04575436632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'WE-FLSH'!L11</f>
        <v>33032516</v>
      </c>
      <c r="E11" s="66">
        <f>'WE-FLSH'!M11</f>
        <v>69663094</v>
      </c>
      <c r="F11" s="60">
        <f>'WE-GL '!D11</f>
        <v>32522649</v>
      </c>
      <c r="G11" s="38">
        <f>'WE-GL '!E11</f>
        <v>67487091.209999993</v>
      </c>
      <c r="H11" s="60">
        <f>F11-D11</f>
        <v>-509867</v>
      </c>
      <c r="I11" s="38">
        <f>G11-E11</f>
        <v>-2176002.7900000066</v>
      </c>
    </row>
    <row r="12" spans="1:22" x14ac:dyDescent="0.2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862645.79</v>
      </c>
      <c r="H12" s="60">
        <f>F12-D12</f>
        <v>0</v>
      </c>
      <c r="I12" s="38">
        <f>G12-E12</f>
        <v>862645.79</v>
      </c>
    </row>
    <row r="13" spans="1:22" x14ac:dyDescent="0.2">
      <c r="A13" s="9">
        <v>3</v>
      </c>
      <c r="B13" s="7"/>
      <c r="C13" s="18" t="s">
        <v>29</v>
      </c>
      <c r="D13" s="65">
        <f>'WE-FLSH'!L13</f>
        <v>23503292</v>
      </c>
      <c r="E13" s="66">
        <f>'WE-FLSH'!M13</f>
        <v>49418174</v>
      </c>
      <c r="F13" s="60">
        <f>'WE-GL '!D13</f>
        <v>22897735</v>
      </c>
      <c r="G13" s="38">
        <f>'WE-GL '!E13</f>
        <v>48355097</v>
      </c>
      <c r="H13" s="60">
        <f t="shared" ref="H13:I15" si="0">F13-D13</f>
        <v>-605557</v>
      </c>
      <c r="I13" s="38">
        <f t="shared" si="0"/>
        <v>-1063077</v>
      </c>
    </row>
    <row r="14" spans="1:22" x14ac:dyDescent="0.2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56535808</v>
      </c>
      <c r="E16" s="39">
        <f t="shared" si="1"/>
        <v>119081268</v>
      </c>
      <c r="F16" s="61">
        <f t="shared" si="1"/>
        <v>55420384</v>
      </c>
      <c r="G16" s="39">
        <f t="shared" si="1"/>
        <v>116704834</v>
      </c>
      <c r="H16" s="61">
        <f t="shared" si="1"/>
        <v>-1115424</v>
      </c>
      <c r="I16" s="39">
        <f t="shared" si="1"/>
        <v>-2376434.0000000065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'WE-FLSH'!L19</f>
        <v>-32678947</v>
      </c>
      <c r="E19" s="66">
        <f>'WE-FLSH'!M19</f>
        <v>-67719283</v>
      </c>
      <c r="F19" s="60">
        <f>'WE-GL '!D19</f>
        <v>-35984079</v>
      </c>
      <c r="G19" s="38">
        <f>'WE-GL '!E19</f>
        <v>-72780416.859999999</v>
      </c>
      <c r="H19" s="60">
        <f>F19-D19</f>
        <v>-3305132</v>
      </c>
      <c r="I19" s="38">
        <f>G19-E19</f>
        <v>-5061133.8599999994</v>
      </c>
    </row>
    <row r="20" spans="1:9" x14ac:dyDescent="0.2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-370802.91000000015</v>
      </c>
      <c r="H20" s="60">
        <f>F20-D20</f>
        <v>0</v>
      </c>
      <c r="I20" s="38">
        <f>G20-E20</f>
        <v>-370802.91000000015</v>
      </c>
    </row>
    <row r="21" spans="1:9" x14ac:dyDescent="0.2">
      <c r="A21" s="9">
        <v>8</v>
      </c>
      <c r="B21" s="7"/>
      <c r="C21" s="18" t="s">
        <v>29</v>
      </c>
      <c r="D21" s="65">
        <f>'WE-FLSH'!L21</f>
        <v>-24534760</v>
      </c>
      <c r="E21" s="66">
        <f>'WE-FLSH'!M21</f>
        <v>-51227196</v>
      </c>
      <c r="F21" s="60">
        <f>'WE-GL '!D21</f>
        <v>-20800712</v>
      </c>
      <c r="G21" s="38">
        <f>'WE-GL '!E21</f>
        <v>-43759144</v>
      </c>
      <c r="H21" s="60">
        <f t="shared" ref="H21:I23" si="2">F21-D21</f>
        <v>3734048</v>
      </c>
      <c r="I21" s="38">
        <f t="shared" si="2"/>
        <v>7468052</v>
      </c>
    </row>
    <row r="22" spans="1:9" x14ac:dyDescent="0.2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'WE-FLSH'!L23</f>
        <v>290973</v>
      </c>
      <c r="E23" s="66">
        <f>'WE-FLSH'!M23</f>
        <v>574945</v>
      </c>
      <c r="F23" s="60">
        <f>'WE-GL '!D23</f>
        <v>285033</v>
      </c>
      <c r="G23" s="38">
        <f>'WE-GL '!E23</f>
        <v>592868.6399999999</v>
      </c>
      <c r="H23" s="60">
        <f t="shared" si="2"/>
        <v>-5940</v>
      </c>
      <c r="I23" s="38">
        <f t="shared" si="2"/>
        <v>17923.639999999898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-56922734</v>
      </c>
      <c r="E24" s="39">
        <f t="shared" si="3"/>
        <v>-118371534</v>
      </c>
      <c r="F24" s="61">
        <f t="shared" si="3"/>
        <v>-56499758</v>
      </c>
      <c r="G24" s="39">
        <f t="shared" si="3"/>
        <v>-116317495.13</v>
      </c>
      <c r="H24" s="61">
        <f t="shared" si="3"/>
        <v>422976</v>
      </c>
      <c r="I24" s="39">
        <f t="shared" si="3"/>
        <v>2054038.8700000003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'WE-FLSH'!L32</f>
        <v>64836</v>
      </c>
      <c r="E32" s="66">
        <f>'WE-FLSH'!M32</f>
        <v>131336</v>
      </c>
      <c r="F32" s="60">
        <f>'WE-GL '!D32</f>
        <v>-36635</v>
      </c>
      <c r="G32" s="38">
        <f>'WE-GL '!E32</f>
        <v>-74735.574999999983</v>
      </c>
      <c r="H32" s="60">
        <f>F32-D32</f>
        <v>-101471</v>
      </c>
      <c r="I32" s="38">
        <f>G32-E32</f>
        <v>-206071.57499999998</v>
      </c>
    </row>
    <row r="33" spans="1:9" x14ac:dyDescent="0.2">
      <c r="A33" s="9">
        <v>14</v>
      </c>
      <c r="B33" s="7"/>
      <c r="C33" s="18" t="s">
        <v>42</v>
      </c>
      <c r="D33" s="65">
        <f>'WE-FLSH'!L33</f>
        <v>-107073</v>
      </c>
      <c r="E33" s="66">
        <f>'WE-FLSH'!M33</f>
        <v>-220434.15899343032</v>
      </c>
      <c r="F33" s="60">
        <f>'WE-GL '!D33</f>
        <v>-5786</v>
      </c>
      <c r="G33" s="38">
        <f>'WE-GL '!E33</f>
        <v>-11908.38</v>
      </c>
      <c r="H33" s="60">
        <f t="shared" ref="H33:I35" si="5">F33-D33</f>
        <v>101287</v>
      </c>
      <c r="I33" s="38">
        <f t="shared" si="5"/>
        <v>208525.77899343031</v>
      </c>
    </row>
    <row r="34" spans="1:9" x14ac:dyDescent="0.2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23164</v>
      </c>
      <c r="G34" s="38">
        <f>'WE-GL '!E34</f>
        <v>47475.09</v>
      </c>
      <c r="H34" s="60">
        <f t="shared" si="5"/>
        <v>23164</v>
      </c>
      <c r="I34" s="38">
        <f t="shared" si="5"/>
        <v>47475.09</v>
      </c>
    </row>
    <row r="35" spans="1:9" x14ac:dyDescent="0.2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600017</v>
      </c>
      <c r="G35" s="38">
        <f>'WE-GL '!E35</f>
        <v>701821.01</v>
      </c>
      <c r="H35" s="60">
        <f t="shared" si="5"/>
        <v>600017</v>
      </c>
      <c r="I35" s="38">
        <f t="shared" si="5"/>
        <v>701821.01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-42237</v>
      </c>
      <c r="E36" s="39">
        <f t="shared" si="6"/>
        <v>-89098.158993430319</v>
      </c>
      <c r="F36" s="61">
        <f t="shared" si="6"/>
        <v>580760</v>
      </c>
      <c r="G36" s="39">
        <f t="shared" si="6"/>
        <v>662652.14500000002</v>
      </c>
      <c r="H36" s="61">
        <f t="shared" si="6"/>
        <v>622997</v>
      </c>
      <c r="I36" s="39">
        <f t="shared" si="6"/>
        <v>751750.30399343034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'WE-FLSH'!L39</f>
        <v>614004</v>
      </c>
      <c r="E39" s="66">
        <f>'WE-FLSH'!M39</f>
        <v>1324867</v>
      </c>
      <c r="F39" s="60">
        <f>'WE-GL '!D39</f>
        <v>0</v>
      </c>
      <c r="G39" s="38">
        <f>'WE-GL '!E39</f>
        <v>0</v>
      </c>
      <c r="H39" s="60">
        <f t="shared" ref="H39:I41" si="7">F39-D39</f>
        <v>-614004</v>
      </c>
      <c r="I39" s="38">
        <f t="shared" si="7"/>
        <v>-1324867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'WE-FLSH'!L40</f>
        <v>-184841</v>
      </c>
      <c r="E40" s="66">
        <f>'WE-FLSH'!M40</f>
        <v>-356999</v>
      </c>
      <c r="F40" s="60">
        <f>'WE-GL '!D40</f>
        <v>0</v>
      </c>
      <c r="G40" s="38">
        <f>'WE-GL '!E40</f>
        <v>0</v>
      </c>
      <c r="H40" s="60">
        <f t="shared" si="7"/>
        <v>184841</v>
      </c>
      <c r="I40" s="38">
        <f t="shared" si="7"/>
        <v>356999</v>
      </c>
    </row>
    <row r="41" spans="1:9" x14ac:dyDescent="0.2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1">
        <f t="shared" ref="D42:I42" si="8">SUM(D40:D41)</f>
        <v>-184841</v>
      </c>
      <c r="E42" s="39">
        <f t="shared" si="8"/>
        <v>-356999</v>
      </c>
      <c r="F42" s="61">
        <f t="shared" si="8"/>
        <v>0</v>
      </c>
      <c r="G42" s="39">
        <f t="shared" si="8"/>
        <v>0</v>
      </c>
      <c r="H42" s="61">
        <f t="shared" si="8"/>
        <v>184841</v>
      </c>
      <c r="I42" s="39">
        <f t="shared" si="8"/>
        <v>356999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429163</v>
      </c>
      <c r="E43" s="39">
        <f t="shared" si="9"/>
        <v>967868</v>
      </c>
      <c r="F43" s="61">
        <f t="shared" si="9"/>
        <v>0</v>
      </c>
      <c r="G43" s="39">
        <f t="shared" si="9"/>
        <v>0</v>
      </c>
      <c r="H43" s="61">
        <f t="shared" si="9"/>
        <v>-429163</v>
      </c>
      <c r="I43" s="39">
        <f t="shared" si="9"/>
        <v>-967868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498614</v>
      </c>
      <c r="G49" s="38">
        <f>'WE-GL '!E49</f>
        <v>1037117.1200000003</v>
      </c>
      <c r="H49" s="60">
        <f>F49-D49</f>
        <v>498614</v>
      </c>
      <c r="I49" s="38">
        <f>G49-E49</f>
        <v>1037117.1200000003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'WE-FLSH'!L51</f>
        <v>-290973</v>
      </c>
      <c r="E51" s="66">
        <f>'WE-FLSH'!M51</f>
        <v>-574945</v>
      </c>
      <c r="F51" s="60">
        <f>'WE-GL '!D51</f>
        <v>-285033</v>
      </c>
      <c r="G51" s="38">
        <f>'WE-GL '!E51</f>
        <v>-592868.6399999999</v>
      </c>
      <c r="H51" s="60">
        <f>F51-D51</f>
        <v>5940</v>
      </c>
      <c r="I51" s="38">
        <f>G51-E51</f>
        <v>-17923.639999999898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-242944</v>
      </c>
      <c r="F54" s="60">
        <f>'WE-GL '!D54</f>
        <v>-11699377</v>
      </c>
      <c r="G54" s="38">
        <f>'WE-GL '!E54</f>
        <v>-141902.24</v>
      </c>
      <c r="H54" s="60">
        <f>F54-D54</f>
        <v>-11699377</v>
      </c>
      <c r="I54" s="38">
        <f>G54-E54</f>
        <v>101041.76000000001</v>
      </c>
    </row>
    <row r="55" spans="1:9" x14ac:dyDescent="0.2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-2652722</v>
      </c>
      <c r="F55" s="60">
        <f>'WE-GL '!D55</f>
        <v>-1130</v>
      </c>
      <c r="G55" s="38">
        <f>'WE-GL '!E55</f>
        <v>-1629652.1900000004</v>
      </c>
      <c r="H55" s="60">
        <f>F55-D55</f>
        <v>-1130</v>
      </c>
      <c r="I55" s="38">
        <f>G55-E55</f>
        <v>1023069.8099999996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-2895666</v>
      </c>
      <c r="F56" s="61">
        <f t="shared" si="10"/>
        <v>-11700507</v>
      </c>
      <c r="G56" s="39">
        <f t="shared" si="10"/>
        <v>-1771554.4300000004</v>
      </c>
      <c r="H56" s="61">
        <f t="shared" si="10"/>
        <v>-11700507</v>
      </c>
      <c r="I56" s="39">
        <f t="shared" si="10"/>
        <v>1124111.5699999996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1493640</v>
      </c>
      <c r="F70" s="60">
        <f>'WE-GL '!D70</f>
        <v>0</v>
      </c>
      <c r="G70" s="38">
        <f>'WE-GL '!E70</f>
        <v>1493640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-709562</v>
      </c>
      <c r="F71" s="60">
        <f>'WE-GL '!D71</f>
        <v>0</v>
      </c>
      <c r="G71" s="38">
        <f>'WE-GL '!E71</f>
        <v>-709561.76</v>
      </c>
      <c r="H71" s="60">
        <f>F71-D71</f>
        <v>0</v>
      </c>
      <c r="I71" s="38">
        <f>G71-E71</f>
        <v>0.23999999999068677</v>
      </c>
    </row>
    <row r="72" spans="1:9" x14ac:dyDescent="0.2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784078</v>
      </c>
      <c r="F72" s="61">
        <f t="shared" si="13"/>
        <v>0</v>
      </c>
      <c r="G72" s="39">
        <f t="shared" si="13"/>
        <v>784078.24</v>
      </c>
      <c r="H72" s="61">
        <f t="shared" si="13"/>
        <v>0</v>
      </c>
      <c r="I72" s="39">
        <f t="shared" si="13"/>
        <v>0.23999999999068677</v>
      </c>
    </row>
    <row r="73" spans="1:9" x14ac:dyDescent="0.2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-103453</v>
      </c>
      <c r="F74" s="60">
        <f>'WE-GL '!D74</f>
        <v>0</v>
      </c>
      <c r="G74" s="38">
        <f>'WE-GL '!E74</f>
        <v>573023</v>
      </c>
      <c r="H74" s="60">
        <f t="shared" ref="H74:I79" si="14">F74-D74</f>
        <v>0</v>
      </c>
      <c r="I74" s="38">
        <f t="shared" si="14"/>
        <v>676476</v>
      </c>
    </row>
    <row r="75" spans="1:9" x14ac:dyDescent="0.2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111322</v>
      </c>
      <c r="F75" s="60">
        <f>'WE-GL '!D75</f>
        <v>0</v>
      </c>
      <c r="G75" s="38">
        <f>'WE-GL '!E75</f>
        <v>111300</v>
      </c>
      <c r="H75" s="60">
        <f t="shared" si="14"/>
        <v>0</v>
      </c>
      <c r="I75" s="38">
        <f t="shared" si="14"/>
        <v>-22</v>
      </c>
    </row>
    <row r="76" spans="1:9" x14ac:dyDescent="0.2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-32332.43</v>
      </c>
      <c r="H76" s="60">
        <f t="shared" si="14"/>
        <v>0</v>
      </c>
      <c r="I76" s="38">
        <f t="shared" si="14"/>
        <v>-32332.43</v>
      </c>
    </row>
    <row r="77" spans="1:9" x14ac:dyDescent="0.2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1642985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-1642985</v>
      </c>
    </row>
    <row r="80" spans="1:9" x14ac:dyDescent="0.2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104136</v>
      </c>
      <c r="F81" s="60">
        <f>'WE-GL '!D81</f>
        <v>0</v>
      </c>
      <c r="G81" s="38">
        <f>'WE-GL '!E81</f>
        <v>68664.55</v>
      </c>
      <c r="H81" s="60">
        <f>F81-D81</f>
        <v>0</v>
      </c>
      <c r="I81" s="38">
        <f>G81-E81</f>
        <v>-35471.449999999997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656960.84100656956</v>
      </c>
      <c r="F82" s="111">
        <f>F16+F24+F29+F36+F43+F45+F47+F49</f>
        <v>0</v>
      </c>
      <c r="G82" s="112">
        <f>SUM(G72:G81)+G16+G24+G29+G36+G43+G45+G47+G49+G51+G56+G61+G66</f>
        <v>1227418.4250000047</v>
      </c>
      <c r="H82" s="111">
        <f>H16+H24+H29+H36+H43+H45+H47+H49</f>
        <v>0</v>
      </c>
      <c r="I82" s="112">
        <f>SUM(I72:I81)+I16+I24+I29+I36+I43+I45+I47+I49+I51+I56+I61+I66</f>
        <v>570457.58399342396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32" sqref="G3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-89420</v>
      </c>
      <c r="H12" s="60">
        <f>F12-D12</f>
        <v>0</v>
      </c>
      <c r="I12" s="38">
        <f>G12-E12</f>
        <v>-89420</v>
      </c>
    </row>
    <row r="13" spans="1:22" x14ac:dyDescent="0.2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-16925369</v>
      </c>
      <c r="H13" s="60">
        <f t="shared" ref="H13:I15" si="0">F13-D13</f>
        <v>0</v>
      </c>
      <c r="I13" s="38">
        <f t="shared" si="0"/>
        <v>-16925369</v>
      </c>
    </row>
    <row r="14" spans="1:22" x14ac:dyDescent="0.2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-17014789</v>
      </c>
      <c r="H16" s="61">
        <f t="shared" si="1"/>
        <v>0</v>
      </c>
      <c r="I16" s="39">
        <f t="shared" si="1"/>
        <v>-17014789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274973</v>
      </c>
      <c r="H41" s="60">
        <f t="shared" si="7"/>
        <v>0</v>
      </c>
      <c r="I41" s="38">
        <f t="shared" si="7"/>
        <v>274973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274973</v>
      </c>
      <c r="H42" s="69">
        <f t="shared" si="8"/>
        <v>0</v>
      </c>
      <c r="I42" s="70">
        <f t="shared" si="8"/>
        <v>274973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274973</v>
      </c>
      <c r="H43" s="61">
        <f t="shared" si="9"/>
        <v>0</v>
      </c>
      <c r="I43" s="39">
        <f t="shared" si="9"/>
        <v>274973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96833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-3633759</v>
      </c>
      <c r="F70" s="60">
        <f>STG_GL!D70</f>
        <v>0</v>
      </c>
      <c r="G70" s="38">
        <f>STG_GL!E70</f>
        <v>13276154</v>
      </c>
      <c r="H70" s="60">
        <f>F70-D70</f>
        <v>0</v>
      </c>
      <c r="I70" s="38">
        <f>G70-E70</f>
        <v>16909913</v>
      </c>
    </row>
    <row r="71" spans="1:9" x14ac:dyDescent="0.2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-3633759</v>
      </c>
      <c r="F72" s="69">
        <f t="shared" si="13"/>
        <v>0</v>
      </c>
      <c r="G72" s="70">
        <f t="shared" si="13"/>
        <v>13276154</v>
      </c>
      <c r="H72" s="69">
        <f t="shared" si="13"/>
        <v>0</v>
      </c>
      <c r="I72" s="70">
        <f t="shared" si="13"/>
        <v>16909913</v>
      </c>
    </row>
    <row r="73" spans="1:9" x14ac:dyDescent="0.2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2737918</v>
      </c>
      <c r="H74" s="60">
        <f t="shared" ref="H74:I79" si="14">F74-D74</f>
        <v>0</v>
      </c>
      <c r="I74" s="38">
        <f t="shared" si="14"/>
        <v>2737918</v>
      </c>
    </row>
    <row r="75" spans="1:9" x14ac:dyDescent="0.2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-5660</v>
      </c>
      <c r="H76" s="60">
        <f t="shared" si="14"/>
        <v>0</v>
      </c>
      <c r="I76" s="38">
        <f t="shared" si="14"/>
        <v>-5660</v>
      </c>
    </row>
    <row r="77" spans="1:9" x14ac:dyDescent="0.2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-707000</v>
      </c>
      <c r="H77" s="60">
        <f t="shared" si="14"/>
        <v>0</v>
      </c>
      <c r="I77" s="38">
        <f t="shared" si="14"/>
        <v>-707000</v>
      </c>
    </row>
    <row r="78" spans="1:9" x14ac:dyDescent="0.2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3332759</v>
      </c>
      <c r="F81" s="60">
        <f>STG_GL!D81</f>
        <v>0</v>
      </c>
      <c r="G81" s="38">
        <f>STG_GL!E81</f>
        <v>-591891</v>
      </c>
      <c r="H81" s="60">
        <f>F81-D81</f>
        <v>0</v>
      </c>
      <c r="I81" s="38">
        <f>G81-E81</f>
        <v>-3924650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-301000</v>
      </c>
      <c r="F82" s="111">
        <f>F16+F24+F29+F36+F43+F45+F47+F49</f>
        <v>0</v>
      </c>
      <c r="G82" s="112">
        <f>SUM(G72:G81)+G16+G24+G29+G36+G43+G45+G47+G49+G51+G56+G61+G66</f>
        <v>-1933462</v>
      </c>
      <c r="H82" s="111">
        <f>H16+H24+H29+H36+H43+H45+H47+H49</f>
        <v>0</v>
      </c>
      <c r="I82" s="112">
        <f>SUM(I72:I81)+I16+I24+I29+I36+I43+I45+I47+I49+I51+I56+I61+I66</f>
        <v>-1632462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M10" activePane="bottomRight" state="frozen"/>
      <selection activeCell="A5" sqref="A5"/>
      <selection pane="topRight" activeCell="A5" sqref="A5"/>
      <selection pane="bottomLeft" activeCell="A5" sqref="A5"/>
      <selection pane="bottomRight" activeCell="U12" sqref="U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-879386</v>
      </c>
      <c r="F11" s="60"/>
      <c r="G11" s="38">
        <f>-879386-1401510</f>
        <v>-2280896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1401510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-1897631</v>
      </c>
      <c r="F12" s="60"/>
      <c r="G12" s="38">
        <v>0</v>
      </c>
      <c r="H12" s="60"/>
      <c r="I12" s="38">
        <v>-406701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-1401510</v>
      </c>
      <c r="T12" s="60"/>
      <c r="U12" s="38">
        <f>89420-178840</f>
        <v>-89420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-1452777.74</v>
      </c>
      <c r="F15" s="60"/>
      <c r="G15" s="38">
        <f>-809669.11-643108.63</f>
        <v>-1452777.74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-4229794.74</v>
      </c>
      <c r="F16" s="61">
        <f t="shared" si="1"/>
        <v>0</v>
      </c>
      <c r="G16" s="39">
        <f t="shared" si="1"/>
        <v>-3733673.74</v>
      </c>
      <c r="H16" s="61">
        <f t="shared" si="1"/>
        <v>0</v>
      </c>
      <c r="I16" s="39">
        <f t="shared" si="1"/>
        <v>-406701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-89420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v>-18891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18891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-44824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>
        <v>44824</v>
      </c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2332163.7399999998</v>
      </c>
      <c r="F55" s="60"/>
      <c r="G55" s="38">
        <f>879386+19890+1218068</f>
        <v>2117344</v>
      </c>
      <c r="H55" s="60"/>
      <c r="I55" s="38">
        <v>643108.63</v>
      </c>
      <c r="J55" s="60"/>
      <c r="K55" s="38"/>
      <c r="L55" s="60"/>
      <c r="M55" s="38"/>
      <c r="N55" s="60"/>
      <c r="O55" s="38">
        <v>809669.11</v>
      </c>
      <c r="P55" s="60"/>
      <c r="Q55" s="38"/>
      <c r="R55" s="60"/>
      <c r="S55" s="38"/>
      <c r="T55" s="60"/>
      <c r="U55" s="38"/>
      <c r="V55" s="60"/>
      <c r="W55" s="38">
        <f>-19890-1218068</f>
        <v>-1237958</v>
      </c>
      <c r="X55" s="60"/>
      <c r="Y55" s="38"/>
    </row>
    <row r="56" spans="1:25" x14ac:dyDescent="0.2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2332163.7399999998</v>
      </c>
      <c r="F56" s="61">
        <f t="shared" si="16"/>
        <v>0</v>
      </c>
      <c r="G56" s="39">
        <f t="shared" si="16"/>
        <v>2072520</v>
      </c>
      <c r="H56" s="61">
        <f t="shared" si="16"/>
        <v>0</v>
      </c>
      <c r="I56" s="39">
        <f t="shared" si="16"/>
        <v>643108.63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809669.11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44824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-1237958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129169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-129169</v>
      </c>
    </row>
    <row r="71" spans="1:25" x14ac:dyDescent="0.2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129169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-129169</v>
      </c>
    </row>
    <row r="73" spans="1:25" x14ac:dyDescent="0.2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1897631</v>
      </c>
      <c r="F74" s="60"/>
      <c r="G74" s="38">
        <f>473930+99758-109834+219668-100000</f>
        <v>583522</v>
      </c>
      <c r="H74" s="60"/>
      <c r="I74" s="38">
        <f>406701-2466562</f>
        <v>-2059861</v>
      </c>
      <c r="J74" s="60"/>
      <c r="K74" s="38"/>
      <c r="L74" s="60"/>
      <c r="M74" s="38"/>
      <c r="N74" s="60"/>
      <c r="O74" s="38">
        <v>24800</v>
      </c>
      <c r="P74" s="60"/>
      <c r="Q74" s="38"/>
      <c r="R74" s="60"/>
      <c r="S74" s="38">
        <f>-5000+310000+1401510-99758</f>
        <v>1606752</v>
      </c>
      <c r="T74" s="60"/>
      <c r="U74" s="38">
        <f>5000-310000+2466562+109834-89420-24800-219668+100000+178840</f>
        <v>2216348</v>
      </c>
      <c r="V74" s="60"/>
      <c r="W74" s="38">
        <v>-473930</v>
      </c>
      <c r="X74" s="60"/>
      <c r="Y74" s="38"/>
    </row>
    <row r="75" spans="1:25" x14ac:dyDescent="0.2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-190000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190000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-4.6566128730773926E-10</v>
      </c>
      <c r="F82" s="92">
        <f>F16+F24+F29+F36+F43+F45+F47+F49</f>
        <v>0</v>
      </c>
      <c r="G82" s="93">
        <f>SUM(G72:G81)+G16+G24+G29+G36+G43+G45+G47+G49+G51+G56+G61+G66</f>
        <v>-1096522.7400000002</v>
      </c>
      <c r="H82" s="92">
        <f>H16+H24+H29+H36+H43+H45+H47+H49</f>
        <v>0</v>
      </c>
      <c r="I82" s="93">
        <f>SUM(I72:I81)+I16+I24+I29+I36+I43+I45+I47+I49+I51+I56+I61+I66</f>
        <v>-1884284.37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834469.11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1670467</v>
      </c>
      <c r="T82" s="92">
        <f>T16+T24+T29+T36+T43+T45+T47+T49</f>
        <v>0</v>
      </c>
      <c r="U82" s="93">
        <f>SUM(U72:U81)+U16+U24+U29+U36+U43+U45+U47+U49+U51+U56+U61+U66</f>
        <v>2316928</v>
      </c>
      <c r="V82" s="92">
        <f>V16+V24+V29+V36+V43+V45+V47+V49</f>
        <v>0</v>
      </c>
      <c r="W82" s="93">
        <f>SUM(W72:W81)+W16+W24+W29+W36+W43+W45+W47+W49+W51+W56+W61+W66</f>
        <v>-1711888</v>
      </c>
      <c r="X82" s="92">
        <f>X16+X24+X29+X36+X43+X45+X47+X49</f>
        <v>0</v>
      </c>
      <c r="Y82" s="93">
        <f>SUM(Y72:Y81)+Y16+Y24+Y29+Y36+Y43+Y45+Y47+Y49+Y51+Y56+Y61+Y66</f>
        <v>-129169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ONT_FLSH!L11</f>
        <v>7020222</v>
      </c>
      <c r="E11" s="66">
        <f>ONT_FLSH!M11</f>
        <v>16520575</v>
      </c>
      <c r="F11" s="60">
        <f>'ONT_GL '!D11</f>
        <v>7696881</v>
      </c>
      <c r="G11" s="38">
        <f>'ONT_GL '!E11</f>
        <v>17163251</v>
      </c>
      <c r="H11" s="60">
        <f>F11-D11</f>
        <v>676659</v>
      </c>
      <c r="I11" s="38">
        <f>G11-E11</f>
        <v>642676</v>
      </c>
    </row>
    <row r="12" spans="1:22" x14ac:dyDescent="0.2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-418888.09</v>
      </c>
      <c r="H12" s="60">
        <f>F12-D12</f>
        <v>0</v>
      </c>
      <c r="I12" s="38">
        <f>G12-E12</f>
        <v>-418888.09</v>
      </c>
    </row>
    <row r="13" spans="1:22" x14ac:dyDescent="0.2">
      <c r="A13" s="9">
        <v>3</v>
      </c>
      <c r="B13" s="7"/>
      <c r="C13" s="18" t="s">
        <v>29</v>
      </c>
      <c r="D13" s="65">
        <f>ONT_FLSH!L13</f>
        <v>2232777</v>
      </c>
      <c r="E13" s="66">
        <f>ONT_FLSH!M13</f>
        <v>5214825</v>
      </c>
      <c r="F13" s="60">
        <f>'ONT_GL '!D13</f>
        <v>1250927</v>
      </c>
      <c r="G13" s="38">
        <f>'ONT_GL '!E13</f>
        <v>2924336</v>
      </c>
      <c r="H13" s="60">
        <f t="shared" ref="H13:I15" si="0">F13-D13</f>
        <v>-981850</v>
      </c>
      <c r="I13" s="38">
        <f t="shared" si="0"/>
        <v>-2290489</v>
      </c>
    </row>
    <row r="14" spans="1:22" x14ac:dyDescent="0.2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9252999</v>
      </c>
      <c r="E16" s="39">
        <f t="shared" si="1"/>
        <v>21735400</v>
      </c>
      <c r="F16" s="61">
        <f t="shared" si="1"/>
        <v>8947808</v>
      </c>
      <c r="G16" s="39">
        <f t="shared" si="1"/>
        <v>19668698.91</v>
      </c>
      <c r="H16" s="61">
        <f t="shared" si="1"/>
        <v>-305191</v>
      </c>
      <c r="I16" s="39">
        <f t="shared" si="1"/>
        <v>-2066701.09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ONT_FLSH!L19</f>
        <v>-6088585</v>
      </c>
      <c r="E19" s="66">
        <f>ONT_FLSH!M19</f>
        <v>-14323204</v>
      </c>
      <c r="F19" s="60">
        <f>'ONT_GL '!D19</f>
        <v>-7354776</v>
      </c>
      <c r="G19" s="38">
        <f>'ONT_GL '!E19</f>
        <v>-16341609</v>
      </c>
      <c r="H19" s="60">
        <f>F19-D19</f>
        <v>-1266191</v>
      </c>
      <c r="I19" s="38">
        <f>G19-E19</f>
        <v>-2018405</v>
      </c>
    </row>
    <row r="20" spans="1:9" x14ac:dyDescent="0.2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521674.65</v>
      </c>
      <c r="H20" s="60">
        <f>F20-D20</f>
        <v>0</v>
      </c>
      <c r="I20" s="38">
        <f>G20-E20</f>
        <v>521674.65</v>
      </c>
    </row>
    <row r="21" spans="1:9" x14ac:dyDescent="0.2">
      <c r="A21" s="9">
        <v>8</v>
      </c>
      <c r="B21" s="7"/>
      <c r="C21" s="18" t="s">
        <v>29</v>
      </c>
      <c r="D21" s="65">
        <f>ONT_FLSH!L21</f>
        <v>-2936881</v>
      </c>
      <c r="E21" s="66">
        <f>ONT_FLSH!M21</f>
        <v>-6871475</v>
      </c>
      <c r="F21" s="60">
        <f>'ONT_GL '!D21</f>
        <v>-635000</v>
      </c>
      <c r="G21" s="38">
        <f>'ONT_GL '!E21</f>
        <v>-1483815</v>
      </c>
      <c r="H21" s="60">
        <f t="shared" ref="H21:I23" si="2">F21-D21</f>
        <v>2301881</v>
      </c>
      <c r="I21" s="38">
        <f t="shared" si="2"/>
        <v>5387660</v>
      </c>
    </row>
    <row r="22" spans="1:9" x14ac:dyDescent="0.2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-9025466</v>
      </c>
      <c r="E24" s="39">
        <f t="shared" si="3"/>
        <v>-21194679</v>
      </c>
      <c r="F24" s="61">
        <f t="shared" si="3"/>
        <v>-7989776</v>
      </c>
      <c r="G24" s="39">
        <f t="shared" si="3"/>
        <v>-17303749.350000001</v>
      </c>
      <c r="H24" s="61">
        <f t="shared" si="3"/>
        <v>1035690</v>
      </c>
      <c r="I24" s="39">
        <f t="shared" si="3"/>
        <v>3890929.65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ONT_FLSH!L33</f>
        <v>-227533</v>
      </c>
      <c r="E33" s="66">
        <f>ONT_FLSH!M33</f>
        <v>-532427.22</v>
      </c>
      <c r="F33" s="60">
        <f>'ONT_GL '!D33</f>
        <v>0</v>
      </c>
      <c r="G33" s="38">
        <f>'ONT_GL '!E33</f>
        <v>0</v>
      </c>
      <c r="H33" s="60">
        <f t="shared" ref="H33:I35" si="5">F33-D33</f>
        <v>227533</v>
      </c>
      <c r="I33" s="38">
        <f t="shared" si="5"/>
        <v>532427.22</v>
      </c>
    </row>
    <row r="34" spans="1:9" x14ac:dyDescent="0.2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218793</v>
      </c>
      <c r="G35" s="38">
        <f>'ONT_GL '!E35</f>
        <v>514317</v>
      </c>
      <c r="H35" s="60">
        <f t="shared" si="5"/>
        <v>218793</v>
      </c>
      <c r="I35" s="38">
        <f t="shared" si="5"/>
        <v>514317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-227533</v>
      </c>
      <c r="E36" s="39">
        <f t="shared" si="6"/>
        <v>-532427.22</v>
      </c>
      <c r="F36" s="61">
        <f t="shared" si="6"/>
        <v>218793</v>
      </c>
      <c r="G36" s="39">
        <f t="shared" si="6"/>
        <v>514317</v>
      </c>
      <c r="H36" s="61">
        <f t="shared" si="6"/>
        <v>446326</v>
      </c>
      <c r="I36" s="39">
        <f t="shared" si="6"/>
        <v>1046744.22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-1176825</v>
      </c>
      <c r="G49" s="38">
        <f>'ONT_GL '!E49</f>
        <v>-2753771</v>
      </c>
      <c r="H49" s="60">
        <f>F49-D49</f>
        <v>-1176825</v>
      </c>
      <c r="I49" s="38">
        <f>G49-E49</f>
        <v>-2753771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1261908</v>
      </c>
      <c r="H54" s="60">
        <f>F54-D54</f>
        <v>0</v>
      </c>
      <c r="I54" s="38">
        <f>G54-E54</f>
        <v>1261908</v>
      </c>
    </row>
    <row r="55" spans="1:9" x14ac:dyDescent="0.2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-1237958</v>
      </c>
      <c r="H55" s="60">
        <f>F55-D55</f>
        <v>0</v>
      </c>
      <c r="I55" s="38">
        <f>G55-E55</f>
        <v>-1237958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23950</v>
      </c>
      <c r="H56" s="61">
        <f t="shared" si="10"/>
        <v>0</v>
      </c>
      <c r="I56" s="39">
        <f t="shared" si="10"/>
        <v>23950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-808256.63</v>
      </c>
      <c r="F70" s="60">
        <f>'ONT_GL '!D70</f>
        <v>0</v>
      </c>
      <c r="G70" s="38">
        <f>'ONT_GL '!E70</f>
        <v>-276473.63</v>
      </c>
      <c r="H70" s="60">
        <f>F70-D70</f>
        <v>0</v>
      </c>
      <c r="I70" s="38">
        <f>G70-E70</f>
        <v>531783</v>
      </c>
    </row>
    <row r="71" spans="1:9" x14ac:dyDescent="0.2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952734</v>
      </c>
      <c r="F71" s="60">
        <f>'ONT_GL '!D71</f>
        <v>0</v>
      </c>
      <c r="G71" s="38">
        <f>'ONT_GL '!E71</f>
        <v>420951</v>
      </c>
      <c r="H71" s="60">
        <f>F71-D71</f>
        <v>0</v>
      </c>
      <c r="I71" s="38">
        <f>G71-E71</f>
        <v>-531783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144477.37</v>
      </c>
      <c r="F72" s="69">
        <f t="shared" si="13"/>
        <v>0</v>
      </c>
      <c r="G72" s="70">
        <f t="shared" si="13"/>
        <v>144477.37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-412865.52</v>
      </c>
      <c r="H74" s="60">
        <f t="shared" ref="H74:I79" si="14">F74-D74</f>
        <v>0</v>
      </c>
      <c r="I74" s="38">
        <f t="shared" si="14"/>
        <v>-412865.52</v>
      </c>
    </row>
    <row r="75" spans="1:9" x14ac:dyDescent="0.2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-23232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23232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129539.15000000107</v>
      </c>
      <c r="F82" s="111">
        <f>F16+F24+F29+F36+F43+F45+F47+F49</f>
        <v>0</v>
      </c>
      <c r="G82" s="112">
        <f>SUM(G72:G81)+G16+G24+G29+G36+G43+G45+G47+G49+G51+G56+G61+G66</f>
        <v>-118942.58999999985</v>
      </c>
      <c r="H82" s="111">
        <f>H16+H24+H29+H36+H43+H45+H47+H49</f>
        <v>0</v>
      </c>
      <c r="I82" s="112">
        <f>SUM(I72:I81)+I16+I24+I29+I36+I43+I45+I47+I49+I51+I56+I61+I66</f>
        <v>-248481.74000000022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ONT_FLSH!L86</f>
        <v>0</v>
      </c>
      <c r="E86" s="175">
        <f>ONT_FLSH!M86</f>
        <v>593800</v>
      </c>
      <c r="F86" s="175">
        <f>'ONT_GL '!D86</f>
        <v>0</v>
      </c>
      <c r="G86" s="175">
        <f>'ONT_GL '!E86</f>
        <v>609448</v>
      </c>
      <c r="H86" s="175">
        <f t="shared" ref="H86:I88" si="15">F86-D86</f>
        <v>0</v>
      </c>
      <c r="I86" s="175">
        <f t="shared" si="15"/>
        <v>15648</v>
      </c>
    </row>
    <row r="87" spans="1:63" x14ac:dyDescent="0.2">
      <c r="A87" s="174"/>
      <c r="B87" s="3"/>
      <c r="C87" s="10" t="s">
        <v>73</v>
      </c>
      <c r="D87" s="176">
        <f>ONT_FLSH!L87</f>
        <v>0</v>
      </c>
      <c r="E87" s="176">
        <f>ONT_FLSH!M87</f>
        <v>0</v>
      </c>
      <c r="F87" s="176">
        <f>'ONT_GL '!D87</f>
        <v>0</v>
      </c>
      <c r="G87" s="176">
        <f>'ONT_GL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ONT_FLSH!L88</f>
        <v>0</v>
      </c>
      <c r="E88" s="177">
        <f>ONT_FLSH!M88</f>
        <v>0</v>
      </c>
      <c r="F88" s="177">
        <f>'ONT_GL '!D88</f>
        <v>0</v>
      </c>
      <c r="G88" s="177">
        <f>'ONT_GL '!E88</f>
        <v>-15648</v>
      </c>
      <c r="H88" s="177">
        <f t="shared" si="15"/>
        <v>0</v>
      </c>
      <c r="I88" s="177">
        <f t="shared" si="15"/>
        <v>-15648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593800</v>
      </c>
      <c r="F89" s="190">
        <f t="shared" si="16"/>
        <v>0</v>
      </c>
      <c r="G89" s="190">
        <f t="shared" si="16"/>
        <v>593800</v>
      </c>
      <c r="H89" s="190">
        <f t="shared" si="16"/>
        <v>0</v>
      </c>
      <c r="I89" s="190">
        <f t="shared" si="16"/>
        <v>0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723339.15000000107</v>
      </c>
      <c r="F91" s="190">
        <f t="shared" si="17"/>
        <v>0</v>
      </c>
      <c r="G91" s="190">
        <f t="shared" si="17"/>
        <v>474857.41000000015</v>
      </c>
      <c r="H91" s="190">
        <f t="shared" si="17"/>
        <v>0</v>
      </c>
      <c r="I91" s="190">
        <f t="shared" si="17"/>
        <v>-248481.74000000022</v>
      </c>
    </row>
    <row r="92" spans="1:63" s="145" customFormat="1" x14ac:dyDescent="0.2">
      <c r="A92" s="192"/>
      <c r="B92" s="189"/>
      <c r="D92" s="193"/>
      <c r="E92" s="19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BUG_FLSH!D11</f>
        <v>6494610</v>
      </c>
      <c r="E11" s="66">
        <f>BUG_FLSH!E11</f>
        <v>14058957</v>
      </c>
      <c r="F11" s="60">
        <f>BUG_GL!D11</f>
        <v>6463380</v>
      </c>
      <c r="G11" s="38">
        <f>BUG_GL!E11</f>
        <v>22017902</v>
      </c>
      <c r="H11" s="60">
        <f>F11-D11</f>
        <v>-31230</v>
      </c>
      <c r="I11" s="38">
        <f>G11-E11</f>
        <v>7958945</v>
      </c>
    </row>
    <row r="12" spans="1:22" x14ac:dyDescent="0.2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BUG_FLSH!D13</f>
        <v>22915213</v>
      </c>
      <c r="E13" s="66">
        <f>BUG_FLSH!E13</f>
        <v>55028839</v>
      </c>
      <c r="F13" s="60">
        <f>BUG_GL!D13</f>
        <v>22912116</v>
      </c>
      <c r="G13" s="38">
        <f>BUG_GL!E13</f>
        <v>54912658</v>
      </c>
      <c r="H13" s="60">
        <f t="shared" ref="H13:I15" si="0">F13-D13</f>
        <v>-3097</v>
      </c>
      <c r="I13" s="38">
        <f t="shared" si="0"/>
        <v>-116181</v>
      </c>
    </row>
    <row r="14" spans="1:22" x14ac:dyDescent="0.2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29409823</v>
      </c>
      <c r="E16" s="39">
        <f t="shared" si="1"/>
        <v>69087796</v>
      </c>
      <c r="F16" s="61">
        <f t="shared" si="1"/>
        <v>29375496</v>
      </c>
      <c r="G16" s="39">
        <f t="shared" si="1"/>
        <v>76930560</v>
      </c>
      <c r="H16" s="61">
        <f t="shared" si="1"/>
        <v>-34327</v>
      </c>
      <c r="I16" s="39">
        <f t="shared" si="1"/>
        <v>7842764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BUG_FLSH!D19</f>
        <v>-5863953</v>
      </c>
      <c r="E19" s="66">
        <f>BUG_FLSH!E19</f>
        <v>-12124708</v>
      </c>
      <c r="F19" s="60">
        <f>BUG_GL!D19</f>
        <v>-5309286</v>
      </c>
      <c r="G19" s="38">
        <f>BUG_GL!E19</f>
        <v>-10567518</v>
      </c>
      <c r="H19" s="60">
        <f>F19-D19</f>
        <v>554667</v>
      </c>
      <c r="I19" s="38">
        <f>G19-E19</f>
        <v>1557190</v>
      </c>
    </row>
    <row r="20" spans="1:9" x14ac:dyDescent="0.2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BUG_FLSH!D21</f>
        <v>-31274346</v>
      </c>
      <c r="E21" s="66">
        <f>BUG_FLSH!E21</f>
        <v>-74695765</v>
      </c>
      <c r="F21" s="60">
        <f>BUG_GL!D21</f>
        <v>-31442257</v>
      </c>
      <c r="G21" s="38">
        <f>BUG_GL!E21</f>
        <v>-74998745</v>
      </c>
      <c r="H21" s="60">
        <f t="shared" ref="H21:I23" si="2">F21-D21</f>
        <v>-167911</v>
      </c>
      <c r="I21" s="38">
        <f t="shared" si="2"/>
        <v>-302980</v>
      </c>
    </row>
    <row r="22" spans="1:9" x14ac:dyDescent="0.2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BUG_FLSH!D23</f>
        <v>641864</v>
      </c>
      <c r="E23" s="66">
        <f>BUG_FLSH!E23</f>
        <v>1467209</v>
      </c>
      <c r="F23" s="60">
        <f>BUG_GL!D23</f>
        <v>0</v>
      </c>
      <c r="G23" s="38">
        <f>BUG_GL!E23</f>
        <v>0</v>
      </c>
      <c r="H23" s="60">
        <f t="shared" si="2"/>
        <v>-641864</v>
      </c>
      <c r="I23" s="38">
        <f t="shared" si="2"/>
        <v>-1467209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-36496435</v>
      </c>
      <c r="E24" s="39">
        <f t="shared" si="3"/>
        <v>-85353264</v>
      </c>
      <c r="F24" s="61">
        <f t="shared" si="3"/>
        <v>-36751543</v>
      </c>
      <c r="G24" s="39">
        <f t="shared" si="3"/>
        <v>-85566263</v>
      </c>
      <c r="H24" s="61">
        <f t="shared" si="3"/>
        <v>-255108</v>
      </c>
      <c r="I24" s="39">
        <f t="shared" si="3"/>
        <v>-212999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BUG_FLSH!D32</f>
        <v>5800</v>
      </c>
      <c r="E32" s="66">
        <f>BUG_FLSH!E32</f>
        <v>14500</v>
      </c>
      <c r="F32" s="60">
        <f>BUG_GL!D32</f>
        <v>1814</v>
      </c>
      <c r="G32" s="38">
        <f>BUG_GL!E32</f>
        <v>4274</v>
      </c>
      <c r="H32" s="60">
        <f>F32-D32</f>
        <v>-3986</v>
      </c>
      <c r="I32" s="38">
        <f>G32-E32</f>
        <v>-10226</v>
      </c>
    </row>
    <row r="33" spans="1:9" x14ac:dyDescent="0.2">
      <c r="A33" s="9">
        <v>14</v>
      </c>
      <c r="B33" s="7"/>
      <c r="C33" s="18" t="s">
        <v>42</v>
      </c>
      <c r="D33" s="65">
        <f>BUG_FLSH!D33</f>
        <v>-237957</v>
      </c>
      <c r="E33" s="66">
        <f>BUG_FLSH!E33</f>
        <v>-560626.69199999992</v>
      </c>
      <c r="F33" s="60">
        <f>BUG_GL!D33</f>
        <v>0</v>
      </c>
      <c r="G33" s="38">
        <f>BUG_GL!E33</f>
        <v>0</v>
      </c>
      <c r="H33" s="60">
        <f t="shared" ref="H33:I35" si="5">F33-D33</f>
        <v>237957</v>
      </c>
      <c r="I33" s="38">
        <f t="shared" si="5"/>
        <v>560626.69199999992</v>
      </c>
    </row>
    <row r="34" spans="1:9" x14ac:dyDescent="0.2">
      <c r="A34" s="9">
        <v>15</v>
      </c>
      <c r="B34" s="7"/>
      <c r="C34" s="18" t="s">
        <v>43</v>
      </c>
      <c r="D34" s="65">
        <f>BUG_FLSH!D34</f>
        <v>3325</v>
      </c>
      <c r="E34" s="66">
        <f>BUG_FLSH!E34</f>
        <v>8163</v>
      </c>
      <c r="F34" s="60">
        <f>BUG_GL!D34</f>
        <v>30547</v>
      </c>
      <c r="G34" s="38">
        <f>BUG_GL!E34</f>
        <v>68076</v>
      </c>
      <c r="H34" s="60">
        <f t="shared" si="5"/>
        <v>27222</v>
      </c>
      <c r="I34" s="38">
        <f t="shared" si="5"/>
        <v>59913</v>
      </c>
    </row>
    <row r="35" spans="1:9" x14ac:dyDescent="0.2">
      <c r="A35" s="9">
        <v>16</v>
      </c>
      <c r="B35" s="7"/>
      <c r="C35" s="18" t="s">
        <v>44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-228832</v>
      </c>
      <c r="E36" s="39">
        <f t="shared" si="6"/>
        <v>-537963.69199999992</v>
      </c>
      <c r="F36" s="61">
        <f t="shared" si="6"/>
        <v>32361</v>
      </c>
      <c r="G36" s="39">
        <f t="shared" si="6"/>
        <v>72350</v>
      </c>
      <c r="H36" s="61">
        <f t="shared" si="6"/>
        <v>261193</v>
      </c>
      <c r="I36" s="39">
        <f t="shared" si="6"/>
        <v>610313.69199999992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BUG_FLSH!D39</f>
        <v>7315444</v>
      </c>
      <c r="E39" s="66">
        <f>BUG_FLSH!E39</f>
        <v>18568485</v>
      </c>
      <c r="F39" s="60">
        <f>BUG_GL!D39</f>
        <v>7287166</v>
      </c>
      <c r="G39" s="38">
        <f>BUG_GL!E39</f>
        <v>18488043</v>
      </c>
      <c r="H39" s="60">
        <f t="shared" ref="H39:I41" si="7">F39-D39</f>
        <v>-28278</v>
      </c>
      <c r="I39" s="38">
        <f t="shared" si="7"/>
        <v>-80442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7315444</v>
      </c>
      <c r="E43" s="39">
        <f t="shared" si="9"/>
        <v>18568485</v>
      </c>
      <c r="F43" s="61">
        <f t="shared" si="9"/>
        <v>7287166</v>
      </c>
      <c r="G43" s="39">
        <f t="shared" si="9"/>
        <v>18488043</v>
      </c>
      <c r="H43" s="61">
        <f t="shared" si="9"/>
        <v>-28278</v>
      </c>
      <c r="I43" s="39">
        <f t="shared" si="9"/>
        <v>-80442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56520</v>
      </c>
      <c r="G49" s="38">
        <f>BUG_GL!E49</f>
        <v>133161</v>
      </c>
      <c r="H49" s="60">
        <f>F49-D49</f>
        <v>56520</v>
      </c>
      <c r="I49" s="38">
        <f>G49-E49</f>
        <v>133161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BUG_FLSH!D51</f>
        <v>-641864</v>
      </c>
      <c r="E51" s="66">
        <f>BUG_FLSH!E51</f>
        <v>-1467209</v>
      </c>
      <c r="F51" s="60">
        <f>BUG_GL!D51</f>
        <v>-467440</v>
      </c>
      <c r="G51" s="38">
        <f>BUG_GL!E51</f>
        <v>-1306724</v>
      </c>
      <c r="H51" s="60">
        <f>F51-D51</f>
        <v>174424</v>
      </c>
      <c r="I51" s="38">
        <f>G51-E51</f>
        <v>160485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-604318</v>
      </c>
      <c r="F54" s="60">
        <f>BUG_GL!D54</f>
        <v>-16056952</v>
      </c>
      <c r="G54" s="38">
        <f>BUG_GL!E54</f>
        <v>-659934</v>
      </c>
      <c r="H54" s="60">
        <f>F54-D54</f>
        <v>-16056952</v>
      </c>
      <c r="I54" s="38">
        <f>G54-E54</f>
        <v>-55616</v>
      </c>
    </row>
    <row r="55" spans="1:9" x14ac:dyDescent="0.2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-10559378</v>
      </c>
      <c r="F55" s="60">
        <f>BUG_GL!D55</f>
        <v>-1716128</v>
      </c>
      <c r="G55" s="38">
        <f>BUG_GL!E55</f>
        <v>-8386018</v>
      </c>
      <c r="H55" s="60">
        <f>F55-D55</f>
        <v>-1716128</v>
      </c>
      <c r="I55" s="38">
        <f>G55-E55</f>
        <v>2173360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-11163696</v>
      </c>
      <c r="F56" s="61">
        <f t="shared" si="10"/>
        <v>-17773080</v>
      </c>
      <c r="G56" s="39">
        <f t="shared" si="10"/>
        <v>-9045952</v>
      </c>
      <c r="H56" s="61">
        <f t="shared" si="10"/>
        <v>-17773080</v>
      </c>
      <c r="I56" s="39">
        <f t="shared" si="10"/>
        <v>2117744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-16</v>
      </c>
      <c r="H59" s="60">
        <f>F59-D59</f>
        <v>0</v>
      </c>
      <c r="I59" s="38">
        <f>G59-E59</f>
        <v>-16</v>
      </c>
    </row>
    <row r="60" spans="1:9" x14ac:dyDescent="0.2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-16</v>
      </c>
      <c r="H61" s="69">
        <f t="shared" si="11"/>
        <v>0</v>
      </c>
      <c r="I61" s="70">
        <f t="shared" si="11"/>
        <v>-16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5981501.7333007976</v>
      </c>
      <c r="F70" s="60">
        <f>BUG_GL!D70</f>
        <v>0</v>
      </c>
      <c r="G70" s="38">
        <f>BUG_GL!E70</f>
        <v>5852332.7300000004</v>
      </c>
      <c r="H70" s="60">
        <f>F70-D70</f>
        <v>0</v>
      </c>
      <c r="I70" s="38">
        <f>G70-E70</f>
        <v>-129169.00330079719</v>
      </c>
    </row>
    <row r="71" spans="1:9" x14ac:dyDescent="0.2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-7899743</v>
      </c>
      <c r="F71" s="60">
        <f>BUG_GL!D71</f>
        <v>0</v>
      </c>
      <c r="G71" s="38">
        <f>BUG_GL!E71</f>
        <v>-7770576</v>
      </c>
      <c r="H71" s="60">
        <f>F71-D71</f>
        <v>0</v>
      </c>
      <c r="I71" s="38">
        <f>G71-E71</f>
        <v>129167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-1918241.2666992024</v>
      </c>
      <c r="F72" s="69">
        <f t="shared" si="13"/>
        <v>0</v>
      </c>
      <c r="G72" s="70">
        <f t="shared" si="13"/>
        <v>-1918243.2699999996</v>
      </c>
      <c r="H72" s="69">
        <f t="shared" si="13"/>
        <v>0</v>
      </c>
      <c r="I72" s="70">
        <f t="shared" si="13"/>
        <v>-2.0033007971942425</v>
      </c>
    </row>
    <row r="73" spans="1:9" x14ac:dyDescent="0.2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2374526</v>
      </c>
      <c r="F74" s="60">
        <f>BUG_GL!D74</f>
        <v>0</v>
      </c>
      <c r="G74" s="38">
        <f>BUG_GL!E74</f>
        <v>2374528</v>
      </c>
      <c r="H74" s="60">
        <f t="shared" ref="H74:I79" si="14">F74-D74</f>
        <v>0</v>
      </c>
      <c r="I74" s="38">
        <f t="shared" si="14"/>
        <v>2</v>
      </c>
    </row>
    <row r="75" spans="1:9" x14ac:dyDescent="0.2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10559378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-10559378</v>
      </c>
    </row>
    <row r="80" spans="1:9" x14ac:dyDescent="0.2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149811.04130080529</v>
      </c>
      <c r="F82" s="111">
        <f>F16+F24+F29+F36+F43+F45+F47+F49</f>
        <v>0</v>
      </c>
      <c r="G82" s="112">
        <f>SUM(G72:G81)+G16+G24+G29+G36+G43+G45+G47+G49+G51+G56+G61+G66</f>
        <v>161443.73000000417</v>
      </c>
      <c r="H82" s="111">
        <f>H16+H24+H29+H36+H43+H45+H47+H49</f>
        <v>0</v>
      </c>
      <c r="I82" s="112">
        <f>SUM(I72:I81)+I16+I24+I29+I36+I43+I45+I47+I49+I51+I56+I61+I66</f>
        <v>11632.688699202612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E623" activePane="bottomRight" state="frozen"/>
      <selection pane="topRight" activeCell="E1" sqref="E1"/>
      <selection pane="bottomLeft" activeCell="A4" sqref="A4"/>
      <selection pane="bottomRight" activeCell="AC641" sqref="AC64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0.28515625" customWidth="1"/>
    <col min="12" max="12" width="11.7109375" customWidth="1"/>
    <col min="13" max="13" width="13.140625" customWidth="1"/>
    <col min="14" max="14" width="12.42578125" customWidth="1"/>
    <col min="15" max="15" width="12.5703125" customWidth="1"/>
    <col min="16" max="16" width="12.28515625" customWidth="1"/>
    <col min="17" max="17" width="11.7109375" customWidth="1"/>
    <col min="23" max="23" width="10.85546875" customWidth="1"/>
  </cols>
  <sheetData>
    <row r="1" spans="1:118" ht="28.5" customHeight="1" x14ac:dyDescent="0.2">
      <c r="E1" s="209">
        <v>36281</v>
      </c>
      <c r="F1" s="209"/>
      <c r="G1" s="210">
        <f>+E1+31</f>
        <v>36312</v>
      </c>
      <c r="H1" s="210"/>
      <c r="I1" s="210">
        <f>+G1+30</f>
        <v>36342</v>
      </c>
      <c r="J1" s="210"/>
      <c r="K1" s="211">
        <f>+I1+31</f>
        <v>36373</v>
      </c>
      <c r="L1" s="211"/>
      <c r="M1" s="211">
        <f>+K1+31</f>
        <v>36404</v>
      </c>
      <c r="N1" s="211"/>
      <c r="O1" s="211">
        <f>+M1+30</f>
        <v>36434</v>
      </c>
      <c r="P1" s="211"/>
      <c r="Q1" s="211">
        <f>+O1+31</f>
        <v>36465</v>
      </c>
      <c r="R1" s="211"/>
      <c r="S1" s="211">
        <f>+Q1+31</f>
        <v>36496</v>
      </c>
      <c r="T1" s="211"/>
      <c r="U1" s="211">
        <f>+S1+31</f>
        <v>36527</v>
      </c>
      <c r="V1" s="211"/>
      <c r="W1" s="211">
        <f>+U1+31</f>
        <v>36558</v>
      </c>
      <c r="X1" s="211"/>
      <c r="Y1" s="211">
        <f>+W1+31</f>
        <v>36589</v>
      </c>
      <c r="Z1" s="211"/>
      <c r="AA1" s="211">
        <f>+Y1+31</f>
        <v>36620</v>
      </c>
      <c r="AB1" s="211"/>
      <c r="AC1" s="211">
        <f>+AA1+31</f>
        <v>36651</v>
      </c>
      <c r="AD1" s="211"/>
      <c r="AE1" s="211">
        <f>+AC1+31</f>
        <v>36682</v>
      </c>
      <c r="AF1" s="211"/>
      <c r="AG1" s="211"/>
      <c r="AH1" s="211"/>
    </row>
    <row r="2" spans="1:118" x14ac:dyDescent="0.2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189</v>
      </c>
      <c r="F3" s="117" t="s">
        <v>190</v>
      </c>
      <c r="G3" s="170" t="s">
        <v>189</v>
      </c>
      <c r="H3" s="117" t="s">
        <v>190</v>
      </c>
      <c r="I3" s="170" t="s">
        <v>189</v>
      </c>
      <c r="J3" s="117" t="s">
        <v>190</v>
      </c>
      <c r="K3" s="116" t="s">
        <v>189</v>
      </c>
      <c r="L3" s="117" t="s">
        <v>190</v>
      </c>
      <c r="M3" s="116" t="s">
        <v>189</v>
      </c>
      <c r="N3" s="117" t="s">
        <v>190</v>
      </c>
      <c r="O3" s="116" t="s">
        <v>189</v>
      </c>
      <c r="P3" s="117" t="s">
        <v>190</v>
      </c>
      <c r="Q3" s="116" t="s">
        <v>189</v>
      </c>
      <c r="R3" s="117" t="s">
        <v>190</v>
      </c>
      <c r="S3" s="116" t="s">
        <v>189</v>
      </c>
      <c r="T3" s="117" t="s">
        <v>190</v>
      </c>
      <c r="U3" s="116" t="s">
        <v>189</v>
      </c>
      <c r="V3" s="117" t="s">
        <v>190</v>
      </c>
      <c r="W3" s="116" t="s">
        <v>189</v>
      </c>
      <c r="X3" s="117" t="s">
        <v>190</v>
      </c>
      <c r="Y3" s="116" t="s">
        <v>189</v>
      </c>
      <c r="Z3" s="117" t="s">
        <v>190</v>
      </c>
      <c r="AA3" s="116" t="s">
        <v>189</v>
      </c>
      <c r="AB3" s="117" t="s">
        <v>190</v>
      </c>
      <c r="AC3" s="116" t="s">
        <v>124</v>
      </c>
      <c r="AE3" s="116" t="s">
        <v>124</v>
      </c>
    </row>
    <row r="4" spans="1:118" x14ac:dyDescent="0.2">
      <c r="A4" s="118" t="s">
        <v>125</v>
      </c>
      <c r="B4" s="118" t="s">
        <v>126</v>
      </c>
      <c r="C4" s="119">
        <v>1</v>
      </c>
      <c r="D4" s="118" t="s">
        <v>27</v>
      </c>
      <c r="E4" s="120">
        <v>940970</v>
      </c>
      <c r="F4" s="120">
        <v>2386634.91</v>
      </c>
      <c r="G4" s="124">
        <v>112066</v>
      </c>
      <c r="H4" s="121">
        <v>-9751.75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-103661</v>
      </c>
      <c r="P4" s="121">
        <v>-242048.44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125</v>
      </c>
      <c r="B5" s="118" t="s">
        <v>126</v>
      </c>
      <c r="C5" s="119">
        <v>2</v>
      </c>
      <c r="D5" s="118" t="s">
        <v>28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125</v>
      </c>
      <c r="B6" s="118" t="s">
        <v>126</v>
      </c>
      <c r="C6" s="119">
        <v>3</v>
      </c>
      <c r="D6" s="118" t="s">
        <v>29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125</v>
      </c>
      <c r="B7" s="118" t="s">
        <v>126</v>
      </c>
      <c r="C7" s="119">
        <v>4</v>
      </c>
      <c r="D7" s="118" t="s">
        <v>30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125</v>
      </c>
      <c r="B9" s="118" t="s">
        <v>126</v>
      </c>
      <c r="C9" s="119">
        <v>6</v>
      </c>
      <c r="D9" s="118" t="s">
        <v>27</v>
      </c>
      <c r="E9" s="120">
        <v>-958217</v>
      </c>
      <c r="F9" s="120">
        <v>-2150408.29</v>
      </c>
      <c r="G9" s="124">
        <v>-260446</v>
      </c>
      <c r="H9" s="121">
        <v>-594211.39</v>
      </c>
      <c r="I9" s="124">
        <v>-4887</v>
      </c>
      <c r="J9" s="121">
        <v>-7816.92</v>
      </c>
      <c r="K9" s="121">
        <v>-527</v>
      </c>
      <c r="L9" s="121">
        <v>-1052.68</v>
      </c>
      <c r="M9" s="121">
        <v>31</v>
      </c>
      <c r="N9" s="121">
        <v>61.92</v>
      </c>
      <c r="O9" s="121">
        <v>103661</v>
      </c>
      <c r="P9" s="121">
        <v>229090.87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125</v>
      </c>
      <c r="B10" s="118" t="s">
        <v>126</v>
      </c>
      <c r="C10" s="119">
        <v>7</v>
      </c>
      <c r="D10" s="118" t="s">
        <v>28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125</v>
      </c>
      <c r="B11" s="118" t="s">
        <v>126</v>
      </c>
      <c r="C11" s="119">
        <v>8</v>
      </c>
      <c r="D11" s="118" t="s">
        <v>29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125</v>
      </c>
      <c r="B12" s="118" t="s">
        <v>126</v>
      </c>
      <c r="C12" s="119">
        <v>9</v>
      </c>
      <c r="D12" s="118" t="s">
        <v>30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125</v>
      </c>
      <c r="B13" s="118" t="s">
        <v>126</v>
      </c>
      <c r="C13" s="119">
        <v>10</v>
      </c>
      <c r="D13" s="118" t="s">
        <v>34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125</v>
      </c>
      <c r="B14" s="118" t="s">
        <v>126</v>
      </c>
      <c r="C14" s="119">
        <v>11</v>
      </c>
      <c r="D14" s="118" t="s">
        <v>37</v>
      </c>
      <c r="E14" s="120">
        <v>24800</v>
      </c>
      <c r="F14" s="120">
        <v>58280</v>
      </c>
      <c r="G14" s="124">
        <v>149654</v>
      </c>
      <c r="H14" s="121">
        <v>354978.45439999999</v>
      </c>
      <c r="I14" s="124">
        <v>4887</v>
      </c>
      <c r="J14" s="121">
        <v>10862.8236</v>
      </c>
      <c r="K14" s="121">
        <v>527</v>
      </c>
      <c r="L14" s="121">
        <v>1171.4156</v>
      </c>
      <c r="M14" s="121">
        <v>-31</v>
      </c>
      <c r="N14" s="121">
        <v>-68.906800000000004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-1975.2986000000019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125</v>
      </c>
      <c r="B15" s="118" t="s">
        <v>126</v>
      </c>
      <c r="C15" s="119">
        <v>12</v>
      </c>
      <c r="D15" s="118" t="s">
        <v>38</v>
      </c>
      <c r="E15" s="120">
        <v>-7553</v>
      </c>
      <c r="F15" s="120">
        <v>-17179.82</v>
      </c>
      <c r="G15" s="124">
        <v>-1282</v>
      </c>
      <c r="H15" s="121">
        <v>-2887.5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125</v>
      </c>
      <c r="B16" s="118" t="s">
        <v>126</v>
      </c>
      <c r="C16" s="119">
        <v>13</v>
      </c>
      <c r="D16" s="118" t="s">
        <v>41</v>
      </c>
      <c r="E16" s="120">
        <v>0</v>
      </c>
      <c r="F16" s="120">
        <v>0</v>
      </c>
      <c r="G16" s="124">
        <v>8</v>
      </c>
      <c r="H16" s="121">
        <v>18.3</v>
      </c>
      <c r="I16" s="124">
        <v>0</v>
      </c>
      <c r="J16" s="121">
        <v>-0.85599999999999998</v>
      </c>
      <c r="K16" s="121">
        <v>0</v>
      </c>
      <c r="L16" s="121">
        <v>0.55200000000000005</v>
      </c>
      <c r="M16" s="121">
        <v>0</v>
      </c>
      <c r="N16" s="121">
        <v>2.6960000000000002</v>
      </c>
      <c r="O16" s="121">
        <v>0</v>
      </c>
      <c r="P16" s="121">
        <v>2.2480000000000002</v>
      </c>
      <c r="Q16" s="121">
        <v>0</v>
      </c>
      <c r="R16" s="121">
        <v>-5.2880000000000003</v>
      </c>
      <c r="S16" s="121">
        <v>0</v>
      </c>
      <c r="T16" s="121">
        <v>0.64800000000000002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125</v>
      </c>
      <c r="B17" s="118" t="s">
        <v>126</v>
      </c>
      <c r="C17" s="119">
        <v>14</v>
      </c>
      <c r="D17" s="118" t="s">
        <v>42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125</v>
      </c>
      <c r="B18" s="118" t="s">
        <v>126</v>
      </c>
      <c r="C18" s="119">
        <v>15</v>
      </c>
      <c r="D18" s="118" t="s">
        <v>43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125</v>
      </c>
      <c r="B19" s="118" t="s">
        <v>126</v>
      </c>
      <c r="C19" s="119">
        <v>16</v>
      </c>
      <c r="D19" s="118" t="s">
        <v>44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125</v>
      </c>
      <c r="B22" s="118" t="s">
        <v>126</v>
      </c>
      <c r="C22" s="119">
        <v>19</v>
      </c>
      <c r="D22" s="118" t="s">
        <v>49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4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125</v>
      </c>
      <c r="B27" s="118" t="s">
        <v>126</v>
      </c>
      <c r="C27" s="119">
        <v>24</v>
      </c>
      <c r="D27" s="118" t="s">
        <v>57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125</v>
      </c>
      <c r="B28" s="118" t="s">
        <v>126</v>
      </c>
      <c r="C28" s="119">
        <v>25</v>
      </c>
      <c r="D28" s="118" t="s">
        <v>58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-4542.88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-668665</v>
      </c>
      <c r="F31" s="120">
        <v>-61137.38</v>
      </c>
      <c r="G31" s="124">
        <v>-181798</v>
      </c>
      <c r="H31" s="121">
        <v>-36250.82</v>
      </c>
      <c r="I31" s="124">
        <v>0</v>
      </c>
      <c r="J31" s="121">
        <v>-459.02</v>
      </c>
      <c r="K31" s="121">
        <v>-527</v>
      </c>
      <c r="L31" s="121">
        <v>-5.27</v>
      </c>
      <c r="M31" s="121">
        <v>527</v>
      </c>
      <c r="N31" s="121">
        <v>0.28999999999999998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125</v>
      </c>
      <c r="B35" s="118" t="s">
        <v>126</v>
      </c>
      <c r="C35" s="119">
        <v>32</v>
      </c>
      <c r="D35" s="118" t="s">
        <v>72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125</v>
      </c>
      <c r="B36" s="118" t="s">
        <v>126</v>
      </c>
      <c r="C36" s="119">
        <v>33</v>
      </c>
      <c r="D36" s="118" t="s">
        <v>73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125</v>
      </c>
      <c r="B37" s="118" t="s">
        <v>126</v>
      </c>
      <c r="C37" s="119">
        <v>34</v>
      </c>
      <c r="D37" s="118" t="s">
        <v>74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125</v>
      </c>
      <c r="B38" s="118" t="s">
        <v>126</v>
      </c>
      <c r="C38" s="119">
        <v>35</v>
      </c>
      <c r="D38" s="118" t="s">
        <v>75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125</v>
      </c>
      <c r="B39" s="118" t="s">
        <v>126</v>
      </c>
      <c r="C39" s="119">
        <v>36</v>
      </c>
      <c r="D39" s="118" t="s">
        <v>76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125</v>
      </c>
      <c r="B40" s="118" t="s">
        <v>126</v>
      </c>
      <c r="C40" s="119">
        <v>37</v>
      </c>
      <c r="D40" s="118" t="s">
        <v>77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125</v>
      </c>
      <c r="B41" s="118" t="s">
        <v>126</v>
      </c>
      <c r="C41" s="119">
        <v>38</v>
      </c>
      <c r="D41" s="118" t="s">
        <v>78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125</v>
      </c>
      <c r="B42" s="118" t="s">
        <v>126</v>
      </c>
      <c r="C42" s="119">
        <v>39</v>
      </c>
      <c r="D42" s="118" t="s">
        <v>79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125</v>
      </c>
      <c r="B43" s="118" t="s">
        <v>126</v>
      </c>
      <c r="C43" s="119">
        <v>40</v>
      </c>
      <c r="D43" s="118" t="s">
        <v>80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140</v>
      </c>
      <c r="B44" t="s">
        <v>141</v>
      </c>
      <c r="C44">
        <v>1</v>
      </c>
      <c r="D44" t="s">
        <v>27</v>
      </c>
      <c r="E44" s="14">
        <v>8530497</v>
      </c>
      <c r="F44" s="14">
        <v>20291918.389999997</v>
      </c>
      <c r="G44" s="124">
        <v>-98192</v>
      </c>
      <c r="H44" s="121">
        <v>-212815.14</v>
      </c>
      <c r="I44" s="124">
        <v>89333</v>
      </c>
      <c r="J44" s="121">
        <v>206332.13</v>
      </c>
      <c r="K44" s="121">
        <v>-297102</v>
      </c>
      <c r="L44" s="121">
        <v>-721957.86</v>
      </c>
      <c r="M44" s="121">
        <v>0</v>
      </c>
      <c r="N44" s="121">
        <v>0</v>
      </c>
      <c r="O44" s="121">
        <v>0</v>
      </c>
      <c r="P44" s="121">
        <v>1239.98</v>
      </c>
      <c r="Q44" s="121">
        <v>297102</v>
      </c>
      <c r="R44" s="121">
        <v>721957.86</v>
      </c>
      <c r="S44" s="121">
        <v>0</v>
      </c>
      <c r="T44" s="121">
        <v>-1492.4</v>
      </c>
      <c r="U44" s="121">
        <v>0</v>
      </c>
      <c r="V44" s="121">
        <v>0</v>
      </c>
      <c r="W44" s="121">
        <v>0</v>
      </c>
      <c r="X44" s="121">
        <v>0</v>
      </c>
      <c r="Y44" s="121">
        <v>19026</v>
      </c>
      <c r="Z44" s="121">
        <v>43759.8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140</v>
      </c>
      <c r="B45" t="s">
        <v>141</v>
      </c>
      <c r="C45">
        <v>2</v>
      </c>
      <c r="D45" t="s">
        <v>28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140</v>
      </c>
      <c r="B46" t="s">
        <v>141</v>
      </c>
      <c r="C46">
        <v>3</v>
      </c>
      <c r="D46" t="s">
        <v>29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140</v>
      </c>
      <c r="B47" t="s">
        <v>141</v>
      </c>
      <c r="C47">
        <v>4</v>
      </c>
      <c r="D47" t="s">
        <v>30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140</v>
      </c>
      <c r="B49" t="s">
        <v>141</v>
      </c>
      <c r="C49">
        <v>6</v>
      </c>
      <c r="D49" t="s">
        <v>27</v>
      </c>
      <c r="E49" s="14">
        <v>-583400</v>
      </c>
      <c r="F49" s="14">
        <v>-1342296.35</v>
      </c>
      <c r="G49" s="124">
        <v>-366802</v>
      </c>
      <c r="H49" s="121">
        <v>-864867.54</v>
      </c>
      <c r="I49" s="124">
        <v>-843</v>
      </c>
      <c r="J49" s="121">
        <v>-2075.4899999999998</v>
      </c>
      <c r="K49" s="121">
        <v>154</v>
      </c>
      <c r="L49" s="121">
        <v>354.2</v>
      </c>
      <c r="M49" s="121">
        <v>0</v>
      </c>
      <c r="N49" s="121">
        <v>390.18</v>
      </c>
      <c r="O49" s="121">
        <v>0</v>
      </c>
      <c r="P49" s="121">
        <v>0</v>
      </c>
      <c r="Q49" s="121">
        <v>0</v>
      </c>
      <c r="R49" s="121">
        <v>135.46</v>
      </c>
      <c r="S49" s="121">
        <v>0</v>
      </c>
      <c r="T49" s="121">
        <v>0</v>
      </c>
      <c r="U49" s="121">
        <v>0</v>
      </c>
      <c r="V49" s="121">
        <v>0</v>
      </c>
      <c r="W49" s="121">
        <v>2360</v>
      </c>
      <c r="X49" s="121">
        <v>5428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140</v>
      </c>
      <c r="B50" t="s">
        <v>141</v>
      </c>
      <c r="C50">
        <v>7</v>
      </c>
      <c r="D50" t="s">
        <v>28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140</v>
      </c>
      <c r="B51" t="s">
        <v>141</v>
      </c>
      <c r="C51">
        <v>8</v>
      </c>
      <c r="D51" t="s">
        <v>29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140</v>
      </c>
      <c r="B52" t="s">
        <v>141</v>
      </c>
      <c r="C52">
        <v>9</v>
      </c>
      <c r="D52" t="s">
        <v>30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140</v>
      </c>
      <c r="B53" t="s">
        <v>141</v>
      </c>
      <c r="C53">
        <v>10</v>
      </c>
      <c r="D53" t="s">
        <v>34</v>
      </c>
      <c r="E53" s="14">
        <v>0</v>
      </c>
      <c r="F53" s="14">
        <v>0</v>
      </c>
      <c r="G53" s="124">
        <v>29643</v>
      </c>
      <c r="H53" s="121">
        <v>66834.59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-26.07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140</v>
      </c>
      <c r="B54" t="s">
        <v>141</v>
      </c>
      <c r="C54">
        <v>11</v>
      </c>
      <c r="D54" t="s">
        <v>37</v>
      </c>
      <c r="E54" s="14">
        <v>3965525</v>
      </c>
      <c r="F54" s="14">
        <v>8749636.3499999996</v>
      </c>
      <c r="G54" s="124">
        <v>-193067</v>
      </c>
      <c r="H54" s="121">
        <v>-287216.62</v>
      </c>
      <c r="I54" s="124">
        <v>-38420</v>
      </c>
      <c r="J54" s="121">
        <v>-87060.74</v>
      </c>
      <c r="K54" s="121">
        <v>3120</v>
      </c>
      <c r="L54" s="121">
        <v>7152.3</v>
      </c>
      <c r="M54" s="121">
        <v>-286224</v>
      </c>
      <c r="N54" s="121">
        <v>-646938.46</v>
      </c>
      <c r="O54" s="121">
        <v>126026</v>
      </c>
      <c r="P54" s="121">
        <v>276607.63</v>
      </c>
      <c r="Q54" s="121">
        <v>-82237</v>
      </c>
      <c r="R54" s="121">
        <v>-140547.6</v>
      </c>
      <c r="S54" s="121">
        <v>-292269</v>
      </c>
      <c r="T54" s="121">
        <v>-662988.79</v>
      </c>
      <c r="U54" s="121">
        <v>0</v>
      </c>
      <c r="V54" s="121">
        <v>0</v>
      </c>
      <c r="W54" s="121">
        <v>0</v>
      </c>
      <c r="X54" s="121">
        <v>0.84</v>
      </c>
      <c r="Y54" s="121">
        <v>-3127</v>
      </c>
      <c r="Z54" s="121">
        <v>-7055.42</v>
      </c>
      <c r="AA54" s="121">
        <v>3127</v>
      </c>
      <c r="AB54" s="121">
        <v>7070.34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140</v>
      </c>
      <c r="B55" t="s">
        <v>141</v>
      </c>
      <c r="C55">
        <v>12</v>
      </c>
      <c r="D55" t="s">
        <v>38</v>
      </c>
      <c r="E55" s="14">
        <v>-12122053</v>
      </c>
      <c r="F55" s="14">
        <v>-27208090.780000001</v>
      </c>
      <c r="G55" s="124">
        <v>232478</v>
      </c>
      <c r="H55" s="121">
        <v>428136</v>
      </c>
      <c r="I55" s="124">
        <v>3503</v>
      </c>
      <c r="J55" s="121">
        <v>66808.88</v>
      </c>
      <c r="K55" s="121">
        <v>1570</v>
      </c>
      <c r="L55" s="121">
        <v>3024.8</v>
      </c>
      <c r="M55" s="121">
        <v>343958</v>
      </c>
      <c r="N55" s="121">
        <v>770424.13</v>
      </c>
      <c r="O55" s="121">
        <v>-188450</v>
      </c>
      <c r="P55" s="121">
        <v>-471706.8</v>
      </c>
      <c r="Q55" s="121">
        <v>82301</v>
      </c>
      <c r="R55" s="121">
        <v>140685.32999999999</v>
      </c>
      <c r="S55" s="121">
        <v>292238</v>
      </c>
      <c r="T55" s="121">
        <v>662871.98</v>
      </c>
      <c r="U55" s="121">
        <v>0</v>
      </c>
      <c r="V55" s="121">
        <v>54.86</v>
      </c>
      <c r="W55" s="121">
        <v>0</v>
      </c>
      <c r="X55" s="121">
        <v>-0.84</v>
      </c>
      <c r="Y55" s="121">
        <v>-3127</v>
      </c>
      <c r="Z55" s="121">
        <v>-7133.23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140</v>
      </c>
      <c r="B56" t="s">
        <v>141</v>
      </c>
      <c r="C56">
        <v>13</v>
      </c>
      <c r="D56" t="s">
        <v>41</v>
      </c>
      <c r="E56" s="14">
        <v>0</v>
      </c>
      <c r="F56" s="14">
        <v>0</v>
      </c>
      <c r="G56" s="124">
        <v>-25192</v>
      </c>
      <c r="H56" s="121">
        <v>-59327.16</v>
      </c>
      <c r="I56" s="124">
        <v>103000</v>
      </c>
      <c r="J56" s="121">
        <v>232761.19200000001</v>
      </c>
      <c r="K56" s="121">
        <v>0</v>
      </c>
      <c r="L56" s="121">
        <v>2801.0880000000002</v>
      </c>
      <c r="M56" s="121">
        <v>0</v>
      </c>
      <c r="N56" s="121">
        <v>27154.991999999998</v>
      </c>
      <c r="O56" s="121">
        <v>0</v>
      </c>
      <c r="P56" s="121">
        <v>22097.472000000002</v>
      </c>
      <c r="Q56" s="121">
        <v>-625</v>
      </c>
      <c r="R56" s="121">
        <v>-43721.618999999999</v>
      </c>
      <c r="S56" s="121">
        <v>676</v>
      </c>
      <c r="T56" s="121">
        <v>1591.98</v>
      </c>
      <c r="U56" s="121">
        <v>0</v>
      </c>
      <c r="V56" s="121">
        <v>0</v>
      </c>
      <c r="W56" s="121">
        <v>-55211</v>
      </c>
      <c r="X56" s="121">
        <v>-130021.905</v>
      </c>
      <c r="Y56" s="121">
        <v>74817</v>
      </c>
      <c r="Z56" s="121">
        <v>176194.035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140</v>
      </c>
      <c r="B57" t="s">
        <v>141</v>
      </c>
      <c r="C57">
        <v>14</v>
      </c>
      <c r="D57" t="s">
        <v>42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140</v>
      </c>
      <c r="B58" t="s">
        <v>141</v>
      </c>
      <c r="C58">
        <v>15</v>
      </c>
      <c r="D58" t="s">
        <v>43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140</v>
      </c>
      <c r="B59" t="s">
        <v>141</v>
      </c>
      <c r="C59">
        <v>16</v>
      </c>
      <c r="D59" t="s">
        <v>44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140</v>
      </c>
      <c r="B60" t="s">
        <v>141</v>
      </c>
      <c r="C60">
        <v>17</v>
      </c>
      <c r="D60" t="s">
        <v>128</v>
      </c>
      <c r="E60" s="14">
        <v>0</v>
      </c>
      <c r="F60" s="14">
        <v>0</v>
      </c>
      <c r="G60" s="124">
        <v>997496</v>
      </c>
      <c r="H60" s="121">
        <v>2344115.6</v>
      </c>
      <c r="I60" s="124">
        <v>0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4">
        <v>-596031</v>
      </c>
      <c r="H61" s="121">
        <v>-1400672.85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-33</v>
      </c>
      <c r="R61" s="121">
        <v>-77.55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140</v>
      </c>
      <c r="B62" t="s">
        <v>141</v>
      </c>
      <c r="C62">
        <v>19</v>
      </c>
      <c r="D62" t="s">
        <v>49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4">
        <v>20900</v>
      </c>
      <c r="H63" s="121">
        <v>40337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82301</v>
      </c>
      <c r="P63" s="121">
        <v>136074.79</v>
      </c>
      <c r="Q63" s="121">
        <v>-82301</v>
      </c>
      <c r="R63" s="121">
        <v>-140685.32999999999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0.84</v>
      </c>
      <c r="Y63" s="121">
        <v>0</v>
      </c>
      <c r="Z63" s="121">
        <v>0.84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4">
        <v>89334</v>
      </c>
      <c r="H64" s="121">
        <v>209934.9</v>
      </c>
      <c r="I64" s="124">
        <v>-89334</v>
      </c>
      <c r="J64" s="121">
        <v>-209934.9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140</v>
      </c>
      <c r="B65" t="s">
        <v>141</v>
      </c>
      <c r="C65">
        <v>22</v>
      </c>
      <c r="D65" t="s">
        <v>132</v>
      </c>
      <c r="E65" s="14">
        <v>209431</v>
      </c>
      <c r="F65" s="14">
        <v>493210.005</v>
      </c>
      <c r="G65" s="124">
        <v>-90567</v>
      </c>
      <c r="H65" s="121">
        <v>-213285.29</v>
      </c>
      <c r="I65" s="124">
        <v>-67239</v>
      </c>
      <c r="J65" s="121">
        <v>-158347.845</v>
      </c>
      <c r="K65" s="121">
        <v>292258</v>
      </c>
      <c r="L65" s="121">
        <v>688267.59</v>
      </c>
      <c r="M65" s="121">
        <v>-57734</v>
      </c>
      <c r="N65" s="121">
        <v>-135963.57</v>
      </c>
      <c r="O65" s="121">
        <v>-19877</v>
      </c>
      <c r="P65" s="121">
        <v>-46810.334999999999</v>
      </c>
      <c r="Q65" s="121">
        <v>-214207</v>
      </c>
      <c r="R65" s="121">
        <v>-504457.48499999999</v>
      </c>
      <c r="S65" s="121">
        <v>-645</v>
      </c>
      <c r="T65" s="121">
        <v>-1518.9749999999999</v>
      </c>
      <c r="U65" s="121">
        <v>0</v>
      </c>
      <c r="V65" s="121">
        <v>0</v>
      </c>
      <c r="W65" s="121">
        <v>52851</v>
      </c>
      <c r="X65" s="121">
        <v>124464.105</v>
      </c>
      <c r="Y65" s="121">
        <v>-87589</v>
      </c>
      <c r="Z65" s="121">
        <v>-206272.095</v>
      </c>
      <c r="AA65" s="121">
        <v>-3127</v>
      </c>
      <c r="AB65" s="121">
        <v>-7364.085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4">
        <v>-29643</v>
      </c>
      <c r="H66" s="121">
        <v>-66834.59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26.07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140</v>
      </c>
      <c r="B67" t="s">
        <v>141</v>
      </c>
      <c r="C67">
        <v>24</v>
      </c>
      <c r="D67" t="s">
        <v>57</v>
      </c>
      <c r="E67" s="14">
        <v>0</v>
      </c>
      <c r="F67" s="14">
        <v>29925.17</v>
      </c>
      <c r="G67" s="124">
        <v>0</v>
      </c>
      <c r="H67" s="121">
        <v>-287.8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-11444</v>
      </c>
      <c r="AB67" s="121">
        <v>-343.32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140</v>
      </c>
      <c r="B68" t="s">
        <v>141</v>
      </c>
      <c r="C68">
        <v>25</v>
      </c>
      <c r="D68" t="s">
        <v>58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140</v>
      </c>
      <c r="B69" t="s">
        <v>141</v>
      </c>
      <c r="C69">
        <v>26</v>
      </c>
      <c r="D69" t="s">
        <v>134</v>
      </c>
      <c r="E69" s="14">
        <v>3021382</v>
      </c>
      <c r="F69" s="14">
        <v>107024.23</v>
      </c>
      <c r="G69" s="124">
        <v>-57059</v>
      </c>
      <c r="H69" s="121">
        <v>-3531.04</v>
      </c>
      <c r="I69" s="124">
        <v>50296</v>
      </c>
      <c r="J69" s="121">
        <v>0</v>
      </c>
      <c r="K69" s="121">
        <v>3120</v>
      </c>
      <c r="L69" s="121">
        <v>0</v>
      </c>
      <c r="M69" s="121">
        <v>0</v>
      </c>
      <c r="N69" s="121">
        <v>-20065.349999999999</v>
      </c>
      <c r="O69" s="121">
        <v>0</v>
      </c>
      <c r="P69" s="121">
        <v>0</v>
      </c>
      <c r="Q69" s="121">
        <v>625</v>
      </c>
      <c r="R69" s="121">
        <v>-25060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16281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140</v>
      </c>
      <c r="B71" t="s">
        <v>141</v>
      </c>
      <c r="C71">
        <v>28</v>
      </c>
      <c r="D71" t="s">
        <v>136</v>
      </c>
      <c r="E71" s="14">
        <v>-14155711</v>
      </c>
      <c r="F71" s="14">
        <v>-2252204.7000000002</v>
      </c>
      <c r="G71" s="124">
        <v>-8175472</v>
      </c>
      <c r="H71" s="121">
        <v>-234335.06</v>
      </c>
      <c r="I71" s="124">
        <v>0</v>
      </c>
      <c r="J71" s="121">
        <v>-0.01</v>
      </c>
      <c r="K71" s="121">
        <v>0</v>
      </c>
      <c r="L71" s="121">
        <v>0.01</v>
      </c>
      <c r="M71" s="121">
        <v>0</v>
      </c>
      <c r="N71" s="121">
        <v>0</v>
      </c>
      <c r="O71" s="121">
        <v>0</v>
      </c>
      <c r="P71" s="121">
        <v>969284.32</v>
      </c>
      <c r="Q71" s="121">
        <v>0</v>
      </c>
      <c r="R71" s="121">
        <v>-969284.32</v>
      </c>
      <c r="S71" s="121">
        <v>159664</v>
      </c>
      <c r="T71" s="121">
        <v>15966.39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0.01</v>
      </c>
      <c r="AA71" s="121">
        <v>0</v>
      </c>
      <c r="AB71" s="121">
        <v>0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140</v>
      </c>
      <c r="B72" t="s">
        <v>141</v>
      </c>
      <c r="C72">
        <v>29</v>
      </c>
      <c r="D72" t="s">
        <v>137</v>
      </c>
      <c r="E72" s="14">
        <v>13117925</v>
      </c>
      <c r="F72" s="14">
        <v>1801533.01</v>
      </c>
      <c r="G72" s="124">
        <v>8215762</v>
      </c>
      <c r="H72" s="121">
        <v>235006.75</v>
      </c>
      <c r="I72" s="124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-969284.32</v>
      </c>
      <c r="Q72" s="121">
        <v>0</v>
      </c>
      <c r="R72" s="121">
        <v>969284.32</v>
      </c>
      <c r="S72" s="121">
        <v>-159664</v>
      </c>
      <c r="T72" s="121">
        <v>-15966.4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140</v>
      </c>
      <c r="B75" t="s">
        <v>141</v>
      </c>
      <c r="C75">
        <v>32</v>
      </c>
      <c r="D75" t="s">
        <v>72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140</v>
      </c>
      <c r="B76" t="s">
        <v>141</v>
      </c>
      <c r="C76">
        <v>33</v>
      </c>
      <c r="D76" t="s">
        <v>73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140</v>
      </c>
      <c r="B77" t="s">
        <v>141</v>
      </c>
      <c r="C77">
        <v>34</v>
      </c>
      <c r="D77" t="s">
        <v>74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140</v>
      </c>
      <c r="B78" t="s">
        <v>141</v>
      </c>
      <c r="C78">
        <v>35</v>
      </c>
      <c r="D78" t="s">
        <v>75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140</v>
      </c>
      <c r="B79" t="s">
        <v>141</v>
      </c>
      <c r="C79">
        <v>36</v>
      </c>
      <c r="D79" t="s">
        <v>76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140</v>
      </c>
      <c r="B80" t="s">
        <v>141</v>
      </c>
      <c r="C80">
        <v>37</v>
      </c>
      <c r="D80" t="s">
        <v>77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140</v>
      </c>
      <c r="B81" t="s">
        <v>141</v>
      </c>
      <c r="C81">
        <v>38</v>
      </c>
      <c r="D81" t="s">
        <v>78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140</v>
      </c>
      <c r="B82" t="s">
        <v>141</v>
      </c>
      <c r="C82">
        <v>39</v>
      </c>
      <c r="D82" t="s">
        <v>79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140</v>
      </c>
      <c r="B83" t="s">
        <v>141</v>
      </c>
      <c r="C83">
        <v>40</v>
      </c>
      <c r="D83" t="s">
        <v>80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142</v>
      </c>
      <c r="B84" t="s">
        <v>115</v>
      </c>
      <c r="C84">
        <v>1</v>
      </c>
      <c r="D84" t="s">
        <v>27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142</v>
      </c>
      <c r="B85" t="s">
        <v>115</v>
      </c>
      <c r="C85">
        <v>2</v>
      </c>
      <c r="D85" t="s">
        <v>28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142</v>
      </c>
      <c r="B86" t="s">
        <v>115</v>
      </c>
      <c r="C86">
        <v>3</v>
      </c>
      <c r="D86" t="s">
        <v>29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142</v>
      </c>
      <c r="B87" t="s">
        <v>115</v>
      </c>
      <c r="C87">
        <v>4</v>
      </c>
      <c r="D87" t="s">
        <v>30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142</v>
      </c>
      <c r="B88" t="s">
        <v>115</v>
      </c>
      <c r="C88">
        <v>5</v>
      </c>
      <c r="D88" t="s">
        <v>127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142</v>
      </c>
      <c r="B89" t="s">
        <v>115</v>
      </c>
      <c r="C89">
        <v>6</v>
      </c>
      <c r="D89" t="s">
        <v>27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142</v>
      </c>
      <c r="B90" t="s">
        <v>115</v>
      </c>
      <c r="C90">
        <v>7</v>
      </c>
      <c r="D90" t="s">
        <v>28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142</v>
      </c>
      <c r="B91" t="s">
        <v>115</v>
      </c>
      <c r="C91">
        <v>8</v>
      </c>
      <c r="D91" t="s">
        <v>29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142</v>
      </c>
      <c r="B92" t="s">
        <v>115</v>
      </c>
      <c r="C92">
        <v>9</v>
      </c>
      <c r="D92" t="s">
        <v>30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142</v>
      </c>
      <c r="B93" t="s">
        <v>115</v>
      </c>
      <c r="C93">
        <v>10</v>
      </c>
      <c r="D93" t="s">
        <v>34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142</v>
      </c>
      <c r="B94" t="s">
        <v>115</v>
      </c>
      <c r="C94">
        <v>11</v>
      </c>
      <c r="D94" t="s">
        <v>37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142</v>
      </c>
      <c r="B95" t="s">
        <v>115</v>
      </c>
      <c r="C95">
        <v>12</v>
      </c>
      <c r="D95" t="s">
        <v>38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142</v>
      </c>
      <c r="B96" t="s">
        <v>115</v>
      </c>
      <c r="C96">
        <v>13</v>
      </c>
      <c r="D96" t="s">
        <v>41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142</v>
      </c>
      <c r="B97" t="s">
        <v>115</v>
      </c>
      <c r="C97">
        <v>14</v>
      </c>
      <c r="D97" t="s">
        <v>42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142</v>
      </c>
      <c r="B98" t="s">
        <v>115</v>
      </c>
      <c r="C98">
        <v>15</v>
      </c>
      <c r="D98" t="s">
        <v>43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142</v>
      </c>
      <c r="B99" t="s">
        <v>115</v>
      </c>
      <c r="C99">
        <v>16</v>
      </c>
      <c r="D99" t="s">
        <v>44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142</v>
      </c>
      <c r="B100" t="s">
        <v>115</v>
      </c>
      <c r="C100">
        <v>17</v>
      </c>
      <c r="D100" t="s">
        <v>128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142</v>
      </c>
      <c r="B101" t="s">
        <v>115</v>
      </c>
      <c r="C101">
        <v>18</v>
      </c>
      <c r="D101" t="s">
        <v>129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142</v>
      </c>
      <c r="B102" t="s">
        <v>115</v>
      </c>
      <c r="C102">
        <v>19</v>
      </c>
      <c r="D102" t="s">
        <v>49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142</v>
      </c>
      <c r="B103" t="s">
        <v>115</v>
      </c>
      <c r="C103">
        <v>20</v>
      </c>
      <c r="D103" t="s">
        <v>130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142</v>
      </c>
      <c r="B104" t="s">
        <v>115</v>
      </c>
      <c r="C104">
        <v>21</v>
      </c>
      <c r="D104" t="s">
        <v>131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142</v>
      </c>
      <c r="B105" t="s">
        <v>115</v>
      </c>
      <c r="C105">
        <v>22</v>
      </c>
      <c r="D105" t="s">
        <v>132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142</v>
      </c>
      <c r="B106" t="s">
        <v>115</v>
      </c>
      <c r="C106">
        <v>23</v>
      </c>
      <c r="D106" t="s">
        <v>133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142</v>
      </c>
      <c r="B107" t="s">
        <v>115</v>
      </c>
      <c r="C107">
        <v>24</v>
      </c>
      <c r="D107" t="s">
        <v>57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142</v>
      </c>
      <c r="B108" t="s">
        <v>115</v>
      </c>
      <c r="C108">
        <v>25</v>
      </c>
      <c r="D108" t="s">
        <v>58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142</v>
      </c>
      <c r="B109" t="s">
        <v>115</v>
      </c>
      <c r="C109">
        <v>26</v>
      </c>
      <c r="D109" t="s">
        <v>134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142</v>
      </c>
      <c r="B110" t="s">
        <v>115</v>
      </c>
      <c r="C110">
        <v>27</v>
      </c>
      <c r="D110" t="s">
        <v>135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142</v>
      </c>
      <c r="B111" t="s">
        <v>115</v>
      </c>
      <c r="C111">
        <v>28</v>
      </c>
      <c r="D111" t="s">
        <v>136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142</v>
      </c>
      <c r="B112" t="s">
        <v>115</v>
      </c>
      <c r="C112">
        <v>29</v>
      </c>
      <c r="D112" t="s">
        <v>137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142</v>
      </c>
      <c r="B113" t="s">
        <v>115</v>
      </c>
      <c r="C113">
        <v>30</v>
      </c>
      <c r="D113" t="s">
        <v>138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142</v>
      </c>
      <c r="B114" t="s">
        <v>115</v>
      </c>
      <c r="C114">
        <v>31</v>
      </c>
      <c r="D114" t="s">
        <v>139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142</v>
      </c>
      <c r="B115" t="s">
        <v>115</v>
      </c>
      <c r="C115">
        <v>32</v>
      </c>
      <c r="D115" t="s">
        <v>72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142</v>
      </c>
      <c r="B116" t="s">
        <v>115</v>
      </c>
      <c r="C116">
        <v>33</v>
      </c>
      <c r="D116" t="s">
        <v>73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142</v>
      </c>
      <c r="B117" t="s">
        <v>115</v>
      </c>
      <c r="C117">
        <v>34</v>
      </c>
      <c r="D117" t="s">
        <v>74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142</v>
      </c>
      <c r="B118" t="s">
        <v>115</v>
      </c>
      <c r="C118">
        <v>35</v>
      </c>
      <c r="D118" t="s">
        <v>75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142</v>
      </c>
      <c r="B119" t="s">
        <v>115</v>
      </c>
      <c r="C119">
        <v>36</v>
      </c>
      <c r="D119" t="s">
        <v>76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142</v>
      </c>
      <c r="B120" t="s">
        <v>115</v>
      </c>
      <c r="C120">
        <v>37</v>
      </c>
      <c r="D120" t="s">
        <v>77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142</v>
      </c>
      <c r="B121" t="s">
        <v>115</v>
      </c>
      <c r="C121">
        <v>38</v>
      </c>
      <c r="D121" t="s">
        <v>78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142</v>
      </c>
      <c r="B122" t="s">
        <v>115</v>
      </c>
      <c r="C122">
        <v>39</v>
      </c>
      <c r="D122" t="s">
        <v>79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142</v>
      </c>
      <c r="B123" t="s">
        <v>115</v>
      </c>
      <c r="C123">
        <v>40</v>
      </c>
      <c r="D123" t="s">
        <v>80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142</v>
      </c>
      <c r="B124" t="s">
        <v>143</v>
      </c>
      <c r="C124">
        <v>1</v>
      </c>
      <c r="D124" t="s">
        <v>27</v>
      </c>
      <c r="E124" s="14">
        <v>45022264</v>
      </c>
      <c r="F124" s="14">
        <v>109975690.22</v>
      </c>
      <c r="G124" s="124">
        <v>1176371</v>
      </c>
      <c r="H124" s="121">
        <v>1201576.99</v>
      </c>
      <c r="I124" s="124">
        <v>741104</v>
      </c>
      <c r="J124" s="121">
        <v>3180462</v>
      </c>
      <c r="K124" s="121">
        <v>20702</v>
      </c>
      <c r="L124" s="121">
        <v>1081756.51</v>
      </c>
      <c r="M124" s="121">
        <v>0</v>
      </c>
      <c r="N124" s="121">
        <v>0</v>
      </c>
      <c r="O124" s="121">
        <v>128</v>
      </c>
      <c r="P124" s="121">
        <v>290.43</v>
      </c>
      <c r="Q124" s="121">
        <v>2196</v>
      </c>
      <c r="R124" s="121">
        <v>5028.84</v>
      </c>
      <c r="S124" s="121">
        <v>1614</v>
      </c>
      <c r="T124" s="121">
        <v>3728.84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142</v>
      </c>
      <c r="B125" t="s">
        <v>143</v>
      </c>
      <c r="C125">
        <v>2</v>
      </c>
      <c r="D125" t="s">
        <v>28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142</v>
      </c>
      <c r="B126" t="s">
        <v>143</v>
      </c>
      <c r="C126">
        <v>3</v>
      </c>
      <c r="D126" t="s">
        <v>29</v>
      </c>
      <c r="E126" s="14">
        <v>19030434</v>
      </c>
      <c r="F126" s="14">
        <v>43171267</v>
      </c>
      <c r="G126" s="124">
        <v>-239056</v>
      </c>
      <c r="H126" s="121">
        <v>-520123</v>
      </c>
      <c r="I126" s="124">
        <v>0</v>
      </c>
      <c r="J126" s="121">
        <v>0</v>
      </c>
      <c r="K126" s="121">
        <v>32147</v>
      </c>
      <c r="L126" s="121">
        <v>68236</v>
      </c>
      <c r="M126" s="121">
        <v>0</v>
      </c>
      <c r="N126" s="121">
        <v>0</v>
      </c>
      <c r="O126" s="121">
        <v>1671369</v>
      </c>
      <c r="P126" s="121">
        <v>3786699</v>
      </c>
      <c r="Q126" s="121">
        <v>1671369</v>
      </c>
      <c r="R126" s="121">
        <v>3786699</v>
      </c>
      <c r="S126" s="121">
        <v>-3135829</v>
      </c>
      <c r="T126" s="121">
        <v>-7121511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142</v>
      </c>
      <c r="B127" t="s">
        <v>143</v>
      </c>
      <c r="C127">
        <v>4</v>
      </c>
      <c r="D127" t="s">
        <v>30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209000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142</v>
      </c>
      <c r="B129" t="s">
        <v>143</v>
      </c>
      <c r="C129">
        <v>6</v>
      </c>
      <c r="D129" t="s">
        <v>27</v>
      </c>
      <c r="E129" s="14">
        <v>-47340701</v>
      </c>
      <c r="F129" s="14">
        <v>-104702378.75999999</v>
      </c>
      <c r="G129" s="124">
        <v>524002</v>
      </c>
      <c r="H129" s="121">
        <v>986906.3</v>
      </c>
      <c r="I129" s="124">
        <v>-373578</v>
      </c>
      <c r="J129" s="121">
        <v>-471056.82</v>
      </c>
      <c r="K129" s="121">
        <v>13233</v>
      </c>
      <c r="L129" s="121">
        <v>17164</v>
      </c>
      <c r="M129" s="121">
        <v>-894</v>
      </c>
      <c r="N129" s="121">
        <v>457324.54</v>
      </c>
      <c r="O129" s="121">
        <v>-20265</v>
      </c>
      <c r="P129" s="121">
        <v>-43791.16</v>
      </c>
      <c r="Q129" s="121">
        <v>0</v>
      </c>
      <c r="R129" s="121">
        <v>1300.429999999993</v>
      </c>
      <c r="S129" s="121">
        <v>-15000</v>
      </c>
      <c r="T129" s="121">
        <v>-19842.88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142</v>
      </c>
      <c r="B130" t="s">
        <v>143</v>
      </c>
      <c r="C130">
        <v>7</v>
      </c>
      <c r="D130" t="s">
        <v>28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142</v>
      </c>
      <c r="B131" t="s">
        <v>143</v>
      </c>
      <c r="C131">
        <v>8</v>
      </c>
      <c r="D131" t="s">
        <v>29</v>
      </c>
      <c r="E131" s="14">
        <v>-18815314</v>
      </c>
      <c r="F131" s="14">
        <v>-42663071</v>
      </c>
      <c r="G131" s="124">
        <v>489499</v>
      </c>
      <c r="H131" s="121">
        <v>1090332</v>
      </c>
      <c r="I131" s="124">
        <v>0</v>
      </c>
      <c r="J131" s="121">
        <v>0</v>
      </c>
      <c r="K131" s="121">
        <v>-46369</v>
      </c>
      <c r="L131" s="121">
        <v>-107582</v>
      </c>
      <c r="M131" s="121">
        <v>0</v>
      </c>
      <c r="N131" s="121">
        <v>0</v>
      </c>
      <c r="O131" s="121">
        <v>-1671369</v>
      </c>
      <c r="P131" s="121">
        <v>-3786699</v>
      </c>
      <c r="Q131" s="121">
        <v>-1671369</v>
      </c>
      <c r="R131" s="121">
        <v>-3786699</v>
      </c>
      <c r="S131" s="121">
        <v>2899608</v>
      </c>
      <c r="T131" s="121">
        <v>6590648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142</v>
      </c>
      <c r="B132" t="s">
        <v>143</v>
      </c>
      <c r="C132">
        <v>9</v>
      </c>
      <c r="D132" t="s">
        <v>30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142</v>
      </c>
      <c r="B133" t="s">
        <v>143</v>
      </c>
      <c r="C133">
        <v>10</v>
      </c>
      <c r="D133" t="s">
        <v>34</v>
      </c>
      <c r="E133" s="14">
        <v>540180</v>
      </c>
      <c r="F133" s="14">
        <v>1224047.8799999999</v>
      </c>
      <c r="G133" s="124">
        <v>18158</v>
      </c>
      <c r="H133" s="121">
        <v>41146.03</v>
      </c>
      <c r="I133" s="124">
        <v>-5231</v>
      </c>
      <c r="J133" s="121">
        <v>-11853.45</v>
      </c>
      <c r="K133" s="121">
        <v>-258</v>
      </c>
      <c r="L133" s="121">
        <v>-584.62800000000004</v>
      </c>
      <c r="M133" s="121">
        <v>0</v>
      </c>
      <c r="N133" s="121">
        <v>0</v>
      </c>
      <c r="O133" s="121">
        <v>229</v>
      </c>
      <c r="P133" s="121">
        <v>518.91399999999999</v>
      </c>
      <c r="Q133" s="121">
        <v>17</v>
      </c>
      <c r="R133" s="121">
        <v>38.521999999999998</v>
      </c>
      <c r="S133" s="121">
        <v>-552</v>
      </c>
      <c r="T133" s="121">
        <v>-1250.8320000000001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142</v>
      </c>
      <c r="B134" t="s">
        <v>143</v>
      </c>
      <c r="C134">
        <v>11</v>
      </c>
      <c r="D134" t="s">
        <v>37</v>
      </c>
      <c r="E134" s="14">
        <v>8901</v>
      </c>
      <c r="F134" s="14">
        <v>19849.23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142</v>
      </c>
      <c r="B135" t="s">
        <v>143</v>
      </c>
      <c r="C135">
        <v>12</v>
      </c>
      <c r="D135" t="s">
        <v>38</v>
      </c>
      <c r="E135" s="14">
        <v>-18600</v>
      </c>
      <c r="F135" s="14">
        <v>-42180.15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142</v>
      </c>
      <c r="B136" t="s">
        <v>143</v>
      </c>
      <c r="C136">
        <v>13</v>
      </c>
      <c r="D136" t="s">
        <v>41</v>
      </c>
      <c r="E136" s="14">
        <v>105792</v>
      </c>
      <c r="F136" s="14">
        <v>239724.67</v>
      </c>
      <c r="G136" s="124">
        <v>-138715</v>
      </c>
      <c r="H136" s="121">
        <v>-310897.61</v>
      </c>
      <c r="I136" s="124">
        <v>21442</v>
      </c>
      <c r="J136" s="121">
        <v>47729.89</v>
      </c>
      <c r="K136" s="121">
        <v>-41689</v>
      </c>
      <c r="L136" s="121">
        <v>-62514.272000000004</v>
      </c>
      <c r="M136" s="121">
        <v>-20905</v>
      </c>
      <c r="N136" s="121">
        <v>-90770.559999999998</v>
      </c>
      <c r="O136" s="121">
        <v>29777</v>
      </c>
      <c r="P136" s="121">
        <v>79779.13</v>
      </c>
      <c r="Q136" s="121">
        <v>-213605</v>
      </c>
      <c r="R136" s="121">
        <v>-484548.54</v>
      </c>
      <c r="S136" s="121">
        <v>-2018</v>
      </c>
      <c r="T136" s="121">
        <v>-4572.7879999999996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142</v>
      </c>
      <c r="B137" t="s">
        <v>143</v>
      </c>
      <c r="C137">
        <v>14</v>
      </c>
      <c r="D137" t="s">
        <v>42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-1908</v>
      </c>
      <c r="P137" s="121">
        <v>-5784.87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142</v>
      </c>
      <c r="B138" t="s">
        <v>143</v>
      </c>
      <c r="C138">
        <v>15</v>
      </c>
      <c r="D138" t="s">
        <v>43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1041</v>
      </c>
      <c r="T138" s="121">
        <v>2311.85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142</v>
      </c>
      <c r="B139" t="s">
        <v>143</v>
      </c>
      <c r="C139">
        <v>16</v>
      </c>
      <c r="D139" t="s">
        <v>44</v>
      </c>
      <c r="E139" s="14">
        <v>0</v>
      </c>
      <c r="F139" s="14">
        <v>-0.01</v>
      </c>
      <c r="G139" s="124">
        <v>0</v>
      </c>
      <c r="H139" s="121">
        <v>0</v>
      </c>
      <c r="I139" s="124">
        <v>218793</v>
      </c>
      <c r="J139" s="121">
        <v>0</v>
      </c>
      <c r="K139" s="121">
        <v>-218793</v>
      </c>
      <c r="L139" s="121">
        <v>-0.01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142</v>
      </c>
      <c r="B140" t="s">
        <v>143</v>
      </c>
      <c r="C140">
        <v>17</v>
      </c>
      <c r="D140" t="s">
        <v>128</v>
      </c>
      <c r="E140" s="14">
        <v>13907</v>
      </c>
      <c r="F140" s="14">
        <v>31513.26</v>
      </c>
      <c r="G140" s="124">
        <v>12233</v>
      </c>
      <c r="H140" s="121">
        <v>27719.98</v>
      </c>
      <c r="I140" s="124">
        <v>64882</v>
      </c>
      <c r="J140" s="121">
        <v>147022.60999999999</v>
      </c>
      <c r="K140" s="121">
        <v>4474</v>
      </c>
      <c r="L140" s="121">
        <v>10138.08</v>
      </c>
      <c r="M140" s="121">
        <v>-8948</v>
      </c>
      <c r="N140" s="121">
        <v>-20276.16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142</v>
      </c>
      <c r="B141" t="s">
        <v>143</v>
      </c>
      <c r="C141">
        <v>18</v>
      </c>
      <c r="D141" t="s">
        <v>129</v>
      </c>
      <c r="E141" s="14">
        <v>-871</v>
      </c>
      <c r="F141" s="14">
        <v>-1973.69</v>
      </c>
      <c r="G141" s="124">
        <v>882</v>
      </c>
      <c r="H141" s="121">
        <v>1998.62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142</v>
      </c>
      <c r="B142" t="s">
        <v>143</v>
      </c>
      <c r="C142">
        <v>19</v>
      </c>
      <c r="D142" t="s">
        <v>49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142</v>
      </c>
      <c r="B145" t="s">
        <v>143</v>
      </c>
      <c r="C145">
        <v>22</v>
      </c>
      <c r="D145" t="s">
        <v>132</v>
      </c>
      <c r="E145" s="14">
        <v>1454008</v>
      </c>
      <c r="F145" s="14">
        <v>3294782.128</v>
      </c>
      <c r="G145" s="124">
        <v>-1843374</v>
      </c>
      <c r="H145" s="121">
        <v>-4177085.4840000002</v>
      </c>
      <c r="I145" s="124">
        <v>-667412</v>
      </c>
      <c r="J145" s="121">
        <v>-1512355.5919999999</v>
      </c>
      <c r="K145" s="121">
        <v>236553</v>
      </c>
      <c r="L145" s="121">
        <v>536029.098</v>
      </c>
      <c r="M145" s="121">
        <v>30747</v>
      </c>
      <c r="N145" s="121">
        <v>69672.702000000005</v>
      </c>
      <c r="O145" s="121">
        <v>-7961</v>
      </c>
      <c r="P145" s="121">
        <v>-18039.626</v>
      </c>
      <c r="Q145" s="121">
        <v>211392</v>
      </c>
      <c r="R145" s="121">
        <v>479014.272</v>
      </c>
      <c r="S145" s="121">
        <v>251136</v>
      </c>
      <c r="T145" s="121">
        <v>569074.17599999998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142</v>
      </c>
      <c r="B146" t="s">
        <v>143</v>
      </c>
      <c r="C146">
        <v>23</v>
      </c>
      <c r="D146" t="s">
        <v>133</v>
      </c>
      <c r="E146" s="14">
        <v>-540180</v>
      </c>
      <c r="F146" s="14">
        <v>-1224047.8799999999</v>
      </c>
      <c r="G146" s="124">
        <v>-18158</v>
      </c>
      <c r="H146" s="121">
        <v>-41146.03</v>
      </c>
      <c r="I146" s="124">
        <v>5231</v>
      </c>
      <c r="J146" s="121">
        <v>11853.45</v>
      </c>
      <c r="K146" s="121">
        <v>258</v>
      </c>
      <c r="L146" s="121">
        <v>584.62800000000004</v>
      </c>
      <c r="M146" s="121">
        <v>0</v>
      </c>
      <c r="N146" s="121">
        <v>0</v>
      </c>
      <c r="O146" s="121">
        <v>-229</v>
      </c>
      <c r="P146" s="121">
        <v>-518.91399999999999</v>
      </c>
      <c r="Q146" s="121">
        <v>-17</v>
      </c>
      <c r="R146" s="121">
        <v>-38.521999999999998</v>
      </c>
      <c r="S146" s="121">
        <v>552</v>
      </c>
      <c r="T146" s="121">
        <v>1250.8320000000001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142</v>
      </c>
      <c r="B147" t="s">
        <v>143</v>
      </c>
      <c r="C147">
        <v>24</v>
      </c>
      <c r="D147" t="s">
        <v>57</v>
      </c>
      <c r="E147" s="14">
        <v>-21698185</v>
      </c>
      <c r="F147" s="14">
        <v>-1999784.65</v>
      </c>
      <c r="G147" s="124">
        <v>-5384737</v>
      </c>
      <c r="H147" s="121">
        <v>-1533870.19</v>
      </c>
      <c r="I147" s="124">
        <v>2613979</v>
      </c>
      <c r="J147" s="121">
        <v>415553.88</v>
      </c>
      <c r="K147" s="121">
        <v>-5294976</v>
      </c>
      <c r="L147" s="121">
        <v>-85062.23</v>
      </c>
      <c r="M147" s="121">
        <v>2195988</v>
      </c>
      <c r="N147" s="121">
        <v>68495.09</v>
      </c>
      <c r="O147" s="121">
        <v>102814</v>
      </c>
      <c r="P147" s="121">
        <v>19027.04</v>
      </c>
      <c r="Q147" s="121">
        <v>1569</v>
      </c>
      <c r="R147" s="121">
        <v>-5115.9399999999996</v>
      </c>
      <c r="S147" s="121">
        <v>20206</v>
      </c>
      <c r="T147" s="121">
        <v>1772.43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142</v>
      </c>
      <c r="B148" t="s">
        <v>143</v>
      </c>
      <c r="C148">
        <v>25</v>
      </c>
      <c r="D148" t="s">
        <v>58</v>
      </c>
      <c r="E148" s="14">
        <v>0</v>
      </c>
      <c r="F148" s="14">
        <v>-11085.06</v>
      </c>
      <c r="G148" s="124">
        <v>0</v>
      </c>
      <c r="H148" s="121">
        <v>-1111557.54</v>
      </c>
      <c r="I148" s="124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17475</v>
      </c>
      <c r="O148" s="121">
        <v>0</v>
      </c>
      <c r="P148" s="121">
        <v>-45725</v>
      </c>
      <c r="Q148" s="121">
        <v>0</v>
      </c>
      <c r="R148" s="121">
        <v>45973.98</v>
      </c>
      <c r="S148" s="121">
        <v>0</v>
      </c>
      <c r="T148" s="121">
        <v>-3298.37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4">
        <v>0</v>
      </c>
      <c r="H149" s="121">
        <v>-8137.5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142</v>
      </c>
      <c r="B155" t="s">
        <v>143</v>
      </c>
      <c r="C155">
        <v>32</v>
      </c>
      <c r="D155" t="s">
        <v>72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142</v>
      </c>
      <c r="B156" t="s">
        <v>143</v>
      </c>
      <c r="C156">
        <v>33</v>
      </c>
      <c r="D156" t="s">
        <v>73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142</v>
      </c>
      <c r="B157" t="s">
        <v>143</v>
      </c>
      <c r="C157">
        <v>34</v>
      </c>
      <c r="D157" t="s">
        <v>74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142</v>
      </c>
      <c r="B158" t="s">
        <v>143</v>
      </c>
      <c r="C158">
        <v>35</v>
      </c>
      <c r="D158" t="s">
        <v>75</v>
      </c>
      <c r="E158" s="14">
        <v>0</v>
      </c>
      <c r="F158" s="14">
        <v>-10536.98</v>
      </c>
      <c r="G158" s="124">
        <v>0</v>
      </c>
      <c r="H158" s="121">
        <v>-18241.62</v>
      </c>
      <c r="I158" s="124">
        <v>0</v>
      </c>
      <c r="J158" s="121">
        <v>184.5</v>
      </c>
      <c r="K158" s="121">
        <v>0</v>
      </c>
      <c r="L158" s="121">
        <v>0</v>
      </c>
      <c r="M158" s="121">
        <v>0</v>
      </c>
      <c r="N158" s="121">
        <v>18393.62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142</v>
      </c>
      <c r="B159" t="s">
        <v>143</v>
      </c>
      <c r="C159">
        <v>36</v>
      </c>
      <c r="D159" t="s">
        <v>76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142</v>
      </c>
      <c r="B160" t="s">
        <v>143</v>
      </c>
      <c r="C160">
        <v>37</v>
      </c>
      <c r="D160" t="s">
        <v>77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142</v>
      </c>
      <c r="B161" t="s">
        <v>143</v>
      </c>
      <c r="C161">
        <v>38</v>
      </c>
      <c r="D161" t="s">
        <v>78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142</v>
      </c>
      <c r="B162" t="s">
        <v>143</v>
      </c>
      <c r="C162">
        <v>39</v>
      </c>
      <c r="D162" t="s">
        <v>79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142</v>
      </c>
      <c r="B163" t="s">
        <v>143</v>
      </c>
      <c r="C163">
        <v>40</v>
      </c>
      <c r="D163" t="s">
        <v>80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142</v>
      </c>
      <c r="B164" t="s">
        <v>144</v>
      </c>
      <c r="C164">
        <v>1</v>
      </c>
      <c r="D164" t="s">
        <v>27</v>
      </c>
      <c r="E164" s="14">
        <v>85051560</v>
      </c>
      <c r="F164" s="14">
        <v>201168861.69999999</v>
      </c>
      <c r="G164" s="124">
        <v>-279996</v>
      </c>
      <c r="H164" s="121">
        <v>19125174.07</v>
      </c>
      <c r="I164" s="124">
        <v>-3918</v>
      </c>
      <c r="J164" s="121">
        <v>627343.05000000005</v>
      </c>
      <c r="K164" s="121">
        <v>0</v>
      </c>
      <c r="L164" s="121">
        <v>276260.31</v>
      </c>
      <c r="M164" s="121">
        <v>0</v>
      </c>
      <c r="N164" s="121">
        <v>-74</v>
      </c>
      <c r="O164" s="121">
        <v>445466</v>
      </c>
      <c r="P164" s="121">
        <v>-13611673.25</v>
      </c>
      <c r="Q164" s="121">
        <v>0</v>
      </c>
      <c r="R164" s="121">
        <v>0</v>
      </c>
      <c r="S164" s="121">
        <v>0</v>
      </c>
      <c r="T164" s="121">
        <v>0</v>
      </c>
      <c r="U164" s="121">
        <v>-2</v>
      </c>
      <c r="V164" s="121">
        <v>15325.1</v>
      </c>
      <c r="W164" s="121">
        <v>25035</v>
      </c>
      <c r="X164" s="121">
        <v>58936.75</v>
      </c>
      <c r="Y164" s="121">
        <v>0</v>
      </c>
      <c r="Z164" s="121">
        <v>0</v>
      </c>
      <c r="AA164" s="121">
        <v>-454</v>
      </c>
      <c r="AB164" s="121">
        <v>-869.44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142</v>
      </c>
      <c r="B165" t="s">
        <v>144</v>
      </c>
      <c r="C165">
        <v>2</v>
      </c>
      <c r="D165" t="s">
        <v>28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142</v>
      </c>
      <c r="B166" t="s">
        <v>144</v>
      </c>
      <c r="C166">
        <v>3</v>
      </c>
      <c r="D166" t="s">
        <v>29</v>
      </c>
      <c r="E166" s="14">
        <v>48098747</v>
      </c>
      <c r="F166" s="14">
        <v>110384760</v>
      </c>
      <c r="G166" s="124">
        <v>-77304</v>
      </c>
      <c r="H166" s="121">
        <v>-170702</v>
      </c>
      <c r="I166" s="124">
        <v>0</v>
      </c>
      <c r="J166" s="121">
        <v>0</v>
      </c>
      <c r="K166" s="121">
        <v>0</v>
      </c>
      <c r="L166" s="121">
        <v>0</v>
      </c>
      <c r="M166" s="121">
        <v>0</v>
      </c>
      <c r="N166" s="121">
        <v>0</v>
      </c>
      <c r="O166" s="121">
        <v>384967</v>
      </c>
      <c r="P166" s="121">
        <v>843693</v>
      </c>
      <c r="Q166" s="121">
        <v>545699</v>
      </c>
      <c r="R166" s="121">
        <v>1199034</v>
      </c>
      <c r="S166" s="121">
        <v>-853362</v>
      </c>
      <c r="T166" s="121">
        <v>-1872025</v>
      </c>
      <c r="U166" s="121">
        <v>3135829</v>
      </c>
      <c r="V166" s="121">
        <v>7121511</v>
      </c>
      <c r="W166" s="121">
        <v>0</v>
      </c>
      <c r="X166" s="121">
        <v>0</v>
      </c>
      <c r="Y166" s="121">
        <v>-3135829</v>
      </c>
      <c r="Z166" s="121">
        <v>-7121511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142</v>
      </c>
      <c r="B167" t="s">
        <v>144</v>
      </c>
      <c r="C167">
        <v>4</v>
      </c>
      <c r="D167" t="s">
        <v>30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3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142</v>
      </c>
      <c r="B169" t="s">
        <v>144</v>
      </c>
      <c r="C169">
        <v>6</v>
      </c>
      <c r="D169" t="s">
        <v>27</v>
      </c>
      <c r="E169" s="14">
        <v>-97232704</v>
      </c>
      <c r="F169" s="14">
        <v>-223386900.94</v>
      </c>
      <c r="G169" s="124">
        <v>-702262</v>
      </c>
      <c r="H169" s="121">
        <v>-4216276.3600000003</v>
      </c>
      <c r="I169" s="124">
        <v>-141326</v>
      </c>
      <c r="J169" s="121">
        <v>-283178.55</v>
      </c>
      <c r="K169" s="121">
        <v>543109</v>
      </c>
      <c r="L169" s="121">
        <v>1303481.8600000001</v>
      </c>
      <c r="M169" s="121">
        <v>-1127</v>
      </c>
      <c r="N169" s="121">
        <v>-2813.43</v>
      </c>
      <c r="O169" s="121">
        <v>5858506</v>
      </c>
      <c r="P169" s="121">
        <v>11859393.890000001</v>
      </c>
      <c r="Q169" s="121">
        <v>0</v>
      </c>
      <c r="R169" s="121">
        <v>0</v>
      </c>
      <c r="S169" s="121">
        <v>0</v>
      </c>
      <c r="T169" s="121">
        <v>0</v>
      </c>
      <c r="U169" s="121">
        <v>2203</v>
      </c>
      <c r="V169" s="121">
        <v>1729.33</v>
      </c>
      <c r="W169" s="121">
        <v>0</v>
      </c>
      <c r="X169" s="121">
        <v>0.28999999999999998</v>
      </c>
      <c r="Y169" s="121">
        <v>-140</v>
      </c>
      <c r="Z169" s="121">
        <v>-1588.04</v>
      </c>
      <c r="AA169" s="121">
        <v>484</v>
      </c>
      <c r="AB169" s="121">
        <v>892.73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142</v>
      </c>
      <c r="B170" t="s">
        <v>144</v>
      </c>
      <c r="C170">
        <v>7</v>
      </c>
      <c r="D170" t="s">
        <v>28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142</v>
      </c>
      <c r="B171" t="s">
        <v>144</v>
      </c>
      <c r="C171">
        <v>8</v>
      </c>
      <c r="D171" t="s">
        <v>29</v>
      </c>
      <c r="E171" s="14">
        <v>-40530677</v>
      </c>
      <c r="F171" s="14">
        <v>-92564051</v>
      </c>
      <c r="G171" s="124">
        <v>0</v>
      </c>
      <c r="H171" s="121">
        <v>0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-384967</v>
      </c>
      <c r="P171" s="121">
        <v>-843693</v>
      </c>
      <c r="Q171" s="121">
        <v>-545699</v>
      </c>
      <c r="R171" s="121">
        <v>-1199034</v>
      </c>
      <c r="S171" s="121">
        <v>930666</v>
      </c>
      <c r="T171" s="121">
        <v>2042727</v>
      </c>
      <c r="U171" s="121">
        <v>-2899608</v>
      </c>
      <c r="V171" s="121">
        <v>-6590648</v>
      </c>
      <c r="W171" s="121">
        <v>0</v>
      </c>
      <c r="X171" s="121">
        <v>0</v>
      </c>
      <c r="Y171" s="121">
        <v>2899608</v>
      </c>
      <c r="Z171" s="121">
        <v>6590648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142</v>
      </c>
      <c r="B172" t="s">
        <v>144</v>
      </c>
      <c r="C172">
        <v>9</v>
      </c>
      <c r="D172" t="s">
        <v>30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142</v>
      </c>
      <c r="B173" t="s">
        <v>144</v>
      </c>
      <c r="C173">
        <v>10</v>
      </c>
      <c r="D173" t="s">
        <v>34</v>
      </c>
      <c r="E173" s="14">
        <v>303533</v>
      </c>
      <c r="F173" s="14">
        <v>714820.22</v>
      </c>
      <c r="G173" s="124">
        <v>-2495</v>
      </c>
      <c r="H173" s="121">
        <v>-5875.7250000000004</v>
      </c>
      <c r="I173" s="124">
        <v>8769</v>
      </c>
      <c r="J173" s="121">
        <v>20650.965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230</v>
      </c>
      <c r="V173" s="121">
        <v>521.17999999999995</v>
      </c>
      <c r="W173" s="121">
        <v>0</v>
      </c>
      <c r="X173" s="121">
        <v>0</v>
      </c>
      <c r="Y173" s="121">
        <v>25</v>
      </c>
      <c r="Z173" s="121">
        <v>56.65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142</v>
      </c>
      <c r="B174" t="s">
        <v>144</v>
      </c>
      <c r="C174">
        <v>11</v>
      </c>
      <c r="D174" t="s">
        <v>37</v>
      </c>
      <c r="E174" s="14">
        <v>0</v>
      </c>
      <c r="F174" s="14">
        <v>0</v>
      </c>
      <c r="G174" s="124">
        <v>0</v>
      </c>
      <c r="H174" s="121">
        <v>0</v>
      </c>
      <c r="I174" s="124">
        <v>-27001</v>
      </c>
      <c r="J174" s="121">
        <v>-62507.23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142</v>
      </c>
      <c r="B175" t="s">
        <v>144</v>
      </c>
      <c r="C175">
        <v>12</v>
      </c>
      <c r="D175" t="s">
        <v>38</v>
      </c>
      <c r="E175" s="14">
        <v>-3090333</v>
      </c>
      <c r="F175" s="14">
        <v>-6966533.8799999999</v>
      </c>
      <c r="G175" s="124">
        <v>13991</v>
      </c>
      <c r="H175" s="121">
        <v>31499.57</v>
      </c>
      <c r="I175" s="124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142</v>
      </c>
      <c r="B176" t="s">
        <v>144</v>
      </c>
      <c r="C176">
        <v>13</v>
      </c>
      <c r="D176" t="s">
        <v>41</v>
      </c>
      <c r="E176" s="14">
        <v>214361</v>
      </c>
      <c r="F176" s="14">
        <v>504820.15</v>
      </c>
      <c r="G176" s="124">
        <v>-240869</v>
      </c>
      <c r="H176" s="121">
        <v>-563906.49199999997</v>
      </c>
      <c r="I176" s="124">
        <v>246722</v>
      </c>
      <c r="J176" s="121">
        <v>557871.04200000002</v>
      </c>
      <c r="K176" s="121">
        <v>142143</v>
      </c>
      <c r="L176" s="121">
        <v>542266.951</v>
      </c>
      <c r="M176" s="121">
        <v>1127</v>
      </c>
      <c r="N176" s="121">
        <v>1189825.4339999999</v>
      </c>
      <c r="O176" s="121">
        <v>26958</v>
      </c>
      <c r="P176" s="121">
        <v>-1311385.51</v>
      </c>
      <c r="Q176" s="121">
        <v>0</v>
      </c>
      <c r="R176" s="121">
        <v>0</v>
      </c>
      <c r="S176" s="121">
        <v>0</v>
      </c>
      <c r="T176" s="121">
        <v>0</v>
      </c>
      <c r="U176" s="121">
        <v>-10992</v>
      </c>
      <c r="V176" s="121">
        <v>-24907.871999999999</v>
      </c>
      <c r="W176" s="121">
        <v>31538</v>
      </c>
      <c r="X176" s="121">
        <v>68034.53</v>
      </c>
      <c r="Y176" s="121">
        <v>4714</v>
      </c>
      <c r="Z176" s="121">
        <v>10681.924000000001</v>
      </c>
      <c r="AA176" s="121">
        <v>-30</v>
      </c>
      <c r="AB176" s="121">
        <v>-67.98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142</v>
      </c>
      <c r="B177" t="s">
        <v>144</v>
      </c>
      <c r="C177">
        <v>14</v>
      </c>
      <c r="D177" t="s">
        <v>42</v>
      </c>
      <c r="E177" s="14">
        <v>0</v>
      </c>
      <c r="F177" s="14">
        <v>0</v>
      </c>
      <c r="G177" s="124">
        <v>-54530</v>
      </c>
      <c r="H177" s="121">
        <v>-121627.77</v>
      </c>
      <c r="I177" s="124">
        <v>-65324</v>
      </c>
      <c r="J177" s="121">
        <v>-148053.85999999999</v>
      </c>
      <c r="K177" s="121">
        <v>-81351</v>
      </c>
      <c r="L177" s="121">
        <v>-200258.79</v>
      </c>
      <c r="M177" s="121">
        <v>0</v>
      </c>
      <c r="N177" s="121">
        <v>0</v>
      </c>
      <c r="O177" s="121">
        <v>-2</v>
      </c>
      <c r="P177" s="121">
        <v>-4.4400000000000004</v>
      </c>
      <c r="Q177" s="121">
        <v>0</v>
      </c>
      <c r="R177" s="121">
        <v>0</v>
      </c>
      <c r="S177" s="121">
        <v>0</v>
      </c>
      <c r="T177" s="121">
        <v>0</v>
      </c>
      <c r="U177" s="121">
        <v>-15040</v>
      </c>
      <c r="V177" s="121">
        <v>-33403.839999999997</v>
      </c>
      <c r="W177" s="121">
        <v>0</v>
      </c>
      <c r="X177" s="121">
        <v>0</v>
      </c>
      <c r="Y177" s="121">
        <v>-2283</v>
      </c>
      <c r="Z177" s="121">
        <v>-5006.62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142</v>
      </c>
      <c r="B178" t="s">
        <v>144</v>
      </c>
      <c r="C178">
        <v>15</v>
      </c>
      <c r="D178" t="s">
        <v>43</v>
      </c>
      <c r="E178" s="14">
        <v>0</v>
      </c>
      <c r="F178" s="14">
        <v>0</v>
      </c>
      <c r="G178" s="124">
        <v>117646</v>
      </c>
      <c r="H178" s="121">
        <v>256659.93</v>
      </c>
      <c r="I178" s="124">
        <v>6264</v>
      </c>
      <c r="J178" s="121">
        <v>14006.31</v>
      </c>
      <c r="K178" s="121">
        <v>5556</v>
      </c>
      <c r="L178" s="121">
        <v>12435.55</v>
      </c>
      <c r="M178" s="121">
        <v>0</v>
      </c>
      <c r="N178" s="121">
        <v>0</v>
      </c>
      <c r="O178" s="121">
        <v>5329</v>
      </c>
      <c r="P178" s="121">
        <v>11324.66</v>
      </c>
      <c r="Q178" s="121">
        <v>0</v>
      </c>
      <c r="R178" s="121">
        <v>0</v>
      </c>
      <c r="S178" s="121">
        <v>0</v>
      </c>
      <c r="T178" s="121">
        <v>0</v>
      </c>
      <c r="U178" s="121">
        <v>5</v>
      </c>
      <c r="V178" s="121">
        <v>11.1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142</v>
      </c>
      <c r="B179" t="s">
        <v>144</v>
      </c>
      <c r="C179">
        <v>16</v>
      </c>
      <c r="D179" t="s">
        <v>44</v>
      </c>
      <c r="E179" s="14">
        <v>-499999</v>
      </c>
      <c r="F179" s="14">
        <v>-0.01</v>
      </c>
      <c r="G179" s="124">
        <v>1</v>
      </c>
      <c r="H179" s="121">
        <v>0</v>
      </c>
      <c r="I179" s="124">
        <v>999998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1177500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142</v>
      </c>
      <c r="B180" t="s">
        <v>144</v>
      </c>
      <c r="C180">
        <v>17</v>
      </c>
      <c r="D180" t="s">
        <v>128</v>
      </c>
      <c r="E180" s="14">
        <v>499972</v>
      </c>
      <c r="F180" s="14">
        <v>1299894.75</v>
      </c>
      <c r="G180" s="124">
        <v>0</v>
      </c>
      <c r="H180" s="121">
        <v>0</v>
      </c>
      <c r="I180" s="124">
        <v>-499972</v>
      </c>
      <c r="J180" s="121">
        <v>-1299894.75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-15000</v>
      </c>
      <c r="V180" s="121">
        <v>-33990</v>
      </c>
      <c r="W180" s="121">
        <v>15000</v>
      </c>
      <c r="X180" s="121">
        <v>33405.03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142</v>
      </c>
      <c r="B182" t="s">
        <v>144</v>
      </c>
      <c r="C182">
        <v>19</v>
      </c>
      <c r="D182" t="s">
        <v>49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142</v>
      </c>
      <c r="B185" t="s">
        <v>144</v>
      </c>
      <c r="C185">
        <v>22</v>
      </c>
      <c r="D185" t="s">
        <v>132</v>
      </c>
      <c r="E185" s="14">
        <v>7185540</v>
      </c>
      <c r="F185" s="14">
        <v>16921946.699999999</v>
      </c>
      <c r="G185" s="124">
        <v>1225818</v>
      </c>
      <c r="H185" s="121">
        <v>2886801.39</v>
      </c>
      <c r="I185" s="124">
        <v>-524212</v>
      </c>
      <c r="J185" s="121">
        <v>-1234519.26</v>
      </c>
      <c r="K185" s="121">
        <v>-609457</v>
      </c>
      <c r="L185" s="121">
        <v>-1435271.2350000001</v>
      </c>
      <c r="M185" s="121">
        <v>0</v>
      </c>
      <c r="N185" s="121">
        <v>0</v>
      </c>
      <c r="O185" s="121">
        <v>-6336257</v>
      </c>
      <c r="P185" s="121">
        <v>-14921885.234999999</v>
      </c>
      <c r="Q185" s="121">
        <v>0</v>
      </c>
      <c r="R185" s="121">
        <v>0</v>
      </c>
      <c r="S185" s="121">
        <v>-77304</v>
      </c>
      <c r="T185" s="121">
        <v>-182050.92</v>
      </c>
      <c r="U185" s="121">
        <v>-197625</v>
      </c>
      <c r="V185" s="121">
        <v>-447818.25</v>
      </c>
      <c r="W185" s="121">
        <v>-71573</v>
      </c>
      <c r="X185" s="121">
        <v>-162184.41800000001</v>
      </c>
      <c r="Y185" s="121">
        <v>233905</v>
      </c>
      <c r="Z185" s="121">
        <v>530028.73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142</v>
      </c>
      <c r="B186" t="s">
        <v>144</v>
      </c>
      <c r="C186">
        <v>23</v>
      </c>
      <c r="D186" t="s">
        <v>133</v>
      </c>
      <c r="E186" s="14">
        <v>-303533</v>
      </c>
      <c r="F186" s="14">
        <v>-714820.22</v>
      </c>
      <c r="G186" s="124">
        <v>2495</v>
      </c>
      <c r="H186" s="121">
        <v>5875.7250000000004</v>
      </c>
      <c r="I186" s="124">
        <v>-8799</v>
      </c>
      <c r="J186" s="121">
        <v>-20721.645</v>
      </c>
      <c r="K186" s="121">
        <v>0</v>
      </c>
      <c r="L186" s="121">
        <v>0</v>
      </c>
      <c r="M186" s="121">
        <v>0</v>
      </c>
      <c r="N186" s="121">
        <v>0</v>
      </c>
      <c r="O186" s="121">
        <v>-87197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-230</v>
      </c>
      <c r="V186" s="121">
        <v>-521.17999999999995</v>
      </c>
      <c r="W186" s="121">
        <v>0</v>
      </c>
      <c r="X186" s="121">
        <v>0</v>
      </c>
      <c r="Y186" s="121">
        <v>-25</v>
      </c>
      <c r="Z186" s="121">
        <v>-56.65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142</v>
      </c>
      <c r="B187" t="s">
        <v>144</v>
      </c>
      <c r="C187">
        <v>24</v>
      </c>
      <c r="D187" t="s">
        <v>57</v>
      </c>
      <c r="E187" s="14">
        <v>-26801603</v>
      </c>
      <c r="F187" s="14">
        <v>-623460.05000000005</v>
      </c>
      <c r="G187" s="124">
        <v>-2259004</v>
      </c>
      <c r="H187" s="121">
        <v>-126882.25</v>
      </c>
      <c r="I187" s="124">
        <v>1518915</v>
      </c>
      <c r="J187" s="121">
        <v>15225.4</v>
      </c>
      <c r="K187" s="121">
        <v>-37788</v>
      </c>
      <c r="L187" s="121">
        <v>-462.36</v>
      </c>
      <c r="M187" s="121">
        <v>-99</v>
      </c>
      <c r="N187" s="121">
        <v>-2.15</v>
      </c>
      <c r="O187" s="121">
        <v>0</v>
      </c>
      <c r="P187" s="121">
        <v>0</v>
      </c>
      <c r="Q187" s="121">
        <v>0</v>
      </c>
      <c r="R187" s="121">
        <v>0</v>
      </c>
      <c r="S187" s="121">
        <v>0</v>
      </c>
      <c r="T187" s="121">
        <v>0</v>
      </c>
      <c r="U187" s="121">
        <v>-33316</v>
      </c>
      <c r="V187" s="121">
        <v>7317.97</v>
      </c>
      <c r="W187" s="121">
        <v>0</v>
      </c>
      <c r="X187" s="121">
        <v>-825.41</v>
      </c>
      <c r="Y187" s="121">
        <v>-2431</v>
      </c>
      <c r="Z187" s="121">
        <v>825.41</v>
      </c>
      <c r="AA187" s="121">
        <v>-579370</v>
      </c>
      <c r="AB187" s="121">
        <v>10232.14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142</v>
      </c>
      <c r="B188" t="s">
        <v>144</v>
      </c>
      <c r="C188">
        <v>25</v>
      </c>
      <c r="D188" t="s">
        <v>58</v>
      </c>
      <c r="E188" s="14">
        <v>0</v>
      </c>
      <c r="F188" s="14">
        <v>-3499026.12</v>
      </c>
      <c r="G188" s="124">
        <v>0</v>
      </c>
      <c r="H188" s="121">
        <v>208173.31</v>
      </c>
      <c r="I188" s="124">
        <v>0</v>
      </c>
      <c r="J188" s="121">
        <v>-4606.45</v>
      </c>
      <c r="K188" s="121">
        <v>0</v>
      </c>
      <c r="L188" s="121">
        <v>0</v>
      </c>
      <c r="M188" s="121">
        <v>0</v>
      </c>
      <c r="N188" s="121">
        <v>11411.4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686</v>
      </c>
      <c r="W188" s="121">
        <v>0</v>
      </c>
      <c r="X188" s="121">
        <v>-10000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142</v>
      </c>
      <c r="B195" t="s">
        <v>144</v>
      </c>
      <c r="C195">
        <v>32</v>
      </c>
      <c r="D195" t="s">
        <v>72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142</v>
      </c>
      <c r="B196" t="s">
        <v>144</v>
      </c>
      <c r="C196">
        <v>33</v>
      </c>
      <c r="D196" t="s">
        <v>73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142</v>
      </c>
      <c r="B197" t="s">
        <v>144</v>
      </c>
      <c r="C197">
        <v>34</v>
      </c>
      <c r="D197" t="s">
        <v>74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142</v>
      </c>
      <c r="B198" t="s">
        <v>144</v>
      </c>
      <c r="C198">
        <v>35</v>
      </c>
      <c r="D198" t="s">
        <v>75</v>
      </c>
      <c r="E198" s="14">
        <v>0</v>
      </c>
      <c r="F198" s="14">
        <v>-7453.19</v>
      </c>
      <c r="G198" s="124">
        <v>0</v>
      </c>
      <c r="H198" s="121">
        <v>-276384.33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142</v>
      </c>
      <c r="B199" t="s">
        <v>144</v>
      </c>
      <c r="C199">
        <v>36</v>
      </c>
      <c r="D199" t="s">
        <v>76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142</v>
      </c>
      <c r="B200" t="s">
        <v>144</v>
      </c>
      <c r="C200">
        <v>37</v>
      </c>
      <c r="D200" t="s">
        <v>77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142</v>
      </c>
      <c r="B201" t="s">
        <v>144</v>
      </c>
      <c r="C201">
        <v>38</v>
      </c>
      <c r="D201" t="s">
        <v>78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142</v>
      </c>
      <c r="B202" t="s">
        <v>144</v>
      </c>
      <c r="C202">
        <v>39</v>
      </c>
      <c r="D202" t="s">
        <v>79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142</v>
      </c>
      <c r="B203" t="s">
        <v>144</v>
      </c>
      <c r="C203">
        <v>40</v>
      </c>
      <c r="D203" t="s">
        <v>80</v>
      </c>
      <c r="E203" s="14">
        <v>0</v>
      </c>
      <c r="F203" s="14">
        <v>787515.44</v>
      </c>
      <c r="G203" s="124">
        <v>0</v>
      </c>
      <c r="H203" s="121">
        <v>62140.43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142</v>
      </c>
      <c r="B204" t="s">
        <v>141</v>
      </c>
      <c r="C204">
        <v>1</v>
      </c>
      <c r="D204" t="s">
        <v>27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142</v>
      </c>
      <c r="B205" t="s">
        <v>141</v>
      </c>
      <c r="C205">
        <v>2</v>
      </c>
      <c r="D205" t="s">
        <v>28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142</v>
      </c>
      <c r="B206" t="s">
        <v>141</v>
      </c>
      <c r="C206">
        <v>3</v>
      </c>
      <c r="D206" t="s">
        <v>29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142</v>
      </c>
      <c r="B207" t="s">
        <v>141</v>
      </c>
      <c r="C207">
        <v>4</v>
      </c>
      <c r="D207" t="s">
        <v>30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142</v>
      </c>
      <c r="B209" t="s">
        <v>141</v>
      </c>
      <c r="C209">
        <v>6</v>
      </c>
      <c r="D209" t="s">
        <v>27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142</v>
      </c>
      <c r="B210" t="s">
        <v>141</v>
      </c>
      <c r="C210">
        <v>7</v>
      </c>
      <c r="D210" t="s">
        <v>28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142</v>
      </c>
      <c r="B211" t="s">
        <v>141</v>
      </c>
      <c r="C211">
        <v>8</v>
      </c>
      <c r="D211" t="s">
        <v>29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142</v>
      </c>
      <c r="B212" t="s">
        <v>141</v>
      </c>
      <c r="C212">
        <v>9</v>
      </c>
      <c r="D212" t="s">
        <v>30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142</v>
      </c>
      <c r="B213" t="s">
        <v>141</v>
      </c>
      <c r="C213">
        <v>10</v>
      </c>
      <c r="D213" t="s">
        <v>34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142</v>
      </c>
      <c r="B214" t="s">
        <v>141</v>
      </c>
      <c r="C214">
        <v>11</v>
      </c>
      <c r="D214" t="s">
        <v>37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142</v>
      </c>
      <c r="B215" t="s">
        <v>141</v>
      </c>
      <c r="C215">
        <v>12</v>
      </c>
      <c r="D215" t="s">
        <v>38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142</v>
      </c>
      <c r="B216" t="s">
        <v>141</v>
      </c>
      <c r="C216">
        <v>13</v>
      </c>
      <c r="D216" t="s">
        <v>41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142</v>
      </c>
      <c r="B217" t="s">
        <v>141</v>
      </c>
      <c r="C217">
        <v>14</v>
      </c>
      <c r="D217" t="s">
        <v>42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142</v>
      </c>
      <c r="B218" t="s">
        <v>141</v>
      </c>
      <c r="C218">
        <v>15</v>
      </c>
      <c r="D218" t="s">
        <v>43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142</v>
      </c>
      <c r="B219" t="s">
        <v>141</v>
      </c>
      <c r="C219">
        <v>16</v>
      </c>
      <c r="D219" t="s">
        <v>44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142</v>
      </c>
      <c r="B222" t="s">
        <v>141</v>
      </c>
      <c r="C222">
        <v>19</v>
      </c>
      <c r="D222" t="s">
        <v>49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142</v>
      </c>
      <c r="B227" t="s">
        <v>141</v>
      </c>
      <c r="C227">
        <v>24</v>
      </c>
      <c r="D227" t="s">
        <v>57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142</v>
      </c>
      <c r="B228" t="s">
        <v>141</v>
      </c>
      <c r="C228">
        <v>25</v>
      </c>
      <c r="D228" t="s">
        <v>58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142</v>
      </c>
      <c r="B235" t="s">
        <v>141</v>
      </c>
      <c r="C235">
        <v>32</v>
      </c>
      <c r="D235" t="s">
        <v>72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142</v>
      </c>
      <c r="B236" t="s">
        <v>141</v>
      </c>
      <c r="C236">
        <v>33</v>
      </c>
      <c r="D236" t="s">
        <v>73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142</v>
      </c>
      <c r="B237" t="s">
        <v>141</v>
      </c>
      <c r="C237">
        <v>34</v>
      </c>
      <c r="D237" t="s">
        <v>74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142</v>
      </c>
      <c r="B238" t="s">
        <v>141</v>
      </c>
      <c r="C238">
        <v>35</v>
      </c>
      <c r="D238" t="s">
        <v>75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142</v>
      </c>
      <c r="B239" t="s">
        <v>141</v>
      </c>
      <c r="C239">
        <v>36</v>
      </c>
      <c r="D239" t="s">
        <v>76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142</v>
      </c>
      <c r="B240" t="s">
        <v>141</v>
      </c>
      <c r="C240">
        <v>37</v>
      </c>
      <c r="D240" t="s">
        <v>77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142</v>
      </c>
      <c r="B241" t="s">
        <v>141</v>
      </c>
      <c r="C241">
        <v>38</v>
      </c>
      <c r="D241" t="s">
        <v>78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142</v>
      </c>
      <c r="B242" t="s">
        <v>141</v>
      </c>
      <c r="C242">
        <v>39</v>
      </c>
      <c r="D242" t="s">
        <v>79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142</v>
      </c>
      <c r="B243" t="s">
        <v>141</v>
      </c>
      <c r="C243">
        <v>40</v>
      </c>
      <c r="D243" t="s">
        <v>80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142</v>
      </c>
      <c r="B244" t="s">
        <v>145</v>
      </c>
      <c r="C244">
        <v>1</v>
      </c>
      <c r="D244" t="s">
        <v>27</v>
      </c>
      <c r="E244" s="14">
        <v>46588416</v>
      </c>
      <c r="F244" s="14">
        <v>109823077.37999998</v>
      </c>
      <c r="G244" s="124">
        <v>2971319</v>
      </c>
      <c r="H244" s="121">
        <v>6885811.54</v>
      </c>
      <c r="I244" s="124">
        <v>1903709</v>
      </c>
      <c r="J244" s="121">
        <v>4017634.18</v>
      </c>
      <c r="K244" s="121">
        <v>-1923683</v>
      </c>
      <c r="L244" s="121">
        <v>-4443613.5199999996</v>
      </c>
      <c r="M244" s="121">
        <v>342523</v>
      </c>
      <c r="N244" s="121">
        <v>801864.62</v>
      </c>
      <c r="O244" s="121">
        <v>-55430</v>
      </c>
      <c r="P244" s="121">
        <v>20310.98</v>
      </c>
      <c r="Q244" s="121">
        <v>70695</v>
      </c>
      <c r="R244" s="121">
        <v>174192.61</v>
      </c>
      <c r="S244" s="121">
        <v>5491</v>
      </c>
      <c r="T244" s="121">
        <v>11557.05</v>
      </c>
      <c r="U244" s="121">
        <v>0</v>
      </c>
      <c r="V244" s="121">
        <v>-37521.300000000003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142</v>
      </c>
      <c r="B245" t="s">
        <v>145</v>
      </c>
      <c r="C245">
        <v>2</v>
      </c>
      <c r="D245" t="s">
        <v>28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142</v>
      </c>
      <c r="B246" t="s">
        <v>145</v>
      </c>
      <c r="C246">
        <v>3</v>
      </c>
      <c r="D246" t="s">
        <v>29</v>
      </c>
      <c r="E246" s="14">
        <v>33068401</v>
      </c>
      <c r="F246" s="14">
        <v>74404619</v>
      </c>
      <c r="G246" s="124">
        <v>-2000</v>
      </c>
      <c r="H246" s="121">
        <v>-4399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0</v>
      </c>
      <c r="O246" s="121">
        <v>71127</v>
      </c>
      <c r="P246" s="121">
        <v>159945</v>
      </c>
      <c r="Q246" s="121">
        <v>71127</v>
      </c>
      <c r="R246" s="121">
        <v>159945</v>
      </c>
      <c r="S246" s="121">
        <v>-140254</v>
      </c>
      <c r="T246" s="121">
        <v>-315491</v>
      </c>
      <c r="U246" s="121">
        <v>853362</v>
      </c>
      <c r="V246" s="121">
        <v>1872025</v>
      </c>
      <c r="W246" s="121">
        <v>0</v>
      </c>
      <c r="X246" s="121">
        <v>0</v>
      </c>
      <c r="Y246" s="121">
        <v>-853362</v>
      </c>
      <c r="Z246" s="121">
        <v>-1872025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142</v>
      </c>
      <c r="B247" t="s">
        <v>145</v>
      </c>
      <c r="C247">
        <v>4</v>
      </c>
      <c r="D247" t="s">
        <v>30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142</v>
      </c>
      <c r="B249" t="s">
        <v>145</v>
      </c>
      <c r="C249">
        <v>6</v>
      </c>
      <c r="D249" t="s">
        <v>27</v>
      </c>
      <c r="E249" s="14">
        <v>-36261005</v>
      </c>
      <c r="F249" s="14">
        <v>-80884334.840000004</v>
      </c>
      <c r="G249" s="124">
        <v>-4470090</v>
      </c>
      <c r="H249" s="121">
        <v>-10823648.4</v>
      </c>
      <c r="I249" s="124">
        <v>-101385</v>
      </c>
      <c r="J249" s="121">
        <v>-218786.66</v>
      </c>
      <c r="K249" s="121">
        <v>181570</v>
      </c>
      <c r="L249" s="121">
        <v>422303.8</v>
      </c>
      <c r="M249" s="121">
        <v>-56000</v>
      </c>
      <c r="N249" s="121">
        <v>-122080</v>
      </c>
      <c r="O249" s="121">
        <v>-7417</v>
      </c>
      <c r="P249" s="121">
        <v>-20420.96</v>
      </c>
      <c r="Q249" s="121">
        <v>-81250</v>
      </c>
      <c r="R249" s="121">
        <v>-179348.03</v>
      </c>
      <c r="S249" s="121">
        <v>-5491</v>
      </c>
      <c r="T249" s="121">
        <v>-11833.1</v>
      </c>
      <c r="U249" s="121">
        <v>17306</v>
      </c>
      <c r="V249" s="121">
        <v>38211.65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142</v>
      </c>
      <c r="B250" t="s">
        <v>145</v>
      </c>
      <c r="C250">
        <v>7</v>
      </c>
      <c r="D250" t="s">
        <v>28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142</v>
      </c>
      <c r="B251" t="s">
        <v>145</v>
      </c>
      <c r="C251">
        <v>8</v>
      </c>
      <c r="D251" t="s">
        <v>29</v>
      </c>
      <c r="E251" s="14">
        <v>-35034400</v>
      </c>
      <c r="F251" s="14">
        <v>-78683911</v>
      </c>
      <c r="G251" s="124">
        <v>395139</v>
      </c>
      <c r="H251" s="121">
        <v>865067</v>
      </c>
      <c r="I251" s="124">
        <v>0</v>
      </c>
      <c r="J251" s="121">
        <v>0</v>
      </c>
      <c r="K251" s="121">
        <v>-20682</v>
      </c>
      <c r="L251" s="121">
        <v>-43946</v>
      </c>
      <c r="M251" s="121">
        <v>0</v>
      </c>
      <c r="N251" s="121">
        <v>0</v>
      </c>
      <c r="O251" s="121">
        <v>-71127</v>
      </c>
      <c r="P251" s="121">
        <v>-159945</v>
      </c>
      <c r="Q251" s="121">
        <v>-71127</v>
      </c>
      <c r="R251" s="121">
        <v>-159945</v>
      </c>
      <c r="S251" s="121">
        <v>-232203</v>
      </c>
      <c r="T251" s="121">
        <v>-501231</v>
      </c>
      <c r="U251" s="121">
        <v>-930666</v>
      </c>
      <c r="V251" s="121">
        <v>-2042727</v>
      </c>
      <c r="W251" s="121">
        <v>0</v>
      </c>
      <c r="X251" s="121">
        <v>0</v>
      </c>
      <c r="Y251" s="121">
        <v>930666</v>
      </c>
      <c r="Z251" s="121">
        <v>2042727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142</v>
      </c>
      <c r="B252" t="s">
        <v>145</v>
      </c>
      <c r="C252">
        <v>9</v>
      </c>
      <c r="D252" t="s">
        <v>30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142</v>
      </c>
      <c r="B253" t="s">
        <v>145</v>
      </c>
      <c r="C253">
        <v>10</v>
      </c>
      <c r="D253" t="s">
        <v>34</v>
      </c>
      <c r="E253" s="14">
        <v>3105</v>
      </c>
      <c r="F253" s="14">
        <v>7104.24</v>
      </c>
      <c r="G253" s="124">
        <v>8735</v>
      </c>
      <c r="H253" s="121">
        <v>19985.68</v>
      </c>
      <c r="I253" s="124">
        <v>1</v>
      </c>
      <c r="J253" s="121">
        <v>2.29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142</v>
      </c>
      <c r="B254" t="s">
        <v>145</v>
      </c>
      <c r="C254">
        <v>11</v>
      </c>
      <c r="D254" t="s">
        <v>37</v>
      </c>
      <c r="E254" s="14">
        <v>206328</v>
      </c>
      <c r="F254" s="14">
        <v>484870.78</v>
      </c>
      <c r="G254" s="124">
        <v>12</v>
      </c>
      <c r="H254" s="121">
        <v>28.22</v>
      </c>
      <c r="I254" s="124">
        <v>10233</v>
      </c>
      <c r="J254" s="121">
        <v>24048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  <c r="Q254" s="121">
        <v>-384</v>
      </c>
      <c r="R254" s="121">
        <v>-902.4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142</v>
      </c>
      <c r="B255" t="s">
        <v>145</v>
      </c>
      <c r="C255">
        <v>12</v>
      </c>
      <c r="D255" t="s">
        <v>38</v>
      </c>
      <c r="E255" s="14">
        <v>-15270698</v>
      </c>
      <c r="F255" s="14">
        <v>-35719954.380000003</v>
      </c>
      <c r="G255" s="124">
        <v>-140268</v>
      </c>
      <c r="H255" s="121">
        <v>-330990.06</v>
      </c>
      <c r="I255" s="124">
        <v>-694255</v>
      </c>
      <c r="J255" s="121">
        <v>-716.57</v>
      </c>
      <c r="K255" s="121">
        <v>690698</v>
      </c>
      <c r="L255" s="121">
        <v>-7760.43</v>
      </c>
      <c r="M255" s="121">
        <v>0</v>
      </c>
      <c r="N255" s="121">
        <v>0</v>
      </c>
      <c r="O255" s="121">
        <v>138080</v>
      </c>
      <c r="P255" s="121">
        <v>291468</v>
      </c>
      <c r="Q255" s="121">
        <v>10233</v>
      </c>
      <c r="R255" s="121">
        <v>24047.55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142</v>
      </c>
      <c r="B256" t="s">
        <v>145</v>
      </c>
      <c r="C256">
        <v>13</v>
      </c>
      <c r="D256" t="s">
        <v>41</v>
      </c>
      <c r="E256" s="14">
        <v>-10813</v>
      </c>
      <c r="F256" s="14">
        <v>-24740.14</v>
      </c>
      <c r="G256" s="124">
        <v>-157218</v>
      </c>
      <c r="H256" s="121">
        <v>-341735.47</v>
      </c>
      <c r="I256" s="124">
        <v>6106</v>
      </c>
      <c r="J256" s="121">
        <v>13738.5</v>
      </c>
      <c r="K256" s="121">
        <v>-443388</v>
      </c>
      <c r="L256" s="121">
        <v>-1275734.348</v>
      </c>
      <c r="M256" s="121">
        <v>108550</v>
      </c>
      <c r="N256" s="121">
        <v>319192.15000000002</v>
      </c>
      <c r="O256" s="121">
        <v>196616</v>
      </c>
      <c r="P256" s="121">
        <v>640521.76</v>
      </c>
      <c r="Q256" s="121">
        <v>-180053</v>
      </c>
      <c r="R256" s="121">
        <v>-411961.26400000002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142</v>
      </c>
      <c r="B257" t="s">
        <v>145</v>
      </c>
      <c r="C257">
        <v>14</v>
      </c>
      <c r="D257" t="s">
        <v>42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142</v>
      </c>
      <c r="B258" t="s">
        <v>145</v>
      </c>
      <c r="C258">
        <v>15</v>
      </c>
      <c r="D258" t="s">
        <v>43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142</v>
      </c>
      <c r="B259" t="s">
        <v>145</v>
      </c>
      <c r="C259">
        <v>16</v>
      </c>
      <c r="D259" t="s">
        <v>44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142</v>
      </c>
      <c r="B260" t="s">
        <v>145</v>
      </c>
      <c r="C260">
        <v>17</v>
      </c>
      <c r="D260" t="s">
        <v>128</v>
      </c>
      <c r="E260" s="14">
        <v>8140904</v>
      </c>
      <c r="F260" s="14">
        <v>19569417.440000001</v>
      </c>
      <c r="G260" s="124">
        <v>44324</v>
      </c>
      <c r="H260" s="121">
        <v>66613.11</v>
      </c>
      <c r="I260" s="124">
        <v>44787</v>
      </c>
      <c r="J260" s="121">
        <v>67791.56</v>
      </c>
      <c r="K260" s="121">
        <v>45916</v>
      </c>
      <c r="L260" s="121">
        <v>148453.54999999999</v>
      </c>
      <c r="M260" s="121">
        <v>8286</v>
      </c>
      <c r="N260" s="121">
        <v>19703.099999999999</v>
      </c>
      <c r="O260" s="121">
        <v>-84483</v>
      </c>
      <c r="P260" s="121">
        <v>-202735.91</v>
      </c>
      <c r="Q260" s="121">
        <v>1759</v>
      </c>
      <c r="R260" s="121">
        <v>4024.59</v>
      </c>
      <c r="S260" s="121">
        <v>0</v>
      </c>
      <c r="T260" s="121">
        <v>22343.32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4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142</v>
      </c>
      <c r="B262" t="s">
        <v>145</v>
      </c>
      <c r="C262">
        <v>19</v>
      </c>
      <c r="D262" t="s">
        <v>49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142</v>
      </c>
      <c r="B265" t="s">
        <v>145</v>
      </c>
      <c r="C265">
        <v>22</v>
      </c>
      <c r="D265" t="s">
        <v>132</v>
      </c>
      <c r="E265" s="14">
        <v>-1430238</v>
      </c>
      <c r="F265" s="14">
        <v>-3272384.5440000002</v>
      </c>
      <c r="G265" s="124">
        <v>1350047</v>
      </c>
      <c r="H265" s="121">
        <v>3088907.5360000003</v>
      </c>
      <c r="I265" s="124">
        <v>-1169196</v>
      </c>
      <c r="J265" s="121">
        <v>-2675120.4479999999</v>
      </c>
      <c r="K265" s="121">
        <v>1469569</v>
      </c>
      <c r="L265" s="121">
        <v>3362373.872</v>
      </c>
      <c r="M265" s="121">
        <v>-403359</v>
      </c>
      <c r="N265" s="121">
        <v>-922885.39199999999</v>
      </c>
      <c r="O265" s="121">
        <v>-187366</v>
      </c>
      <c r="P265" s="121">
        <v>-428693.408</v>
      </c>
      <c r="Q265" s="121">
        <v>179000</v>
      </c>
      <c r="R265" s="121">
        <v>409552</v>
      </c>
      <c r="S265" s="121">
        <v>372457</v>
      </c>
      <c r="T265" s="121">
        <v>852181.61600000004</v>
      </c>
      <c r="U265" s="121">
        <v>59998</v>
      </c>
      <c r="V265" s="121">
        <v>141295.29</v>
      </c>
      <c r="W265" s="121">
        <v>0</v>
      </c>
      <c r="X265" s="121">
        <v>0</v>
      </c>
      <c r="Y265" s="121">
        <v>-77304</v>
      </c>
      <c r="Z265" s="121">
        <v>-182050.92</v>
      </c>
      <c r="AA265" s="121">
        <v>0</v>
      </c>
      <c r="AB265" s="121">
        <v>0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142</v>
      </c>
      <c r="B266" t="s">
        <v>145</v>
      </c>
      <c r="C266">
        <v>23</v>
      </c>
      <c r="D266" t="s">
        <v>133</v>
      </c>
      <c r="E266" s="14">
        <v>-3105</v>
      </c>
      <c r="F266" s="14">
        <v>-7104.24</v>
      </c>
      <c r="G266" s="124">
        <v>-8735</v>
      </c>
      <c r="H266" s="121">
        <v>-19985.68</v>
      </c>
      <c r="I266" s="124">
        <v>-1</v>
      </c>
      <c r="J266" s="121">
        <v>-2.29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142</v>
      </c>
      <c r="B267" t="s">
        <v>145</v>
      </c>
      <c r="C267">
        <v>24</v>
      </c>
      <c r="D267" t="s">
        <v>57</v>
      </c>
      <c r="E267" s="14">
        <v>-5201676</v>
      </c>
      <c r="F267" s="14">
        <v>-435950.66</v>
      </c>
      <c r="G267" s="124">
        <v>-1788865</v>
      </c>
      <c r="H267" s="121">
        <v>39324.92</v>
      </c>
      <c r="I267" s="124">
        <v>-326742</v>
      </c>
      <c r="J267" s="121">
        <v>-6180</v>
      </c>
      <c r="K267" s="121">
        <v>140</v>
      </c>
      <c r="L267" s="121">
        <v>11</v>
      </c>
      <c r="M267" s="121">
        <v>129677</v>
      </c>
      <c r="N267" s="121">
        <v>1149.75</v>
      </c>
      <c r="O267" s="121">
        <v>-295557</v>
      </c>
      <c r="P267" s="121">
        <v>51333.279999999999</v>
      </c>
      <c r="Q267" s="121">
        <v>3066</v>
      </c>
      <c r="R267" s="121">
        <v>-49904.7</v>
      </c>
      <c r="S267" s="121">
        <v>4723</v>
      </c>
      <c r="T267" s="121">
        <v>944.59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142</v>
      </c>
      <c r="B268" t="s">
        <v>145</v>
      </c>
      <c r="C268">
        <v>25</v>
      </c>
      <c r="D268" t="s">
        <v>58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-93300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350</v>
      </c>
      <c r="G269" s="124">
        <v>0</v>
      </c>
      <c r="H269" s="121">
        <v>312.5</v>
      </c>
      <c r="I269" s="124">
        <v>0</v>
      </c>
      <c r="J269" s="121">
        <v>0</v>
      </c>
      <c r="K269" s="121">
        <v>0</v>
      </c>
      <c r="L269" s="121">
        <v>200</v>
      </c>
      <c r="M269" s="121">
        <v>0</v>
      </c>
      <c r="N269" s="121">
        <v>-200</v>
      </c>
      <c r="O269" s="121">
        <v>0</v>
      </c>
      <c r="P269" s="121">
        <v>0</v>
      </c>
      <c r="Q269" s="121">
        <v>0</v>
      </c>
      <c r="R269" s="121">
        <v>1357.25</v>
      </c>
      <c r="S269" s="121">
        <v>0</v>
      </c>
      <c r="T269" s="121">
        <v>6184.99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142</v>
      </c>
      <c r="B271" t="s">
        <v>145</v>
      </c>
      <c r="C271">
        <v>28</v>
      </c>
      <c r="D271" t="s">
        <v>136</v>
      </c>
      <c r="E271" s="14">
        <v>-35795721</v>
      </c>
      <c r="F271" s="14">
        <v>-659715.27</v>
      </c>
      <c r="G271" s="124">
        <v>-22286898</v>
      </c>
      <c r="H271" s="121">
        <v>-183788.36</v>
      </c>
      <c r="I271" s="124">
        <v>29333</v>
      </c>
      <c r="J271" s="121">
        <v>-6976</v>
      </c>
      <c r="K271" s="121">
        <v>65137</v>
      </c>
      <c r="L271" s="121">
        <v>-260636</v>
      </c>
      <c r="M271" s="121">
        <v>-6527</v>
      </c>
      <c r="N271" s="121">
        <v>0</v>
      </c>
      <c r="O271" s="121">
        <v>82724</v>
      </c>
      <c r="P271" s="121">
        <v>0</v>
      </c>
      <c r="Q271" s="121">
        <v>0</v>
      </c>
      <c r="R271" s="121">
        <v>0.01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142</v>
      </c>
      <c r="B275" t="s">
        <v>145</v>
      </c>
      <c r="C275">
        <v>32</v>
      </c>
      <c r="D275" t="s">
        <v>72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142</v>
      </c>
      <c r="B276" t="s">
        <v>145</v>
      </c>
      <c r="C276">
        <v>33</v>
      </c>
      <c r="D276" t="s">
        <v>73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142</v>
      </c>
      <c r="B277" t="s">
        <v>145</v>
      </c>
      <c r="C277">
        <v>34</v>
      </c>
      <c r="D277" t="s">
        <v>74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142</v>
      </c>
      <c r="B278" t="s">
        <v>145</v>
      </c>
      <c r="C278">
        <v>35</v>
      </c>
      <c r="D278" t="s">
        <v>75</v>
      </c>
      <c r="E278" s="14">
        <v>0</v>
      </c>
      <c r="F278" s="14">
        <v>-3750</v>
      </c>
      <c r="G278" s="124">
        <v>0</v>
      </c>
      <c r="H278" s="121">
        <v>-6309.73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142</v>
      </c>
      <c r="B279" t="s">
        <v>145</v>
      </c>
      <c r="C279">
        <v>36</v>
      </c>
      <c r="D279" t="s">
        <v>76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142</v>
      </c>
      <c r="B280" t="s">
        <v>145</v>
      </c>
      <c r="C280">
        <v>37</v>
      </c>
      <c r="D280" t="s">
        <v>77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142</v>
      </c>
      <c r="B281" t="s">
        <v>145</v>
      </c>
      <c r="C281">
        <v>38</v>
      </c>
      <c r="D281" t="s">
        <v>78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142</v>
      </c>
      <c r="B282" t="s">
        <v>145</v>
      </c>
      <c r="C282">
        <v>39</v>
      </c>
      <c r="D282" t="s">
        <v>79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142</v>
      </c>
      <c r="B283" t="s">
        <v>145</v>
      </c>
      <c r="C283">
        <v>40</v>
      </c>
      <c r="D283" t="s">
        <v>80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142</v>
      </c>
      <c r="B284" t="s">
        <v>146</v>
      </c>
      <c r="C284">
        <v>1</v>
      </c>
      <c r="D284" t="s">
        <v>27</v>
      </c>
      <c r="E284" s="14">
        <v>32514422</v>
      </c>
      <c r="F284" s="14">
        <v>68594901.099999994</v>
      </c>
      <c r="G284" s="124">
        <v>-15328</v>
      </c>
      <c r="H284" s="121">
        <v>-50455.83</v>
      </c>
      <c r="I284" s="124">
        <v>40636</v>
      </c>
      <c r="J284" s="121">
        <v>144310.38</v>
      </c>
      <c r="K284" s="121">
        <v>576</v>
      </c>
      <c r="L284" s="121">
        <v>3035.5</v>
      </c>
      <c r="M284" s="121">
        <v>12913</v>
      </c>
      <c r="N284" s="121">
        <v>25144.19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142</v>
      </c>
      <c r="B285" t="s">
        <v>146</v>
      </c>
      <c r="C285">
        <v>2</v>
      </c>
      <c r="D285" t="s">
        <v>28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142</v>
      </c>
      <c r="B286" t="s">
        <v>146</v>
      </c>
      <c r="C286">
        <v>3</v>
      </c>
      <c r="D286" t="s">
        <v>29</v>
      </c>
      <c r="E286" s="14">
        <v>22897735</v>
      </c>
      <c r="F286" s="14">
        <v>48355097</v>
      </c>
      <c r="G286" s="124">
        <v>-433945</v>
      </c>
      <c r="H286" s="121">
        <v>-964232</v>
      </c>
      <c r="I286" s="124">
        <v>0</v>
      </c>
      <c r="J286" s="121">
        <v>0</v>
      </c>
      <c r="K286" s="121">
        <v>-11465</v>
      </c>
      <c r="L286" s="121">
        <v>-24290</v>
      </c>
      <c r="M286" s="121">
        <v>0</v>
      </c>
      <c r="N286" s="121">
        <v>0</v>
      </c>
      <c r="O286" s="121">
        <v>1671113</v>
      </c>
      <c r="P286" s="121">
        <v>3648501</v>
      </c>
      <c r="Q286" s="121">
        <v>2022546</v>
      </c>
      <c r="R286" s="121">
        <v>4430233</v>
      </c>
      <c r="S286" s="121">
        <v>-3248249</v>
      </c>
      <c r="T286" s="121">
        <v>-7090212</v>
      </c>
      <c r="U286" s="121">
        <v>802696</v>
      </c>
      <c r="V286" s="121">
        <v>1878927</v>
      </c>
      <c r="W286" s="121">
        <v>0</v>
      </c>
      <c r="X286" s="121">
        <v>0</v>
      </c>
      <c r="Y286" s="121">
        <v>-275884</v>
      </c>
      <c r="Z286" s="121">
        <v>-658986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142</v>
      </c>
      <c r="B287" t="s">
        <v>146</v>
      </c>
      <c r="C287">
        <v>4</v>
      </c>
      <c r="D287" t="s">
        <v>30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142</v>
      </c>
      <c r="B289" t="s">
        <v>146</v>
      </c>
      <c r="C289">
        <v>6</v>
      </c>
      <c r="D289" t="s">
        <v>27</v>
      </c>
      <c r="E289" s="14">
        <v>-35982628</v>
      </c>
      <c r="F289" s="14">
        <v>-73391551.450000003</v>
      </c>
      <c r="G289" s="124">
        <v>-1838</v>
      </c>
      <c r="H289" s="121">
        <v>341199.59</v>
      </c>
      <c r="I289" s="124">
        <v>-7576</v>
      </c>
      <c r="J289" s="121">
        <v>-15066.74</v>
      </c>
      <c r="K289" s="121">
        <v>0</v>
      </c>
      <c r="L289" s="121">
        <v>0</v>
      </c>
      <c r="M289" s="121">
        <v>0</v>
      </c>
      <c r="N289" s="121">
        <v>223386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46881.22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142</v>
      </c>
      <c r="B290" t="s">
        <v>146</v>
      </c>
      <c r="C290">
        <v>7</v>
      </c>
      <c r="D290" t="s">
        <v>28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142</v>
      </c>
      <c r="B291" t="s">
        <v>146</v>
      </c>
      <c r="C291">
        <v>8</v>
      </c>
      <c r="D291" t="s">
        <v>29</v>
      </c>
      <c r="E291" s="14">
        <v>-20800712</v>
      </c>
      <c r="F291" s="14">
        <v>-43759144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-1671113</v>
      </c>
      <c r="P291" s="121">
        <v>-3648501</v>
      </c>
      <c r="Q291" s="121">
        <v>-2022546</v>
      </c>
      <c r="R291" s="121">
        <v>-4430233</v>
      </c>
      <c r="S291" s="121">
        <v>3693659</v>
      </c>
      <c r="T291" s="121">
        <v>8078734</v>
      </c>
      <c r="U291" s="121">
        <v>-888660</v>
      </c>
      <c r="V291" s="121">
        <v>-2067288</v>
      </c>
      <c r="W291" s="121">
        <v>0</v>
      </c>
      <c r="X291" s="121">
        <v>0</v>
      </c>
      <c r="Y291" s="121">
        <v>361848</v>
      </c>
      <c r="Z291" s="121">
        <v>847347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142</v>
      </c>
      <c r="B292" t="s">
        <v>146</v>
      </c>
      <c r="C292">
        <v>9</v>
      </c>
      <c r="D292" t="s">
        <v>30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142</v>
      </c>
      <c r="B293" t="s">
        <v>146</v>
      </c>
      <c r="C293">
        <v>10</v>
      </c>
      <c r="D293" t="s">
        <v>34</v>
      </c>
      <c r="E293" s="14">
        <v>277879</v>
      </c>
      <c r="F293" s="14">
        <v>577988.31999999995</v>
      </c>
      <c r="G293" s="124">
        <v>7155</v>
      </c>
      <c r="H293" s="121">
        <v>14882.4</v>
      </c>
      <c r="I293" s="124">
        <v>-2</v>
      </c>
      <c r="J293" s="121">
        <v>-4.16</v>
      </c>
      <c r="K293" s="121">
        <v>0</v>
      </c>
      <c r="L293" s="121">
        <v>0</v>
      </c>
      <c r="M293" s="121">
        <v>1</v>
      </c>
      <c r="N293" s="121">
        <v>2.08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142</v>
      </c>
      <c r="B294" t="s">
        <v>146</v>
      </c>
      <c r="C294">
        <v>11</v>
      </c>
      <c r="D294" t="s">
        <v>37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142</v>
      </c>
      <c r="B295" t="s">
        <v>146</v>
      </c>
      <c r="C295">
        <v>12</v>
      </c>
      <c r="D295" t="s">
        <v>38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142</v>
      </c>
      <c r="B296" t="s">
        <v>146</v>
      </c>
      <c r="C296">
        <v>13</v>
      </c>
      <c r="D296" t="s">
        <v>41</v>
      </c>
      <c r="E296" s="14">
        <v>18263</v>
      </c>
      <c r="F296" s="14">
        <v>37987.040000000001</v>
      </c>
      <c r="G296" s="124">
        <v>35358</v>
      </c>
      <c r="H296" s="121">
        <v>73544.639999999999</v>
      </c>
      <c r="I296" s="124">
        <v>-77346</v>
      </c>
      <c r="J296" s="121">
        <v>-161045.755</v>
      </c>
      <c r="K296" s="121">
        <v>0</v>
      </c>
      <c r="L296" s="121">
        <v>-10889.775</v>
      </c>
      <c r="M296" s="121">
        <v>-12909</v>
      </c>
      <c r="N296" s="121">
        <v>-36163.298999999999</v>
      </c>
      <c r="O296" s="121">
        <v>-1</v>
      </c>
      <c r="P296" s="121">
        <v>-524382.42599999998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142</v>
      </c>
      <c r="B297" t="s">
        <v>146</v>
      </c>
      <c r="C297">
        <v>14</v>
      </c>
      <c r="D297" t="s">
        <v>42</v>
      </c>
      <c r="E297" s="14">
        <v>0</v>
      </c>
      <c r="F297" s="14">
        <v>0</v>
      </c>
      <c r="G297" s="124">
        <v>0</v>
      </c>
      <c r="H297" s="121">
        <v>0</v>
      </c>
      <c r="I297" s="124">
        <v>-5786</v>
      </c>
      <c r="J297" s="121">
        <v>-11908.38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142</v>
      </c>
      <c r="B298" t="s">
        <v>146</v>
      </c>
      <c r="C298">
        <v>15</v>
      </c>
      <c r="D298" t="s">
        <v>43</v>
      </c>
      <c r="E298" s="14">
        <v>0</v>
      </c>
      <c r="F298" s="14">
        <v>0</v>
      </c>
      <c r="G298" s="124">
        <v>1</v>
      </c>
      <c r="H298" s="121">
        <v>1.85</v>
      </c>
      <c r="I298" s="124">
        <v>23163</v>
      </c>
      <c r="J298" s="121">
        <v>47473.24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142</v>
      </c>
      <c r="B299" t="s">
        <v>146</v>
      </c>
      <c r="C299">
        <v>16</v>
      </c>
      <c r="D299" t="s">
        <v>44</v>
      </c>
      <c r="E299" s="14">
        <v>-602585</v>
      </c>
      <c r="F299" s="14">
        <v>0.01</v>
      </c>
      <c r="G299" s="124">
        <v>-2568</v>
      </c>
      <c r="H299" s="121">
        <v>0</v>
      </c>
      <c r="I299" s="124">
        <v>1205170</v>
      </c>
      <c r="J299" s="121">
        <v>0</v>
      </c>
      <c r="K299" s="121">
        <v>0</v>
      </c>
      <c r="L299" s="121">
        <v>1248035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142</v>
      </c>
      <c r="B301" t="s">
        <v>146</v>
      </c>
      <c r="C301">
        <v>18</v>
      </c>
      <c r="D301" t="s">
        <v>129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142</v>
      </c>
      <c r="B302" t="s">
        <v>146</v>
      </c>
      <c r="C302">
        <v>19</v>
      </c>
      <c r="D302" t="s">
        <v>49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142</v>
      </c>
      <c r="B305" t="s">
        <v>146</v>
      </c>
      <c r="C305">
        <v>22</v>
      </c>
      <c r="D305" t="s">
        <v>132</v>
      </c>
      <c r="E305" s="14">
        <v>1677626</v>
      </c>
      <c r="F305" s="14">
        <v>3489462.08</v>
      </c>
      <c r="G305" s="124">
        <v>411165</v>
      </c>
      <c r="H305" s="121">
        <v>855223.2</v>
      </c>
      <c r="I305" s="124">
        <v>-1178259</v>
      </c>
      <c r="J305" s="121">
        <v>-2450778.7200000002</v>
      </c>
      <c r="K305" s="121">
        <v>10889</v>
      </c>
      <c r="L305" s="121">
        <v>22649.119999999999</v>
      </c>
      <c r="M305" s="121">
        <v>-5</v>
      </c>
      <c r="N305" s="121">
        <v>-10.4</v>
      </c>
      <c r="O305" s="121">
        <v>1</v>
      </c>
      <c r="P305" s="121">
        <v>2.08</v>
      </c>
      <c r="Q305" s="121">
        <v>0</v>
      </c>
      <c r="R305" s="121">
        <v>0</v>
      </c>
      <c r="S305" s="121">
        <v>-445410</v>
      </c>
      <c r="T305" s="121">
        <v>-926452.8</v>
      </c>
      <c r="U305" s="121">
        <v>85964</v>
      </c>
      <c r="V305" s="121">
        <v>201155.76</v>
      </c>
      <c r="W305" s="121">
        <v>0</v>
      </c>
      <c r="X305" s="121">
        <v>0</v>
      </c>
      <c r="Y305" s="121">
        <v>-85964</v>
      </c>
      <c r="Z305" s="121">
        <v>-201155.76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142</v>
      </c>
      <c r="B306" t="s">
        <v>146</v>
      </c>
      <c r="C306">
        <v>23</v>
      </c>
      <c r="D306" t="s">
        <v>133</v>
      </c>
      <c r="E306" s="14">
        <v>-277879</v>
      </c>
      <c r="F306" s="14">
        <v>-577988.31999999995</v>
      </c>
      <c r="G306" s="124">
        <v>-7155</v>
      </c>
      <c r="H306" s="121">
        <v>-14882.4</v>
      </c>
      <c r="I306" s="124">
        <v>2</v>
      </c>
      <c r="J306" s="121">
        <v>4.16</v>
      </c>
      <c r="K306" s="121">
        <v>0</v>
      </c>
      <c r="L306" s="121">
        <v>0</v>
      </c>
      <c r="M306" s="121">
        <v>-1</v>
      </c>
      <c r="N306" s="121">
        <v>-2.08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142</v>
      </c>
      <c r="B307" t="s">
        <v>146</v>
      </c>
      <c r="C307">
        <v>24</v>
      </c>
      <c r="D307" t="s">
        <v>57</v>
      </c>
      <c r="E307" s="14">
        <v>-11559079</v>
      </c>
      <c r="F307" s="14">
        <v>-318911.11</v>
      </c>
      <c r="G307" s="124">
        <v>-140298</v>
      </c>
      <c r="H307" s="121">
        <v>169068.64</v>
      </c>
      <c r="I307" s="124">
        <v>0</v>
      </c>
      <c r="J307" s="121">
        <v>0</v>
      </c>
      <c r="K307" s="121">
        <v>0</v>
      </c>
      <c r="L307" s="121">
        <v>10629.75</v>
      </c>
      <c r="M307" s="121">
        <v>0</v>
      </c>
      <c r="N307" s="121">
        <v>-8.57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142</v>
      </c>
      <c r="B308" t="s">
        <v>146</v>
      </c>
      <c r="C308">
        <v>25</v>
      </c>
      <c r="D308" t="s">
        <v>58</v>
      </c>
      <c r="E308" s="14">
        <v>0</v>
      </c>
      <c r="F308" s="14">
        <v>-2653958.9500000002</v>
      </c>
      <c r="G308" s="124">
        <v>0</v>
      </c>
      <c r="H308" s="121">
        <v>216841.69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142</v>
      </c>
      <c r="B315" t="s">
        <v>146</v>
      </c>
      <c r="C315">
        <v>32</v>
      </c>
      <c r="D315" t="s">
        <v>72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142</v>
      </c>
      <c r="B316" t="s">
        <v>146</v>
      </c>
      <c r="C316">
        <v>33</v>
      </c>
      <c r="D316" t="s">
        <v>73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142</v>
      </c>
      <c r="B317" t="s">
        <v>146</v>
      </c>
      <c r="C317">
        <v>34</v>
      </c>
      <c r="D317" t="s">
        <v>74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142</v>
      </c>
      <c r="B318" t="s">
        <v>146</v>
      </c>
      <c r="C318">
        <v>35</v>
      </c>
      <c r="D318" t="s">
        <v>75</v>
      </c>
      <c r="E318" s="14">
        <v>0</v>
      </c>
      <c r="F318" s="14">
        <v>-9282.51</v>
      </c>
      <c r="G318" s="124">
        <v>0</v>
      </c>
      <c r="H318" s="121">
        <v>-23049.919999999998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142</v>
      </c>
      <c r="B319" t="s">
        <v>146</v>
      </c>
      <c r="C319">
        <v>36</v>
      </c>
      <c r="D319" t="s">
        <v>76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142</v>
      </c>
      <c r="B320" t="s">
        <v>146</v>
      </c>
      <c r="C320">
        <v>37</v>
      </c>
      <c r="D320" t="s">
        <v>77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142</v>
      </c>
      <c r="B321" t="s">
        <v>146</v>
      </c>
      <c r="C321">
        <v>38</v>
      </c>
      <c r="D321" t="s">
        <v>78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142</v>
      </c>
      <c r="B322" t="s">
        <v>146</v>
      </c>
      <c r="C322">
        <v>39</v>
      </c>
      <c r="D322" t="s">
        <v>79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142</v>
      </c>
      <c r="B323" t="s">
        <v>146</v>
      </c>
      <c r="C323">
        <v>40</v>
      </c>
      <c r="D323" t="s">
        <v>80</v>
      </c>
      <c r="E323" s="14">
        <v>0</v>
      </c>
      <c r="F323" s="14">
        <v>61413.86</v>
      </c>
      <c r="G323" s="124">
        <v>0</v>
      </c>
      <c r="H323" s="121">
        <v>-3602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10852.69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147</v>
      </c>
      <c r="B324" t="s">
        <v>148</v>
      </c>
      <c r="C324">
        <v>1</v>
      </c>
      <c r="D324" t="s">
        <v>27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147</v>
      </c>
      <c r="B325" t="s">
        <v>148</v>
      </c>
      <c r="C325">
        <v>2</v>
      </c>
      <c r="D325" t="s">
        <v>28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147</v>
      </c>
      <c r="B326" t="s">
        <v>148</v>
      </c>
      <c r="C326">
        <v>3</v>
      </c>
      <c r="D326" t="s">
        <v>29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147</v>
      </c>
      <c r="B327" t="s">
        <v>148</v>
      </c>
      <c r="C327">
        <v>4</v>
      </c>
      <c r="D327" t="s">
        <v>30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147</v>
      </c>
      <c r="B329" t="s">
        <v>148</v>
      </c>
      <c r="C329">
        <v>6</v>
      </c>
      <c r="D329" t="s">
        <v>27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147</v>
      </c>
      <c r="B330" t="s">
        <v>148</v>
      </c>
      <c r="C330">
        <v>7</v>
      </c>
      <c r="D330" t="s">
        <v>28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147</v>
      </c>
      <c r="B331" t="s">
        <v>148</v>
      </c>
      <c r="C331">
        <v>8</v>
      </c>
      <c r="D331" t="s">
        <v>29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147</v>
      </c>
      <c r="B332" t="s">
        <v>148</v>
      </c>
      <c r="C332">
        <v>9</v>
      </c>
      <c r="D332" t="s">
        <v>30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147</v>
      </c>
      <c r="B333" t="s">
        <v>148</v>
      </c>
      <c r="C333">
        <v>10</v>
      </c>
      <c r="D333" t="s">
        <v>34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147</v>
      </c>
      <c r="B334" t="s">
        <v>148</v>
      </c>
      <c r="C334">
        <v>11</v>
      </c>
      <c r="D334" t="s">
        <v>37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147</v>
      </c>
      <c r="B335" t="s">
        <v>148</v>
      </c>
      <c r="C335">
        <v>12</v>
      </c>
      <c r="D335" t="s">
        <v>38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147</v>
      </c>
      <c r="B336" t="s">
        <v>148</v>
      </c>
      <c r="C336">
        <v>13</v>
      </c>
      <c r="D336" t="s">
        <v>41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147</v>
      </c>
      <c r="B337" t="s">
        <v>148</v>
      </c>
      <c r="C337">
        <v>14</v>
      </c>
      <c r="D337" t="s">
        <v>42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147</v>
      </c>
      <c r="B338" t="s">
        <v>148</v>
      </c>
      <c r="C338">
        <v>15</v>
      </c>
      <c r="D338" t="s">
        <v>43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147</v>
      </c>
      <c r="B339" t="s">
        <v>148</v>
      </c>
      <c r="C339">
        <v>16</v>
      </c>
      <c r="D339" t="s">
        <v>44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147</v>
      </c>
      <c r="B342" t="s">
        <v>148</v>
      </c>
      <c r="C342">
        <v>19</v>
      </c>
      <c r="D342" t="s">
        <v>49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147</v>
      </c>
      <c r="B347" t="s">
        <v>148</v>
      </c>
      <c r="C347">
        <v>24</v>
      </c>
      <c r="D347" t="s">
        <v>57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147</v>
      </c>
      <c r="B348" t="s">
        <v>148</v>
      </c>
      <c r="C348">
        <v>25</v>
      </c>
      <c r="D348" t="s">
        <v>58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71">
        <v>0</v>
      </c>
      <c r="H351" s="126">
        <v>0</v>
      </c>
      <c r="I351" s="171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147</v>
      </c>
      <c r="B355" t="s">
        <v>148</v>
      </c>
      <c r="C355">
        <v>32</v>
      </c>
      <c r="D355" t="s">
        <v>72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147</v>
      </c>
      <c r="B356" t="s">
        <v>148</v>
      </c>
      <c r="C356">
        <v>33</v>
      </c>
      <c r="D356" t="s">
        <v>73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147</v>
      </c>
      <c r="B357" t="s">
        <v>148</v>
      </c>
      <c r="C357">
        <v>34</v>
      </c>
      <c r="D357" t="s">
        <v>74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147</v>
      </c>
      <c r="B358" t="s">
        <v>148</v>
      </c>
      <c r="C358">
        <v>35</v>
      </c>
      <c r="D358" t="s">
        <v>75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147</v>
      </c>
      <c r="B359" t="s">
        <v>148</v>
      </c>
      <c r="C359">
        <v>36</v>
      </c>
      <c r="D359" t="s">
        <v>76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147</v>
      </c>
      <c r="B360" t="s">
        <v>148</v>
      </c>
      <c r="C360">
        <v>37</v>
      </c>
      <c r="D360" t="s">
        <v>77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147</v>
      </c>
      <c r="B361" t="s">
        <v>148</v>
      </c>
      <c r="C361">
        <v>38</v>
      </c>
      <c r="D361" t="s">
        <v>78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147</v>
      </c>
      <c r="B362" t="s">
        <v>148</v>
      </c>
      <c r="C362">
        <v>39</v>
      </c>
      <c r="D362" t="s">
        <v>79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147</v>
      </c>
      <c r="B363" t="s">
        <v>148</v>
      </c>
      <c r="C363">
        <v>40</v>
      </c>
      <c r="D363" t="s">
        <v>80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149</v>
      </c>
      <c r="B364" t="s">
        <v>150</v>
      </c>
      <c r="C364">
        <v>1</v>
      </c>
      <c r="D364" t="s">
        <v>27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149</v>
      </c>
      <c r="B365" t="s">
        <v>150</v>
      </c>
      <c r="C365">
        <v>2</v>
      </c>
      <c r="D365" t="s">
        <v>28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149</v>
      </c>
      <c r="B366" t="s">
        <v>150</v>
      </c>
      <c r="C366">
        <v>3</v>
      </c>
      <c r="D366" t="s">
        <v>29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149</v>
      </c>
      <c r="B367" t="s">
        <v>150</v>
      </c>
      <c r="C367">
        <v>4</v>
      </c>
      <c r="D367" t="s">
        <v>30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149</v>
      </c>
      <c r="B369" t="s">
        <v>150</v>
      </c>
      <c r="C369">
        <v>6</v>
      </c>
      <c r="D369" t="s">
        <v>27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149</v>
      </c>
      <c r="B370" t="s">
        <v>150</v>
      </c>
      <c r="C370">
        <v>7</v>
      </c>
      <c r="D370" t="s">
        <v>28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149</v>
      </c>
      <c r="B371" t="s">
        <v>150</v>
      </c>
      <c r="C371">
        <v>8</v>
      </c>
      <c r="D371" t="s">
        <v>29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149</v>
      </c>
      <c r="B372" t="s">
        <v>150</v>
      </c>
      <c r="C372">
        <v>9</v>
      </c>
      <c r="D372" t="s">
        <v>30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149</v>
      </c>
      <c r="B373" t="s">
        <v>150</v>
      </c>
      <c r="C373">
        <v>10</v>
      </c>
      <c r="D373" t="s">
        <v>34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149</v>
      </c>
      <c r="B374" t="s">
        <v>150</v>
      </c>
      <c r="C374">
        <v>11</v>
      </c>
      <c r="D374" t="s">
        <v>37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149</v>
      </c>
      <c r="B375" t="s">
        <v>150</v>
      </c>
      <c r="C375">
        <v>12</v>
      </c>
      <c r="D375" t="s">
        <v>38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149</v>
      </c>
      <c r="B376" t="s">
        <v>150</v>
      </c>
      <c r="C376">
        <v>13</v>
      </c>
      <c r="D376" t="s">
        <v>41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149</v>
      </c>
      <c r="B377" t="s">
        <v>150</v>
      </c>
      <c r="C377">
        <v>14</v>
      </c>
      <c r="D377" t="s">
        <v>42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149</v>
      </c>
      <c r="B378" t="s">
        <v>150</v>
      </c>
      <c r="C378">
        <v>15</v>
      </c>
      <c r="D378" t="s">
        <v>43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149</v>
      </c>
      <c r="B379" t="s">
        <v>150</v>
      </c>
      <c r="C379">
        <v>16</v>
      </c>
      <c r="D379" t="s">
        <v>44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149</v>
      </c>
      <c r="B382" t="s">
        <v>150</v>
      </c>
      <c r="C382">
        <v>19</v>
      </c>
      <c r="D382" t="s">
        <v>49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149</v>
      </c>
      <c r="B387" t="s">
        <v>150</v>
      </c>
      <c r="C387">
        <v>24</v>
      </c>
      <c r="D387" t="s">
        <v>57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149</v>
      </c>
      <c r="B388" t="s">
        <v>150</v>
      </c>
      <c r="C388">
        <v>25</v>
      </c>
      <c r="D388" t="s">
        <v>58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149</v>
      </c>
      <c r="B395" t="s">
        <v>150</v>
      </c>
      <c r="C395">
        <v>32</v>
      </c>
      <c r="D395" t="s">
        <v>72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149</v>
      </c>
      <c r="B396" t="s">
        <v>150</v>
      </c>
      <c r="C396">
        <v>33</v>
      </c>
      <c r="D396" t="s">
        <v>73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149</v>
      </c>
      <c r="B397" t="s">
        <v>150</v>
      </c>
      <c r="C397">
        <v>34</v>
      </c>
      <c r="D397" t="s">
        <v>74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149</v>
      </c>
      <c r="B398" t="s">
        <v>150</v>
      </c>
      <c r="C398">
        <v>35</v>
      </c>
      <c r="D398" t="s">
        <v>75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149</v>
      </c>
      <c r="B399" t="s">
        <v>150</v>
      </c>
      <c r="C399">
        <v>36</v>
      </c>
      <c r="D399" t="s">
        <v>76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149</v>
      </c>
      <c r="B400" t="s">
        <v>150</v>
      </c>
      <c r="C400">
        <v>37</v>
      </c>
      <c r="D400" t="s">
        <v>77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149</v>
      </c>
      <c r="B401" t="s">
        <v>150</v>
      </c>
      <c r="C401">
        <v>38</v>
      </c>
      <c r="D401" t="s">
        <v>78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149</v>
      </c>
      <c r="B402" t="s">
        <v>150</v>
      </c>
      <c r="C402">
        <v>39</v>
      </c>
      <c r="D402" t="s">
        <v>79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149</v>
      </c>
      <c r="B403" t="s">
        <v>150</v>
      </c>
      <c r="C403">
        <v>40</v>
      </c>
      <c r="D403" t="s">
        <v>80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"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"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"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"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"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"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"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"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"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"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">
      <c r="I415" s="172"/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"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21:28" x14ac:dyDescent="0.2"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21:28" x14ac:dyDescent="0.2"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21:28" x14ac:dyDescent="0.2"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21:28" x14ac:dyDescent="0.2"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21:28" x14ac:dyDescent="0.2"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21:28" x14ac:dyDescent="0.2"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21:28" x14ac:dyDescent="0.2"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21:28" x14ac:dyDescent="0.2"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21:28" x14ac:dyDescent="0.2"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21:28" x14ac:dyDescent="0.2"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21:28" x14ac:dyDescent="0.2"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21:28" x14ac:dyDescent="0.2"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21:28" x14ac:dyDescent="0.2"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21:28" x14ac:dyDescent="0.2"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21:28" x14ac:dyDescent="0.2"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21:28" x14ac:dyDescent="0.2"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21:28" x14ac:dyDescent="0.2"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21:28" x14ac:dyDescent="0.2"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21:28" x14ac:dyDescent="0.2"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21:28" x14ac:dyDescent="0.2"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21:28" x14ac:dyDescent="0.2"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21:28" x14ac:dyDescent="0.2"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21:28" x14ac:dyDescent="0.2"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21:28" x14ac:dyDescent="0.2"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21:28" x14ac:dyDescent="0.2"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21:28" x14ac:dyDescent="0.2"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21:28" x14ac:dyDescent="0.2"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21:28" x14ac:dyDescent="0.2">
      <c r="U444">
        <v>-11513</v>
      </c>
      <c r="V444">
        <v>-29704.17</v>
      </c>
      <c r="W444">
        <v>-32087</v>
      </c>
      <c r="X444">
        <v>-78405.78</v>
      </c>
      <c r="Y444">
        <v>0</v>
      </c>
      <c r="Z444">
        <v>0</v>
      </c>
      <c r="AA444">
        <v>-23663</v>
      </c>
      <c r="AB444">
        <v>-59752.29</v>
      </c>
    </row>
    <row r="445" spans="21:28" x14ac:dyDescent="0.2"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21:28" x14ac:dyDescent="0.2">
      <c r="U446">
        <v>140254</v>
      </c>
      <c r="V446">
        <v>315491</v>
      </c>
      <c r="W446">
        <v>0</v>
      </c>
      <c r="X446">
        <v>0</v>
      </c>
      <c r="Y446">
        <v>-140254</v>
      </c>
      <c r="Z446">
        <v>-315491</v>
      </c>
      <c r="AA446">
        <v>0</v>
      </c>
      <c r="AB446">
        <v>0</v>
      </c>
    </row>
    <row r="447" spans="21:28" x14ac:dyDescent="0.2"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21:28" x14ac:dyDescent="0.2"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21:28" x14ac:dyDescent="0.2">
      <c r="U449">
        <v>11513</v>
      </c>
      <c r="V449">
        <v>26036.79</v>
      </c>
      <c r="W449">
        <v>31962</v>
      </c>
      <c r="X449">
        <v>69720.149999999994</v>
      </c>
      <c r="Y449">
        <v>-100</v>
      </c>
      <c r="Z449">
        <v>-216</v>
      </c>
      <c r="AA449">
        <v>0</v>
      </c>
      <c r="AB449">
        <v>0</v>
      </c>
    </row>
    <row r="450" spans="21:28" x14ac:dyDescent="0.2"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21:28" x14ac:dyDescent="0.2">
      <c r="U451">
        <v>232203</v>
      </c>
      <c r="V451">
        <v>501231</v>
      </c>
      <c r="W451">
        <v>0</v>
      </c>
      <c r="X451">
        <v>0</v>
      </c>
      <c r="Y451">
        <v>-232203</v>
      </c>
      <c r="Z451">
        <v>-501231</v>
      </c>
      <c r="AA451">
        <v>0</v>
      </c>
      <c r="AB451">
        <v>0</v>
      </c>
    </row>
    <row r="452" spans="21:28" x14ac:dyDescent="0.2"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21:28" x14ac:dyDescent="0.2"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21:28" x14ac:dyDescent="0.2"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21:28" x14ac:dyDescent="0.2">
      <c r="U455">
        <v>0</v>
      </c>
      <c r="V455">
        <v>0</v>
      </c>
      <c r="W455">
        <v>0</v>
      </c>
      <c r="X455">
        <v>0</v>
      </c>
      <c r="Y455">
        <v>21218</v>
      </c>
      <c r="Z455">
        <v>49862.3</v>
      </c>
      <c r="AA455">
        <v>0</v>
      </c>
      <c r="AB455">
        <v>0</v>
      </c>
    </row>
    <row r="456" spans="21:28" x14ac:dyDescent="0.2">
      <c r="U456">
        <v>0</v>
      </c>
      <c r="V456">
        <v>0</v>
      </c>
      <c r="W456">
        <v>168031</v>
      </c>
      <c r="X456">
        <v>366475.61</v>
      </c>
      <c r="Y456">
        <v>100</v>
      </c>
      <c r="Z456">
        <v>228.8</v>
      </c>
      <c r="AA456">
        <v>-34010</v>
      </c>
      <c r="AB456">
        <v>-77814.880000000005</v>
      </c>
    </row>
    <row r="457" spans="21:28" x14ac:dyDescent="0.2"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21:28" x14ac:dyDescent="0.2"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21:28" x14ac:dyDescent="0.2"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21:28" x14ac:dyDescent="0.2">
      <c r="U460">
        <v>0</v>
      </c>
      <c r="V460">
        <v>0</v>
      </c>
      <c r="W460">
        <v>0</v>
      </c>
      <c r="X460">
        <v>0</v>
      </c>
      <c r="Y460">
        <v>-1759</v>
      </c>
      <c r="Z460">
        <v>-4024.59</v>
      </c>
      <c r="AA460">
        <v>1650</v>
      </c>
      <c r="AB460">
        <v>22723.25</v>
      </c>
    </row>
    <row r="461" spans="21:28" x14ac:dyDescent="0.2"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21:28" x14ac:dyDescent="0.2"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21:28" x14ac:dyDescent="0.2"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21:28" x14ac:dyDescent="0.2"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21:28" x14ac:dyDescent="0.2">
      <c r="U465">
        <v>-372457</v>
      </c>
      <c r="V465">
        <v>-852181.61600000004</v>
      </c>
      <c r="W465">
        <v>-167906</v>
      </c>
      <c r="X465">
        <v>-384168.92800000001</v>
      </c>
      <c r="Y465">
        <v>352998</v>
      </c>
      <c r="Z465">
        <v>807659.424</v>
      </c>
      <c r="AA465">
        <v>56023</v>
      </c>
      <c r="AB465">
        <v>128180.624</v>
      </c>
    </row>
    <row r="466" spans="21:28" x14ac:dyDescent="0.2"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21:28" x14ac:dyDescent="0.2">
      <c r="U467">
        <v>-4723</v>
      </c>
      <c r="V467">
        <v>-944.61</v>
      </c>
      <c r="W467">
        <v>148567</v>
      </c>
      <c r="X467">
        <v>13371.03</v>
      </c>
      <c r="Y467">
        <v>-148667</v>
      </c>
      <c r="Z467">
        <v>-13369.53</v>
      </c>
      <c r="AA467">
        <v>-1650</v>
      </c>
      <c r="AB467">
        <v>276.01</v>
      </c>
    </row>
    <row r="468" spans="21:28" x14ac:dyDescent="0.2">
      <c r="U468">
        <v>0</v>
      </c>
      <c r="V468">
        <v>93300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21:28" x14ac:dyDescent="0.2"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21:28" x14ac:dyDescent="0.2"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21:28" x14ac:dyDescent="0.2"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1.63</v>
      </c>
    </row>
    <row r="472" spans="21:28" x14ac:dyDescent="0.2"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21:28" x14ac:dyDescent="0.2"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21:28" x14ac:dyDescent="0.2"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21:28" x14ac:dyDescent="0.2"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21:28" x14ac:dyDescent="0.2"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21:28" x14ac:dyDescent="0.2"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21:28" x14ac:dyDescent="0.2"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21:28" x14ac:dyDescent="0.2"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21:28" x14ac:dyDescent="0.2"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21:28" x14ac:dyDescent="0.2"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21:28" x14ac:dyDescent="0.2"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21:28" x14ac:dyDescent="0.2"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21:28" x14ac:dyDescent="0.2">
      <c r="U484">
        <v>0</v>
      </c>
      <c r="V484">
        <v>-959372.83</v>
      </c>
      <c r="W484">
        <v>0</v>
      </c>
      <c r="X484">
        <v>0</v>
      </c>
      <c r="Y484">
        <v>-30570</v>
      </c>
      <c r="Z484">
        <v>-60834.3</v>
      </c>
      <c r="AA484">
        <v>0</v>
      </c>
      <c r="AB484">
        <v>0</v>
      </c>
    </row>
    <row r="485" spans="21:28" x14ac:dyDescent="0.2"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21:28" x14ac:dyDescent="0.2">
      <c r="U486">
        <v>3248249</v>
      </c>
      <c r="V486">
        <v>7090212</v>
      </c>
      <c r="W486">
        <v>0</v>
      </c>
      <c r="X486">
        <v>0</v>
      </c>
      <c r="Y486">
        <v>-3248249</v>
      </c>
      <c r="Z486">
        <v>-7090212</v>
      </c>
      <c r="AA486">
        <v>0</v>
      </c>
      <c r="AB486">
        <v>0</v>
      </c>
    </row>
    <row r="487" spans="21:28" x14ac:dyDescent="0.2"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21:28" x14ac:dyDescent="0.2"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21:28" x14ac:dyDescent="0.2">
      <c r="U489">
        <v>0</v>
      </c>
      <c r="V489">
        <v>0</v>
      </c>
      <c r="W489">
        <v>0</v>
      </c>
      <c r="X489">
        <v>0</v>
      </c>
      <c r="Y489">
        <v>7963</v>
      </c>
      <c r="Z489">
        <v>14734.52</v>
      </c>
      <c r="AA489">
        <v>0</v>
      </c>
      <c r="AB489">
        <v>0</v>
      </c>
    </row>
    <row r="490" spans="21:28" x14ac:dyDescent="0.2"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21:28" x14ac:dyDescent="0.2">
      <c r="U491">
        <v>-3693659</v>
      </c>
      <c r="V491">
        <v>-8078734</v>
      </c>
      <c r="W491">
        <v>0</v>
      </c>
      <c r="X491">
        <v>0</v>
      </c>
      <c r="Y491">
        <v>3693659</v>
      </c>
      <c r="Z491">
        <v>8078734</v>
      </c>
      <c r="AA491">
        <v>0</v>
      </c>
      <c r="AB491">
        <v>0</v>
      </c>
    </row>
    <row r="492" spans="21:28" x14ac:dyDescent="0.2"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21:28" x14ac:dyDescent="0.2"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21:28" x14ac:dyDescent="0.2"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21:28" x14ac:dyDescent="0.2"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21:28" x14ac:dyDescent="0.2"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21:28" x14ac:dyDescent="0.2"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21:28" x14ac:dyDescent="0.2"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21:28" x14ac:dyDescent="0.2"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21:28" x14ac:dyDescent="0.2"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21:28" x14ac:dyDescent="0.2"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21:28" x14ac:dyDescent="0.2"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21:28" x14ac:dyDescent="0.2"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21:28" x14ac:dyDescent="0.2"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21:28" x14ac:dyDescent="0.2">
      <c r="U505">
        <v>445410</v>
      </c>
      <c r="V505">
        <v>926452.8</v>
      </c>
      <c r="W505">
        <v>0</v>
      </c>
      <c r="X505">
        <v>0</v>
      </c>
      <c r="Y505">
        <v>-422803</v>
      </c>
      <c r="Z505">
        <v>-879430.24</v>
      </c>
      <c r="AA505">
        <v>0</v>
      </c>
      <c r="AB505">
        <v>0</v>
      </c>
    </row>
    <row r="506" spans="21:28" x14ac:dyDescent="0.2"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21:28" x14ac:dyDescent="0.2">
      <c r="U507">
        <v>0</v>
      </c>
      <c r="V507">
        <v>0</v>
      </c>
      <c r="W507">
        <v>0</v>
      </c>
      <c r="X507">
        <v>-2680.95</v>
      </c>
      <c r="Y507">
        <v>0</v>
      </c>
      <c r="Z507">
        <v>0</v>
      </c>
      <c r="AA507">
        <v>0</v>
      </c>
      <c r="AB507">
        <v>0</v>
      </c>
    </row>
    <row r="508" spans="21:28" x14ac:dyDescent="0.2">
      <c r="U508">
        <v>0</v>
      </c>
      <c r="V508">
        <v>0</v>
      </c>
      <c r="W508">
        <v>-1130</v>
      </c>
      <c r="X508">
        <v>-2204.04</v>
      </c>
      <c r="Y508">
        <v>0</v>
      </c>
      <c r="Z508">
        <v>0</v>
      </c>
      <c r="AA508">
        <v>0</v>
      </c>
      <c r="AB508">
        <v>0</v>
      </c>
    </row>
    <row r="509" spans="21:28" x14ac:dyDescent="0.2"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21:28" x14ac:dyDescent="0.2"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21:28" x14ac:dyDescent="0.2"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21:28" x14ac:dyDescent="0.2"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21:28" x14ac:dyDescent="0.2"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21:28" x14ac:dyDescent="0.2"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21:28" x14ac:dyDescent="0.2"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21:28" x14ac:dyDescent="0.2"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21:28" x14ac:dyDescent="0.2"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21:28" x14ac:dyDescent="0.2"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21:28" x14ac:dyDescent="0.2"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21:28" x14ac:dyDescent="0.2"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21:28" x14ac:dyDescent="0.2"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21:28" x14ac:dyDescent="0.2"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21:28" x14ac:dyDescent="0.2"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21:28" x14ac:dyDescent="0.2"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21:28" x14ac:dyDescent="0.2"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21:28" x14ac:dyDescent="0.2"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21:28" x14ac:dyDescent="0.2"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21:28" x14ac:dyDescent="0.2"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21:28" x14ac:dyDescent="0.2"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21:28" x14ac:dyDescent="0.2"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21:28" x14ac:dyDescent="0.2"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21:28" x14ac:dyDescent="0.2"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21:28" x14ac:dyDescent="0.2"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21:28" x14ac:dyDescent="0.2"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21:28" x14ac:dyDescent="0.2"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21:28" x14ac:dyDescent="0.2"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21:28" x14ac:dyDescent="0.2"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21:28" x14ac:dyDescent="0.2"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21:28" x14ac:dyDescent="0.2"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21:28" x14ac:dyDescent="0.2"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21:28" x14ac:dyDescent="0.2"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21:28" x14ac:dyDescent="0.2"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21:28" x14ac:dyDescent="0.2"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21:28" x14ac:dyDescent="0.2"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21:28" x14ac:dyDescent="0.2"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21:28" x14ac:dyDescent="0.2"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21:28" x14ac:dyDescent="0.2"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21:28" x14ac:dyDescent="0.2"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21:28" x14ac:dyDescent="0.2"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21:28" x14ac:dyDescent="0.2"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21:28" x14ac:dyDescent="0.2"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21:28" x14ac:dyDescent="0.2"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21:28" x14ac:dyDescent="0.2"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21:28" x14ac:dyDescent="0.2"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21:28" x14ac:dyDescent="0.2"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21:28" x14ac:dyDescent="0.2"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21:28" x14ac:dyDescent="0.2"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21:28" x14ac:dyDescent="0.2"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21:28" x14ac:dyDescent="0.2"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21:28" x14ac:dyDescent="0.2"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21:28" x14ac:dyDescent="0.2"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21:28" x14ac:dyDescent="0.2"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21:28" x14ac:dyDescent="0.2"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21:28" x14ac:dyDescent="0.2"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21:28" x14ac:dyDescent="0.2"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21:28" x14ac:dyDescent="0.2"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21:28" x14ac:dyDescent="0.2"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21:28" x14ac:dyDescent="0.2"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21:28" x14ac:dyDescent="0.2"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21:28" x14ac:dyDescent="0.2"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21:28" x14ac:dyDescent="0.2"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21:28" x14ac:dyDescent="0.2"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21:28" x14ac:dyDescent="0.2"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21:28" x14ac:dyDescent="0.2"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21:28" x14ac:dyDescent="0.2"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21:28" x14ac:dyDescent="0.2"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21:28" x14ac:dyDescent="0.2"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21:28" x14ac:dyDescent="0.2"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21:28" x14ac:dyDescent="0.2"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21:28" x14ac:dyDescent="0.2"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21:28" x14ac:dyDescent="0.2"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21:28" x14ac:dyDescent="0.2"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21:28" x14ac:dyDescent="0.2"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21:28" x14ac:dyDescent="0.2"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21:28" x14ac:dyDescent="0.2"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21:28" x14ac:dyDescent="0.2"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21:28" x14ac:dyDescent="0.2"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21:28" x14ac:dyDescent="0.2"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21:28" x14ac:dyDescent="0.2"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21:28" x14ac:dyDescent="0.2"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21:28" x14ac:dyDescent="0.2"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21:28" x14ac:dyDescent="0.2"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21:28" x14ac:dyDescent="0.2"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21:28" x14ac:dyDescent="0.2"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21:28" x14ac:dyDescent="0.2"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21:28" x14ac:dyDescent="0.2"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21:28" x14ac:dyDescent="0.2"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21:28" x14ac:dyDescent="0.2"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21:28" x14ac:dyDescent="0.2"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21:28" x14ac:dyDescent="0.2"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21:28" x14ac:dyDescent="0.2"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21:28" x14ac:dyDescent="0.2"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21:28" x14ac:dyDescent="0.2"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8" spans="4:31" x14ac:dyDescent="0.2">
      <c r="F638" s="212">
        <v>36281</v>
      </c>
      <c r="G638" s="213"/>
      <c r="H638" s="214">
        <f>+F638+31</f>
        <v>36312</v>
      </c>
      <c r="I638" s="215"/>
      <c r="J638" s="216">
        <f>+H638+31</f>
        <v>36343</v>
      </c>
      <c r="K638" s="217"/>
      <c r="L638" s="216">
        <f>+J638+31</f>
        <v>36374</v>
      </c>
      <c r="M638" s="217"/>
      <c r="N638" s="216">
        <f>+L638+31</f>
        <v>36405</v>
      </c>
      <c r="O638" s="217"/>
      <c r="P638" s="216">
        <f>+N638+31</f>
        <v>36436</v>
      </c>
      <c r="Q638" s="217"/>
      <c r="R638" s="216">
        <f>+P638+31</f>
        <v>36467</v>
      </c>
      <c r="S638" s="217"/>
      <c r="T638" s="216">
        <f>+R638+31</f>
        <v>36498</v>
      </c>
      <c r="U638" s="217"/>
      <c r="V638" s="216">
        <f>+T638+31</f>
        <v>36529</v>
      </c>
      <c r="W638" s="217"/>
      <c r="X638" s="216">
        <f>+V638+31</f>
        <v>36560</v>
      </c>
      <c r="Y638" s="217"/>
      <c r="Z638" s="216">
        <f>+X638+31</f>
        <v>36591</v>
      </c>
      <c r="AA638" s="217"/>
      <c r="AB638" s="216">
        <f>+Z638+31</f>
        <v>36622</v>
      </c>
      <c r="AC638" s="217"/>
      <c r="AD638" s="218"/>
      <c r="AE638" s="218"/>
    </row>
    <row r="639" spans="4:31" x14ac:dyDescent="0.2">
      <c r="F639" s="134" t="s">
        <v>24</v>
      </c>
      <c r="G639" s="173" t="s">
        <v>151</v>
      </c>
      <c r="H639" s="134" t="s">
        <v>24</v>
      </c>
      <c r="I639" s="173" t="s">
        <v>151</v>
      </c>
      <c r="J639" s="134" t="s">
        <v>24</v>
      </c>
      <c r="K639" s="134" t="s">
        <v>151</v>
      </c>
      <c r="L639" s="134" t="s">
        <v>24</v>
      </c>
      <c r="M639" s="134" t="s">
        <v>151</v>
      </c>
      <c r="N639" s="134" t="s">
        <v>24</v>
      </c>
      <c r="O639" s="134" t="s">
        <v>151</v>
      </c>
      <c r="P639" s="134" t="s">
        <v>24</v>
      </c>
      <c r="Q639" s="134" t="s">
        <v>151</v>
      </c>
      <c r="R639" s="134" t="s">
        <v>24</v>
      </c>
      <c r="S639" s="134" t="s">
        <v>151</v>
      </c>
      <c r="T639" s="134" t="s">
        <v>24</v>
      </c>
      <c r="U639" s="134" t="s">
        <v>151</v>
      </c>
      <c r="V639" s="134" t="s">
        <v>24</v>
      </c>
      <c r="W639" s="134" t="s">
        <v>151</v>
      </c>
      <c r="X639" s="134" t="s">
        <v>24</v>
      </c>
      <c r="Y639" s="134" t="s">
        <v>151</v>
      </c>
      <c r="Z639" s="134" t="s">
        <v>24</v>
      </c>
      <c r="AA639" s="134" t="s">
        <v>151</v>
      </c>
      <c r="AB639" s="134" t="s">
        <v>24</v>
      </c>
      <c r="AC639" s="134" t="s">
        <v>151</v>
      </c>
      <c r="AD639" s="127"/>
      <c r="AE639" s="127"/>
    </row>
    <row r="640" spans="4:31" x14ac:dyDescent="0.2">
      <c r="D640" s="135" t="s">
        <v>115</v>
      </c>
      <c r="E640" s="136"/>
      <c r="F640" s="137">
        <f>BUG_GL!H82</f>
        <v>0</v>
      </c>
      <c r="G640" s="138">
        <f>BUG_GL!I82</f>
        <v>-9683637</v>
      </c>
      <c r="H640" s="137">
        <f>BUG_GL!J82</f>
        <v>0</v>
      </c>
      <c r="I640" s="138">
        <f>BUG_GL!K82</f>
        <v>-7160239</v>
      </c>
      <c r="J640" s="137">
        <f>BUG_GL!L82</f>
        <v>0</v>
      </c>
      <c r="K640" s="137">
        <f>BUG_GL!M82</f>
        <v>99704</v>
      </c>
      <c r="L640" s="137">
        <f>BUG_GL!N82</f>
        <v>0</v>
      </c>
      <c r="M640" s="137">
        <f>BUG_GL!O82</f>
        <v>-73</v>
      </c>
      <c r="N640" s="137">
        <f>BUG_GL!P82</f>
        <v>0</v>
      </c>
      <c r="O640" s="137">
        <f>BUG_GL!Q82</f>
        <v>28324</v>
      </c>
      <c r="P640" s="137">
        <f>BUG_GL!R82</f>
        <v>0</v>
      </c>
      <c r="Q640" s="138">
        <f>BUG_GL!S82</f>
        <v>16603099</v>
      </c>
      <c r="R640" s="137">
        <f>BUG_GL!T82</f>
        <v>0</v>
      </c>
      <c r="S640" s="137">
        <f>BUG_GL!U82</f>
        <v>0</v>
      </c>
      <c r="T640" s="137">
        <f>BUG_GL!V82</f>
        <v>0</v>
      </c>
      <c r="U640" s="137">
        <f>BUG_GL!W82</f>
        <v>-182019</v>
      </c>
      <c r="V640" s="137">
        <f>BUG_GL!X82</f>
        <v>0</v>
      </c>
      <c r="W640" s="137">
        <f>BUG_GL!Y82</f>
        <v>0</v>
      </c>
      <c r="X640" s="137">
        <f>BUG_GL!Z82</f>
        <v>0</v>
      </c>
      <c r="Y640" s="137">
        <f>BUG_GL!AA82</f>
        <v>0</v>
      </c>
      <c r="Z640" s="137">
        <f>BUG_GL!AB82</f>
        <v>0</v>
      </c>
      <c r="AA640" s="137">
        <f>BUG_GL!AC82</f>
        <v>0</v>
      </c>
      <c r="AB640" s="137">
        <f>BUG_GL!AD82</f>
        <v>0</v>
      </c>
      <c r="AC640" s="139">
        <f>BUG_GL!AE82</f>
        <v>0</v>
      </c>
      <c r="AD640" s="128"/>
      <c r="AE640" s="128"/>
    </row>
    <row r="641" spans="4:31" x14ac:dyDescent="0.2">
      <c r="D641" s="135" t="s">
        <v>143</v>
      </c>
      <c r="E641" s="136"/>
      <c r="F641" s="137">
        <f>CE_GL!H82</f>
        <v>0</v>
      </c>
      <c r="G641" s="205">
        <f>CE_GL!I82</f>
        <v>7301816.2080000164</v>
      </c>
      <c r="H641" s="137">
        <f>CE_GL!J82</f>
        <v>0</v>
      </c>
      <c r="I641" s="138">
        <f>CE_GL!K82</f>
        <v>-4250632.074</v>
      </c>
      <c r="J641" s="137">
        <f>CE_GL!L82</f>
        <v>0</v>
      </c>
      <c r="K641" s="138">
        <f>CE_GL!M82</f>
        <v>1830540.4679999999</v>
      </c>
      <c r="L641" s="137">
        <f>CE_GL!N82</f>
        <v>0</v>
      </c>
      <c r="M641" s="138">
        <f>CE_GL!O82</f>
        <v>1458165.176</v>
      </c>
      <c r="N641" s="137">
        <f>CE_GL!P82</f>
        <v>0</v>
      </c>
      <c r="O641" s="137">
        <f>CE_GL!Q82</f>
        <v>729314.23199999984</v>
      </c>
      <c r="P641" s="137">
        <f>CE_GL!R82</f>
        <v>0</v>
      </c>
      <c r="Q641" s="137">
        <f>CE_GL!S82</f>
        <v>-14244.056000000099</v>
      </c>
      <c r="R641" s="137">
        <f>CE_GL!T82</f>
        <v>0</v>
      </c>
      <c r="S641" s="137">
        <f>CE_GL!U82</f>
        <v>41653.041999999921</v>
      </c>
      <c r="T641" s="137">
        <f>CE_GL!V82</f>
        <v>0</v>
      </c>
      <c r="U641" s="137">
        <f>CE_GL!W82</f>
        <v>18310.257999999572</v>
      </c>
      <c r="V641" s="137">
        <f>CE_GL!X82</f>
        <v>0</v>
      </c>
      <c r="W641" s="137">
        <f>CE_GL!Y82</f>
        <v>15812.537999999382</v>
      </c>
      <c r="X641" s="137">
        <f>CE_GL!Z82</f>
        <v>0</v>
      </c>
      <c r="Y641" s="137">
        <f>CE_GL!AA82</f>
        <v>-12630.227999999999</v>
      </c>
      <c r="Z641" s="137">
        <f>CE_GL!AB82</f>
        <v>0</v>
      </c>
      <c r="AA641" s="138">
        <f>CE_GL!AC82</f>
        <v>1184011.4040000003</v>
      </c>
      <c r="AB641" s="137">
        <f>CE_GL!AD82</f>
        <v>0</v>
      </c>
      <c r="AC641" s="139">
        <f>CE_GL!AE82</f>
        <v>10187.449999999999</v>
      </c>
    </row>
    <row r="642" spans="4:31" x14ac:dyDescent="0.2">
      <c r="D642" s="135" t="s">
        <v>144</v>
      </c>
      <c r="E642" s="136"/>
      <c r="F642" s="137">
        <f>+'EAST-EGM-GL'!H82</f>
        <v>0</v>
      </c>
      <c r="G642" s="138">
        <f>+'EAST-EGM-GL'!I82</f>
        <v>4020373.5500000203</v>
      </c>
      <c r="H642" s="137">
        <f>+'EAST-EGM-GL'!J82</f>
        <v>0</v>
      </c>
      <c r="I642" s="138">
        <f>+'EAST-EGM-GL'!K82</f>
        <v>17118373.098000001</v>
      </c>
      <c r="J642" s="137">
        <f>+'EAST-EGM-GL'!L82</f>
        <v>0</v>
      </c>
      <c r="K642" s="138">
        <f>+'EAST-EGM-GL'!M82</f>
        <v>-1818384.9779999999</v>
      </c>
      <c r="L642" s="137">
        <f>+'EAST-EGM-GL'!N82</f>
        <v>0</v>
      </c>
      <c r="M642" s="138">
        <f>+'EAST-EGM-GL'!O82</f>
        <v>498452.28599999996</v>
      </c>
      <c r="N642" s="137">
        <f>+'EAST-EGM-GL'!P82</f>
        <v>0</v>
      </c>
      <c r="O642" s="137">
        <f>+'EAST-EGM-GL'!Q82</f>
        <v>1130253.9039999999</v>
      </c>
      <c r="P642" s="137">
        <f>+'EAST-EGM-GL'!R82</f>
        <v>0</v>
      </c>
      <c r="Q642" s="138">
        <f>+'EAST-EGM-GL'!S82</f>
        <v>-16796729.884999998</v>
      </c>
      <c r="R642" s="137">
        <f>+'EAST-EGM-GL'!T82</f>
        <v>0</v>
      </c>
      <c r="S642" s="137">
        <f>+'EAST-EGM-GL'!U82</f>
        <v>0</v>
      </c>
      <c r="T642" s="137">
        <f>+'EAST-EGM-GL'!V82</f>
        <v>0</v>
      </c>
      <c r="U642" s="138">
        <f>+'EAST-EGM-GL'!W82</f>
        <v>-11348.920000000013</v>
      </c>
      <c r="V642" s="137">
        <f>+'EAST-EGM-GL'!X82</f>
        <v>0</v>
      </c>
      <c r="W642" s="137">
        <f>+'EAST-EGM-GL'!Y82</f>
        <v>71238.639999999868</v>
      </c>
      <c r="X642" s="137">
        <f>+'EAST-EGM-GL'!Z82</f>
        <v>0</v>
      </c>
      <c r="Y642" s="137">
        <f>+'EAST-EGM-GL'!AA82</f>
        <v>99955</v>
      </c>
      <c r="Z642" s="137">
        <f>+'EAST-EGM-GL'!AB82</f>
        <v>0</v>
      </c>
      <c r="AA642" s="138">
        <f>+'EAST-EGM-GL'!AC82</f>
        <v>-11348.920000000013</v>
      </c>
      <c r="AB642" s="137">
        <f>+'EAST-EGM-GL'!AD82</f>
        <v>0</v>
      </c>
      <c r="AC642" s="139">
        <f>+'EAST-EGM-GL'!AE82</f>
        <v>0</v>
      </c>
      <c r="AD642" s="14"/>
      <c r="AE642" s="14"/>
    </row>
    <row r="643" spans="4:31" x14ac:dyDescent="0.2">
      <c r="D643" s="135" t="s">
        <v>152</v>
      </c>
      <c r="E643" s="136"/>
      <c r="F643" s="137">
        <f>+'EAST-LRC-GL'!H82</f>
        <v>0</v>
      </c>
      <c r="G643" s="164">
        <f>+'EAST-LRC-GL'!I82</f>
        <v>1290655.3249999951</v>
      </c>
      <c r="H643" s="137">
        <f>+'EAST-LRC-GL'!J82</f>
        <v>-8178</v>
      </c>
      <c r="I643" s="138">
        <f>+'EAST-LRC-GL'!K82</f>
        <v>-222901.05000000016</v>
      </c>
      <c r="J643" s="137">
        <f>+'EAST-LRC-GL'!L82</f>
        <v>0</v>
      </c>
      <c r="K643" s="138">
        <f>+'EAST-LRC-GL'!M82</f>
        <v>48483.21700000007</v>
      </c>
      <c r="L643" s="137">
        <f>+'EAST-LRC-GL'!N82</f>
        <v>0</v>
      </c>
      <c r="M643" s="138">
        <f>+'EAST-LRC-GL'!O82</f>
        <v>-20357.872000000101</v>
      </c>
      <c r="N643" s="137">
        <f>+'EAST-LRC-GL'!P82</f>
        <v>0</v>
      </c>
      <c r="O643" s="137">
        <f>+'EAST-LRC-GL'!Q82</f>
        <v>-4998.0779999999722</v>
      </c>
      <c r="P643" s="137">
        <f>+'EAST-LRC-GL'!R82</f>
        <v>0</v>
      </c>
      <c r="Q643" s="138">
        <f>+'EAST-LRC-GL'!S82</f>
        <v>-82960.262999999948</v>
      </c>
      <c r="R643" s="137">
        <f>+'EAST-LRC-GL'!T82</f>
        <v>0</v>
      </c>
      <c r="S643" s="137">
        <f>+'EAST-LRC-GL'!U82</f>
        <v>8153.0659999999916</v>
      </c>
      <c r="T643" s="137">
        <f>+'EAST-LRC-GL'!V82</f>
        <v>0</v>
      </c>
      <c r="U643" s="138">
        <f>+'EAST-LRC-GL'!W82</f>
        <v>-1536.2150000000561</v>
      </c>
      <c r="V643" s="137">
        <f>+'EAST-LRC-GL'!X82</f>
        <v>0</v>
      </c>
      <c r="W643" s="137">
        <f>+'EAST-LRC-GL'!Y82</f>
        <v>54.86</v>
      </c>
      <c r="X643" s="137">
        <f>+'EAST-LRC-GL'!Z82</f>
        <v>0</v>
      </c>
      <c r="Y643" s="137">
        <f>+'EAST-LRC-GL'!AA82</f>
        <v>-128.9600000000064</v>
      </c>
      <c r="Z643" s="137">
        <f>+'EAST-LRC-GL'!AB82</f>
        <v>0</v>
      </c>
      <c r="AA643" s="138">
        <f>+'EAST-LRC-GL'!AC82</f>
        <v>-506.06000000000699</v>
      </c>
      <c r="AB643" s="137">
        <f>+'EAST-LRC-GL'!AD82</f>
        <v>0</v>
      </c>
      <c r="AC643" s="139">
        <f>+'EAST-LRC-GL'!AE82</f>
        <v>-637.06499999999983</v>
      </c>
      <c r="AD643" s="14"/>
      <c r="AE643" s="14"/>
    </row>
    <row r="644" spans="4:31" x14ac:dyDescent="0.2">
      <c r="D644" s="135" t="s">
        <v>153</v>
      </c>
      <c r="E644" s="136"/>
      <c r="F644" s="137">
        <f>+'BGC-EGM-GL'!H82</f>
        <v>0</v>
      </c>
      <c r="G644" s="164">
        <f>+'BGC-EGM-GL'!I82</f>
        <v>0</v>
      </c>
      <c r="H644" s="137">
        <f>+'BGC-EGM-GL'!J82</f>
        <v>0</v>
      </c>
      <c r="I644" s="164">
        <f>+'BGC-EGM-GL'!K82</f>
        <v>0</v>
      </c>
      <c r="J644" s="137">
        <f>+'BGC-EGM-GL'!L82</f>
        <v>0</v>
      </c>
      <c r="K644" s="137">
        <f>+'BGC-EGM-GL'!M82</f>
        <v>0</v>
      </c>
      <c r="L644" s="137">
        <f>+'BGC-EGM-GL'!N82</f>
        <v>0</v>
      </c>
      <c r="M644" s="138">
        <f>+'BGC-EGM-GL'!O82</f>
        <v>0</v>
      </c>
      <c r="N644" s="137">
        <f>+'BGC-EGM-GL'!P82</f>
        <v>0</v>
      </c>
      <c r="O644" s="137">
        <f>+'BGC-EGM-GL'!Q82</f>
        <v>0</v>
      </c>
      <c r="P644" s="137">
        <f>+'BGC-EGM-GL'!R82</f>
        <v>0</v>
      </c>
      <c r="Q644" s="138">
        <f>+'BGC-EGM-GL'!S82</f>
        <v>0</v>
      </c>
      <c r="R644" s="137">
        <f>+'BGC-EGM-GL'!T82</f>
        <v>0</v>
      </c>
      <c r="S644" s="137">
        <f>+'BGC-EGM-GL'!U82</f>
        <v>0</v>
      </c>
      <c r="T644" s="137">
        <f>+'BGC-EGM-GL'!V82</f>
        <v>0</v>
      </c>
      <c r="U644" s="138">
        <f>+'BGC-EGM-GL'!W82</f>
        <v>0</v>
      </c>
      <c r="V644" s="137">
        <f>+'BGC-EGM-GL'!X82</f>
        <v>0</v>
      </c>
      <c r="W644" s="137">
        <f>+'BGC-EGM-GL'!Y82</f>
        <v>0</v>
      </c>
      <c r="X644" s="137">
        <f>+'BGC-EGM-GL'!Z82</f>
        <v>0</v>
      </c>
      <c r="Y644" s="137">
        <f>+'BGC-EGM-GL'!AA82</f>
        <v>0</v>
      </c>
      <c r="Z644" s="137">
        <f>+'BGC-EGM-GL'!AB82</f>
        <v>0</v>
      </c>
      <c r="AA644" s="137">
        <f>+'BGC-EGM-GL'!AC82</f>
        <v>0</v>
      </c>
      <c r="AB644" s="137">
        <f>+'BGC-EGM-GL'!AD82</f>
        <v>0</v>
      </c>
      <c r="AC644" s="139">
        <f>+'BGC-EGM-GL'!AE82</f>
        <v>0</v>
      </c>
      <c r="AD644" s="14"/>
      <c r="AE644" s="14"/>
    </row>
    <row r="645" spans="4:31" x14ac:dyDescent="0.2">
      <c r="D645" s="135" t="s">
        <v>154</v>
      </c>
      <c r="E645" s="136"/>
      <c r="F645" s="137">
        <f>+'EAST-CON-GL '!H82</f>
        <v>0</v>
      </c>
      <c r="G645" s="164">
        <f>+'EAST-CON-GL '!I82</f>
        <v>5311028.8750000363</v>
      </c>
      <c r="H645" s="137">
        <f>+'EAST-CON-GL '!J82</f>
        <v>-8178</v>
      </c>
      <c r="I645" s="164">
        <f>+'EAST-CON-GL '!K82</f>
        <v>16895472.048000008</v>
      </c>
      <c r="J645" s="137">
        <f>+'EAST-CON-GL '!L82</f>
        <v>0</v>
      </c>
      <c r="K645" s="137">
        <f>+'EAST-CON-GL '!M82</f>
        <v>-1769901.7509999999</v>
      </c>
      <c r="L645" s="137">
        <f>+'EAST-CON-GL '!N82</f>
        <v>0</v>
      </c>
      <c r="M645" s="138">
        <f>+'EAST-CON-GL '!O82</f>
        <v>478094.40399999986</v>
      </c>
      <c r="N645" s="137">
        <f>+'EAST-CON-GL '!P82</f>
        <v>0</v>
      </c>
      <c r="O645" s="137">
        <f>+'EAST-CON-GL '!Q82</f>
        <v>1125255.8259999999</v>
      </c>
      <c r="P645" s="137">
        <f>+'EAST-CON-GL '!R82</f>
        <v>0</v>
      </c>
      <c r="Q645" s="138">
        <f>+'EAST-CON-GL '!S82</f>
        <v>-16879690.147999998</v>
      </c>
      <c r="R645" s="137">
        <f>+'EAST-CON-GL '!T82</f>
        <v>0</v>
      </c>
      <c r="S645" s="137">
        <f>+'EAST-CON-GL '!U82</f>
        <v>8153.0659999998752</v>
      </c>
      <c r="T645" s="137">
        <f>+'EAST-CON-GL '!V82</f>
        <v>0</v>
      </c>
      <c r="U645" s="138">
        <f>+'EAST-CON-GL '!W82</f>
        <v>-12885.124999999971</v>
      </c>
      <c r="V645" s="137">
        <f>+'EAST-CON-GL '!X82</f>
        <v>0</v>
      </c>
      <c r="W645" s="137">
        <f>+'EAST-CON-GL '!Y82</f>
        <v>71293.499999999854</v>
      </c>
      <c r="X645" s="137">
        <f>+'EAST-CON-GL '!Z82</f>
        <v>0</v>
      </c>
      <c r="Y645" s="137">
        <f>+'EAST-CON-GL '!AA82</f>
        <v>99826.04</v>
      </c>
      <c r="Z645" s="137">
        <f>+'EAST-CON-GL '!AB82</f>
        <v>0</v>
      </c>
      <c r="AA645" s="138">
        <f>+'EAST-CON-GL '!AC82</f>
        <v>-11854.989999999932</v>
      </c>
      <c r="AB645" s="137">
        <f>+'EAST-CON-GL '!AD82</f>
        <v>0</v>
      </c>
      <c r="AC645" s="139">
        <f>+'EAST-CON-GL '!AE82</f>
        <v>-637.06499999999983</v>
      </c>
      <c r="AD645" s="14"/>
      <c r="AE645" s="14"/>
    </row>
    <row r="646" spans="4:31" x14ac:dyDescent="0.2">
      <c r="D646" s="135" t="s">
        <v>155</v>
      </c>
      <c r="E646" s="136"/>
      <c r="F646" s="137">
        <f>+'TX-EGM-GL'!H82</f>
        <v>0</v>
      </c>
      <c r="G646" s="138">
        <f>+'TX-EGM-GL'!I82</f>
        <v>4597593.7760000005</v>
      </c>
      <c r="H646" s="137">
        <f>+'TX-EGM-GL'!J82</f>
        <v>0</v>
      </c>
      <c r="I646" s="138">
        <f>+'TX-EGM-GL'!K91</f>
        <v>-639457.77400000056</v>
      </c>
      <c r="J646" s="137">
        <f>+'TX-EGM-GL'!L82</f>
        <v>0</v>
      </c>
      <c r="K646" s="138">
        <f>+'TX-EGM-GL'!M82</f>
        <v>1215432.5620000004</v>
      </c>
      <c r="L646" s="137">
        <f>+'TX-EGM-GL'!N82</f>
        <v>0</v>
      </c>
      <c r="M646" s="138">
        <f>+'TX-EGM-GL'!O82</f>
        <v>-1941179.0759999999</v>
      </c>
      <c r="N646" s="137">
        <f>+'TX-EGM-GL'!P82</f>
        <v>0</v>
      </c>
      <c r="O646" s="137">
        <f>+'TX-EGM-GL'!Q82</f>
        <v>103782.228</v>
      </c>
      <c r="P646" s="137">
        <f>+'TX-EGM-GL'!R82</f>
        <v>0</v>
      </c>
      <c r="Q646" s="138">
        <f>+'TX-EGM-GL'!S82</f>
        <v>351783.74199999997</v>
      </c>
      <c r="R646" s="137">
        <f>+'TX-EGM-GL'!T82</f>
        <v>0</v>
      </c>
      <c r="S646" s="137">
        <f>+'TX-EGM-GL'!U82</f>
        <v>83863.615999999922</v>
      </c>
      <c r="T646" s="137">
        <f>+'TX-EGM-GL'!V82</f>
        <v>0</v>
      </c>
      <c r="U646" s="138">
        <f>+'TX-EGM-GL'!W82</f>
        <v>-28643.534000000065</v>
      </c>
      <c r="V646" s="137">
        <f>+'TX-EGM-GL'!X82</f>
        <v>0</v>
      </c>
      <c r="W646" s="137">
        <f>+'TX-EGM-GL'!Y82</f>
        <v>53228.394000000073</v>
      </c>
      <c r="X646" s="137">
        <f>+'TX-EGM-GL'!Z82</f>
        <v>0</v>
      </c>
      <c r="Y646" s="137">
        <f>+'TX-EGM-GL'!AA82</f>
        <v>-13007.918000000032</v>
      </c>
      <c r="Z646" s="137">
        <f>+'TX-EGM-GL'!AB82</f>
        <v>0</v>
      </c>
      <c r="AA646" s="138">
        <f>+'TX-EGM-GL'!AC82</f>
        <v>1075.4040000001241</v>
      </c>
      <c r="AB646" s="137">
        <f>+'TX-EGM-GL'!AD82</f>
        <v>0</v>
      </c>
      <c r="AC646" s="139">
        <f>+'TX-EGM-GL'!AE82</f>
        <v>13614.343999999983</v>
      </c>
      <c r="AD646" s="14"/>
      <c r="AE646" s="14"/>
    </row>
    <row r="647" spans="4:31" x14ac:dyDescent="0.2">
      <c r="D647" s="135" t="s">
        <v>156</v>
      </c>
      <c r="E647" s="136"/>
      <c r="F647" s="137">
        <f>+'TX-HPL-GL '!H82</f>
        <v>0</v>
      </c>
      <c r="G647" s="138">
        <f>+'TX-HPL-GL '!I82</f>
        <v>247350.4200000001</v>
      </c>
      <c r="H647" s="137">
        <f>+'TX-HPL-GL '!J82</f>
        <v>0</v>
      </c>
      <c r="I647" s="138">
        <f>+'TX-HPL-GL '!K82</f>
        <v>68897.794399999955</v>
      </c>
      <c r="J647" s="137">
        <f>+'TX-HPL-GL '!L82</f>
        <v>0</v>
      </c>
      <c r="K647" s="138">
        <f>+'TX-HPL-GL '!M82</f>
        <v>325361.02759999997</v>
      </c>
      <c r="L647" s="137">
        <f>+'TX-HPL-GL '!N82</f>
        <v>0</v>
      </c>
      <c r="M647" s="138">
        <f>+'TX-HPL-GL '!O82</f>
        <v>578.01760000000002</v>
      </c>
      <c r="N647" s="137">
        <f>+'TX-HPL-GL '!P82</f>
        <v>0</v>
      </c>
      <c r="O647" s="137">
        <f>+'TX-HPL-GL '!Q82</f>
        <v>-9722.0007999999998</v>
      </c>
      <c r="P647" s="137">
        <f>+'TX-HPL-GL '!R82</f>
        <v>0</v>
      </c>
      <c r="Q647" s="138">
        <f>+'TX-HPL-GL '!S82</f>
        <v>-17498.202000000008</v>
      </c>
      <c r="R647" s="137">
        <f>+'TX-HPL-GL '!T82</f>
        <v>0</v>
      </c>
      <c r="S647" s="137">
        <f>+'TX-HPL-GL '!U82</f>
        <v>1001.712</v>
      </c>
      <c r="T647" s="137">
        <f>+'TX-HPL-GL '!V82</f>
        <v>0</v>
      </c>
      <c r="U647" s="138">
        <f>+'TX-HPL-GL '!W82</f>
        <v>0.64800000000000002</v>
      </c>
      <c r="V647" s="137">
        <f>+'TX-HPL-GL '!X82</f>
        <v>0</v>
      </c>
      <c r="W647" s="137">
        <f>+'TX-HPL-GL '!Y82</f>
        <v>0</v>
      </c>
      <c r="X647" s="137">
        <f>+'TX-HPL-GL '!Z82</f>
        <v>0</v>
      </c>
      <c r="Y647" s="137">
        <f>+'TX-HPL-GL '!AA82</f>
        <v>0</v>
      </c>
      <c r="Z647" s="137">
        <f>+'TX-HPL-GL '!AB82</f>
        <v>0</v>
      </c>
      <c r="AA647" s="138">
        <f>+'TX-HPL-GL '!AC82</f>
        <v>-1975.2986000000019</v>
      </c>
      <c r="AB647" s="137">
        <f>+'TX-HPL-GL '!AD82</f>
        <v>0</v>
      </c>
      <c r="AC647" s="139">
        <f>+'TX-HPL-GL '!AE82</f>
        <v>0</v>
      </c>
      <c r="AD647" s="14"/>
      <c r="AE647" s="14"/>
    </row>
    <row r="648" spans="4:31" x14ac:dyDescent="0.2">
      <c r="D648" s="135" t="s">
        <v>157</v>
      </c>
      <c r="E648" s="136"/>
      <c r="F648" s="137">
        <f>+'TX-CON-GL '!H82</f>
        <v>0</v>
      </c>
      <c r="G648" s="164">
        <f>+'TX-CON-GL '!I82</f>
        <v>4844944.1959999744</v>
      </c>
      <c r="H648" s="137">
        <f>+'TX-CON-GL '!J82</f>
        <v>0</v>
      </c>
      <c r="I648" s="164">
        <f>+'TX-CON-GL '!K82</f>
        <v>-570559.97960000159</v>
      </c>
      <c r="J648" s="137">
        <f>+'TX-CON-GL '!L82</f>
        <v>0</v>
      </c>
      <c r="K648" s="137">
        <f>+'TX-CON-GL '!M82</f>
        <v>1540793.5896000001</v>
      </c>
      <c r="L648" s="137">
        <f>+'TX-CON-GL '!N82</f>
        <v>0</v>
      </c>
      <c r="M648" s="138">
        <f>+'TX-CON-GL '!O82</f>
        <v>-1940601.0584000004</v>
      </c>
      <c r="N648" s="137">
        <f>+'TX-CON-GL '!P82</f>
        <v>0</v>
      </c>
      <c r="O648" s="137">
        <f>+'TX-CON-GL '!Q82</f>
        <v>94060.227200000038</v>
      </c>
      <c r="P648" s="137">
        <f>+'TX-CON-GL '!R82</f>
        <v>0</v>
      </c>
      <c r="Q648" s="138">
        <f>+'TX-CON-GL '!S82</f>
        <v>334285.54000000004</v>
      </c>
      <c r="R648" s="137">
        <f>+'TX-CON-GL '!T82</f>
        <v>0</v>
      </c>
      <c r="S648" s="137">
        <f>+'TX-CON-GL '!U82</f>
        <v>84865.32799999998</v>
      </c>
      <c r="T648" s="137">
        <f>+'TX-CON-GL '!V82</f>
        <v>0</v>
      </c>
      <c r="U648" s="138">
        <f>+'TX-CON-GL '!W82</f>
        <v>-28642.88600000002</v>
      </c>
      <c r="V648" s="137">
        <f>+'TX-CON-GL '!X82</f>
        <v>0</v>
      </c>
      <c r="W648" s="137">
        <f>+'TX-CON-GL '!Y82</f>
        <v>53228.394000000073</v>
      </c>
      <c r="X648" s="137">
        <f>+'TX-CON-GL '!Z82</f>
        <v>0</v>
      </c>
      <c r="Y648" s="137">
        <f>+'TX-CON-GL '!AA82</f>
        <v>-13007.918000000032</v>
      </c>
      <c r="Z648" s="137">
        <f>+'TX-CON-GL '!AB82</f>
        <v>0</v>
      </c>
      <c r="AA648" s="138">
        <f>+'TX-CON-GL '!AC82</f>
        <v>-899.89459999997234</v>
      </c>
      <c r="AB648" s="137">
        <f>+'TX-CON-GL '!AD82</f>
        <v>0</v>
      </c>
      <c r="AC648" s="139">
        <f>+'TX-CON-GL '!AE82</f>
        <v>13614.343999999983</v>
      </c>
      <c r="AD648" s="14"/>
      <c r="AE648" s="14"/>
    </row>
    <row r="649" spans="4:31" x14ac:dyDescent="0.2">
      <c r="D649" s="135" t="s">
        <v>146</v>
      </c>
      <c r="E649" s="136"/>
      <c r="F649" s="137">
        <f>+'WE-GL '!H82</f>
        <v>0</v>
      </c>
      <c r="G649" s="138">
        <f>+'WE-GL '!I82</f>
        <v>406013.06999997795</v>
      </c>
      <c r="H649" s="137">
        <f>+'WE-GL '!J82</f>
        <v>0</v>
      </c>
      <c r="I649" s="138">
        <f>+'WE-GL '!K82</f>
        <v>610970.86</v>
      </c>
      <c r="J649" s="137">
        <f>+'WE-GL '!L82</f>
        <v>0</v>
      </c>
      <c r="K649" s="137">
        <f>+'WE-GL '!M82</f>
        <v>-1278006.0850000002</v>
      </c>
      <c r="L649" s="137">
        <f>+'WE-GL '!N82</f>
        <v>0</v>
      </c>
      <c r="M649" s="138">
        <f>+'WE-GL '!O82</f>
        <v>1249169.5950000002</v>
      </c>
      <c r="N649" s="137">
        <f>+'WE-GL '!P82</f>
        <v>0</v>
      </c>
      <c r="O649" s="137">
        <f>+'WE-GL '!Q82</f>
        <v>-869227.38899999997</v>
      </c>
      <c r="P649" s="137">
        <f>+'WE-GL '!R82</f>
        <v>0</v>
      </c>
      <c r="Q649" s="138">
        <f>+'WE-GL '!S82</f>
        <v>568047.65399999998</v>
      </c>
      <c r="R649" s="137">
        <f>+'WE-GL '!T82</f>
        <v>0</v>
      </c>
      <c r="S649" s="137">
        <f>+'WE-GL '!U82</f>
        <v>0</v>
      </c>
      <c r="T649" s="137">
        <f>+'WE-GL '!V82</f>
        <v>0</v>
      </c>
      <c r="U649" s="138">
        <f>+'WE-GL '!W82</f>
        <v>108950.41999999969</v>
      </c>
      <c r="V649" s="137">
        <f>+'WE-GL '!X82</f>
        <v>0</v>
      </c>
      <c r="W649" s="137">
        <f>+'WE-GL '!Y82</f>
        <v>-1021442.03</v>
      </c>
      <c r="X649" s="137">
        <f>+'WE-GL '!Z82</f>
        <v>0</v>
      </c>
      <c r="Y649" s="137">
        <f>+'WE-GL '!AA82</f>
        <v>-4884.99</v>
      </c>
      <c r="Z649" s="137">
        <f>+'WE-GL '!AB82</f>
        <v>0</v>
      </c>
      <c r="AA649" s="138">
        <f>+'WE-GL '!AC82</f>
        <v>-146645.02000000025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">
      <c r="D650" t="s">
        <v>148</v>
      </c>
      <c r="F650" s="140">
        <f>+STG_GL!H82</f>
        <v>0</v>
      </c>
      <c r="G650" s="165">
        <f>+STG_GL!I82</f>
        <v>9226072</v>
      </c>
      <c r="H650" s="140">
        <f>+STG_GL!J82</f>
        <v>0</v>
      </c>
      <c r="I650" s="165">
        <f>+STG_GL!K82</f>
        <v>-25504092</v>
      </c>
      <c r="J650" s="140">
        <f>+STG_GL!L82</f>
        <v>0</v>
      </c>
      <c r="K650" s="140">
        <f>+STG_GL!M82</f>
        <v>0</v>
      </c>
      <c r="L650" s="140">
        <f>+STG_GL!N82</f>
        <v>0</v>
      </c>
      <c r="M650" s="140">
        <f>+STG_GL!O82</f>
        <v>0</v>
      </c>
      <c r="N650" s="140">
        <f>+STG_GL!P82</f>
        <v>0</v>
      </c>
      <c r="O650" s="140">
        <f>+STG_GL!Q82</f>
        <v>0</v>
      </c>
      <c r="P650" s="140">
        <f>+STG_GL!R82</f>
        <v>0</v>
      </c>
      <c r="Q650" s="140">
        <f>+STG_GL!S82</f>
        <v>84126</v>
      </c>
      <c r="R650" s="140">
        <f>+STG_GL!T82</f>
        <v>0</v>
      </c>
      <c r="S650" s="140">
        <f>+STG_GL!U82</f>
        <v>-39976</v>
      </c>
      <c r="T650" s="140">
        <f>+STG_GL!V82</f>
        <v>0</v>
      </c>
      <c r="U650" s="140">
        <f>+STG_GL!W82</f>
        <v>0</v>
      </c>
      <c r="V650" s="140">
        <f>+STG_GL!X82</f>
        <v>0</v>
      </c>
      <c r="W650" s="140">
        <f>+STG_GL!Y82</f>
        <v>-352900</v>
      </c>
      <c r="X650" s="140">
        <f>+STG_GL!Z82</f>
        <v>0</v>
      </c>
      <c r="Y650" s="140">
        <f>+STG_GL!AA82</f>
        <v>0</v>
      </c>
      <c r="Z650" s="140">
        <f>+STG_GL!AB82</f>
        <v>0</v>
      </c>
      <c r="AA650" s="140">
        <f>+STG_GL!AC82</f>
        <v>-96818</v>
      </c>
      <c r="AB650" s="140">
        <f>+STG_GL!AD82</f>
        <v>0</v>
      </c>
      <c r="AC650" s="140">
        <f>+STG_GL!AE82</f>
        <v>625109</v>
      </c>
      <c r="AD650" s="14"/>
      <c r="AE650" s="14"/>
    </row>
    <row r="651" spans="4:31" x14ac:dyDescent="0.2">
      <c r="D651" t="s">
        <v>168</v>
      </c>
      <c r="F651" s="140">
        <f>+'ONT_GL '!H82</f>
        <v>0</v>
      </c>
      <c r="G651" s="169">
        <f>+'ONT_GL '!I82</f>
        <v>-423520</v>
      </c>
      <c r="H651" s="140">
        <f>+'ONT_GL '!J82</f>
        <v>0</v>
      </c>
      <c r="I651" s="169">
        <f>+'ONT_GL '!K82</f>
        <v>-65488</v>
      </c>
      <c r="J651" s="140">
        <f>+'ONT_GL '!L82</f>
        <v>0</v>
      </c>
      <c r="K651" s="140">
        <f>+'ONT_GL '!M82</f>
        <v>584074</v>
      </c>
      <c r="L651" s="140">
        <f>+'ONT_GL '!N82</f>
        <v>0</v>
      </c>
      <c r="M651" s="140">
        <f>+'ONT_GL '!O82</f>
        <v>-45161</v>
      </c>
      <c r="N651" s="140">
        <f>+'ONT_GL '!P82</f>
        <v>0</v>
      </c>
      <c r="O651" s="140">
        <f>+'ONT_GL '!Q82</f>
        <v>1268507</v>
      </c>
      <c r="P651" s="140">
        <f>+'ONT_GL '!R82</f>
        <v>0</v>
      </c>
      <c r="Q651" s="169">
        <f>+'ONT_GL '!S82</f>
        <v>-21000</v>
      </c>
      <c r="R651" s="140">
        <f>+'ONT_GL '!T82</f>
        <v>0</v>
      </c>
      <c r="S651" s="140">
        <f>+'ONT_GL '!U82</f>
        <v>0</v>
      </c>
      <c r="T651" s="140">
        <f>+'ONT_GL '!V82</f>
        <v>0</v>
      </c>
      <c r="U651" s="169">
        <f>+'ONT_GL '!W82</f>
        <v>-12795</v>
      </c>
      <c r="V651" s="140">
        <f>+'ONT_GL '!X82</f>
        <v>0</v>
      </c>
      <c r="W651" s="140">
        <f>+'ONT_GL '!Y82</f>
        <v>12794.760000000009</v>
      </c>
      <c r="X651" s="140">
        <f>+'ONT_GL '!Z82</f>
        <v>0</v>
      </c>
      <c r="Y651" s="140">
        <f>+'ONT_GL '!AA82</f>
        <v>0</v>
      </c>
      <c r="Z651" s="140">
        <f>+'ONT_GL '!AB82</f>
        <v>0</v>
      </c>
      <c r="AA651" s="169">
        <f>+'ONT_GL '!AC82</f>
        <v>518988.24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">
      <c r="G652" s="172"/>
    </row>
    <row r="653" spans="4:31" x14ac:dyDescent="0.2">
      <c r="D653" t="s">
        <v>2</v>
      </c>
    </row>
  </sheetData>
  <mergeCells count="28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R73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3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86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197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198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20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0">
        <f t="shared" si="0"/>
        <v>0</v>
      </c>
      <c r="E12" s="163">
        <f t="shared" si="0"/>
        <v>-6666384.8399999999</v>
      </c>
      <c r="F12" s="65"/>
      <c r="G12" s="38">
        <f>-188733.53-4013475.1</f>
        <v>-4202208.63</v>
      </c>
      <c r="H12" s="65">
        <v>0</v>
      </c>
      <c r="I12" s="38">
        <f>-38405.49-1249455.59</f>
        <v>-1287861.08</v>
      </c>
      <c r="J12" s="65"/>
      <c r="K12" s="38">
        <f>14751.38</f>
        <v>14751.38</v>
      </c>
      <c r="L12" s="65"/>
      <c r="M12" s="38">
        <v>0</v>
      </c>
      <c r="N12" s="65"/>
      <c r="O12" s="38">
        <f>870479-4264.21</f>
        <v>866214.79</v>
      </c>
      <c r="P12" s="65"/>
      <c r="Q12" s="38">
        <f>-58139.01+63478.15</f>
        <v>5339.1399999999994</v>
      </c>
      <c r="R12" s="65"/>
      <c r="S12" s="38">
        <f>-125904.97-1517827.38</f>
        <v>-1643732.3499999999</v>
      </c>
      <c r="T12" s="65"/>
      <c r="U12" s="38">
        <v>0</v>
      </c>
      <c r="V12" s="65"/>
      <c r="W12" s="38">
        <v>-418888.09</v>
      </c>
      <c r="X12" s="65"/>
      <c r="Y12" s="38">
        <v>0</v>
      </c>
    </row>
    <row r="13" spans="1:25" x14ac:dyDescent="0.2">
      <c r="A13" s="9">
        <v>3</v>
      </c>
      <c r="B13" s="7"/>
      <c r="C13" s="18" t="s">
        <v>29</v>
      </c>
      <c r="D13" s="60">
        <f t="shared" si="0"/>
        <v>0</v>
      </c>
      <c r="E13" s="20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0">
        <f t="shared" si="0"/>
        <v>0</v>
      </c>
      <c r="E14" s="20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0">
        <f t="shared" si="0"/>
        <v>0</v>
      </c>
      <c r="E15" s="20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Y16" si="1">SUM(D11:D15)</f>
        <v>0</v>
      </c>
      <c r="E16" s="203">
        <f t="shared" si="1"/>
        <v>-6666384.8399999999</v>
      </c>
      <c r="F16" s="61">
        <f t="shared" si="1"/>
        <v>0</v>
      </c>
      <c r="G16" s="39">
        <f t="shared" si="1"/>
        <v>-4202208.63</v>
      </c>
      <c r="H16" s="61">
        <f t="shared" si="1"/>
        <v>0</v>
      </c>
      <c r="I16" s="39">
        <f t="shared" si="1"/>
        <v>-1287861.08</v>
      </c>
      <c r="J16" s="61">
        <f t="shared" si="1"/>
        <v>0</v>
      </c>
      <c r="K16" s="39">
        <f t="shared" si="1"/>
        <v>14751.38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866214.79</v>
      </c>
      <c r="P16" s="61">
        <f t="shared" si="1"/>
        <v>0</v>
      </c>
      <c r="Q16" s="39">
        <f t="shared" si="1"/>
        <v>5339.1399999999994</v>
      </c>
      <c r="R16" s="61">
        <f t="shared" si="1"/>
        <v>0</v>
      </c>
      <c r="S16" s="39">
        <f t="shared" si="1"/>
        <v>-1643732.3499999999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-418888.09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20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0">
        <f t="shared" si="2"/>
        <v>0</v>
      </c>
      <c r="E20" s="163">
        <f t="shared" si="2"/>
        <v>-5797013.5700000003</v>
      </c>
      <c r="F20" s="65"/>
      <c r="G20" s="38">
        <f>128795.03-1003531.84</f>
        <v>-874736.80999999994</v>
      </c>
      <c r="H20" s="65"/>
      <c r="I20" s="38">
        <f>91202.16-3382333.37</f>
        <v>-3291131.21</v>
      </c>
      <c r="J20" s="65"/>
      <c r="K20" s="38">
        <v>2188.84</v>
      </c>
      <c r="L20" s="65"/>
      <c r="M20" s="38">
        <v>0</v>
      </c>
      <c r="N20" s="65"/>
      <c r="O20" s="38">
        <v>-1539812.8</v>
      </c>
      <c r="P20" s="65"/>
      <c r="Q20" s="38">
        <f>1091.14-13613.64</f>
        <v>-12522.5</v>
      </c>
      <c r="R20" s="65"/>
      <c r="S20" s="38">
        <f>58985.07-661658.81</f>
        <v>-602673.74000000011</v>
      </c>
      <c r="T20" s="65"/>
      <c r="U20" s="38">
        <v>0</v>
      </c>
      <c r="V20" s="65"/>
      <c r="W20" s="38">
        <v>521674.65</v>
      </c>
      <c r="X20" s="65"/>
      <c r="Y20" s="38">
        <v>0</v>
      </c>
    </row>
    <row r="21" spans="1:25" x14ac:dyDescent="0.2">
      <c r="A21" s="9">
        <v>8</v>
      </c>
      <c r="B21" s="7"/>
      <c r="C21" s="18" t="s">
        <v>29</v>
      </c>
      <c r="D21" s="60">
        <f t="shared" si="2"/>
        <v>0</v>
      </c>
      <c r="E21" s="20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0">
        <f t="shared" si="2"/>
        <v>0</v>
      </c>
      <c r="E22" s="20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0">
        <f t="shared" si="2"/>
        <v>0</v>
      </c>
      <c r="E23" s="20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Y24" si="3">SUM(D19:D23)</f>
        <v>0</v>
      </c>
      <c r="E24" s="203">
        <f t="shared" si="3"/>
        <v>-5797013.5700000003</v>
      </c>
      <c r="F24" s="61">
        <f t="shared" si="3"/>
        <v>0</v>
      </c>
      <c r="G24" s="39">
        <f t="shared" si="3"/>
        <v>-874736.80999999994</v>
      </c>
      <c r="H24" s="61">
        <f t="shared" si="3"/>
        <v>0</v>
      </c>
      <c r="I24" s="39">
        <f t="shared" si="3"/>
        <v>-3291131.21</v>
      </c>
      <c r="J24" s="61">
        <f t="shared" si="3"/>
        <v>0</v>
      </c>
      <c r="K24" s="39">
        <f t="shared" si="3"/>
        <v>2188.84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-1539812.8</v>
      </c>
      <c r="P24" s="61">
        <f t="shared" si="3"/>
        <v>0</v>
      </c>
      <c r="Q24" s="39">
        <f t="shared" si="3"/>
        <v>-12522.5</v>
      </c>
      <c r="R24" s="61">
        <f t="shared" si="3"/>
        <v>0</v>
      </c>
      <c r="S24" s="39">
        <f t="shared" si="3"/>
        <v>-602673.74000000011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521674.65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0">
        <f>F27+H27+J27+L27+N27+P27+R27+T27+V27+X27</f>
        <v>0</v>
      </c>
      <c r="E27" s="200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0">
        <f>F28+H28+J28+L28+N28+P28+R28+T28+V28+X28</f>
        <v>0</v>
      </c>
      <c r="E28" s="200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Y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20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0">
        <f t="shared" si="5"/>
        <v>0</v>
      </c>
      <c r="E33" s="20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0">
        <f t="shared" si="5"/>
        <v>0</v>
      </c>
      <c r="E34" s="20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0">
        <f t="shared" si="5"/>
        <v>0</v>
      </c>
      <c r="E35" s="20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15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20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0">
        <f t="shared" si="7"/>
        <v>0</v>
      </c>
      <c r="E40" s="20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0">
        <f t="shared" si="7"/>
        <v>0</v>
      </c>
      <c r="E41" s="20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50</v>
      </c>
      <c r="D42" s="61">
        <f t="shared" ref="D42:Y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Y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0">
        <f>F45+H45+J45+L45+N45+P45+R45+T45+V45+X45</f>
        <v>0</v>
      </c>
      <c r="E45" s="200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0">
        <f>F47+H47+J47+L47+N47+P47+R47+T47+V47+X47</f>
        <v>0</v>
      </c>
      <c r="E47" s="200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0">
        <f>F49+H49+J49+L49+N49+P49+R49+T49+V49+X49</f>
        <v>0</v>
      </c>
      <c r="E49" s="200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0">
        <f>F51+H51+J51+L51+N51+P51+R51+T51+V51+X51</f>
        <v>0</v>
      </c>
      <c r="E51" s="200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0">
        <f>F54+H54+J54+L54+N54+P54+R54+T54+V54+X54</f>
        <v>0</v>
      </c>
      <c r="E54" s="200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0">
        <f>F55+H55+J55+L55+N55+P55+R55+T55+V55+X55</f>
        <v>0</v>
      </c>
      <c r="E55" s="206">
        <f>G55+I55+K55+M55+O55+Q55+S55+U55+W55+Y55</f>
        <v>-992568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-992568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59</v>
      </c>
      <c r="C56" s="6"/>
      <c r="D56" s="61">
        <f t="shared" ref="D56:Y56" si="10">SUM(D54:D55)</f>
        <v>0</v>
      </c>
      <c r="E56" s="150">
        <f t="shared" si="10"/>
        <v>-992568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-992568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0">
        <f>F59+H59+J59+L59+N59+P59+R59+T59+V59+X59</f>
        <v>0</v>
      </c>
      <c r="E59" s="200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62</v>
      </c>
      <c r="D60" s="60">
        <f>F60+H60+J60+L60+N60+P60+R60+T60+V60+X60</f>
        <v>0</v>
      </c>
      <c r="E60" s="200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Y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0">
        <f>F64+H64+J64+L64+N64+P64+R64+T64+V64+X64</f>
        <v>0</v>
      </c>
      <c r="E64" s="200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0">
        <f>F65+H65+J65+L65+N65+P65+R65+T65+V65+X65</f>
        <v>0</v>
      </c>
      <c r="E65" s="200">
        <f>G65+I65+K65+M65+O65+Q65+S65+U65+W65+Y65</f>
        <v>718772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-190641</v>
      </c>
      <c r="R65" s="60"/>
      <c r="S65" s="38">
        <f>869413+40000</f>
        <v>909413</v>
      </c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Y66" si="12">SUM(D64:D65)</f>
        <v>0</v>
      </c>
      <c r="E66" s="150">
        <f t="shared" si="12"/>
        <v>718772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-190641</v>
      </c>
      <c r="R66" s="61">
        <f t="shared" si="12"/>
        <v>0</v>
      </c>
      <c r="S66" s="39">
        <f t="shared" si="12"/>
        <v>909413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0">
        <f>F70+H70+J70+L70+N70+P70+R70+T70+V70+X70</f>
        <v>0</v>
      </c>
      <c r="E70" s="163">
        <f>G70+I70+K70+M70+O70+Q70+S70+U70+W70+Y70</f>
        <v>23619571.010000002</v>
      </c>
      <c r="F70" s="60"/>
      <c r="G70" s="38">
        <v>1086087</v>
      </c>
      <c r="H70" s="60"/>
      <c r="I70" s="38">
        <v>2849705.85</v>
      </c>
      <c r="J70" s="60"/>
      <c r="K70" s="38">
        <v>0</v>
      </c>
      <c r="L70" s="60"/>
      <c r="M70" s="38">
        <v>0</v>
      </c>
      <c r="N70" s="60"/>
      <c r="O70" s="38">
        <v>1493640</v>
      </c>
      <c r="P70" s="60"/>
      <c r="Q70" s="38">
        <v>0</v>
      </c>
      <c r="R70" s="60"/>
      <c r="S70" s="38">
        <v>250999.06</v>
      </c>
      <c r="T70" s="60"/>
      <c r="U70" s="38">
        <v>12765894</v>
      </c>
      <c r="V70" s="60"/>
      <c r="W70" s="38">
        <v>-808256.63</v>
      </c>
      <c r="X70" s="60"/>
      <c r="Y70" s="38">
        <v>5981501.7300000004</v>
      </c>
    </row>
    <row r="71" spans="1:25" x14ac:dyDescent="0.2">
      <c r="A71" s="9">
        <v>31</v>
      </c>
      <c r="B71" s="3"/>
      <c r="C71" s="10" t="s">
        <v>70</v>
      </c>
      <c r="D71" s="60">
        <f>F71+H71+J71+L71+N71+P71+R71+T71+V71+X71</f>
        <v>0</v>
      </c>
      <c r="E71" s="163">
        <f>G71+I71+K71+M71+O71+Q71+S71+U71+W71+Y71</f>
        <v>-10431488.15</v>
      </c>
      <c r="F71" s="60"/>
      <c r="G71" s="38">
        <v>-1513816.64</v>
      </c>
      <c r="H71" s="60"/>
      <c r="I71" s="38">
        <v>196194.06</v>
      </c>
      <c r="J71" s="60"/>
      <c r="K71" s="38">
        <v>0</v>
      </c>
      <c r="L71" s="60"/>
      <c r="M71" s="38">
        <v>0</v>
      </c>
      <c r="N71" s="60"/>
      <c r="O71" s="38">
        <v>-709561.76</v>
      </c>
      <c r="P71" s="60"/>
      <c r="Q71" s="38">
        <v>0</v>
      </c>
      <c r="R71" s="60"/>
      <c r="S71" s="38">
        <v>-1054678.81</v>
      </c>
      <c r="T71" s="60"/>
      <c r="U71" s="38">
        <v>0</v>
      </c>
      <c r="V71" s="60"/>
      <c r="W71" s="38">
        <v>420951</v>
      </c>
      <c r="X71" s="60"/>
      <c r="Y71" s="38">
        <v>-7770576</v>
      </c>
    </row>
    <row r="72" spans="1:25" x14ac:dyDescent="0.2">
      <c r="A72" s="9"/>
      <c r="B72" s="3"/>
      <c r="C72" s="55" t="s">
        <v>71</v>
      </c>
      <c r="D72" s="61">
        <f t="shared" ref="D72:Y72" si="13">SUM(D70:D71)</f>
        <v>0</v>
      </c>
      <c r="E72" s="203">
        <f t="shared" si="13"/>
        <v>13188082.860000001</v>
      </c>
      <c r="F72" s="61">
        <f t="shared" si="13"/>
        <v>0</v>
      </c>
      <c r="G72" s="39">
        <f t="shared" si="13"/>
        <v>-427729.6399999999</v>
      </c>
      <c r="H72" s="61">
        <f t="shared" si="13"/>
        <v>0</v>
      </c>
      <c r="I72" s="39">
        <f t="shared" si="13"/>
        <v>3045899.91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784078.24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-803679.75</v>
      </c>
      <c r="T72" s="61">
        <f t="shared" si="13"/>
        <v>0</v>
      </c>
      <c r="U72" s="39">
        <f t="shared" si="13"/>
        <v>12765894</v>
      </c>
      <c r="V72" s="61">
        <f t="shared" si="13"/>
        <v>0</v>
      </c>
      <c r="W72" s="39">
        <f t="shared" si="13"/>
        <v>-387305.63</v>
      </c>
      <c r="X72" s="61">
        <f t="shared" si="13"/>
        <v>0</v>
      </c>
      <c r="Y72" s="39">
        <f t="shared" si="13"/>
        <v>-1789074.2699999996</v>
      </c>
    </row>
    <row r="73" spans="1:25" x14ac:dyDescent="0.2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200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0">
        <f t="shared" si="14"/>
        <v>0</v>
      </c>
      <c r="E74" s="163">
        <f t="shared" si="15"/>
        <v>2352883.48</v>
      </c>
      <c r="F74" s="65"/>
      <c r="G74" s="66">
        <v>555818</v>
      </c>
      <c r="H74" s="65"/>
      <c r="I74" s="66">
        <f>-922316-12621</f>
        <v>-934937</v>
      </c>
      <c r="J74" s="65"/>
      <c r="K74" s="66">
        <v>0</v>
      </c>
      <c r="L74" s="65"/>
      <c r="M74" s="66">
        <v>0</v>
      </c>
      <c r="N74" s="65"/>
      <c r="O74" s="66">
        <v>548223</v>
      </c>
      <c r="P74" s="65"/>
      <c r="Q74" s="66">
        <v>0</v>
      </c>
      <c r="R74" s="65"/>
      <c r="S74" s="66">
        <v>-748583</v>
      </c>
      <c r="T74" s="65"/>
      <c r="U74" s="66">
        <v>496770</v>
      </c>
      <c r="V74" s="65"/>
      <c r="W74" s="66">
        <f>52270+8794.48</f>
        <v>61064.479999999996</v>
      </c>
      <c r="X74" s="65"/>
      <c r="Y74" s="66">
        <v>2374528</v>
      </c>
    </row>
    <row r="75" spans="1:25" x14ac:dyDescent="0.2">
      <c r="A75" s="9">
        <v>34</v>
      </c>
      <c r="B75" s="3"/>
      <c r="C75" s="10" t="s">
        <v>74</v>
      </c>
      <c r="D75" s="60">
        <f t="shared" si="14"/>
        <v>0</v>
      </c>
      <c r="E75" s="163">
        <f t="shared" si="15"/>
        <v>966600</v>
      </c>
      <c r="F75" s="65"/>
      <c r="G75" s="38">
        <v>106300</v>
      </c>
      <c r="H75" s="65"/>
      <c r="I75" s="38">
        <v>667700</v>
      </c>
      <c r="J75" s="65"/>
      <c r="K75" s="38">
        <v>0</v>
      </c>
      <c r="L75" s="65"/>
      <c r="M75" s="38">
        <v>0</v>
      </c>
      <c r="N75" s="65"/>
      <c r="O75" s="38">
        <v>111300</v>
      </c>
      <c r="P75" s="65"/>
      <c r="Q75" s="38"/>
      <c r="R75" s="65"/>
      <c r="S75" s="38">
        <v>81300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75</v>
      </c>
      <c r="D76" s="60">
        <f t="shared" si="14"/>
        <v>0</v>
      </c>
      <c r="E76" s="163">
        <f t="shared" si="15"/>
        <v>-5660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-5660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0">
        <f t="shared" si="14"/>
        <v>0</v>
      </c>
      <c r="E77" s="163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77</v>
      </c>
      <c r="D78" s="60">
        <f t="shared" si="14"/>
        <v>0</v>
      </c>
      <c r="E78" s="20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0">
        <f t="shared" si="14"/>
        <v>0</v>
      </c>
      <c r="E79" s="20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0">
        <f t="shared" si="14"/>
        <v>0</v>
      </c>
      <c r="E80" s="20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0">
        <f t="shared" si="14"/>
        <v>0</v>
      </c>
      <c r="E81" s="206">
        <f t="shared" si="15"/>
        <v>-551915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-551915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178</v>
      </c>
      <c r="D82" s="92">
        <f>D16+D24+D29+D36+D43+D45+D47+D49</f>
        <v>0</v>
      </c>
      <c r="E82" s="112">
        <f>SUM(E72:E81)+E16+E24+E29+E36+E43+E45+E47+E49+E51+E56+E61+E66</f>
        <v>-721012.06999999844</v>
      </c>
      <c r="F82" s="92">
        <f>F16+F24+F29+F36+F43+F45+F47+F49</f>
        <v>0</v>
      </c>
      <c r="G82" s="93">
        <f>SUM(G72:G81)+G16+G24+G29+G36+G43+G45+G47+G49+G51+G56+G61+G66</f>
        <v>-4842557.0799999991</v>
      </c>
      <c r="H82" s="92">
        <f>H16+H24+H29+H36+H43+H45+H47+H49</f>
        <v>0</v>
      </c>
      <c r="I82" s="93">
        <f>SUM(I72:I81)+I16+I24+I29+I36+I43+I45+I47+I49+I51+I56+I61+I66</f>
        <v>-4837138.38</v>
      </c>
      <c r="J82" s="92">
        <f>J16+J24+J29+J36+J43+J45+J47+J49</f>
        <v>0</v>
      </c>
      <c r="K82" s="93">
        <f>SUM(K72:K81)+K16+K24+K29+K36+K43+K45+K47+K49+K51+K56+K61+K66</f>
        <v>16940.22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770003.23000000021</v>
      </c>
      <c r="P82" s="92">
        <f>P16+P24+P29+P36+P43+P45+P47+P49</f>
        <v>0</v>
      </c>
      <c r="Q82" s="93">
        <f>SUM(Q72:Q81)+Q16+Q24+Q29+Q36+Q43+Q45+Q47+Q49+Q51+Q56+Q61+Q66</f>
        <v>-1190392.3599999999</v>
      </c>
      <c r="R82" s="92">
        <f>R16+R24+R29+R36+R43+R45+R47+R49</f>
        <v>0</v>
      </c>
      <c r="S82" s="93">
        <f>SUM(S72:S81)+S16+S24+S29+S36+S43+S45+S47+S49+S51+S56+S61+S66</f>
        <v>-2807955.84</v>
      </c>
      <c r="T82" s="92">
        <f>T16+T24+T29+T36+T43+T45+T47+T49</f>
        <v>0</v>
      </c>
      <c r="U82" s="93">
        <f>SUM(U72:U81)+U16+U24+U29+U36+U43+U45+U47+U49+U51+U56+U61+U66</f>
        <v>11808089</v>
      </c>
      <c r="V82" s="92">
        <f>V16+V24+V29+V36+V43+V45+V47+V49</f>
        <v>0</v>
      </c>
      <c r="W82" s="93">
        <f>SUM(W72:W81)+W16+W24+W29+W36+W43+W45+W47+W49+W51+W56+W61+W66</f>
        <v>-223454.58999999997</v>
      </c>
      <c r="X82" s="92">
        <f>X16+X24+X29+X36+X43+X45+X47+X49</f>
        <v>0</v>
      </c>
      <c r="Y82" s="93">
        <f>SUM(Y72:Y81)+Y16+Y24+Y29+Y36+Y43+Y45+Y47+Y49+Y51+Y56+Y61+Y66</f>
        <v>585453.73000000045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175</v>
      </c>
      <c r="B85" s="3"/>
      <c r="F85" s="31"/>
      <c r="G85" s="31"/>
      <c r="H85" s="31"/>
      <c r="I85" s="31"/>
      <c r="L85" s="45"/>
    </row>
    <row r="86" spans="1:26" s="3" customFormat="1" x14ac:dyDescent="0.2">
      <c r="A86" s="174"/>
      <c r="C86" s="10" t="s">
        <v>176</v>
      </c>
      <c r="D86" s="175">
        <f>F86+H86+J86+L86+N86+P86+R86+T86+V86+X86</f>
        <v>0</v>
      </c>
      <c r="E86" s="204">
        <f>G86+I86+K86+M86+O86+Q86+S86+U86+W86+Y86</f>
        <v>547152.39</v>
      </c>
      <c r="F86" s="175"/>
      <c r="G86" s="175"/>
      <c r="H86" s="175"/>
      <c r="I86" s="175">
        <v>812.96</v>
      </c>
      <c r="J86" s="175"/>
      <c r="K86" s="175"/>
      <c r="L86" s="175"/>
      <c r="M86" s="175"/>
      <c r="N86" s="175"/>
      <c r="O86" s="175"/>
      <c r="P86" s="175"/>
      <c r="Q86" s="175"/>
      <c r="R86" s="175"/>
      <c r="S86" s="175">
        <v>69330.429999999993</v>
      </c>
      <c r="T86" s="175"/>
      <c r="U86" s="175"/>
      <c r="V86" s="175"/>
      <c r="W86" s="175">
        <f>89703.37-W72</f>
        <v>477009</v>
      </c>
      <c r="X86" s="175"/>
      <c r="Y86" s="175"/>
    </row>
    <row r="87" spans="1:26" s="3" customFormat="1" x14ac:dyDescent="0.2">
      <c r="A87" s="174"/>
      <c r="C87" s="10" t="s">
        <v>73</v>
      </c>
      <c r="D87" s="176">
        <v>0</v>
      </c>
      <c r="E87" s="201">
        <f>G87+I87+K87+M87+O87+Q87+S87+U87+W87+Y87</f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f>U87+W87+Y87+AA87+AC87+AE87+AG87+AI87+AK87+AM87</f>
        <v>0</v>
      </c>
      <c r="T87" s="176">
        <f>V87+X87+Z87+AB87+AD87+AF87+AH87+AJ87+AL87+AN87</f>
        <v>0</v>
      </c>
      <c r="U87" s="176"/>
      <c r="V87" s="176"/>
      <c r="W87" s="176"/>
      <c r="X87" s="176"/>
      <c r="Y87" s="176"/>
    </row>
    <row r="88" spans="1:26" s="3" customFormat="1" x14ac:dyDescent="0.2">
      <c r="A88" s="174"/>
      <c r="C88" s="10" t="s">
        <v>74</v>
      </c>
      <c r="D88" s="177">
        <v>0</v>
      </c>
      <c r="E88" s="202">
        <f>G88+I88+K88+M88+O88+Q88+S88+U88+W88+Y88</f>
        <v>-35600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-35600</v>
      </c>
      <c r="T88" s="177">
        <f>V88+X88+Z88+AB88+AD88+AF88+AH88+AJ88+AL88+AN88</f>
        <v>0</v>
      </c>
      <c r="U88" s="177"/>
      <c r="V88" s="177"/>
      <c r="W88" s="177"/>
      <c r="X88" s="177"/>
      <c r="Y88" s="177"/>
    </row>
    <row r="89" spans="1:26" s="145" customFormat="1" ht="20.25" customHeight="1" x14ac:dyDescent="0.2">
      <c r="A89" s="188"/>
      <c r="B89" s="189"/>
      <c r="C89" s="191" t="s">
        <v>184</v>
      </c>
      <c r="D89" s="190">
        <f>SUM(D86:D88)</f>
        <v>0</v>
      </c>
      <c r="E89" s="190">
        <f t="shared" ref="E89:M89" si="16">SUM(E86:E88)</f>
        <v>511552.39</v>
      </c>
      <c r="F89" s="190">
        <f t="shared" si="16"/>
        <v>0</v>
      </c>
      <c r="G89" s="190">
        <f t="shared" si="16"/>
        <v>0</v>
      </c>
      <c r="H89" s="190">
        <f t="shared" si="16"/>
        <v>0</v>
      </c>
      <c r="I89" s="190">
        <f t="shared" si="16"/>
        <v>812.96</v>
      </c>
      <c r="J89" s="190">
        <f t="shared" si="16"/>
        <v>0</v>
      </c>
      <c r="K89" s="190">
        <f t="shared" si="16"/>
        <v>0</v>
      </c>
      <c r="L89" s="190">
        <f t="shared" si="16"/>
        <v>0</v>
      </c>
      <c r="M89" s="190">
        <f t="shared" si="16"/>
        <v>0</v>
      </c>
      <c r="N89" s="190">
        <f t="shared" ref="N89:Y89" si="17">SUM(N86:N88)</f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33730.429999999993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477009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F90" s="31"/>
      <c r="G90" s="31"/>
      <c r="H90" s="31"/>
      <c r="I90" s="31"/>
    </row>
    <row r="91" spans="1:26" s="145" customFormat="1" ht="20.25" customHeight="1" x14ac:dyDescent="0.2">
      <c r="A91" s="188"/>
      <c r="B91" s="189"/>
      <c r="C91" s="187" t="s">
        <v>185</v>
      </c>
      <c r="D91" s="190">
        <f>+D82+D89</f>
        <v>0</v>
      </c>
      <c r="E91" s="190">
        <f t="shared" ref="E91:M91" si="18">+E82+E89</f>
        <v>-209459.67999999842</v>
      </c>
      <c r="F91" s="190">
        <f t="shared" si="18"/>
        <v>0</v>
      </c>
      <c r="G91" s="190">
        <f t="shared" si="18"/>
        <v>-4842557.0799999991</v>
      </c>
      <c r="H91" s="190">
        <f t="shared" si="18"/>
        <v>0</v>
      </c>
      <c r="I91" s="190">
        <f t="shared" si="18"/>
        <v>-4836325.42</v>
      </c>
      <c r="J91" s="190">
        <f t="shared" si="18"/>
        <v>0</v>
      </c>
      <c r="K91" s="190">
        <f t="shared" si="18"/>
        <v>16940.22</v>
      </c>
      <c r="L91" s="190">
        <f t="shared" si="18"/>
        <v>0</v>
      </c>
      <c r="M91" s="190">
        <f t="shared" si="18"/>
        <v>0</v>
      </c>
      <c r="N91" s="190">
        <f t="shared" ref="N91:Y91" si="19">+N82+N89</f>
        <v>0</v>
      </c>
      <c r="O91" s="190">
        <f t="shared" si="19"/>
        <v>770003.23000000021</v>
      </c>
      <c r="P91" s="190">
        <f t="shared" si="19"/>
        <v>0</v>
      </c>
      <c r="Q91" s="190">
        <f t="shared" si="19"/>
        <v>-1190392.3599999999</v>
      </c>
      <c r="R91" s="190">
        <f t="shared" si="19"/>
        <v>0</v>
      </c>
      <c r="S91" s="190">
        <f t="shared" si="19"/>
        <v>-2774225.4099999997</v>
      </c>
      <c r="T91" s="190">
        <f t="shared" si="19"/>
        <v>0</v>
      </c>
      <c r="U91" s="190">
        <f t="shared" si="19"/>
        <v>11808089</v>
      </c>
      <c r="V91" s="190">
        <f t="shared" si="19"/>
        <v>0</v>
      </c>
      <c r="W91" s="190">
        <f t="shared" si="19"/>
        <v>253554.41000000003</v>
      </c>
      <c r="X91" s="190">
        <f t="shared" si="19"/>
        <v>0</v>
      </c>
      <c r="Y91" s="190">
        <f t="shared" si="19"/>
        <v>585453.73000000045</v>
      </c>
    </row>
    <row r="92" spans="1:26" x14ac:dyDescent="0.2">
      <c r="A92" s="4"/>
      <c r="B92" s="3"/>
      <c r="D92" s="31">
        <v>0</v>
      </c>
      <c r="E92" s="193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93">
        <f>+E12+E20+E74</f>
        <v>-10110514.93</v>
      </c>
      <c r="G94" s="193">
        <f>+G12+G20+G74</f>
        <v>-4521127.4399999995</v>
      </c>
      <c r="I94" s="193">
        <f>+I12+I20+I74</f>
        <v>-5513929.29</v>
      </c>
      <c r="K94" s="193">
        <f>+K12+K20+K74</f>
        <v>16940.22</v>
      </c>
      <c r="M94" s="193">
        <f>+M12+M20+M74</f>
        <v>0</v>
      </c>
      <c r="O94" s="193">
        <f>+O12+O20+O74</f>
        <v>-125375.01000000001</v>
      </c>
      <c r="Q94" s="193">
        <f>+Q12+Q20+Q74</f>
        <v>-7183.3600000000006</v>
      </c>
      <c r="S94" s="193">
        <f>+S12+S20+S74</f>
        <v>-2994989.09</v>
      </c>
      <c r="U94" s="193">
        <f>+U12+U20+U74</f>
        <v>496770</v>
      </c>
      <c r="W94" s="193">
        <f>+W12+W20+W74</f>
        <v>163851.03999999998</v>
      </c>
      <c r="Y94" s="193">
        <f>+Y12+Y20+Y74</f>
        <v>2374528</v>
      </c>
    </row>
    <row r="95" spans="1:26" x14ac:dyDescent="0.2">
      <c r="A95" s="4"/>
      <c r="B95" s="3"/>
      <c r="E95" s="193">
        <v>-10110515</v>
      </c>
    </row>
    <row r="96" spans="1:26" x14ac:dyDescent="0.2">
      <c r="A96" s="4"/>
      <c r="B96" s="3"/>
      <c r="E96" s="193">
        <f>+E94-E95</f>
        <v>7.0000000298023224E-2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E5" sqref="E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4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46055997</v>
      </c>
      <c r="E11" s="65">
        <v>105225079</v>
      </c>
      <c r="F11" s="60">
        <f>H11-D11</f>
        <v>0</v>
      </c>
      <c r="G11" s="37">
        <f>I11-E11</f>
        <v>0</v>
      </c>
      <c r="H11" s="65">
        <f t="shared" ref="H11:I15" si="0">D11</f>
        <v>46055997</v>
      </c>
      <c r="I11" s="66">
        <f t="shared" si="0"/>
        <v>105225079</v>
      </c>
      <c r="J11" s="37"/>
      <c r="K11" s="38"/>
      <c r="L11" s="60">
        <f t="shared" ref="L11:M15" si="1">H11+J11</f>
        <v>46055997</v>
      </c>
      <c r="M11" s="38">
        <f t="shared" si="1"/>
        <v>105225079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29</v>
      </c>
      <c r="D13" s="65">
        <v>20240342</v>
      </c>
      <c r="E13" s="65">
        <v>46092175</v>
      </c>
      <c r="F13" s="60">
        <f t="shared" si="2"/>
        <v>0</v>
      </c>
      <c r="G13" s="37">
        <f t="shared" si="2"/>
        <v>0</v>
      </c>
      <c r="H13" s="65">
        <f t="shared" si="0"/>
        <v>20240342</v>
      </c>
      <c r="I13" s="66">
        <f t="shared" si="0"/>
        <v>46092175</v>
      </c>
      <c r="J13" s="37"/>
      <c r="K13" s="38"/>
      <c r="L13" s="60">
        <f t="shared" si="1"/>
        <v>20240342</v>
      </c>
      <c r="M13" s="38">
        <f t="shared" si="1"/>
        <v>46092175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32</v>
      </c>
      <c r="C16" s="6"/>
      <c r="D16" s="61">
        <v>66296339</v>
      </c>
      <c r="E16" s="39">
        <v>151317254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66296339</v>
      </c>
      <c r="I16" s="39">
        <f>SUM(I11:I15)</f>
        <v>151317254</v>
      </c>
      <c r="J16" s="153">
        <f t="shared" si="3"/>
        <v>0</v>
      </c>
      <c r="K16" s="39">
        <f t="shared" si="3"/>
        <v>0</v>
      </c>
      <c r="L16" s="61">
        <f t="shared" si="3"/>
        <v>66296339</v>
      </c>
      <c r="M16" s="39">
        <f t="shared" si="3"/>
        <v>151317254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-39778827</v>
      </c>
      <c r="E19" s="65">
        <v>-89690039</v>
      </c>
      <c r="F19" s="60">
        <f>H19-D19</f>
        <v>0</v>
      </c>
      <c r="G19" s="37">
        <f>I19-E19</f>
        <v>0</v>
      </c>
      <c r="H19" s="65">
        <f t="shared" si="4"/>
        <v>-39778827</v>
      </c>
      <c r="I19" s="66">
        <f t="shared" si="4"/>
        <v>-89690039</v>
      </c>
      <c r="J19" s="37">
        <v>0</v>
      </c>
      <c r="K19" s="38">
        <v>0</v>
      </c>
      <c r="L19" s="60">
        <f t="shared" ref="L19:M23" si="5">H19+J19</f>
        <v>-39778827</v>
      </c>
      <c r="M19" s="38">
        <f t="shared" si="5"/>
        <v>-89690039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-26987857</v>
      </c>
      <c r="E21" s="65">
        <v>-61385107</v>
      </c>
      <c r="F21" s="60">
        <f t="shared" si="6"/>
        <v>0</v>
      </c>
      <c r="G21" s="37">
        <f t="shared" si="6"/>
        <v>0</v>
      </c>
      <c r="H21" s="65">
        <f t="shared" si="4"/>
        <v>-26987857</v>
      </c>
      <c r="I21" s="66">
        <f t="shared" si="4"/>
        <v>-61385107</v>
      </c>
      <c r="J21" s="37"/>
      <c r="K21" s="38"/>
      <c r="L21" s="60">
        <f t="shared" si="5"/>
        <v>-26987857</v>
      </c>
      <c r="M21" s="38">
        <f t="shared" si="5"/>
        <v>-61385107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333756</v>
      </c>
      <c r="E23" s="65">
        <v>726383</v>
      </c>
      <c r="F23" s="60">
        <f t="shared" si="6"/>
        <v>0</v>
      </c>
      <c r="G23" s="37">
        <f t="shared" si="6"/>
        <v>0</v>
      </c>
      <c r="H23" s="65">
        <f t="shared" si="4"/>
        <v>333756</v>
      </c>
      <c r="I23" s="66">
        <f t="shared" si="4"/>
        <v>726383</v>
      </c>
      <c r="J23" s="37"/>
      <c r="K23" s="38"/>
      <c r="L23" s="60">
        <f t="shared" si="5"/>
        <v>333756</v>
      </c>
      <c r="M23" s="38">
        <f t="shared" si="5"/>
        <v>726383</v>
      </c>
    </row>
    <row r="24" spans="1:13" x14ac:dyDescent="0.2">
      <c r="A24" s="9"/>
      <c r="B24" s="7" t="s">
        <v>35</v>
      </c>
      <c r="C24" s="6"/>
      <c r="D24" s="61">
        <v>-66432928</v>
      </c>
      <c r="E24" s="39">
        <v>-150348763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-66432928</v>
      </c>
      <c r="I24" s="39">
        <f>SUM(I19:I23)</f>
        <v>-150348763</v>
      </c>
      <c r="J24" s="153">
        <f t="shared" si="7"/>
        <v>0</v>
      </c>
      <c r="K24" s="39">
        <f t="shared" si="7"/>
        <v>0</v>
      </c>
      <c r="L24" s="61">
        <f t="shared" si="7"/>
        <v>-66432928</v>
      </c>
      <c r="M24" s="39">
        <f t="shared" si="7"/>
        <v>-150348763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2812410</v>
      </c>
      <c r="E32" s="65">
        <v>6475934</v>
      </c>
      <c r="F32" s="60">
        <f>H32-D32</f>
        <v>0</v>
      </c>
      <c r="G32" s="37">
        <f>I32-E32</f>
        <v>0</v>
      </c>
      <c r="H32" s="65">
        <f t="shared" ref="H32:I35" si="9">D32</f>
        <v>2812410</v>
      </c>
      <c r="I32" s="66">
        <f t="shared" si="9"/>
        <v>6475934</v>
      </c>
      <c r="J32" s="37"/>
      <c r="K32" s="38"/>
      <c r="L32" s="60">
        <f t="shared" ref="L32:M35" si="10">H32+J32</f>
        <v>2812410</v>
      </c>
      <c r="M32" s="38">
        <f t="shared" si="10"/>
        <v>6475934</v>
      </c>
    </row>
    <row r="33" spans="1:13" x14ac:dyDescent="0.2">
      <c r="A33" s="9">
        <v>14</v>
      </c>
      <c r="B33" s="7"/>
      <c r="C33" s="18" t="s">
        <v>42</v>
      </c>
      <c r="D33" s="65">
        <v>-2858336</v>
      </c>
      <c r="E33" s="65">
        <v>-6575369</v>
      </c>
      <c r="F33" s="60">
        <f t="shared" ref="F33:G35" si="11">H33-D33</f>
        <v>0</v>
      </c>
      <c r="G33" s="37">
        <f t="shared" si="11"/>
        <v>0</v>
      </c>
      <c r="H33" s="65">
        <f t="shared" si="9"/>
        <v>-2858336</v>
      </c>
      <c r="I33" s="66">
        <f t="shared" si="9"/>
        <v>-6575369</v>
      </c>
      <c r="J33" s="37"/>
      <c r="K33" s="38"/>
      <c r="L33" s="60">
        <f t="shared" si="10"/>
        <v>-2858336</v>
      </c>
      <c r="M33" s="38">
        <f t="shared" si="10"/>
        <v>-6575369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-45926</v>
      </c>
      <c r="E36" s="39">
        <v>-99435</v>
      </c>
      <c r="F36" s="61">
        <f>SUM(F32:F35)</f>
        <v>0</v>
      </c>
      <c r="G36" s="39">
        <f>SUM(G32:G35)</f>
        <v>0</v>
      </c>
      <c r="H36" s="61">
        <f>SUM(H32:H35)</f>
        <v>-45926</v>
      </c>
      <c r="I36" s="39">
        <f>SUM(I32:I35)</f>
        <v>-99435</v>
      </c>
      <c r="J36" s="153">
        <f>SUM(J32:J34)</f>
        <v>0</v>
      </c>
      <c r="K36" s="39">
        <f>SUM(K32:K34)</f>
        <v>0</v>
      </c>
      <c r="L36" s="61">
        <f>SUM(L32:L35)</f>
        <v>-45926</v>
      </c>
      <c r="M36" s="39">
        <f>SUM(M32:M35)</f>
        <v>-99435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182515</v>
      </c>
      <c r="E49" s="65">
        <v>413524.96555999998</v>
      </c>
      <c r="F49" s="60">
        <f>H49-D49</f>
        <v>0</v>
      </c>
      <c r="G49" s="37">
        <f>I49-E49</f>
        <v>0</v>
      </c>
      <c r="H49" s="65">
        <f>D49</f>
        <v>182515</v>
      </c>
      <c r="I49" s="66">
        <f>E49</f>
        <v>413524.96555999998</v>
      </c>
      <c r="J49" s="37"/>
      <c r="K49" s="38"/>
      <c r="L49" s="60">
        <f>H49+J49</f>
        <v>182515</v>
      </c>
      <c r="M49" s="38">
        <f>I49+K49</f>
        <v>413524.96555999998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-333756</v>
      </c>
      <c r="E51" s="65">
        <v>-726383</v>
      </c>
      <c r="F51" s="60">
        <f>H51-D51</f>
        <v>0</v>
      </c>
      <c r="G51" s="37">
        <f>I51-E51</f>
        <v>0</v>
      </c>
      <c r="H51" s="65">
        <f>D51</f>
        <v>-333756</v>
      </c>
      <c r="I51" s="66">
        <f>E51</f>
        <v>-726383</v>
      </c>
      <c r="J51" s="37"/>
      <c r="K51" s="38"/>
      <c r="L51" s="60">
        <f>H51+J51</f>
        <v>-333756</v>
      </c>
      <c r="M51" s="38">
        <f>I51+K51</f>
        <v>-726383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-83193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-83193</v>
      </c>
      <c r="J54" s="37"/>
      <c r="K54" s="38"/>
      <c r="L54" s="60">
        <f>H54+J54</f>
        <v>0</v>
      </c>
      <c r="M54" s="38">
        <f>I54+K54</f>
        <v>-83193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-2261341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-2261341</v>
      </c>
      <c r="J55" s="37"/>
      <c r="K55" s="38"/>
      <c r="L55" s="60">
        <f>H55+J55</f>
        <v>0</v>
      </c>
      <c r="M55" s="38">
        <f>I55+K55</f>
        <v>-2261341</v>
      </c>
    </row>
    <row r="56" spans="1:15" x14ac:dyDescent="0.2">
      <c r="A56" s="9"/>
      <c r="B56" s="7" t="s">
        <v>59</v>
      </c>
      <c r="C56" s="6"/>
      <c r="D56" s="61">
        <v>0</v>
      </c>
      <c r="E56" s="39">
        <v>-2344534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-2344534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-2344534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1086087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1086087</v>
      </c>
      <c r="J70" s="37"/>
      <c r="K70" s="38"/>
      <c r="L70" s="60">
        <f t="shared" si="20"/>
        <v>0</v>
      </c>
      <c r="M70" s="38">
        <f t="shared" si="20"/>
        <v>1086087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-2230799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-2230799</v>
      </c>
      <c r="J71" s="37"/>
      <c r="K71" s="38"/>
      <c r="L71" s="60">
        <f t="shared" si="20"/>
        <v>0</v>
      </c>
      <c r="M71" s="38">
        <f t="shared" si="20"/>
        <v>-2230799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-1144712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-1144712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-1144712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2293654.0588235296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2293654.0588235296</v>
      </c>
      <c r="J74" s="37"/>
      <c r="K74" s="38"/>
      <c r="L74" s="60">
        <f t="shared" si="24"/>
        <v>0</v>
      </c>
      <c r="M74" s="38">
        <f t="shared" si="24"/>
        <v>2293654.0588235296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106310.5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106310.5</v>
      </c>
      <c r="J75" s="37"/>
      <c r="K75" s="38"/>
      <c r="L75" s="60">
        <f t="shared" si="24"/>
        <v>0</v>
      </c>
      <c r="M75" s="38">
        <f t="shared" si="24"/>
        <v>106310.5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-10679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-10679</v>
      </c>
      <c r="J76" s="37"/>
      <c r="K76" s="38"/>
      <c r="L76" s="60">
        <f t="shared" si="24"/>
        <v>0</v>
      </c>
      <c r="M76" s="38">
        <f t="shared" si="24"/>
        <v>-10679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1385895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1385895</v>
      </c>
      <c r="J79" s="37"/>
      <c r="K79" s="38"/>
      <c r="L79" s="60">
        <f t="shared" si="24"/>
        <v>0</v>
      </c>
      <c r="M79" s="38">
        <f t="shared" si="24"/>
        <v>1385895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331813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331813</v>
      </c>
      <c r="J81" s="37"/>
      <c r="K81" s="38"/>
      <c r="L81" s="60">
        <f t="shared" si="24"/>
        <v>0</v>
      </c>
      <c r="M81" s="38">
        <f t="shared" si="24"/>
        <v>331813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1173945.5243835263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1173945.5243835263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1173945.5243835263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9" activePane="bottomRight" state="frozen"/>
      <selection activeCell="A5" sqref="A5"/>
      <selection pane="topRight" activeCell="A5" sqref="A5"/>
      <selection pane="bottomLeft" activeCell="A5" sqref="A5"/>
      <selection pane="bottomRight" activeCell="F84" sqref="F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66050158</v>
      </c>
      <c r="E11" s="38">
        <v>157021800.05000001</v>
      </c>
      <c r="F11" s="60">
        <f>H11-D11</f>
        <v>0</v>
      </c>
      <c r="G11" s="37">
        <f>I11-E11</f>
        <v>0</v>
      </c>
      <c r="H11" s="65">
        <f>D11</f>
        <v>66050158</v>
      </c>
      <c r="I11" s="66">
        <f>E11</f>
        <v>157021800.05000001</v>
      </c>
      <c r="J11" s="60"/>
      <c r="K11" s="38"/>
      <c r="L11" s="60">
        <f t="shared" ref="L11:M15" si="0">H11+J11</f>
        <v>66050158</v>
      </c>
      <c r="M11" s="38">
        <f t="shared" si="0"/>
        <v>157021800.05000001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69521578</v>
      </c>
      <c r="E13" s="38">
        <v>159508985.94999999</v>
      </c>
      <c r="F13" s="60">
        <f t="shared" si="1"/>
        <v>0</v>
      </c>
      <c r="G13" s="37">
        <f t="shared" si="1"/>
        <v>0</v>
      </c>
      <c r="H13" s="65">
        <f t="shared" si="2"/>
        <v>69521578</v>
      </c>
      <c r="I13" s="66">
        <f t="shared" si="2"/>
        <v>159508985.94999999</v>
      </c>
      <c r="J13" s="60"/>
      <c r="K13" s="38"/>
      <c r="L13" s="60">
        <f t="shared" si="0"/>
        <v>69521578</v>
      </c>
      <c r="M13" s="38">
        <f t="shared" si="0"/>
        <v>159508985.94999999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24768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24768</v>
      </c>
      <c r="J14" s="60"/>
      <c r="K14" s="38"/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135571736</v>
      </c>
      <c r="E16" s="39">
        <v>316555554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135571736</v>
      </c>
      <c r="I16" s="39">
        <f>SUM(I11:I15)</f>
        <v>316555554</v>
      </c>
      <c r="J16" s="61">
        <f t="shared" si="3"/>
        <v>0</v>
      </c>
      <c r="K16" s="39">
        <f t="shared" si="3"/>
        <v>0</v>
      </c>
      <c r="L16" s="61">
        <f t="shared" si="3"/>
        <v>135571736</v>
      </c>
      <c r="M16" s="39">
        <f t="shared" si="3"/>
        <v>316555554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-86507193</v>
      </c>
      <c r="E19" s="38">
        <v>-202900168</v>
      </c>
      <c r="F19" s="60">
        <f>H19-D19</f>
        <v>0</v>
      </c>
      <c r="G19" s="37">
        <f>I19-E19</f>
        <v>0</v>
      </c>
      <c r="H19" s="65">
        <f t="shared" si="4"/>
        <v>-86507193</v>
      </c>
      <c r="I19" s="66">
        <f t="shared" si="4"/>
        <v>-202900168</v>
      </c>
      <c r="J19" s="60"/>
      <c r="K19" s="38"/>
      <c r="L19" s="60">
        <f t="shared" ref="L19:M23" si="5">H19+J19</f>
        <v>-86507193</v>
      </c>
      <c r="M19" s="38">
        <f t="shared" si="5"/>
        <v>-202900168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-49770103</v>
      </c>
      <c r="E21" s="38">
        <v>-114326909</v>
      </c>
      <c r="F21" s="60">
        <f t="shared" si="6"/>
        <v>0</v>
      </c>
      <c r="G21" s="37">
        <f t="shared" si="6"/>
        <v>0</v>
      </c>
      <c r="H21" s="65">
        <f t="shared" si="4"/>
        <v>-49770103</v>
      </c>
      <c r="I21" s="66">
        <f t="shared" si="4"/>
        <v>-114326909</v>
      </c>
      <c r="J21" s="60"/>
      <c r="K21" s="38"/>
      <c r="L21" s="60">
        <f t="shared" si="5"/>
        <v>-49770103</v>
      </c>
      <c r="M21" s="38">
        <f t="shared" si="5"/>
        <v>-114326909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237567</v>
      </c>
      <c r="E23" s="38">
        <v>531921</v>
      </c>
      <c r="F23" s="60">
        <f t="shared" si="6"/>
        <v>0</v>
      </c>
      <c r="G23" s="37">
        <f t="shared" si="6"/>
        <v>0</v>
      </c>
      <c r="H23" s="65">
        <f t="shared" si="4"/>
        <v>237567</v>
      </c>
      <c r="I23" s="66">
        <f t="shared" si="4"/>
        <v>531921</v>
      </c>
      <c r="J23" s="60"/>
      <c r="K23" s="38"/>
      <c r="L23" s="60">
        <f t="shared" si="5"/>
        <v>237567</v>
      </c>
      <c r="M23" s="38">
        <f t="shared" si="5"/>
        <v>531921</v>
      </c>
    </row>
    <row r="24" spans="1:13" x14ac:dyDescent="0.2">
      <c r="A24" s="9"/>
      <c r="B24" s="7" t="s">
        <v>35</v>
      </c>
      <c r="C24" s="6"/>
      <c r="D24" s="61">
        <v>-136039729</v>
      </c>
      <c r="E24" s="39">
        <v>-316695156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-136039729</v>
      </c>
      <c r="I24" s="39">
        <f>SUM(I19:I23)</f>
        <v>-316695156</v>
      </c>
      <c r="J24" s="61">
        <f t="shared" si="7"/>
        <v>0</v>
      </c>
      <c r="K24" s="39">
        <f t="shared" si="7"/>
        <v>0</v>
      </c>
      <c r="L24" s="61">
        <f t="shared" si="7"/>
        <v>-136039729</v>
      </c>
      <c r="M24" s="39">
        <f t="shared" si="7"/>
        <v>-316695156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-1004508</v>
      </c>
      <c r="E27" s="38">
        <v>-2299953</v>
      </c>
      <c r="F27" s="60">
        <f>H27-D27</f>
        <v>0</v>
      </c>
      <c r="G27" s="37">
        <f>I27-E27</f>
        <v>0</v>
      </c>
      <c r="H27" s="65">
        <f>D27</f>
        <v>-1004508</v>
      </c>
      <c r="I27" s="66">
        <f>E27</f>
        <v>-2299953</v>
      </c>
      <c r="J27" s="60"/>
      <c r="K27" s="38"/>
      <c r="L27" s="60">
        <f>H27+J27</f>
        <v>-1004508</v>
      </c>
      <c r="M27" s="38">
        <f>I27+K27</f>
        <v>-2299953</v>
      </c>
    </row>
    <row r="28" spans="1:13" x14ac:dyDescent="0.2">
      <c r="A28" s="9">
        <v>12</v>
      </c>
      <c r="B28" s="7"/>
      <c r="C28" s="18" t="s">
        <v>38</v>
      </c>
      <c r="D28" s="60">
        <v>582660</v>
      </c>
      <c r="E28" s="38">
        <v>1315137</v>
      </c>
      <c r="F28" s="60">
        <f>H28-D28</f>
        <v>0</v>
      </c>
      <c r="G28" s="37">
        <f>I28-E28</f>
        <v>0</v>
      </c>
      <c r="H28" s="65">
        <f>D28</f>
        <v>582660</v>
      </c>
      <c r="I28" s="66">
        <f>E28</f>
        <v>1315137</v>
      </c>
      <c r="J28" s="60"/>
      <c r="K28" s="38"/>
      <c r="L28" s="60">
        <f>H28+J28</f>
        <v>582660</v>
      </c>
      <c r="M28" s="38">
        <f>I28+K28</f>
        <v>1315137</v>
      </c>
    </row>
    <row r="29" spans="1:13" x14ac:dyDescent="0.2">
      <c r="A29" s="9"/>
      <c r="B29" s="7" t="s">
        <v>39</v>
      </c>
      <c r="C29" s="6"/>
      <c r="D29" s="61">
        <v>-421848</v>
      </c>
      <c r="E29" s="39">
        <v>-984816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-421848</v>
      </c>
      <c r="I29" s="39">
        <f>SUM(I27:I28)</f>
        <v>-984816</v>
      </c>
      <c r="J29" s="61">
        <f t="shared" si="8"/>
        <v>0</v>
      </c>
      <c r="K29" s="39">
        <f t="shared" si="8"/>
        <v>0</v>
      </c>
      <c r="L29" s="61">
        <f t="shared" si="8"/>
        <v>-421848</v>
      </c>
      <c r="M29" s="39">
        <f t="shared" si="8"/>
        <v>-984816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326249</v>
      </c>
      <c r="E32" s="38">
        <v>812865</v>
      </c>
      <c r="F32" s="60">
        <f>H32-D32</f>
        <v>0</v>
      </c>
      <c r="G32" s="37">
        <f>I32-E32</f>
        <v>0</v>
      </c>
      <c r="H32" s="65">
        <f t="shared" ref="H32:I35" si="9">D32</f>
        <v>326249</v>
      </c>
      <c r="I32" s="66">
        <f t="shared" si="9"/>
        <v>812865</v>
      </c>
      <c r="J32" s="60"/>
      <c r="K32" s="38"/>
      <c r="L32" s="60">
        <f t="shared" ref="L32:M35" si="10">H32+J32</f>
        <v>326249</v>
      </c>
      <c r="M32" s="38">
        <f t="shared" si="10"/>
        <v>812865</v>
      </c>
    </row>
    <row r="33" spans="1:13" x14ac:dyDescent="0.2">
      <c r="A33" s="9">
        <v>14</v>
      </c>
      <c r="B33" s="7"/>
      <c r="C33" s="18" t="s">
        <v>42</v>
      </c>
      <c r="D33" s="60">
        <v>41175</v>
      </c>
      <c r="E33" s="38">
        <v>54822.219054628862</v>
      </c>
      <c r="F33" s="60">
        <f t="shared" ref="F33:G35" si="11">H33-D33</f>
        <v>0</v>
      </c>
      <c r="G33" s="37">
        <f t="shared" si="11"/>
        <v>0</v>
      </c>
      <c r="H33" s="65">
        <f t="shared" si="9"/>
        <v>41175</v>
      </c>
      <c r="I33" s="66">
        <f t="shared" si="9"/>
        <v>54822.219054628862</v>
      </c>
      <c r="J33" s="60"/>
      <c r="K33" s="38"/>
      <c r="L33" s="60">
        <f t="shared" si="10"/>
        <v>41175</v>
      </c>
      <c r="M33" s="38">
        <f t="shared" si="10"/>
        <v>54822.219054628862</v>
      </c>
    </row>
    <row r="34" spans="1:13" x14ac:dyDescent="0.2">
      <c r="A34" s="9">
        <v>15</v>
      </c>
      <c r="B34" s="7"/>
      <c r="C34" s="18" t="s">
        <v>43</v>
      </c>
      <c r="D34" s="60">
        <v>559377</v>
      </c>
      <c r="E34" s="38">
        <v>1269071</v>
      </c>
      <c r="F34" s="60">
        <f t="shared" si="11"/>
        <v>0</v>
      </c>
      <c r="G34" s="37">
        <f t="shared" si="11"/>
        <v>0</v>
      </c>
      <c r="H34" s="65">
        <f t="shared" si="9"/>
        <v>559377</v>
      </c>
      <c r="I34" s="66">
        <f t="shared" si="9"/>
        <v>1269071</v>
      </c>
      <c r="J34" s="60"/>
      <c r="K34" s="38"/>
      <c r="L34" s="60">
        <f t="shared" si="10"/>
        <v>559377</v>
      </c>
      <c r="M34" s="38">
        <f t="shared" si="10"/>
        <v>1269071</v>
      </c>
    </row>
    <row r="35" spans="1:13" x14ac:dyDescent="0.2">
      <c r="A35" s="9">
        <v>16</v>
      </c>
      <c r="B35" s="7"/>
      <c r="C35" s="18" t="s">
        <v>44</v>
      </c>
      <c r="D35" s="60">
        <v>-346452</v>
      </c>
      <c r="E35" s="38">
        <v>-778472</v>
      </c>
      <c r="F35" s="60">
        <f t="shared" si="11"/>
        <v>0</v>
      </c>
      <c r="G35" s="37">
        <f t="shared" si="11"/>
        <v>0</v>
      </c>
      <c r="H35" s="65">
        <f t="shared" si="9"/>
        <v>-346452</v>
      </c>
      <c r="I35" s="66">
        <f t="shared" si="9"/>
        <v>-778472</v>
      </c>
      <c r="J35" s="60"/>
      <c r="K35" s="38"/>
      <c r="L35" s="60">
        <f t="shared" si="10"/>
        <v>-346452</v>
      </c>
      <c r="M35" s="38">
        <f t="shared" si="10"/>
        <v>-778472</v>
      </c>
    </row>
    <row r="36" spans="1:13" x14ac:dyDescent="0.2">
      <c r="A36" s="9"/>
      <c r="B36" s="7" t="s">
        <v>45</v>
      </c>
      <c r="C36" s="6"/>
      <c r="D36" s="61">
        <v>580349</v>
      </c>
      <c r="E36" s="39">
        <v>1358286.2190546291</v>
      </c>
      <c r="F36" s="61">
        <f>SUM(F32:F35)</f>
        <v>0</v>
      </c>
      <c r="G36" s="39">
        <f>SUM(G32:G35)</f>
        <v>0</v>
      </c>
      <c r="H36" s="61">
        <f>SUM(H32:H35)</f>
        <v>580349</v>
      </c>
      <c r="I36" s="39">
        <f>SUM(I32:I35)</f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-311859</v>
      </c>
      <c r="E39" s="38">
        <v>-736027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-311859</v>
      </c>
      <c r="I39" s="66">
        <f t="shared" si="12"/>
        <v>-736027</v>
      </c>
      <c r="J39" s="60"/>
      <c r="K39" s="38"/>
      <c r="L39" s="60">
        <f t="shared" ref="L39:M41" si="14">H39+J39</f>
        <v>-311859</v>
      </c>
      <c r="M39" s="38">
        <f t="shared" si="14"/>
        <v>-736027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205867</v>
      </c>
      <c r="E40" s="38">
        <v>483787</v>
      </c>
      <c r="F40" s="60">
        <f t="shared" si="13"/>
        <v>0</v>
      </c>
      <c r="G40" s="37">
        <f t="shared" si="13"/>
        <v>0</v>
      </c>
      <c r="H40" s="65">
        <f t="shared" si="12"/>
        <v>205867</v>
      </c>
      <c r="I40" s="66">
        <f t="shared" si="12"/>
        <v>483787</v>
      </c>
      <c r="J40" s="60"/>
      <c r="K40" s="38"/>
      <c r="L40" s="60">
        <f t="shared" si="14"/>
        <v>205867</v>
      </c>
      <c r="M40" s="38">
        <f t="shared" si="14"/>
        <v>483787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205867</v>
      </c>
      <c r="E42" s="39">
        <v>483787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205867</v>
      </c>
      <c r="I42" s="39">
        <f>SUM(I40:I41)</f>
        <v>483787</v>
      </c>
      <c r="J42" s="61">
        <f t="shared" si="15"/>
        <v>0</v>
      </c>
      <c r="K42" s="39">
        <f t="shared" si="15"/>
        <v>0</v>
      </c>
      <c r="L42" s="61">
        <f t="shared" si="15"/>
        <v>205867</v>
      </c>
      <c r="M42" s="39">
        <f t="shared" si="15"/>
        <v>483787</v>
      </c>
    </row>
    <row r="43" spans="1:13" ht="21" customHeight="1" x14ac:dyDescent="0.2">
      <c r="A43" s="9"/>
      <c r="B43" s="7" t="s">
        <v>51</v>
      </c>
      <c r="C43" s="6"/>
      <c r="D43" s="61">
        <v>-105992</v>
      </c>
      <c r="E43" s="39">
        <v>-252240</v>
      </c>
      <c r="F43" s="61">
        <f t="shared" ref="F43:M43" si="16">F42+F39</f>
        <v>0</v>
      </c>
      <c r="G43" s="39">
        <f t="shared" si="16"/>
        <v>0</v>
      </c>
      <c r="H43" s="61">
        <f>H42+H39</f>
        <v>-105992</v>
      </c>
      <c r="I43" s="39">
        <f>I42+I39</f>
        <v>-252240</v>
      </c>
      <c r="J43" s="61">
        <f t="shared" si="16"/>
        <v>0</v>
      </c>
      <c r="K43" s="39">
        <f t="shared" si="16"/>
        <v>0</v>
      </c>
      <c r="L43" s="61">
        <f t="shared" si="16"/>
        <v>-105992</v>
      </c>
      <c r="M43" s="39">
        <f t="shared" si="16"/>
        <v>-252240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475484</v>
      </c>
      <c r="E49" s="38">
        <v>1074270.9391440554</v>
      </c>
      <c r="F49" s="60">
        <f>H49-D49</f>
        <v>0</v>
      </c>
      <c r="G49" s="37">
        <f>I49-E49</f>
        <v>0</v>
      </c>
      <c r="H49" s="65">
        <f>D49</f>
        <v>475484</v>
      </c>
      <c r="I49" s="66">
        <f>E49</f>
        <v>1074270.9391440554</v>
      </c>
      <c r="J49" s="60"/>
      <c r="K49" s="38"/>
      <c r="L49" s="60">
        <f>H49+J49</f>
        <v>475484</v>
      </c>
      <c r="M49" s="38">
        <f>I49+K49</f>
        <v>1074270.9391440554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-237567</v>
      </c>
      <c r="E51" s="38">
        <v>-531921</v>
      </c>
      <c r="F51" s="60">
        <f>H51-D51</f>
        <v>0</v>
      </c>
      <c r="G51" s="37">
        <f>I51-E51</f>
        <v>0</v>
      </c>
      <c r="H51" s="65">
        <f>D51</f>
        <v>-237567</v>
      </c>
      <c r="I51" s="66">
        <f>E51</f>
        <v>-531921</v>
      </c>
      <c r="J51" s="60"/>
      <c r="K51" s="38"/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-509841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-509841</v>
      </c>
      <c r="J54" s="60"/>
      <c r="K54" s="38"/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-1302091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-1302091</v>
      </c>
      <c r="J55" s="60"/>
      <c r="K55" s="38"/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v>0</v>
      </c>
      <c r="E56" s="39">
        <v>-1811932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-1811932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-104001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-104001</v>
      </c>
      <c r="J60" s="60"/>
      <c r="K60" s="38"/>
      <c r="L60" s="60">
        <f>H60+J60</f>
        <v>0</v>
      </c>
      <c r="M60" s="38">
        <f>I60+K60</f>
        <v>-104001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-104001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70884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70884</v>
      </c>
      <c r="J64" s="60"/>
      <c r="K64" s="38"/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70884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70884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2849705.85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2849705.85</v>
      </c>
      <c r="J70" s="60"/>
      <c r="K70" s="38"/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196193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196193</v>
      </c>
      <c r="J71" s="60"/>
      <c r="K71" s="38"/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v>0</v>
      </c>
      <c r="E72" s="39">
        <v>3045898.85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3045898.85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3045898.85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-2871909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-2871909</v>
      </c>
      <c r="J74" s="60"/>
      <c r="K74" s="38"/>
      <c r="L74" s="60">
        <f t="shared" si="22"/>
        <v>0</v>
      </c>
      <c r="M74" s="38">
        <f t="shared" si="22"/>
        <v>-2871909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667651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667651</v>
      </c>
      <c r="J75" s="60"/>
      <c r="K75" s="38"/>
      <c r="L75" s="60">
        <f t="shared" si="22"/>
        <v>0</v>
      </c>
      <c r="M75" s="38">
        <f t="shared" si="22"/>
        <v>667651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-8213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-8213</v>
      </c>
      <c r="J76" s="60"/>
      <c r="K76" s="38"/>
      <c r="L76" s="60">
        <f t="shared" si="22"/>
        <v>0</v>
      </c>
      <c r="M76" s="38">
        <f t="shared" si="22"/>
        <v>-8213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2670191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2670191</v>
      </c>
      <c r="J77" s="60"/>
      <c r="K77" s="38"/>
      <c r="L77" s="60">
        <f t="shared" si="22"/>
        <v>0</v>
      </c>
      <c r="M77" s="38">
        <f t="shared" si="22"/>
        <v>2670191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878217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878217</v>
      </c>
      <c r="J79" s="60"/>
      <c r="K79" s="38"/>
      <c r="L79" s="60">
        <f t="shared" si="22"/>
        <v>0</v>
      </c>
      <c r="M79" s="38">
        <f t="shared" si="22"/>
        <v>878217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-1987039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-1987039</v>
      </c>
      <c r="J81" s="60"/>
      <c r="K81" s="38"/>
      <c r="L81" s="60">
        <f t="shared" si="22"/>
        <v>0</v>
      </c>
      <c r="M81" s="38">
        <f t="shared" si="22"/>
        <v>-1987039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8">
        <f>D16+D24+D29+D36+D43+D45+D47+D49</f>
        <v>60000</v>
      </c>
      <c r="E82" s="167">
        <f>SUM(E72:E81)+E16+E24+E29+E36+E43+E45+E47+E49+E51+E56+E61+E66</f>
        <v>1098249.9531987011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1098249.9531987011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1098249.9531987011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  <c r="K85" s="45"/>
    </row>
    <row r="86" spans="1:67" s="3" customFormat="1" x14ac:dyDescent="0.2">
      <c r="A86" s="174"/>
      <c r="C86" s="10" t="s">
        <v>176</v>
      </c>
      <c r="D86" s="178">
        <v>0</v>
      </c>
      <c r="E86" s="178">
        <v>-199187</v>
      </c>
      <c r="F86" s="178">
        <f t="shared" ref="F86:G88" si="24">H86-D86</f>
        <v>0</v>
      </c>
      <c r="G86" s="178">
        <f t="shared" si="24"/>
        <v>0</v>
      </c>
      <c r="H86" s="178">
        <f t="shared" ref="H86:I88" si="25">D86</f>
        <v>0</v>
      </c>
      <c r="I86" s="178">
        <f t="shared" si="25"/>
        <v>-199187</v>
      </c>
      <c r="J86" s="178"/>
      <c r="K86" s="178"/>
      <c r="L86" s="178">
        <f t="shared" ref="L86:M88" si="26">H86+J86</f>
        <v>0</v>
      </c>
      <c r="M86" s="178">
        <f t="shared" si="26"/>
        <v>-199187</v>
      </c>
    </row>
    <row r="87" spans="1:67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4"/>
        <v>0</v>
      </c>
      <c r="G87" s="179">
        <f t="shared" si="24"/>
        <v>0</v>
      </c>
      <c r="H87" s="179">
        <f t="shared" si="25"/>
        <v>0</v>
      </c>
      <c r="I87" s="179">
        <f t="shared" si="25"/>
        <v>0</v>
      </c>
      <c r="J87" s="179"/>
      <c r="K87" s="179"/>
      <c r="L87" s="179">
        <f t="shared" si="26"/>
        <v>0</v>
      </c>
      <c r="M87" s="179">
        <f t="shared" si="26"/>
        <v>0</v>
      </c>
    </row>
    <row r="88" spans="1:67" s="3" customFormat="1" x14ac:dyDescent="0.2">
      <c r="A88" s="174"/>
      <c r="C88" s="10" t="s">
        <v>74</v>
      </c>
      <c r="D88" s="180">
        <v>0</v>
      </c>
      <c r="E88" s="180">
        <v>0</v>
      </c>
      <c r="F88" s="180">
        <f t="shared" si="24"/>
        <v>0</v>
      </c>
      <c r="G88" s="180">
        <f t="shared" si="24"/>
        <v>0</v>
      </c>
      <c r="H88" s="180">
        <f t="shared" si="25"/>
        <v>0</v>
      </c>
      <c r="I88" s="180">
        <f t="shared" si="25"/>
        <v>0</v>
      </c>
      <c r="J88" s="180"/>
      <c r="K88" s="180"/>
      <c r="L88" s="180">
        <f t="shared" si="26"/>
        <v>0</v>
      </c>
      <c r="M88" s="180">
        <f t="shared" si="26"/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6">
        <f>SUM(D86:D88)</f>
        <v>0</v>
      </c>
      <c r="E89" s="186">
        <f t="shared" ref="E89:M89" si="27">SUM(E86:E88)</f>
        <v>-199187</v>
      </c>
      <c r="F89" s="186">
        <f t="shared" si="27"/>
        <v>0</v>
      </c>
      <c r="G89" s="186">
        <f t="shared" si="27"/>
        <v>0</v>
      </c>
      <c r="H89" s="186">
        <f t="shared" si="27"/>
        <v>0</v>
      </c>
      <c r="I89" s="186">
        <f t="shared" si="27"/>
        <v>-199187</v>
      </c>
      <c r="J89" s="186">
        <f t="shared" si="27"/>
        <v>0</v>
      </c>
      <c r="K89" s="186">
        <f t="shared" si="27"/>
        <v>0</v>
      </c>
      <c r="L89" s="186">
        <f t="shared" si="27"/>
        <v>0</v>
      </c>
      <c r="M89" s="186">
        <f t="shared" si="27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6">
        <f>+D82+D89</f>
        <v>60000</v>
      </c>
      <c r="E91" s="186">
        <f t="shared" ref="E91:M91" si="28">+E82+E89</f>
        <v>899062.95319870114</v>
      </c>
      <c r="F91" s="186">
        <f t="shared" si="28"/>
        <v>0</v>
      </c>
      <c r="G91" s="186">
        <f t="shared" si="28"/>
        <v>0</v>
      </c>
      <c r="H91" s="186">
        <f t="shared" si="28"/>
        <v>60000</v>
      </c>
      <c r="I91" s="186">
        <f t="shared" si="28"/>
        <v>899062.95319870114</v>
      </c>
      <c r="J91" s="186">
        <f t="shared" si="28"/>
        <v>0</v>
      </c>
      <c r="K91" s="186">
        <f t="shared" si="28"/>
        <v>0</v>
      </c>
      <c r="L91" s="186">
        <f t="shared" si="28"/>
        <v>60000</v>
      </c>
      <c r="M91" s="186">
        <f t="shared" si="28"/>
        <v>899062.95319870114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68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8944488</v>
      </c>
      <c r="E11" s="65">
        <v>21132760.949999999</v>
      </c>
      <c r="F11" s="65">
        <f>H11-D11</f>
        <v>0</v>
      </c>
      <c r="G11" s="63">
        <f>I11-E11</f>
        <v>0</v>
      </c>
      <c r="H11" s="65">
        <f>D11</f>
        <v>8944488</v>
      </c>
      <c r="I11" s="66">
        <f>E11</f>
        <v>21132760.949999999</v>
      </c>
      <c r="J11" s="60"/>
      <c r="K11" s="38"/>
      <c r="L11" s="60">
        <f t="shared" ref="L11:M15" si="0">H11+J11</f>
        <v>8944488</v>
      </c>
      <c r="M11" s="38">
        <f t="shared" si="0"/>
        <v>21132760.949999999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3201196</v>
      </c>
      <c r="E13" s="65">
        <v>7224493.0499999998</v>
      </c>
      <c r="F13" s="65">
        <f t="shared" si="1"/>
        <v>0</v>
      </c>
      <c r="G13" s="63">
        <f t="shared" si="1"/>
        <v>0</v>
      </c>
      <c r="H13" s="65">
        <f t="shared" si="2"/>
        <v>3201196</v>
      </c>
      <c r="I13" s="66">
        <f t="shared" si="2"/>
        <v>7224493.0499999998</v>
      </c>
      <c r="J13" s="60"/>
      <c r="K13" s="38"/>
      <c r="L13" s="60">
        <f t="shared" si="0"/>
        <v>3201196</v>
      </c>
      <c r="M13" s="38">
        <f t="shared" si="0"/>
        <v>7224493.0499999998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12145684</v>
      </c>
      <c r="E16" s="39">
        <v>28357254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12145684</v>
      </c>
      <c r="I16" s="39">
        <f>SUM(I11:I15)</f>
        <v>28357254</v>
      </c>
      <c r="J16" s="61">
        <f t="shared" si="3"/>
        <v>0</v>
      </c>
      <c r="K16" s="39">
        <f t="shared" si="3"/>
        <v>0</v>
      </c>
      <c r="L16" s="61">
        <f t="shared" si="3"/>
        <v>12145684</v>
      </c>
      <c r="M16" s="39">
        <f t="shared" si="3"/>
        <v>28357254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-1284613</v>
      </c>
      <c r="E19" s="65">
        <v>-2888637</v>
      </c>
      <c r="F19" s="65">
        <f>H19-D19</f>
        <v>0</v>
      </c>
      <c r="G19" s="63">
        <f>I19-E19</f>
        <v>0</v>
      </c>
      <c r="H19" s="65">
        <f t="shared" si="4"/>
        <v>-1284613</v>
      </c>
      <c r="I19" s="66">
        <f t="shared" si="4"/>
        <v>-2888637</v>
      </c>
      <c r="J19" s="60"/>
      <c r="K19" s="38"/>
      <c r="L19" s="60">
        <f t="shared" ref="L19:M23" si="5">H19+J19</f>
        <v>-1284613</v>
      </c>
      <c r="M19" s="38">
        <f t="shared" si="5"/>
        <v>-2888637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-11270806</v>
      </c>
      <c r="E21" s="65">
        <v>-25429998</v>
      </c>
      <c r="F21" s="65">
        <f t="shared" si="6"/>
        <v>0</v>
      </c>
      <c r="G21" s="63">
        <f t="shared" si="6"/>
        <v>0</v>
      </c>
      <c r="H21" s="65">
        <f t="shared" si="4"/>
        <v>-11270806</v>
      </c>
      <c r="I21" s="66">
        <f t="shared" si="4"/>
        <v>-25429998</v>
      </c>
      <c r="J21" s="60"/>
      <c r="K21" s="38"/>
      <c r="L21" s="60">
        <f t="shared" si="5"/>
        <v>-11270806</v>
      </c>
      <c r="M21" s="38">
        <f t="shared" si="5"/>
        <v>-25429998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-12555419</v>
      </c>
      <c r="E24" s="39">
        <v>-28318635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-12555419</v>
      </c>
      <c r="I24" s="39">
        <f>SUM(I19:I23)</f>
        <v>-28318635</v>
      </c>
      <c r="J24" s="61">
        <f t="shared" si="7"/>
        <v>0</v>
      </c>
      <c r="K24" s="39">
        <f t="shared" si="7"/>
        <v>0</v>
      </c>
      <c r="L24" s="61">
        <f t="shared" si="7"/>
        <v>-12555419</v>
      </c>
      <c r="M24" s="39">
        <f t="shared" si="7"/>
        <v>-28318635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1004508</v>
      </c>
      <c r="E27" s="65">
        <v>2299953</v>
      </c>
      <c r="F27" s="65">
        <f>H27-D27</f>
        <v>0</v>
      </c>
      <c r="G27" s="63">
        <f>I27-E27</f>
        <v>0</v>
      </c>
      <c r="H27" s="65">
        <f>D27</f>
        <v>1004508</v>
      </c>
      <c r="I27" s="66">
        <f>E27</f>
        <v>2299953</v>
      </c>
      <c r="J27" s="60"/>
      <c r="K27" s="38"/>
      <c r="L27" s="60">
        <f>H27+J27</f>
        <v>1004508</v>
      </c>
      <c r="M27" s="38">
        <f>I27+K27</f>
        <v>2299953</v>
      </c>
    </row>
    <row r="28" spans="1:13" x14ac:dyDescent="0.2">
      <c r="A28" s="9">
        <v>12</v>
      </c>
      <c r="B28" s="7"/>
      <c r="C28" s="18" t="s">
        <v>38</v>
      </c>
      <c r="D28" s="65">
        <v>-582660</v>
      </c>
      <c r="E28" s="65">
        <v>-1315137</v>
      </c>
      <c r="F28" s="65">
        <f>H28-D28</f>
        <v>0</v>
      </c>
      <c r="G28" s="63">
        <f>I28-E28</f>
        <v>0</v>
      </c>
      <c r="H28" s="65">
        <f>D28</f>
        <v>-582660</v>
      </c>
      <c r="I28" s="66">
        <f>E28</f>
        <v>-1315137</v>
      </c>
      <c r="J28" s="60"/>
      <c r="K28" s="38"/>
      <c r="L28" s="60">
        <f>H28+J28</f>
        <v>-582660</v>
      </c>
      <c r="M28" s="38">
        <f>I28+K28</f>
        <v>-1315137</v>
      </c>
    </row>
    <row r="29" spans="1:13" x14ac:dyDescent="0.2">
      <c r="A29" s="9"/>
      <c r="B29" s="7" t="s">
        <v>39</v>
      </c>
      <c r="C29" s="6"/>
      <c r="D29" s="61">
        <v>421848</v>
      </c>
      <c r="E29" s="39">
        <v>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421848</v>
      </c>
      <c r="I29" s="39">
        <f>SUM(I27:I28)</f>
        <v>984816</v>
      </c>
      <c r="J29" s="61">
        <f t="shared" si="8"/>
        <v>0</v>
      </c>
      <c r="K29" s="39">
        <f t="shared" si="8"/>
        <v>0</v>
      </c>
      <c r="L29" s="61">
        <f t="shared" si="8"/>
        <v>421848</v>
      </c>
      <c r="M29" s="39">
        <f t="shared" si="8"/>
        <v>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947768</v>
      </c>
      <c r="E39" s="65">
        <v>2227256</v>
      </c>
      <c r="F39" s="65">
        <f t="shared" ref="F39:G41" si="13">H39-D39</f>
        <v>0</v>
      </c>
      <c r="G39" s="63">
        <f t="shared" si="13"/>
        <v>0</v>
      </c>
      <c r="H39" s="65">
        <f t="shared" si="12"/>
        <v>947768</v>
      </c>
      <c r="I39" s="66">
        <f t="shared" si="12"/>
        <v>2227256</v>
      </c>
      <c r="J39" s="60"/>
      <c r="K39" s="38"/>
      <c r="L39" s="60">
        <f t="shared" ref="L39:M41" si="14">H39+J39</f>
        <v>947768</v>
      </c>
      <c r="M39" s="38">
        <f t="shared" si="14"/>
        <v>2227256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-544397</v>
      </c>
      <c r="E40" s="65">
        <v>-1279332</v>
      </c>
      <c r="F40" s="65">
        <f t="shared" si="13"/>
        <v>0</v>
      </c>
      <c r="G40" s="63">
        <f t="shared" si="13"/>
        <v>0</v>
      </c>
      <c r="H40" s="65">
        <f t="shared" si="12"/>
        <v>-544397</v>
      </c>
      <c r="I40" s="66">
        <f t="shared" si="12"/>
        <v>-1279332</v>
      </c>
      <c r="J40" s="60"/>
      <c r="K40" s="38"/>
      <c r="L40" s="60">
        <f t="shared" si="14"/>
        <v>-544397</v>
      </c>
      <c r="M40" s="38">
        <f t="shared" si="14"/>
        <v>-1279332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-544397</v>
      </c>
      <c r="E42" s="39">
        <v>-1279332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-544397</v>
      </c>
      <c r="I42" s="39">
        <f>SUM(I40:I41)</f>
        <v>-1279332</v>
      </c>
      <c r="J42" s="61">
        <f t="shared" si="15"/>
        <v>0</v>
      </c>
      <c r="K42" s="39">
        <f t="shared" si="15"/>
        <v>0</v>
      </c>
      <c r="L42" s="61">
        <f t="shared" si="15"/>
        <v>-544397</v>
      </c>
      <c r="M42" s="39">
        <f t="shared" si="15"/>
        <v>-1279332</v>
      </c>
    </row>
    <row r="43" spans="1:13" ht="21" customHeight="1" x14ac:dyDescent="0.2">
      <c r="A43" s="9"/>
      <c r="B43" s="7" t="s">
        <v>51</v>
      </c>
      <c r="C43" s="6"/>
      <c r="D43" s="61">
        <v>403371</v>
      </c>
      <c r="E43" s="39">
        <v>947924</v>
      </c>
      <c r="F43" s="61">
        <f t="shared" ref="F43:M43" si="16">F42+F39</f>
        <v>0</v>
      </c>
      <c r="G43" s="39">
        <f t="shared" si="16"/>
        <v>0</v>
      </c>
      <c r="H43" s="61">
        <f>H42+H39</f>
        <v>403371</v>
      </c>
      <c r="I43" s="39">
        <f>I42+I39</f>
        <v>947924</v>
      </c>
      <c r="J43" s="61">
        <f t="shared" si="16"/>
        <v>0</v>
      </c>
      <c r="K43" s="39">
        <f t="shared" si="16"/>
        <v>0</v>
      </c>
      <c r="L43" s="61">
        <f t="shared" si="16"/>
        <v>403371</v>
      </c>
      <c r="M43" s="39">
        <f t="shared" si="16"/>
        <v>947924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-475484</v>
      </c>
      <c r="E49" s="65">
        <v>-1074270.9391440554</v>
      </c>
      <c r="F49" s="65">
        <f>H49-D49</f>
        <v>0</v>
      </c>
      <c r="G49" s="63">
        <f>I49-E49</f>
        <v>0</v>
      </c>
      <c r="H49" s="65">
        <f>D49</f>
        <v>-475484</v>
      </c>
      <c r="I49" s="66">
        <f>E49</f>
        <v>-1074270.9391440554</v>
      </c>
      <c r="J49" s="60"/>
      <c r="K49" s="38"/>
      <c r="L49" s="60">
        <f>H49+J49</f>
        <v>-475484</v>
      </c>
      <c r="M49" s="38">
        <f>I49+K49</f>
        <v>-1074270.9391440554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104001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104001</v>
      </c>
      <c r="J60" s="60"/>
      <c r="K60" s="38"/>
      <c r="L60" s="60">
        <f>H60+J60</f>
        <v>0</v>
      </c>
      <c r="M60" s="38">
        <f>I60+K60</f>
        <v>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8">
        <f>D16+D24+D29+D36+D43+D45+D47+D49</f>
        <v>-60000</v>
      </c>
      <c r="E82" s="167">
        <f>SUM(E72:E81)+E16+E24+E29+E36+E43+E45+E47+E49+E51+E56+E61+E66</f>
        <v>-2895910.9391440554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5">
        <f>SUM(I72:I81)+I16+I24+I29+I36+I43+I45+I47+I49+I51+I56+I61+I66</f>
        <v>-2895910.9391440554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-2895910.9391440554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10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f>'EAST-EGM-FLSH'!D11+'EAST-LRC-FLSH'!D11</f>
        <v>74994646</v>
      </c>
      <c r="E11" s="66">
        <f>'EAST-EGM-FLSH'!E11+'EAST-LRC-FLSH'!E11</f>
        <v>178154561</v>
      </c>
      <c r="F11" s="37">
        <f>H11-D11</f>
        <v>0</v>
      </c>
      <c r="G11" s="37">
        <f>I11-E11</f>
        <v>0</v>
      </c>
      <c r="H11" s="60">
        <f>'EAST-EGM-FLSH'!H11+'EAST-LRC-FLSH'!H11</f>
        <v>74994646</v>
      </c>
      <c r="I11" s="38">
        <f>'EAST-EGM-FLSH'!I11+'EAST-LRC-FLSH'!I11</f>
        <v>178154561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74994646</v>
      </c>
      <c r="M11" s="38">
        <f t="shared" si="0"/>
        <v>178154561</v>
      </c>
    </row>
    <row r="12" spans="1:26" x14ac:dyDescent="0.2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f>'EAST-EGM-FLSH'!D13+'EAST-LRC-FLSH'!D13</f>
        <v>72722774</v>
      </c>
      <c r="E13" s="66">
        <f>'EAST-EGM-FLSH'!E13+'EAST-LRC-FLSH'!E13</f>
        <v>166733479</v>
      </c>
      <c r="F13" s="60">
        <f t="shared" si="1"/>
        <v>0</v>
      </c>
      <c r="G13" s="37">
        <f t="shared" si="1"/>
        <v>0</v>
      </c>
      <c r="H13" s="60">
        <f>'EAST-EGM-FLSH'!H13+'EAST-LRC-FLSH'!H13</f>
        <v>72722774</v>
      </c>
      <c r="I13" s="38">
        <f>'EAST-EGM-FLSH'!I13+'EAST-LRC-FLSH'!I13</f>
        <v>166733479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72722774</v>
      </c>
      <c r="M13" s="38">
        <f t="shared" si="0"/>
        <v>166733479</v>
      </c>
    </row>
    <row r="14" spans="1:26" x14ac:dyDescent="0.2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24768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24768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147717420</v>
      </c>
      <c r="E16" s="39">
        <f>SUM(E11:E15)</f>
        <v>344912808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147717420</v>
      </c>
      <c r="I16" s="39">
        <f t="shared" si="2"/>
        <v>344912808</v>
      </c>
      <c r="J16" s="61">
        <f t="shared" si="2"/>
        <v>0</v>
      </c>
      <c r="K16" s="39">
        <f t="shared" si="2"/>
        <v>0</v>
      </c>
      <c r="L16" s="61">
        <f t="shared" si="2"/>
        <v>147717420</v>
      </c>
      <c r="M16" s="39">
        <f t="shared" si="2"/>
        <v>344912808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f>'EAST-EGM-FLSH'!D19+'EAST-LRC-FLSH'!D19</f>
        <v>-87791806</v>
      </c>
      <c r="E19" s="66">
        <f>'EAST-EGM-FLSH'!E19+'EAST-LRC-FLSH'!E19</f>
        <v>-205788805</v>
      </c>
      <c r="F19" s="60">
        <f>H19-D19</f>
        <v>0</v>
      </c>
      <c r="G19" s="37">
        <f>I19-E19</f>
        <v>0</v>
      </c>
      <c r="H19" s="60">
        <f>'EAST-EGM-FLSH'!H19+'EAST-LRC-FLSH'!H19</f>
        <v>-87791806</v>
      </c>
      <c r="I19" s="38">
        <f>'EAST-EGM-FLSH'!I19+'EAST-LRC-FLSH'!I19</f>
        <v>-205788805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-87791806</v>
      </c>
      <c r="M19" s="38">
        <f t="shared" si="3"/>
        <v>-205788805</v>
      </c>
    </row>
    <row r="20" spans="1:13" x14ac:dyDescent="0.2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5">
        <f>'EAST-EGM-FLSH'!D21+'EAST-LRC-FLSH'!D21</f>
        <v>-61040909</v>
      </c>
      <c r="E21" s="66">
        <f>'EAST-EGM-FLSH'!E21+'EAST-LRC-FLSH'!E21</f>
        <v>-139756907</v>
      </c>
      <c r="F21" s="60">
        <f t="shared" si="4"/>
        <v>0</v>
      </c>
      <c r="G21" s="37">
        <f t="shared" si="4"/>
        <v>0</v>
      </c>
      <c r="H21" s="60">
        <f>'EAST-EGM-FLSH'!H21+'EAST-LRC-FLSH'!H21</f>
        <v>-61040909</v>
      </c>
      <c r="I21" s="38">
        <f>'EAST-EGM-FLSH'!I21+'EAST-LRC-FLSH'!I21</f>
        <v>-139756907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-61040909</v>
      </c>
      <c r="M21" s="38">
        <f t="shared" si="3"/>
        <v>-139756907</v>
      </c>
    </row>
    <row r="22" spans="1:13" x14ac:dyDescent="0.2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5">
        <f>'EAST-EGM-FLSH'!D23+'EAST-LRC-FLSH'!D23</f>
        <v>237567</v>
      </c>
      <c r="E23" s="66">
        <f>'EAST-EGM-FLSH'!E23+'EAST-LRC-FLSH'!E23</f>
        <v>531921</v>
      </c>
      <c r="F23" s="60">
        <f t="shared" si="4"/>
        <v>0</v>
      </c>
      <c r="G23" s="37">
        <f t="shared" si="4"/>
        <v>0</v>
      </c>
      <c r="H23" s="60">
        <f>'EAST-EGM-FLSH'!H23+'EAST-LRC-FLSH'!H23</f>
        <v>237567</v>
      </c>
      <c r="I23" s="38">
        <f>'EAST-EGM-FLSH'!I23+'EAST-LRC-FLSH'!I23</f>
        <v>531921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237567</v>
      </c>
      <c r="M23" s="38">
        <f t="shared" si="3"/>
        <v>531921</v>
      </c>
    </row>
    <row r="24" spans="1:13" x14ac:dyDescent="0.2">
      <c r="A24" s="9"/>
      <c r="B24" s="7" t="s">
        <v>35</v>
      </c>
      <c r="C24" s="6"/>
      <c r="D24" s="61">
        <f>SUM(D19:D23)</f>
        <v>-148595148</v>
      </c>
      <c r="E24" s="39">
        <f>SUM(E19:E23)</f>
        <v>-345013791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-148595148</v>
      </c>
      <c r="I24" s="39">
        <f t="shared" si="5"/>
        <v>-345013791</v>
      </c>
      <c r="J24" s="61">
        <f t="shared" si="5"/>
        <v>0</v>
      </c>
      <c r="K24" s="39">
        <f t="shared" si="5"/>
        <v>0</v>
      </c>
      <c r="L24" s="61">
        <f t="shared" si="5"/>
        <v>-148595148</v>
      </c>
      <c r="M24" s="39">
        <f t="shared" si="5"/>
        <v>-345013791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f>'EAST-EGM-FLSH'!D32+'EAST-LRC-FLSH'!D32</f>
        <v>326249</v>
      </c>
      <c r="E32" s="66">
        <f>'EAST-EGM-FLSH'!E32+'EAST-LRC-FLSH'!E32</f>
        <v>812865</v>
      </c>
      <c r="F32" s="60">
        <f>H32-D32</f>
        <v>0</v>
      </c>
      <c r="G32" s="37">
        <f>I32-E32</f>
        <v>0</v>
      </c>
      <c r="H32" s="60">
        <f>'EAST-EGM-FLSH'!H32+'EAST-LRC-FLSH'!H32</f>
        <v>326249</v>
      </c>
      <c r="I32" s="38">
        <f>'EAST-EGM-FLSH'!I32+'EAST-LRC-FLSH'!I32</f>
        <v>812865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326249</v>
      </c>
      <c r="M32" s="38">
        <f t="shared" si="7"/>
        <v>812865</v>
      </c>
    </row>
    <row r="33" spans="1:13" x14ac:dyDescent="0.2">
      <c r="A33" s="9">
        <v>14</v>
      </c>
      <c r="B33" s="7"/>
      <c r="C33" s="18" t="s">
        <v>42</v>
      </c>
      <c r="D33" s="65">
        <f>'EAST-EGM-FLSH'!D33+'EAST-LRC-FLSH'!D33</f>
        <v>41175</v>
      </c>
      <c r="E33" s="66">
        <f>'EAST-EGM-FLSH'!E33+'EAST-LRC-FLSH'!E33</f>
        <v>54822.219054628862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41175</v>
      </c>
      <c r="I33" s="38">
        <f>'EAST-EGM-FLSH'!I33+'EAST-LRC-FLSH'!I33</f>
        <v>54822.219054628862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41175</v>
      </c>
      <c r="M33" s="38">
        <f t="shared" si="7"/>
        <v>54822.219054628862</v>
      </c>
    </row>
    <row r="34" spans="1:13" x14ac:dyDescent="0.2">
      <c r="A34" s="9">
        <v>15</v>
      </c>
      <c r="B34" s="7"/>
      <c r="C34" s="18" t="s">
        <v>43</v>
      </c>
      <c r="D34" s="65">
        <f>'EAST-EGM-FLSH'!D34+'EAST-LRC-FLSH'!D34</f>
        <v>559377</v>
      </c>
      <c r="E34" s="66">
        <f>'EAST-EGM-FLSH'!E34+'EAST-LRC-FLSH'!E34</f>
        <v>1269071</v>
      </c>
      <c r="F34" s="60">
        <f t="shared" si="8"/>
        <v>0</v>
      </c>
      <c r="G34" s="37">
        <f t="shared" si="8"/>
        <v>0</v>
      </c>
      <c r="H34" s="60">
        <f>'EAST-EGM-FLSH'!H34+'EAST-LRC-FLSH'!H34</f>
        <v>559377</v>
      </c>
      <c r="I34" s="38">
        <f>'EAST-EGM-FLSH'!I34+'EAST-LRC-FLSH'!I34</f>
        <v>1269071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559377</v>
      </c>
      <c r="M34" s="38">
        <f t="shared" si="7"/>
        <v>1269071</v>
      </c>
    </row>
    <row r="35" spans="1:13" x14ac:dyDescent="0.2">
      <c r="A35" s="9">
        <v>16</v>
      </c>
      <c r="B35" s="7"/>
      <c r="C35" s="18" t="s">
        <v>44</v>
      </c>
      <c r="D35" s="65">
        <f>'EAST-EGM-FLSH'!D35+'EAST-LRC-FLSH'!D35</f>
        <v>-346452</v>
      </c>
      <c r="E35" s="66">
        <f>'EAST-EGM-FLSH'!E35+'EAST-LRC-FLSH'!E35</f>
        <v>-778472</v>
      </c>
      <c r="F35" s="60">
        <f t="shared" si="8"/>
        <v>0</v>
      </c>
      <c r="G35" s="37">
        <f t="shared" si="8"/>
        <v>0</v>
      </c>
      <c r="H35" s="60">
        <f>'EAST-EGM-FLSH'!H35+'EAST-LRC-FLSH'!H35</f>
        <v>-346452</v>
      </c>
      <c r="I35" s="38">
        <f>'EAST-EGM-FLSH'!I35+'EAST-LRC-FLSH'!I35</f>
        <v>-778472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-346452</v>
      </c>
      <c r="M35" s="38">
        <f t="shared" si="7"/>
        <v>-778472</v>
      </c>
    </row>
    <row r="36" spans="1:13" x14ac:dyDescent="0.2">
      <c r="A36" s="9"/>
      <c r="B36" s="7" t="s">
        <v>45</v>
      </c>
      <c r="C36" s="6"/>
      <c r="D36" s="61">
        <f t="shared" ref="D36:I36" si="9">SUM(D32:D35)</f>
        <v>580349</v>
      </c>
      <c r="E36" s="39">
        <f t="shared" si="9"/>
        <v>1358286.2190546291</v>
      </c>
      <c r="F36" s="61">
        <f t="shared" si="9"/>
        <v>0</v>
      </c>
      <c r="G36" s="39">
        <f t="shared" si="9"/>
        <v>0</v>
      </c>
      <c r="H36" s="61">
        <f t="shared" si="9"/>
        <v>580349</v>
      </c>
      <c r="I36" s="39">
        <f t="shared" si="9"/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f>'EAST-EGM-FLSH'!D39+'EAST-LRC-FLSH'!D39</f>
        <v>635909</v>
      </c>
      <c r="E39" s="66">
        <f>'EAST-EGM-FLSH'!E39+'EAST-LRC-FLSH'!E39</f>
        <v>1491229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635909</v>
      </c>
      <c r="I39" s="38">
        <f>'EAST-EGM-FLSH'!I39+'EAST-LRC-FLSH'!I39</f>
        <v>1491229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635909</v>
      </c>
      <c r="M39" s="38">
        <f t="shared" si="11"/>
        <v>1491229</v>
      </c>
    </row>
    <row r="40" spans="1:13" ht="22.5" customHeight="1" x14ac:dyDescent="0.2">
      <c r="A40" s="9">
        <v>18</v>
      </c>
      <c r="B40" s="7"/>
      <c r="C40" s="18" t="s">
        <v>48</v>
      </c>
      <c r="D40" s="65">
        <f>'EAST-EGM-FLSH'!D40+'EAST-LRC-FLSH'!D40</f>
        <v>-338530</v>
      </c>
      <c r="E40" s="66">
        <f>'EAST-EGM-FLSH'!E40+'EAST-LRC-FLSH'!E40</f>
        <v>-795545</v>
      </c>
      <c r="F40" s="60">
        <f t="shared" si="10"/>
        <v>0</v>
      </c>
      <c r="G40" s="37">
        <f t="shared" si="10"/>
        <v>0</v>
      </c>
      <c r="H40" s="60">
        <f>'EAST-EGM-FLSH'!H40+'EAST-LRC-FLSH'!H40</f>
        <v>-338530</v>
      </c>
      <c r="I40" s="38">
        <f>'EAST-EGM-FLSH'!I40+'EAST-LRC-FLSH'!I40</f>
        <v>-795545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-338530</v>
      </c>
      <c r="M40" s="38">
        <f t="shared" si="11"/>
        <v>-795545</v>
      </c>
    </row>
    <row r="41" spans="1:13" x14ac:dyDescent="0.2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50</v>
      </c>
      <c r="D42" s="61">
        <f>SUM(D40:D41)</f>
        <v>-338530</v>
      </c>
      <c r="E42" s="39">
        <f>SUM(E40:E41)</f>
        <v>-795545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-338530</v>
      </c>
      <c r="I42" s="39">
        <f t="shared" si="12"/>
        <v>-795545</v>
      </c>
      <c r="J42" s="61">
        <f t="shared" si="12"/>
        <v>0</v>
      </c>
      <c r="K42" s="39">
        <f t="shared" si="12"/>
        <v>0</v>
      </c>
      <c r="L42" s="61">
        <f t="shared" si="12"/>
        <v>-338530</v>
      </c>
      <c r="M42" s="39">
        <f t="shared" si="12"/>
        <v>-795545</v>
      </c>
    </row>
    <row r="43" spans="1:13" ht="21" customHeight="1" x14ac:dyDescent="0.2">
      <c r="A43" s="9"/>
      <c r="B43" s="7" t="s">
        <v>51</v>
      </c>
      <c r="C43" s="6"/>
      <c r="D43" s="61">
        <f>D42+D39</f>
        <v>297379</v>
      </c>
      <c r="E43" s="39">
        <f>E42+E39</f>
        <v>695684</v>
      </c>
      <c r="F43" s="61">
        <f t="shared" ref="F43:M43" si="13">F42+F39</f>
        <v>0</v>
      </c>
      <c r="G43" s="39">
        <f t="shared" si="13"/>
        <v>0</v>
      </c>
      <c r="H43" s="61">
        <f t="shared" si="13"/>
        <v>297379</v>
      </c>
      <c r="I43" s="39">
        <f t="shared" si="13"/>
        <v>695684</v>
      </c>
      <c r="J43" s="61">
        <f t="shared" si="13"/>
        <v>0</v>
      </c>
      <c r="K43" s="39">
        <f t="shared" si="13"/>
        <v>0</v>
      </c>
      <c r="L43" s="61">
        <f t="shared" si="13"/>
        <v>297379</v>
      </c>
      <c r="M43" s="39">
        <f t="shared" si="13"/>
        <v>695684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f>'EAST-EGM-FLSH'!D51+'EAST-LRC-FLSH'!D51</f>
        <v>-237567</v>
      </c>
      <c r="E51" s="66">
        <f>'EAST-EGM-FLSH'!E51+'EAST-LRC-FLSH'!E51</f>
        <v>-531921</v>
      </c>
      <c r="F51" s="60">
        <f>H51-D51</f>
        <v>0</v>
      </c>
      <c r="G51" s="37">
        <f>I51-E51</f>
        <v>0</v>
      </c>
      <c r="H51" s="60">
        <f>'EAST-EGM-FLSH'!H51+'EAST-LRC-FLSH'!H51</f>
        <v>-237567</v>
      </c>
      <c r="I51" s="38">
        <f>'EAST-EGM-FLSH'!I51+'EAST-LRC-FLSH'!I51</f>
        <v>-531921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-509841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-509841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-1302091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-1302091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-1811932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-1811932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70884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70884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70884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70884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2849705.85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2849705.85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196193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196193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3045898.85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3045898.85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3045898.85</v>
      </c>
    </row>
    <row r="73" spans="1:13" x14ac:dyDescent="0.2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-2871909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-2871909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-2871909</v>
      </c>
    </row>
    <row r="75" spans="1:13" x14ac:dyDescent="0.2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667651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667651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667651</v>
      </c>
    </row>
    <row r="76" spans="1:13" x14ac:dyDescent="0.2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-8213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-8213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-8213</v>
      </c>
    </row>
    <row r="77" spans="1:13" x14ac:dyDescent="0.2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878217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878217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878217</v>
      </c>
    </row>
    <row r="80" spans="1:13" x14ac:dyDescent="0.2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80</v>
      </c>
      <c r="D81" s="60"/>
      <c r="E81" s="66">
        <f>'EAST-EGM-FLSH'!E81+'EAST-LRC-FLSH'!E81</f>
        <v>-1987039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-1987039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-1987039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-1797660.9859453542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-1797660.9859453542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-1797660.9859453542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-1797660.9859453542</v>
      </c>
      <c r="M84" s="45"/>
    </row>
    <row r="85" spans="1:67" x14ac:dyDescent="0.2">
      <c r="A85" s="4" t="s">
        <v>173</v>
      </c>
      <c r="B85" s="3"/>
    </row>
    <row r="86" spans="1:67" s="3" customFormat="1" x14ac:dyDescent="0.2">
      <c r="A86" s="174"/>
      <c r="C86" s="10" t="s">
        <v>176</v>
      </c>
      <c r="D86" s="175">
        <f>'EAST-EGM-FLSH'!D86+'EAST-LRC-FLSH'!D86</f>
        <v>0</v>
      </c>
      <c r="E86" s="175">
        <f>'EAST-EGM-FLSH'!E86+'EAST-LRC-FLSH'!E86</f>
        <v>-199187</v>
      </c>
      <c r="F86" s="175">
        <f>'EAST-EGM-FLSH'!F86+'EAST-LRC-FLSH'!F86</f>
        <v>0</v>
      </c>
      <c r="G86" s="175">
        <f>'EAST-EGM-FLSH'!G86+'EAST-LRC-FLSH'!G86</f>
        <v>0</v>
      </c>
      <c r="H86" s="175">
        <f>'EAST-EGM-FLSH'!H86+'EAST-LRC-FLSH'!H86</f>
        <v>0</v>
      </c>
      <c r="I86" s="175">
        <f>'EAST-EGM-FLSH'!I86+'EAST-LRC-FLSH'!I86</f>
        <v>-199187</v>
      </c>
      <c r="J86" s="175">
        <f>'EAST-EGM-FLSH'!J86+'EAST-LRC-FLSH'!J86</f>
        <v>0</v>
      </c>
      <c r="K86" s="175">
        <f>'EAST-EGM-FLSH'!K86+'EAST-LRC-FLSH'!K86</f>
        <v>0</v>
      </c>
      <c r="L86" s="175">
        <f>'EAST-EGM-FLSH'!L86+'EAST-LRC-FLSH'!L86</f>
        <v>0</v>
      </c>
      <c r="M86" s="175">
        <f>'EAST-EGM-FLSH'!M86+'EAST-LRC-FLSH'!M86</f>
        <v>-199187</v>
      </c>
    </row>
    <row r="87" spans="1:67" s="3" customFormat="1" x14ac:dyDescent="0.2">
      <c r="A87" s="174"/>
      <c r="C87" s="10" t="s">
        <v>73</v>
      </c>
      <c r="D87" s="176">
        <f>'EAST-EGM-FLSH'!D87+'EAST-LRC-FLSH'!D87</f>
        <v>0</v>
      </c>
      <c r="E87" s="176">
        <f>'EAST-EGM-FLSH'!E87+'EAST-LRC-FLSH'!E87</f>
        <v>0</v>
      </c>
      <c r="F87" s="176">
        <f>'EAST-EGM-FLSH'!F87+'EAST-LRC-FLSH'!F87</f>
        <v>0</v>
      </c>
      <c r="G87" s="176">
        <f>'EAST-EGM-FLSH'!G87+'EAST-LRC-FLSH'!G87</f>
        <v>0</v>
      </c>
      <c r="H87" s="176">
        <f>'EAST-EGM-FLSH'!H87+'EAST-LRC-FLSH'!H87</f>
        <v>0</v>
      </c>
      <c r="I87" s="176">
        <f>'EAST-EGM-FLSH'!I87+'EAST-LRC-FLSH'!I87</f>
        <v>0</v>
      </c>
      <c r="J87" s="176">
        <f>'EAST-EGM-FLSH'!J87+'EAST-LRC-FLSH'!J87</f>
        <v>0</v>
      </c>
      <c r="K87" s="176">
        <f>'EAST-EGM-FLSH'!K87+'EAST-LRC-FLSH'!K87</f>
        <v>0</v>
      </c>
      <c r="L87" s="176">
        <f>'EAST-EGM-FLSH'!L87+'EAST-LRC-FLSH'!L87</f>
        <v>0</v>
      </c>
      <c r="M87" s="176">
        <f>'EAST-EGM-FLSH'!M87+'EAST-LRC-FLSH'!M87</f>
        <v>0</v>
      </c>
    </row>
    <row r="88" spans="1:67" s="3" customFormat="1" x14ac:dyDescent="0.2">
      <c r="A88" s="174"/>
      <c r="C88" s="10" t="s">
        <v>74</v>
      </c>
      <c r="D88" s="177">
        <f>'EAST-EGM-FLSH'!D88+'EAST-LRC-FLSH'!D88</f>
        <v>0</v>
      </c>
      <c r="E88" s="177">
        <f>'EAST-EGM-FLSH'!E88+'EAST-LRC-FLSH'!E88</f>
        <v>0</v>
      </c>
      <c r="F88" s="177">
        <f>'EAST-EGM-FLSH'!F88+'EAST-LRC-FLSH'!F88</f>
        <v>0</v>
      </c>
      <c r="G88" s="177">
        <f>'EAST-EGM-FLSH'!G88+'EAST-LRC-FLSH'!G88</f>
        <v>0</v>
      </c>
      <c r="H88" s="177">
        <f>'EAST-EGM-FLSH'!H88+'EAST-LRC-FLSH'!H88</f>
        <v>0</v>
      </c>
      <c r="I88" s="177">
        <f>'EAST-EGM-FLSH'!I88+'EAST-LRC-FLSH'!I88</f>
        <v>0</v>
      </c>
      <c r="J88" s="177">
        <f>'EAST-EGM-FLSH'!J88+'EAST-LRC-FLSH'!J88</f>
        <v>0</v>
      </c>
      <c r="K88" s="177">
        <f>'EAST-EGM-FLSH'!K88+'EAST-LRC-FLSH'!K88</f>
        <v>0</v>
      </c>
      <c r="L88" s="177">
        <f>'EAST-EGM-FLSH'!L88+'EAST-LRC-FLSH'!L88</f>
        <v>0</v>
      </c>
      <c r="M88" s="177">
        <f>'EAST-EGM-FLSH'!M88+'EAST-LRC-FLSH'!M88</f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0">SUM(E86:E88)</f>
        <v>-199187</v>
      </c>
      <c r="F89" s="185">
        <f t="shared" si="20"/>
        <v>0</v>
      </c>
      <c r="G89" s="185">
        <f t="shared" si="20"/>
        <v>0</v>
      </c>
      <c r="H89" s="185">
        <f t="shared" si="20"/>
        <v>0</v>
      </c>
      <c r="I89" s="185">
        <f t="shared" si="20"/>
        <v>-199187</v>
      </c>
      <c r="J89" s="185">
        <f t="shared" si="20"/>
        <v>0</v>
      </c>
      <c r="K89" s="185">
        <f t="shared" si="20"/>
        <v>0</v>
      </c>
      <c r="L89" s="185">
        <f t="shared" si="20"/>
        <v>0</v>
      </c>
      <c r="M89" s="185">
        <f t="shared" si="20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1">+E82+E89</f>
        <v>-1996847.9859453542</v>
      </c>
      <c r="F91" s="185">
        <f t="shared" si="21"/>
        <v>0</v>
      </c>
      <c r="G91" s="185">
        <f t="shared" si="21"/>
        <v>0</v>
      </c>
      <c r="H91" s="185">
        <f t="shared" si="21"/>
        <v>0</v>
      </c>
      <c r="I91" s="185">
        <f t="shared" si="21"/>
        <v>-1996847.9859453542</v>
      </c>
      <c r="J91" s="185">
        <f t="shared" si="21"/>
        <v>0</v>
      </c>
      <c r="K91" s="185">
        <f t="shared" si="21"/>
        <v>0</v>
      </c>
      <c r="L91" s="185">
        <f t="shared" si="21"/>
        <v>0</v>
      </c>
      <c r="M91" s="185">
        <f t="shared" si="21"/>
        <v>-1996847.9859453542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2000-01-14T23:17:31Z</cp:lastPrinted>
  <dcterms:created xsi:type="dcterms:W3CDTF">1997-07-11T21:57:33Z</dcterms:created>
  <dcterms:modified xsi:type="dcterms:W3CDTF">2014-09-05T10:42:33Z</dcterms:modified>
</cp:coreProperties>
</file>