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ON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ON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ON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  <externalReference r:id="rId49"/>
  </externalReferences>
  <definedNames>
    <definedName name="canada">[0]!canada</definedName>
    <definedName name="central">[0]!central</definedName>
    <definedName name="checkbalance">Actuals!$D$640:$AC$653</definedName>
    <definedName name="complete">[0]!complete</definedName>
    <definedName name="northeast">[0]!northeast</definedName>
    <definedName name="_xlnm.Print_Area" localSheetId="45">Actuals!$D$640:$I$653</definedName>
    <definedName name="_xlnm.Print_Area" localSheetId="44">BGC_VAR!$A$1:$I$82</definedName>
    <definedName name="_xlnm.Print_Area" localSheetId="32">'CE-VAR'!$A$1:$I$82</definedName>
    <definedName name="_xlnm.Print_Area" localSheetId="2">Check!$A$1:$D$39</definedName>
    <definedName name="_xlnm.Print_Area" localSheetId="20">NE_GL!$A$1:$AP$92</definedName>
    <definedName name="_xlnm.Print_Area" localSheetId="7">'NE-FLSH'!$A$1:$M$92</definedName>
    <definedName name="_xlnm.Print_Area" localSheetId="33">'NE-VAR'!$A$1:$I$92</definedName>
    <definedName name="_xlnm.Print_Area" localSheetId="17">ONT_FLSH!$A$1:$M$92</definedName>
    <definedName name="_xlnm.Print_Area" localSheetId="31">'ONT_GL '!$A$1:$AP$92</definedName>
    <definedName name="_xlnm.Print_Area" localSheetId="43">ONT_VAR!$A$1:$I$92</definedName>
    <definedName name="_xlnm.Print_Area" localSheetId="4">RECLASS!$A$1:$Y$82</definedName>
    <definedName name="_xlnm.Print_Area" localSheetId="10">'SE-CON-FLSH'!$A$1:$M$82</definedName>
    <definedName name="_xlnm.Print_Area" localSheetId="36">'SE-CON-VAR'!$A$1:$I$82</definedName>
    <definedName name="_xlnm.Print_Area" localSheetId="8">'SE-EGM-FLSH'!$A$1:$M$82</definedName>
    <definedName name="_xlnm.Print_Area" localSheetId="34">'SE-EGM-VAR'!$A$1:$I$82</definedName>
    <definedName name="_xlnm.Print_Area" localSheetId="9">'SE-LRC-FLSH'!$A$1:$M$82</definedName>
    <definedName name="_xlnm.Print_Area" localSheetId="35">'SE-LRC-VAR'!$A$1:$I$82</definedName>
    <definedName name="_xlnm.Print_Area" localSheetId="42">STG_VAR!$A$1:$I$82</definedName>
    <definedName name="_xlnm.Print_Area" localSheetId="5">'TIE-OUT'!$A$1:$Y$82</definedName>
    <definedName name="_xlnm.Print_Area" localSheetId="3">TOTAL!$A$1:$I$92</definedName>
    <definedName name="_xlnm.Print_Area" localSheetId="14">'TX-CON-FLSH'!$A$1:$M$82</definedName>
    <definedName name="_xlnm.Print_Area" localSheetId="40">'TX-CON-VAR'!$A$1:$I$82</definedName>
    <definedName name="_xlnm.Print_Area" localSheetId="12">'TX-EGM-FLSH'!$A$1:$M$92</definedName>
    <definedName name="_xlnm.Print_Area" localSheetId="25">'TX-EGM-GL'!$A$1:$AP$92</definedName>
    <definedName name="_xlnm.Print_Area" localSheetId="38">'TX-EGM-VAR'!$A$1:$I$92</definedName>
    <definedName name="_xlnm.Print_Area" localSheetId="13">'TX-HPL-FLSH'!$A$1:$M$82</definedName>
    <definedName name="_xlnm.Print_Area" localSheetId="39">'TX-HPL-VAR '!$A$1:$I$82</definedName>
    <definedName name="_xlnm.Print_Area" localSheetId="15">'WE-FLSH'!$A$1:$M$82</definedName>
    <definedName name="_xlnm.Print_Area" localSheetId="41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/>
  <c r="K1" i="44"/>
  <c r="M1" i="44"/>
  <c r="O1" i="44" s="1"/>
  <c r="Q1" i="44" s="1"/>
  <c r="S1" i="44" s="1"/>
  <c r="U1" i="44" s="1"/>
  <c r="W1" i="44" s="1"/>
  <c r="Y1" i="44" s="1"/>
  <c r="AA1" i="44" s="1"/>
  <c r="AC1" i="44" s="1"/>
  <c r="AE1" i="44" s="1"/>
  <c r="AG1" i="44" s="1"/>
  <c r="H640" i="44"/>
  <c r="J640" i="44" s="1"/>
  <c r="L640" i="44" s="1"/>
  <c r="N640" i="44" s="1"/>
  <c r="P640" i="44"/>
  <c r="R640" i="44"/>
  <c r="T640" i="44"/>
  <c r="V640" i="44" s="1"/>
  <c r="X640" i="44" s="1"/>
  <c r="Z640" i="44" s="1"/>
  <c r="AB640" i="44" s="1"/>
  <c r="AD640" i="44" s="1"/>
  <c r="AF640" i="44" s="1"/>
  <c r="AH640" i="44" s="1"/>
  <c r="A5" i="17"/>
  <c r="F11" i="17"/>
  <c r="G11" i="17"/>
  <c r="H11" i="17"/>
  <c r="L11" i="17" s="1"/>
  <c r="I11" i="17"/>
  <c r="M11" i="17"/>
  <c r="H12" i="17"/>
  <c r="I12" i="17"/>
  <c r="G13" i="17"/>
  <c r="H13" i="17"/>
  <c r="F13" i="17" s="1"/>
  <c r="I13" i="17"/>
  <c r="L13" i="17"/>
  <c r="M13" i="17"/>
  <c r="H14" i="17"/>
  <c r="F14" i="17" s="1"/>
  <c r="I14" i="17"/>
  <c r="L14" i="17"/>
  <c r="F15" i="17"/>
  <c r="G15" i="17"/>
  <c r="H15" i="17"/>
  <c r="L15" i="17" s="1"/>
  <c r="I15" i="17"/>
  <c r="M15" i="17"/>
  <c r="J16" i="17"/>
  <c r="K16" i="17"/>
  <c r="H18" i="17"/>
  <c r="I18" i="17"/>
  <c r="F19" i="17"/>
  <c r="F24" i="17" s="1"/>
  <c r="G19" i="17"/>
  <c r="H19" i="17"/>
  <c r="L19" i="17" s="1"/>
  <c r="I19" i="17"/>
  <c r="M19" i="17"/>
  <c r="F20" i="17"/>
  <c r="H20" i="17"/>
  <c r="L20" i="17" s="1"/>
  <c r="I20" i="17"/>
  <c r="G21" i="17"/>
  <c r="H21" i="17"/>
  <c r="F21" i="17" s="1"/>
  <c r="I21" i="17"/>
  <c r="L21" i="17"/>
  <c r="M21" i="17"/>
  <c r="H22" i="17"/>
  <c r="F22" i="17" s="1"/>
  <c r="I22" i="17"/>
  <c r="G22" i="17" s="1"/>
  <c r="L22" i="17"/>
  <c r="M22" i="17"/>
  <c r="F23" i="17"/>
  <c r="G23" i="17"/>
  <c r="H23" i="17"/>
  <c r="L23" i="17" s="1"/>
  <c r="I23" i="17"/>
  <c r="M23" i="17"/>
  <c r="H24" i="17"/>
  <c r="J24" i="17"/>
  <c r="K24" i="17"/>
  <c r="F27" i="17"/>
  <c r="F29" i="17" s="1"/>
  <c r="H27" i="17"/>
  <c r="I27" i="17"/>
  <c r="H28" i="17"/>
  <c r="F28" i="17" s="1"/>
  <c r="I28" i="17"/>
  <c r="G28" i="17" s="1"/>
  <c r="L28" i="17"/>
  <c r="M28" i="17"/>
  <c r="I29" i="17"/>
  <c r="J29" i="17"/>
  <c r="K29" i="17"/>
  <c r="H32" i="17"/>
  <c r="F32" i="17" s="1"/>
  <c r="I32" i="17"/>
  <c r="L32" i="17"/>
  <c r="M32" i="17"/>
  <c r="F33" i="17"/>
  <c r="G33" i="17"/>
  <c r="H33" i="17"/>
  <c r="L33" i="17" s="1"/>
  <c r="I33" i="17"/>
  <c r="M33" i="17"/>
  <c r="H34" i="17"/>
  <c r="I34" i="17"/>
  <c r="G35" i="17"/>
  <c r="H35" i="17"/>
  <c r="F35" i="17" s="1"/>
  <c r="I35" i="17"/>
  <c r="L35" i="17"/>
  <c r="M35" i="17"/>
  <c r="J36" i="17"/>
  <c r="K36" i="17"/>
  <c r="L37" i="17"/>
  <c r="M37" i="17"/>
  <c r="H38" i="17"/>
  <c r="I38" i="17"/>
  <c r="G39" i="17"/>
  <c r="H39" i="17"/>
  <c r="I39" i="17"/>
  <c r="M39" i="17" s="1"/>
  <c r="H40" i="17"/>
  <c r="I40" i="17"/>
  <c r="L40" i="17"/>
  <c r="M40" i="17"/>
  <c r="M42" i="17" s="1"/>
  <c r="M43" i="17" s="1"/>
  <c r="F41" i="17"/>
  <c r="H41" i="17"/>
  <c r="I41" i="17"/>
  <c r="G41" i="17" s="1"/>
  <c r="L41" i="17"/>
  <c r="M41" i="17"/>
  <c r="J42" i="17"/>
  <c r="K42" i="17"/>
  <c r="L42" i="17"/>
  <c r="J43" i="17"/>
  <c r="K43" i="17"/>
  <c r="F45" i="17"/>
  <c r="G45" i="17"/>
  <c r="H45" i="17"/>
  <c r="L45" i="17" s="1"/>
  <c r="I45" i="17"/>
  <c r="M45" i="17"/>
  <c r="F47" i="17"/>
  <c r="H47" i="17"/>
  <c r="L47" i="17" s="1"/>
  <c r="I47" i="17"/>
  <c r="H49" i="17"/>
  <c r="F49" i="17" s="1"/>
  <c r="I49" i="17"/>
  <c r="G49" i="17" s="1"/>
  <c r="L49" i="17"/>
  <c r="M49" i="17"/>
  <c r="F51" i="17"/>
  <c r="H51" i="17"/>
  <c r="I51" i="17"/>
  <c r="L51" i="17"/>
  <c r="F54" i="17"/>
  <c r="G54" i="17"/>
  <c r="H54" i="17"/>
  <c r="L54" i="17" s="1"/>
  <c r="L56" i="17" s="1"/>
  <c r="I54" i="17"/>
  <c r="M54" i="17"/>
  <c r="M56" i="17" s="1"/>
  <c r="F55" i="17"/>
  <c r="H55" i="17"/>
  <c r="L55" i="17" s="1"/>
  <c r="I55" i="17"/>
  <c r="M55" i="17" s="1"/>
  <c r="H56" i="17"/>
  <c r="I56" i="17"/>
  <c r="J56" i="17"/>
  <c r="K56" i="17"/>
  <c r="H59" i="17"/>
  <c r="I59" i="17"/>
  <c r="G59" i="17" s="1"/>
  <c r="L59" i="17"/>
  <c r="M59" i="17"/>
  <c r="F60" i="17"/>
  <c r="H60" i="17"/>
  <c r="I60" i="17"/>
  <c r="L60" i="17"/>
  <c r="J61" i="17"/>
  <c r="K61" i="17"/>
  <c r="L61" i="17"/>
  <c r="F64" i="17"/>
  <c r="G64" i="17"/>
  <c r="H64" i="17"/>
  <c r="L64" i="17" s="1"/>
  <c r="I64" i="17"/>
  <c r="M64" i="17"/>
  <c r="M66" i="17" s="1"/>
  <c r="F65" i="17"/>
  <c r="G65" i="17"/>
  <c r="G66" i="17" s="1"/>
  <c r="H65" i="17"/>
  <c r="I65" i="17"/>
  <c r="M65" i="17" s="1"/>
  <c r="I66" i="17"/>
  <c r="J66" i="17"/>
  <c r="K66" i="17"/>
  <c r="L69" i="17"/>
  <c r="M69" i="17"/>
  <c r="H70" i="17"/>
  <c r="F70" i="17" s="1"/>
  <c r="I70" i="17"/>
  <c r="G71" i="17"/>
  <c r="H71" i="17"/>
  <c r="I71" i="17"/>
  <c r="M71" i="17" s="1"/>
  <c r="J72" i="17"/>
  <c r="K72" i="17"/>
  <c r="H73" i="17"/>
  <c r="F73" i="17" s="1"/>
  <c r="I73" i="17"/>
  <c r="L73" i="17"/>
  <c r="F74" i="17"/>
  <c r="G74" i="17"/>
  <c r="H74" i="17"/>
  <c r="L74" i="17" s="1"/>
  <c r="I74" i="17"/>
  <c r="M74" i="17"/>
  <c r="F75" i="17"/>
  <c r="H75" i="17"/>
  <c r="L75" i="17" s="1"/>
  <c r="I75" i="17"/>
  <c r="M75" i="17" s="1"/>
  <c r="H76" i="17"/>
  <c r="F76" i="17" s="1"/>
  <c r="I76" i="17"/>
  <c r="L76" i="17"/>
  <c r="H77" i="17"/>
  <c r="F77" i="17" s="1"/>
  <c r="I77" i="17"/>
  <c r="G77" i="17" s="1"/>
  <c r="L77" i="17"/>
  <c r="M77" i="17"/>
  <c r="F78" i="17"/>
  <c r="G78" i="17"/>
  <c r="H78" i="17"/>
  <c r="I78" i="17"/>
  <c r="L78" i="17"/>
  <c r="M78" i="17"/>
  <c r="G79" i="17"/>
  <c r="H79" i="17"/>
  <c r="I79" i="17"/>
  <c r="M79" i="17" s="1"/>
  <c r="G80" i="17"/>
  <c r="H80" i="17"/>
  <c r="I80" i="17"/>
  <c r="M80" i="17"/>
  <c r="H81" i="17"/>
  <c r="F81" i="17" s="1"/>
  <c r="I81" i="17"/>
  <c r="L81" i="17"/>
  <c r="D82" i="17"/>
  <c r="E82" i="17"/>
  <c r="A5" i="29"/>
  <c r="H8" i="29"/>
  <c r="J8" i="29"/>
  <c r="L8" i="29"/>
  <c r="N8" i="29"/>
  <c r="P8" i="29"/>
  <c r="R8" i="29"/>
  <c r="T8" i="29"/>
  <c r="F11" i="29"/>
  <c r="D11" i="29" s="1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E16" i="29" s="1"/>
  <c r="AF11" i="29"/>
  <c r="AG11" i="29"/>
  <c r="AH11" i="29"/>
  <c r="AI11" i="29"/>
  <c r="AJ11" i="29"/>
  <c r="AK11" i="29"/>
  <c r="F12" i="29"/>
  <c r="G12" i="29"/>
  <c r="H12" i="29"/>
  <c r="I12" i="29"/>
  <c r="J12" i="29"/>
  <c r="K12" i="29"/>
  <c r="L12" i="29"/>
  <c r="M12" i="29"/>
  <c r="M16" i="29" s="1"/>
  <c r="N12" i="29"/>
  <c r="N16" i="29" s="1"/>
  <c r="O12" i="29"/>
  <c r="P12" i="29"/>
  <c r="Q12" i="29"/>
  <c r="R12" i="29"/>
  <c r="S12" i="29"/>
  <c r="T12" i="29"/>
  <c r="U12" i="29"/>
  <c r="U16" i="29" s="1"/>
  <c r="V12" i="29"/>
  <c r="W12" i="29"/>
  <c r="X12" i="29"/>
  <c r="Y12" i="29"/>
  <c r="Y16" i="29" s="1"/>
  <c r="Z12" i="29"/>
  <c r="AA12" i="29"/>
  <c r="AB12" i="29"/>
  <c r="AC12" i="29"/>
  <c r="AC16" i="29" s="1"/>
  <c r="AD12" i="29"/>
  <c r="AE12" i="29"/>
  <c r="AF12" i="29"/>
  <c r="AG12" i="29"/>
  <c r="AH12" i="29"/>
  <c r="AI12" i="29"/>
  <c r="AJ12" i="29"/>
  <c r="AK12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T16" i="29" s="1"/>
  <c r="U13" i="29"/>
  <c r="V13" i="29"/>
  <c r="W13" i="29"/>
  <c r="X13" i="29"/>
  <c r="Y13" i="29"/>
  <c r="Z13" i="29"/>
  <c r="AA13" i="29"/>
  <c r="AB13" i="29"/>
  <c r="AB16" i="29" s="1"/>
  <c r="AC13" i="29"/>
  <c r="AD13" i="29"/>
  <c r="AE13" i="29"/>
  <c r="AF13" i="29"/>
  <c r="AG13" i="29"/>
  <c r="AH13" i="29"/>
  <c r="AI13" i="29"/>
  <c r="AJ13" i="29"/>
  <c r="AJ16" i="29" s="1"/>
  <c r="AK13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F15" i="29"/>
  <c r="G15" i="29"/>
  <c r="H15" i="29"/>
  <c r="H16" i="29" s="1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F16" i="29"/>
  <c r="G16" i="29"/>
  <c r="I16" i="29"/>
  <c r="P16" i="29"/>
  <c r="Q16" i="29"/>
  <c r="V16" i="29"/>
  <c r="W16" i="29"/>
  <c r="AD16" i="29"/>
  <c r="AF16" i="29"/>
  <c r="AG16" i="29"/>
  <c r="AK16" i="29"/>
  <c r="F19" i="29"/>
  <c r="D19" i="29" s="1"/>
  <c r="G19" i="29"/>
  <c r="H19" i="29"/>
  <c r="I19" i="29"/>
  <c r="J19" i="29"/>
  <c r="K19" i="29"/>
  <c r="K24" i="29" s="1"/>
  <c r="L19" i="29"/>
  <c r="M19" i="29"/>
  <c r="N19" i="29"/>
  <c r="O19" i="29"/>
  <c r="P19" i="29"/>
  <c r="Q19" i="29"/>
  <c r="R19" i="29"/>
  <c r="S19" i="29"/>
  <c r="S24" i="29" s="1"/>
  <c r="T19" i="29"/>
  <c r="U19" i="29"/>
  <c r="V19" i="29"/>
  <c r="W19" i="29"/>
  <c r="X19" i="29"/>
  <c r="Y19" i="29"/>
  <c r="Z19" i="29"/>
  <c r="AA19" i="29"/>
  <c r="AA24" i="29" s="1"/>
  <c r="AB19" i="29"/>
  <c r="AC19" i="29"/>
  <c r="AD19" i="29"/>
  <c r="AE19" i="29"/>
  <c r="AF19" i="29"/>
  <c r="AG19" i="29"/>
  <c r="AH19" i="29"/>
  <c r="AI19" i="29"/>
  <c r="AI24" i="29" s="1"/>
  <c r="AJ19" i="29"/>
  <c r="AK19" i="29"/>
  <c r="F20" i="29"/>
  <c r="G20" i="29"/>
  <c r="H20" i="29"/>
  <c r="I20" i="29"/>
  <c r="J20" i="29"/>
  <c r="K20" i="29"/>
  <c r="L20" i="29"/>
  <c r="D20" i="29" s="1"/>
  <c r="M20" i="29"/>
  <c r="E20" i="29" s="1"/>
  <c r="G20" i="41" s="1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X24" i="29" s="1"/>
  <c r="Y21" i="29"/>
  <c r="Z21" i="29"/>
  <c r="AA21" i="29"/>
  <c r="AB21" i="29"/>
  <c r="AC21" i="29"/>
  <c r="AD21" i="29"/>
  <c r="AE21" i="29"/>
  <c r="AF21" i="29"/>
  <c r="AF24" i="29" s="1"/>
  <c r="AG21" i="29"/>
  <c r="AH21" i="29"/>
  <c r="AI21" i="29"/>
  <c r="AJ21" i="29"/>
  <c r="AK21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W24" i="29" s="1"/>
  <c r="X22" i="29"/>
  <c r="Y22" i="29"/>
  <c r="Z22" i="29"/>
  <c r="AA22" i="29"/>
  <c r="AB22" i="29"/>
  <c r="AC22" i="29"/>
  <c r="AD22" i="29"/>
  <c r="AD24" i="29" s="1"/>
  <c r="AE22" i="29"/>
  <c r="AF22" i="29"/>
  <c r="AG22" i="29"/>
  <c r="AH22" i="29"/>
  <c r="AI22" i="29"/>
  <c r="AJ22" i="29"/>
  <c r="AK22" i="29"/>
  <c r="F23" i="29"/>
  <c r="G23" i="29"/>
  <c r="H23" i="29"/>
  <c r="I23" i="29"/>
  <c r="J23" i="29"/>
  <c r="K23" i="29"/>
  <c r="L23" i="29"/>
  <c r="L24" i="29" s="1"/>
  <c r="M23" i="29"/>
  <c r="E23" i="29" s="1"/>
  <c r="G23" i="41" s="1"/>
  <c r="I23" i="41" s="1"/>
  <c r="N23" i="29"/>
  <c r="O23" i="29"/>
  <c r="P23" i="29"/>
  <c r="Q23" i="29"/>
  <c r="R23" i="29"/>
  <c r="S23" i="29"/>
  <c r="T23" i="29"/>
  <c r="T24" i="29" s="1"/>
  <c r="U23" i="29"/>
  <c r="V23" i="29"/>
  <c r="W23" i="29"/>
  <c r="X23" i="29"/>
  <c r="Y23" i="29"/>
  <c r="Z23" i="29"/>
  <c r="AA23" i="29"/>
  <c r="AB23" i="29"/>
  <c r="AB24" i="29" s="1"/>
  <c r="AC23" i="29"/>
  <c r="AC24" i="29" s="1"/>
  <c r="AD23" i="29"/>
  <c r="AE23" i="29"/>
  <c r="AF23" i="29"/>
  <c r="AG23" i="29"/>
  <c r="AH23" i="29"/>
  <c r="AI23" i="29"/>
  <c r="AJ23" i="29"/>
  <c r="AJ24" i="29" s="1"/>
  <c r="AK23" i="29"/>
  <c r="AK24" i="29" s="1"/>
  <c r="J24" i="29"/>
  <c r="P24" i="29"/>
  <c r="R24" i="29"/>
  <c r="U24" i="29"/>
  <c r="V24" i="29"/>
  <c r="V82" i="29" s="1"/>
  <c r="T642" i="44" s="1"/>
  <c r="Z24" i="29"/>
  <c r="AE24" i="29"/>
  <c r="AH24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U29" i="29" s="1"/>
  <c r="V27" i="29"/>
  <c r="W27" i="29"/>
  <c r="X27" i="29"/>
  <c r="Y27" i="29"/>
  <c r="Z27" i="29"/>
  <c r="AA27" i="29"/>
  <c r="AB27" i="29"/>
  <c r="AC27" i="29"/>
  <c r="AC29" i="29" s="1"/>
  <c r="AD27" i="29"/>
  <c r="AE27" i="29"/>
  <c r="AF27" i="29"/>
  <c r="AG27" i="29"/>
  <c r="AH27" i="29"/>
  <c r="AI27" i="29"/>
  <c r="AJ27" i="29"/>
  <c r="AK27" i="29"/>
  <c r="AK29" i="29" s="1"/>
  <c r="F28" i="29"/>
  <c r="G28" i="29"/>
  <c r="H28" i="29"/>
  <c r="I28" i="29"/>
  <c r="J28" i="29"/>
  <c r="K28" i="29"/>
  <c r="L28" i="29"/>
  <c r="M28" i="29"/>
  <c r="N28" i="29"/>
  <c r="O28" i="29"/>
  <c r="P28" i="29"/>
  <c r="P29" i="29" s="1"/>
  <c r="Q28" i="29"/>
  <c r="R28" i="29"/>
  <c r="S28" i="29"/>
  <c r="T28" i="29"/>
  <c r="U28" i="29"/>
  <c r="V28" i="29"/>
  <c r="W28" i="29"/>
  <c r="X28" i="29"/>
  <c r="X29" i="29" s="1"/>
  <c r="Y28" i="29"/>
  <c r="Z28" i="29"/>
  <c r="AA28" i="29"/>
  <c r="AB28" i="29"/>
  <c r="AC28" i="29"/>
  <c r="AD28" i="29"/>
  <c r="AE28" i="29"/>
  <c r="AF28" i="29"/>
  <c r="AG28" i="29"/>
  <c r="AH28" i="29"/>
  <c r="AH29" i="29" s="1"/>
  <c r="AI28" i="29"/>
  <c r="AJ28" i="29"/>
  <c r="AK28" i="29"/>
  <c r="F29" i="29"/>
  <c r="G29" i="29"/>
  <c r="H29" i="29"/>
  <c r="I29" i="29"/>
  <c r="J29" i="29"/>
  <c r="N29" i="29"/>
  <c r="O29" i="29"/>
  <c r="Q29" i="29"/>
  <c r="R29" i="29"/>
  <c r="V29" i="29"/>
  <c r="W29" i="29"/>
  <c r="Y29" i="29"/>
  <c r="Z29" i="29"/>
  <c r="AD29" i="29"/>
  <c r="AE29" i="29"/>
  <c r="AF29" i="29"/>
  <c r="AG29" i="29"/>
  <c r="F32" i="29"/>
  <c r="G32" i="29"/>
  <c r="H32" i="29"/>
  <c r="I32" i="29"/>
  <c r="J32" i="29"/>
  <c r="K32" i="29"/>
  <c r="L32" i="29"/>
  <c r="M32" i="29"/>
  <c r="M36" i="29" s="1"/>
  <c r="N32" i="29"/>
  <c r="O32" i="29"/>
  <c r="P32" i="29"/>
  <c r="Q32" i="29"/>
  <c r="R32" i="29"/>
  <c r="S32" i="29"/>
  <c r="T32" i="29"/>
  <c r="U32" i="29"/>
  <c r="U36" i="29" s="1"/>
  <c r="V32" i="29"/>
  <c r="W32" i="29"/>
  <c r="X32" i="29"/>
  <c r="X36" i="29" s="1"/>
  <c r="Y32" i="29"/>
  <c r="Z32" i="29"/>
  <c r="AA32" i="29"/>
  <c r="AB32" i="29"/>
  <c r="AC32" i="29"/>
  <c r="AD32" i="29"/>
  <c r="AE32" i="29"/>
  <c r="AF32" i="29"/>
  <c r="AF36" i="29" s="1"/>
  <c r="AG32" i="29"/>
  <c r="AH32" i="29"/>
  <c r="AI32" i="29"/>
  <c r="AJ32" i="29"/>
  <c r="AK32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S36" i="29" s="1"/>
  <c r="T33" i="29"/>
  <c r="T36" i="29" s="1"/>
  <c r="U33" i="29"/>
  <c r="V33" i="29"/>
  <c r="V36" i="29" s="1"/>
  <c r="W33" i="29"/>
  <c r="X33" i="29"/>
  <c r="Y33" i="29"/>
  <c r="Z33" i="29"/>
  <c r="AA33" i="29"/>
  <c r="AA36" i="29" s="1"/>
  <c r="AB33" i="29"/>
  <c r="AC33" i="29"/>
  <c r="AD33" i="29"/>
  <c r="AE33" i="29"/>
  <c r="AF33" i="29"/>
  <c r="AG33" i="29"/>
  <c r="AH33" i="29"/>
  <c r="AI33" i="29"/>
  <c r="AI36" i="29" s="1"/>
  <c r="AJ33" i="29"/>
  <c r="AK33" i="29"/>
  <c r="D34" i="29"/>
  <c r="F34" i="41" s="1"/>
  <c r="F34" i="29"/>
  <c r="G34" i="29"/>
  <c r="E34" i="29" s="1"/>
  <c r="G34" i="41" s="1"/>
  <c r="I34" i="41" s="1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F35" i="29"/>
  <c r="G35" i="29"/>
  <c r="H35" i="29"/>
  <c r="I35" i="29"/>
  <c r="J35" i="29"/>
  <c r="K35" i="29"/>
  <c r="L35" i="29"/>
  <c r="M35" i="29"/>
  <c r="N35" i="29"/>
  <c r="O35" i="29"/>
  <c r="O36" i="29" s="1"/>
  <c r="P35" i="29"/>
  <c r="Q35" i="29"/>
  <c r="R35" i="29"/>
  <c r="S35" i="29"/>
  <c r="T35" i="29"/>
  <c r="U35" i="29"/>
  <c r="V35" i="29"/>
  <c r="W35" i="29"/>
  <c r="W36" i="29" s="1"/>
  <c r="X35" i="29"/>
  <c r="Y35" i="29"/>
  <c r="Z35" i="29"/>
  <c r="AA35" i="29"/>
  <c r="AB35" i="29"/>
  <c r="AC35" i="29"/>
  <c r="AD35" i="29"/>
  <c r="AE35" i="29"/>
  <c r="AE36" i="29" s="1"/>
  <c r="AF35" i="29"/>
  <c r="AG35" i="29"/>
  <c r="AH35" i="29"/>
  <c r="AI35" i="29"/>
  <c r="AJ35" i="29"/>
  <c r="AK35" i="29"/>
  <c r="H36" i="29"/>
  <c r="L36" i="29"/>
  <c r="P36" i="29"/>
  <c r="AB36" i="29"/>
  <c r="AC36" i="29"/>
  <c r="AD36" i="29"/>
  <c r="AJ36" i="29"/>
  <c r="AK36" i="29"/>
  <c r="F39" i="29"/>
  <c r="G39" i="29"/>
  <c r="H39" i="29"/>
  <c r="I39" i="29"/>
  <c r="J39" i="29"/>
  <c r="K39" i="29"/>
  <c r="K43" i="29" s="1"/>
  <c r="L39" i="29"/>
  <c r="M39" i="29"/>
  <c r="E39" i="29" s="1"/>
  <c r="G39" i="41" s="1"/>
  <c r="N39" i="29"/>
  <c r="O39" i="29"/>
  <c r="P39" i="29"/>
  <c r="Q39" i="29"/>
  <c r="R39" i="29"/>
  <c r="S39" i="29"/>
  <c r="S43" i="29" s="1"/>
  <c r="T39" i="29"/>
  <c r="U39" i="29"/>
  <c r="V39" i="29"/>
  <c r="W39" i="29"/>
  <c r="X39" i="29"/>
  <c r="Y39" i="29"/>
  <c r="Z39" i="29"/>
  <c r="AA39" i="29"/>
  <c r="AA43" i="29" s="1"/>
  <c r="AB39" i="29"/>
  <c r="AC39" i="29"/>
  <c r="AD39" i="29"/>
  <c r="AE39" i="29"/>
  <c r="AF39" i="29"/>
  <c r="AG39" i="29"/>
  <c r="AH39" i="29"/>
  <c r="AI39" i="29"/>
  <c r="AI43" i="29" s="1"/>
  <c r="AJ39" i="29"/>
  <c r="AK39" i="29"/>
  <c r="AK43" i="29" s="1"/>
  <c r="D40" i="29"/>
  <c r="F40" i="29"/>
  <c r="G40" i="29"/>
  <c r="H40" i="29"/>
  <c r="I40" i="29"/>
  <c r="J40" i="29"/>
  <c r="K40" i="29"/>
  <c r="K42" i="29" s="1"/>
  <c r="L40" i="29"/>
  <c r="L42" i="29" s="1"/>
  <c r="M40" i="29"/>
  <c r="N40" i="29"/>
  <c r="O40" i="29"/>
  <c r="P40" i="29"/>
  <c r="P42" i="29" s="1"/>
  <c r="P43" i="29" s="1"/>
  <c r="Q40" i="29"/>
  <c r="R40" i="29"/>
  <c r="S40" i="29"/>
  <c r="S42" i="29" s="1"/>
  <c r="T40" i="29"/>
  <c r="T42" i="29" s="1"/>
  <c r="U40" i="29"/>
  <c r="V40" i="29"/>
  <c r="W40" i="29"/>
  <c r="X40" i="29"/>
  <c r="Y40" i="29"/>
  <c r="Z40" i="29"/>
  <c r="AA40" i="29"/>
  <c r="AA42" i="29" s="1"/>
  <c r="AB40" i="29"/>
  <c r="AC40" i="29"/>
  <c r="AD40" i="29"/>
  <c r="AE40" i="29"/>
  <c r="AF40" i="29"/>
  <c r="AG40" i="29"/>
  <c r="AH40" i="29"/>
  <c r="AI40" i="29"/>
  <c r="AI42" i="29" s="1"/>
  <c r="AJ40" i="29"/>
  <c r="AJ42" i="29" s="1"/>
  <c r="AJ43" i="29" s="1"/>
  <c r="AK40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W42" i="29" s="1"/>
  <c r="W43" i="29" s="1"/>
  <c r="X41" i="29"/>
  <c r="Y41" i="29"/>
  <c r="Z41" i="29"/>
  <c r="AA41" i="29"/>
  <c r="AB41" i="29"/>
  <c r="AC41" i="29"/>
  <c r="AD41" i="29"/>
  <c r="AD42" i="29" s="1"/>
  <c r="AE41" i="29"/>
  <c r="AF41" i="29"/>
  <c r="AG41" i="29"/>
  <c r="AH41" i="29"/>
  <c r="AI41" i="29"/>
  <c r="AJ41" i="29"/>
  <c r="AK41" i="29"/>
  <c r="G42" i="29"/>
  <c r="G43" i="29" s="1"/>
  <c r="H42" i="29"/>
  <c r="H43" i="29" s="1"/>
  <c r="M42" i="29"/>
  <c r="M43" i="29" s="1"/>
  <c r="N42" i="29"/>
  <c r="O42" i="29"/>
  <c r="O43" i="29" s="1"/>
  <c r="U42" i="29"/>
  <c r="U43" i="29" s="1"/>
  <c r="V42" i="29"/>
  <c r="V43" i="29" s="1"/>
  <c r="X42" i="29"/>
  <c r="X43" i="29" s="1"/>
  <c r="AB42" i="29"/>
  <c r="AB43" i="29" s="1"/>
  <c r="AC42" i="29"/>
  <c r="AE42" i="29"/>
  <c r="AE43" i="29" s="1"/>
  <c r="AF42" i="29"/>
  <c r="AF43" i="29" s="1"/>
  <c r="AK42" i="29"/>
  <c r="L43" i="29"/>
  <c r="T43" i="29"/>
  <c r="AC43" i="29"/>
  <c r="AD43" i="29"/>
  <c r="F45" i="29"/>
  <c r="G45" i="29"/>
  <c r="H45" i="29"/>
  <c r="I45" i="29"/>
  <c r="J45" i="29"/>
  <c r="K45" i="29"/>
  <c r="L45" i="29"/>
  <c r="D45" i="29" s="1"/>
  <c r="F45" i="41" s="1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F49" i="29"/>
  <c r="G49" i="29"/>
  <c r="H49" i="29"/>
  <c r="I49" i="29"/>
  <c r="J49" i="29"/>
  <c r="K49" i="29"/>
  <c r="L49" i="29"/>
  <c r="D49" i="29" s="1"/>
  <c r="M49" i="29"/>
  <c r="E49" i="29" s="1"/>
  <c r="G49" i="41" s="1"/>
  <c r="I49" i="41" s="1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D50" i="29"/>
  <c r="E50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D52" i="29"/>
  <c r="E52" i="29"/>
  <c r="F54" i="29"/>
  <c r="G54" i="29"/>
  <c r="E54" i="29" s="1"/>
  <c r="H54" i="29"/>
  <c r="I54" i="29"/>
  <c r="J54" i="29"/>
  <c r="K54" i="29"/>
  <c r="K56" i="29" s="1"/>
  <c r="L54" i="29"/>
  <c r="M54" i="29"/>
  <c r="N54" i="29"/>
  <c r="O54" i="29"/>
  <c r="O56" i="29" s="1"/>
  <c r="P54" i="29"/>
  <c r="Q54" i="29"/>
  <c r="R54" i="29"/>
  <c r="S54" i="29"/>
  <c r="S56" i="29" s="1"/>
  <c r="T54" i="29"/>
  <c r="U54" i="29"/>
  <c r="V54" i="29"/>
  <c r="W54" i="29"/>
  <c r="W56" i="29" s="1"/>
  <c r="X54" i="29"/>
  <c r="Y54" i="29"/>
  <c r="Z54" i="29"/>
  <c r="Z56" i="29" s="1"/>
  <c r="AA54" i="29"/>
  <c r="AA56" i="29" s="1"/>
  <c r="AB54" i="29"/>
  <c r="AC54" i="29"/>
  <c r="AD54" i="29"/>
  <c r="AE54" i="29"/>
  <c r="AF54" i="29"/>
  <c r="AG54" i="29"/>
  <c r="AH54" i="29"/>
  <c r="AH56" i="29" s="1"/>
  <c r="AI54" i="29"/>
  <c r="AI56" i="29" s="1"/>
  <c r="AJ54" i="29"/>
  <c r="AK54" i="29"/>
  <c r="F55" i="29"/>
  <c r="G55" i="29"/>
  <c r="H55" i="29"/>
  <c r="I55" i="29"/>
  <c r="J55" i="29"/>
  <c r="K55" i="29"/>
  <c r="L55" i="29"/>
  <c r="M55" i="29"/>
  <c r="N55" i="29"/>
  <c r="O55" i="29"/>
  <c r="P55" i="29"/>
  <c r="P56" i="29" s="1"/>
  <c r="Q55" i="29"/>
  <c r="R55" i="29"/>
  <c r="S55" i="29"/>
  <c r="T55" i="29"/>
  <c r="U55" i="29"/>
  <c r="V55" i="29"/>
  <c r="W55" i="29"/>
  <c r="X55" i="29"/>
  <c r="X56" i="29" s="1"/>
  <c r="Y55" i="29"/>
  <c r="Y56" i="29" s="1"/>
  <c r="Z55" i="29"/>
  <c r="AA55" i="29"/>
  <c r="AB55" i="29"/>
  <c r="AB56" i="29" s="1"/>
  <c r="AC55" i="29"/>
  <c r="AD55" i="29"/>
  <c r="AE55" i="29"/>
  <c r="AF55" i="29"/>
  <c r="AG55" i="29"/>
  <c r="AG56" i="29" s="1"/>
  <c r="AH55" i="29"/>
  <c r="AI55" i="29"/>
  <c r="AJ55" i="29"/>
  <c r="AJ56" i="29" s="1"/>
  <c r="AK55" i="29"/>
  <c r="G56" i="29"/>
  <c r="J56" i="29"/>
  <c r="L56" i="29"/>
  <c r="N56" i="29"/>
  <c r="Q56" i="29"/>
  <c r="R56" i="29"/>
  <c r="T56" i="29"/>
  <c r="V56" i="29"/>
  <c r="AD56" i="29"/>
  <c r="AE56" i="29"/>
  <c r="AF56" i="29"/>
  <c r="F59" i="29"/>
  <c r="G59" i="29"/>
  <c r="H59" i="29"/>
  <c r="H61" i="29" s="1"/>
  <c r="I59" i="29"/>
  <c r="J59" i="29"/>
  <c r="K59" i="29"/>
  <c r="L59" i="29"/>
  <c r="M59" i="29"/>
  <c r="N59" i="29"/>
  <c r="N61" i="29" s="1"/>
  <c r="O59" i="29"/>
  <c r="O61" i="29" s="1"/>
  <c r="P59" i="29"/>
  <c r="P61" i="29" s="1"/>
  <c r="Q59" i="29"/>
  <c r="Q61" i="29" s="1"/>
  <c r="R59" i="29"/>
  <c r="S59" i="29"/>
  <c r="T59" i="29"/>
  <c r="U59" i="29"/>
  <c r="V59" i="29"/>
  <c r="V61" i="29" s="1"/>
  <c r="W59" i="29"/>
  <c r="W61" i="29" s="1"/>
  <c r="X59" i="29"/>
  <c r="X61" i="29" s="1"/>
  <c r="Y59" i="29"/>
  <c r="Z59" i="29"/>
  <c r="AA59" i="29"/>
  <c r="AB59" i="29"/>
  <c r="AC59" i="29"/>
  <c r="AD59" i="29"/>
  <c r="AD61" i="29" s="1"/>
  <c r="AE59" i="29"/>
  <c r="AE61" i="29" s="1"/>
  <c r="AF59" i="29"/>
  <c r="AF61" i="29" s="1"/>
  <c r="AG59" i="29"/>
  <c r="AH59" i="29"/>
  <c r="AI59" i="29"/>
  <c r="AJ59" i="29"/>
  <c r="AK59" i="29"/>
  <c r="F60" i="29"/>
  <c r="G60" i="29"/>
  <c r="H60" i="29"/>
  <c r="I60" i="29"/>
  <c r="J60" i="29"/>
  <c r="J61" i="29" s="1"/>
  <c r="K60" i="29"/>
  <c r="L60" i="29"/>
  <c r="D60" i="29" s="1"/>
  <c r="F60" i="41" s="1"/>
  <c r="H60" i="41" s="1"/>
  <c r="M60" i="29"/>
  <c r="M61" i="29" s="1"/>
  <c r="N60" i="29"/>
  <c r="O60" i="29"/>
  <c r="P60" i="29"/>
  <c r="Q60" i="29"/>
  <c r="R60" i="29"/>
  <c r="R61" i="29" s="1"/>
  <c r="S60" i="29"/>
  <c r="T60" i="29"/>
  <c r="U60" i="29"/>
  <c r="U61" i="29" s="1"/>
  <c r="V60" i="29"/>
  <c r="W60" i="29"/>
  <c r="X60" i="29"/>
  <c r="Y60" i="29"/>
  <c r="Z60" i="29"/>
  <c r="AA60" i="29"/>
  <c r="AB60" i="29"/>
  <c r="AC60" i="29"/>
  <c r="AC61" i="29" s="1"/>
  <c r="AD60" i="29"/>
  <c r="AE60" i="29"/>
  <c r="AF60" i="29"/>
  <c r="AG60" i="29"/>
  <c r="AH60" i="29"/>
  <c r="AI60" i="29"/>
  <c r="AI61" i="29" s="1"/>
  <c r="AJ60" i="29"/>
  <c r="AK60" i="29"/>
  <c r="AK61" i="29" s="1"/>
  <c r="I61" i="29"/>
  <c r="K61" i="29"/>
  <c r="S61" i="29"/>
  <c r="T61" i="29"/>
  <c r="Y61" i="29"/>
  <c r="AA61" i="29"/>
  <c r="AG61" i="29"/>
  <c r="AH61" i="29"/>
  <c r="AJ61" i="29"/>
  <c r="F64" i="29"/>
  <c r="F66" i="29" s="1"/>
  <c r="G64" i="29"/>
  <c r="G66" i="29" s="1"/>
  <c r="H64" i="29"/>
  <c r="I64" i="29"/>
  <c r="I66" i="29" s="1"/>
  <c r="J64" i="29"/>
  <c r="K64" i="29"/>
  <c r="K66" i="29" s="1"/>
  <c r="L64" i="29"/>
  <c r="M64" i="29"/>
  <c r="N64" i="29"/>
  <c r="N66" i="29" s="1"/>
  <c r="O64" i="29"/>
  <c r="O66" i="29" s="1"/>
  <c r="P64" i="29"/>
  <c r="Q64" i="29"/>
  <c r="Q66" i="29" s="1"/>
  <c r="R64" i="29"/>
  <c r="S64" i="29"/>
  <c r="S66" i="29" s="1"/>
  <c r="T64" i="29"/>
  <c r="T66" i="29" s="1"/>
  <c r="U64" i="29"/>
  <c r="V64" i="29"/>
  <c r="W64" i="29"/>
  <c r="W66" i="29" s="1"/>
  <c r="X64" i="29"/>
  <c r="Y64" i="29"/>
  <c r="Y66" i="29" s="1"/>
  <c r="Z64" i="29"/>
  <c r="AA64" i="29"/>
  <c r="AB64" i="29"/>
  <c r="AC64" i="29"/>
  <c r="AD64" i="29"/>
  <c r="AE64" i="29"/>
  <c r="AE66" i="29" s="1"/>
  <c r="AF64" i="29"/>
  <c r="AG64" i="29"/>
  <c r="AG66" i="29" s="1"/>
  <c r="AH64" i="29"/>
  <c r="AI64" i="29"/>
  <c r="AI66" i="29" s="1"/>
  <c r="AJ64" i="29"/>
  <c r="AK64" i="29"/>
  <c r="F65" i="29"/>
  <c r="G65" i="29"/>
  <c r="E65" i="29" s="1"/>
  <c r="G65" i="41" s="1"/>
  <c r="I65" i="41" s="1"/>
  <c r="H65" i="29"/>
  <c r="I65" i="29"/>
  <c r="J65" i="29"/>
  <c r="K65" i="29"/>
  <c r="L65" i="29"/>
  <c r="D65" i="29" s="1"/>
  <c r="F65" i="41" s="1"/>
  <c r="H65" i="41" s="1"/>
  <c r="M65" i="29"/>
  <c r="N65" i="29"/>
  <c r="O65" i="29"/>
  <c r="P65" i="29"/>
  <c r="Q65" i="29"/>
  <c r="R65" i="29"/>
  <c r="S65" i="29"/>
  <c r="T65" i="29"/>
  <c r="U65" i="29"/>
  <c r="U66" i="29" s="1"/>
  <c r="V65" i="29"/>
  <c r="W65" i="29"/>
  <c r="X65" i="29"/>
  <c r="Y65" i="29"/>
  <c r="Z65" i="29"/>
  <c r="AA65" i="29"/>
  <c r="AB65" i="29"/>
  <c r="AB66" i="29" s="1"/>
  <c r="AC65" i="29"/>
  <c r="AC66" i="29" s="1"/>
  <c r="AD65" i="29"/>
  <c r="AE65" i="29"/>
  <c r="AF65" i="29"/>
  <c r="AG65" i="29"/>
  <c r="AH65" i="29"/>
  <c r="AI65" i="29"/>
  <c r="AJ65" i="29"/>
  <c r="AK65" i="29"/>
  <c r="AK66" i="29" s="1"/>
  <c r="H66" i="29"/>
  <c r="J66" i="29"/>
  <c r="L66" i="29"/>
  <c r="M66" i="29"/>
  <c r="P66" i="29"/>
  <c r="R66" i="29"/>
  <c r="V66" i="29"/>
  <c r="X66" i="29"/>
  <c r="Z66" i="29"/>
  <c r="AA66" i="29"/>
  <c r="AD66" i="29"/>
  <c r="AF66" i="29"/>
  <c r="AH66" i="29"/>
  <c r="AJ66" i="29"/>
  <c r="F70" i="29"/>
  <c r="G70" i="29"/>
  <c r="H70" i="29"/>
  <c r="I70" i="29"/>
  <c r="I72" i="29" s="1"/>
  <c r="J70" i="29"/>
  <c r="L70" i="29"/>
  <c r="L72" i="29" s="1"/>
  <c r="M70" i="29"/>
  <c r="N70" i="29"/>
  <c r="O70" i="29"/>
  <c r="P70" i="29"/>
  <c r="P72" i="29" s="1"/>
  <c r="Q70" i="29"/>
  <c r="R70" i="29"/>
  <c r="S70" i="29"/>
  <c r="T70" i="29"/>
  <c r="T72" i="29" s="1"/>
  <c r="U70" i="29"/>
  <c r="U72" i="29" s="1"/>
  <c r="V70" i="29"/>
  <c r="W70" i="29"/>
  <c r="X70" i="29"/>
  <c r="X72" i="29" s="1"/>
  <c r="Y70" i="29"/>
  <c r="Z70" i="29"/>
  <c r="AA70" i="29"/>
  <c r="AB70" i="29"/>
  <c r="AB72" i="29" s="1"/>
  <c r="AC70" i="29"/>
  <c r="AD70" i="29"/>
  <c r="AE70" i="29"/>
  <c r="AF70" i="29"/>
  <c r="AF72" i="29" s="1"/>
  <c r="AG70" i="29"/>
  <c r="AH70" i="29"/>
  <c r="AI70" i="29"/>
  <c r="AJ70" i="29"/>
  <c r="AJ72" i="29" s="1"/>
  <c r="AK70" i="29"/>
  <c r="F71" i="29"/>
  <c r="G71" i="29"/>
  <c r="H71" i="29"/>
  <c r="I71" i="29"/>
  <c r="J71" i="29"/>
  <c r="K71" i="29"/>
  <c r="K72" i="29" s="1"/>
  <c r="L71" i="29"/>
  <c r="M71" i="29"/>
  <c r="N71" i="29"/>
  <c r="O71" i="29"/>
  <c r="P71" i="29"/>
  <c r="Q71" i="29"/>
  <c r="Q72" i="29" s="1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D72" i="29" s="1"/>
  <c r="AE71" i="29"/>
  <c r="AE72" i="29" s="1"/>
  <c r="AF71" i="29"/>
  <c r="AG71" i="29"/>
  <c r="AG72" i="29" s="1"/>
  <c r="AH71" i="29"/>
  <c r="AI71" i="29"/>
  <c r="AJ71" i="29"/>
  <c r="AK71" i="29"/>
  <c r="H72" i="29"/>
  <c r="M72" i="29"/>
  <c r="N72" i="29"/>
  <c r="S72" i="29"/>
  <c r="V72" i="29"/>
  <c r="W72" i="29"/>
  <c r="Y72" i="29"/>
  <c r="AA72" i="29"/>
  <c r="AC72" i="29"/>
  <c r="AI72" i="29"/>
  <c r="AK72" i="29"/>
  <c r="F73" i="29"/>
  <c r="D73" i="29" s="1"/>
  <c r="F73" i="41" s="1"/>
  <c r="H73" i="41" s="1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F74" i="29"/>
  <c r="G74" i="29"/>
  <c r="H74" i="29"/>
  <c r="I74" i="29"/>
  <c r="J74" i="29"/>
  <c r="K74" i="29"/>
  <c r="L74" i="29"/>
  <c r="M74" i="29"/>
  <c r="E74" i="29" s="1"/>
  <c r="G74" i="41" s="1"/>
  <c r="I74" i="41" s="1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D76" i="29"/>
  <c r="F76" i="41" s="1"/>
  <c r="H76" i="41" s="1"/>
  <c r="F76" i="29"/>
  <c r="G76" i="29"/>
  <c r="H76" i="29"/>
  <c r="I76" i="29"/>
  <c r="J76" i="29"/>
  <c r="K76" i="29"/>
  <c r="L76" i="29"/>
  <c r="M76" i="29"/>
  <c r="E76" i="29" s="1"/>
  <c r="G76" i="41" s="1"/>
  <c r="I76" i="41" s="1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F80" i="29"/>
  <c r="G80" i="29"/>
  <c r="E80" i="29" s="1"/>
  <c r="G80" i="41" s="1"/>
  <c r="I80" i="41" s="1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F81" i="29"/>
  <c r="G81" i="29"/>
  <c r="H81" i="29"/>
  <c r="I81" i="29"/>
  <c r="J81" i="29"/>
  <c r="K81" i="29"/>
  <c r="L81" i="29"/>
  <c r="D81" i="29" s="1"/>
  <c r="F81" i="41" s="1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4" i="41"/>
  <c r="A5" i="41"/>
  <c r="D11" i="41"/>
  <c r="E11" i="41"/>
  <c r="F11" i="41"/>
  <c r="H11" i="41" s="1"/>
  <c r="D12" i="41"/>
  <c r="E12" i="41"/>
  <c r="D13" i="41"/>
  <c r="E13" i="41"/>
  <c r="D14" i="41"/>
  <c r="E14" i="41"/>
  <c r="D15" i="41"/>
  <c r="E15" i="41"/>
  <c r="D19" i="41"/>
  <c r="E19" i="41"/>
  <c r="F19" i="41"/>
  <c r="H19" i="41"/>
  <c r="D20" i="41"/>
  <c r="E20" i="41"/>
  <c r="F20" i="41"/>
  <c r="I20" i="41"/>
  <c r="D21" i="41"/>
  <c r="E21" i="41"/>
  <c r="E24" i="41" s="1"/>
  <c r="D22" i="41"/>
  <c r="E22" i="41"/>
  <c r="D23" i="41"/>
  <c r="E23" i="41"/>
  <c r="D24" i="41"/>
  <c r="D27" i="41"/>
  <c r="E27" i="41"/>
  <c r="E29" i="41" s="1"/>
  <c r="D28" i="41"/>
  <c r="E28" i="41"/>
  <c r="D29" i="41"/>
  <c r="D32" i="41"/>
  <c r="D36" i="41" s="1"/>
  <c r="E32" i="41"/>
  <c r="D33" i="41"/>
  <c r="E33" i="41"/>
  <c r="E36" i="41" s="1"/>
  <c r="D34" i="41"/>
  <c r="E34" i="41"/>
  <c r="H34" i="41"/>
  <c r="D35" i="41"/>
  <c r="E35" i="41"/>
  <c r="D39" i="41"/>
  <c r="E39" i="41"/>
  <c r="I39" i="41"/>
  <c r="D40" i="41"/>
  <c r="E40" i="41"/>
  <c r="E42" i="41" s="1"/>
  <c r="E43" i="41" s="1"/>
  <c r="D41" i="41"/>
  <c r="E41" i="41"/>
  <c r="D42" i="41"/>
  <c r="D43" i="41" s="1"/>
  <c r="D45" i="41"/>
  <c r="E45" i="41"/>
  <c r="H45" i="41"/>
  <c r="D47" i="41"/>
  <c r="E47" i="41"/>
  <c r="D49" i="41"/>
  <c r="E49" i="41"/>
  <c r="F49" i="41"/>
  <c r="D51" i="41"/>
  <c r="E51" i="41"/>
  <c r="D54" i="41"/>
  <c r="D56" i="41" s="1"/>
  <c r="E54" i="41"/>
  <c r="E56" i="41" s="1"/>
  <c r="D55" i="41"/>
  <c r="E55" i="41"/>
  <c r="D59" i="41"/>
  <c r="E59" i="41"/>
  <c r="D60" i="41"/>
  <c r="E60" i="41"/>
  <c r="D61" i="41"/>
  <c r="E61" i="41"/>
  <c r="D64" i="41"/>
  <c r="D66" i="41" s="1"/>
  <c r="E64" i="41"/>
  <c r="D65" i="41"/>
  <c r="E65" i="41"/>
  <c r="E66" i="41" s="1"/>
  <c r="D70" i="41"/>
  <c r="D72" i="41" s="1"/>
  <c r="E70" i="41"/>
  <c r="E72" i="41" s="1"/>
  <c r="D71" i="41"/>
  <c r="E71" i="41"/>
  <c r="D73" i="41"/>
  <c r="E73" i="41"/>
  <c r="D74" i="41"/>
  <c r="E74" i="41"/>
  <c r="D75" i="41"/>
  <c r="E75" i="41"/>
  <c r="D76" i="41"/>
  <c r="E76" i="41"/>
  <c r="D77" i="41"/>
  <c r="E77" i="41"/>
  <c r="D78" i="41"/>
  <c r="E78" i="41"/>
  <c r="D79" i="41"/>
  <c r="E79" i="41"/>
  <c r="D80" i="41"/>
  <c r="E80" i="41"/>
  <c r="D81" i="41"/>
  <c r="E81" i="41"/>
  <c r="H81" i="41"/>
  <c r="A5" i="20"/>
  <c r="F11" i="20"/>
  <c r="G11" i="20"/>
  <c r="H11" i="20"/>
  <c r="I11" i="20"/>
  <c r="J11" i="20"/>
  <c r="K11" i="20"/>
  <c r="L11" i="20"/>
  <c r="M11" i="20"/>
  <c r="N11" i="20"/>
  <c r="N16" i="20" s="1"/>
  <c r="O11" i="20"/>
  <c r="P11" i="20"/>
  <c r="Q11" i="20"/>
  <c r="R11" i="20"/>
  <c r="S11" i="20"/>
  <c r="T11" i="20"/>
  <c r="U11" i="20"/>
  <c r="V11" i="20"/>
  <c r="V16" i="20" s="1"/>
  <c r="W11" i="20"/>
  <c r="X11" i="20"/>
  <c r="Y11" i="20"/>
  <c r="Z11" i="20"/>
  <c r="AA11" i="20"/>
  <c r="AB11" i="20"/>
  <c r="AC11" i="20"/>
  <c r="AD11" i="20"/>
  <c r="AD16" i="20" s="1"/>
  <c r="AE11" i="20"/>
  <c r="AF11" i="20"/>
  <c r="AG11" i="20"/>
  <c r="AH11" i="20"/>
  <c r="AI11" i="20"/>
  <c r="AJ11" i="20"/>
  <c r="AK11" i="20"/>
  <c r="D12" i="20"/>
  <c r="F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T16" i="20" s="1"/>
  <c r="U12" i="20"/>
  <c r="V12" i="20"/>
  <c r="W12" i="20"/>
  <c r="X12" i="20"/>
  <c r="Y12" i="20"/>
  <c r="Y16" i="20" s="1"/>
  <c r="Z12" i="20"/>
  <c r="AA12" i="20"/>
  <c r="AB12" i="20"/>
  <c r="AC12" i="20"/>
  <c r="AD12" i="20"/>
  <c r="AE12" i="20"/>
  <c r="AF12" i="20"/>
  <c r="AG12" i="20"/>
  <c r="AH12" i="20"/>
  <c r="AI12" i="20"/>
  <c r="AJ12" i="20"/>
  <c r="AJ16" i="20" s="1"/>
  <c r="AK12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F14" i="20"/>
  <c r="G14" i="20"/>
  <c r="H14" i="20"/>
  <c r="I14" i="20"/>
  <c r="J14" i="20"/>
  <c r="K14" i="20"/>
  <c r="L14" i="20"/>
  <c r="M14" i="20"/>
  <c r="N14" i="20"/>
  <c r="O14" i="20"/>
  <c r="P14" i="20"/>
  <c r="P16" i="20" s="1"/>
  <c r="Q14" i="20"/>
  <c r="R14" i="20"/>
  <c r="S14" i="20"/>
  <c r="T14" i="20"/>
  <c r="U14" i="20"/>
  <c r="V14" i="20"/>
  <c r="W14" i="20"/>
  <c r="X14" i="20"/>
  <c r="X16" i="20" s="1"/>
  <c r="Y14" i="20"/>
  <c r="Z14" i="20"/>
  <c r="AA14" i="20"/>
  <c r="AB14" i="20"/>
  <c r="AC14" i="20"/>
  <c r="AD14" i="20"/>
  <c r="AE14" i="20"/>
  <c r="AF14" i="20"/>
  <c r="AF16" i="20" s="1"/>
  <c r="AG14" i="20"/>
  <c r="AH14" i="20"/>
  <c r="AI14" i="20"/>
  <c r="AJ14" i="20"/>
  <c r="AK14" i="20"/>
  <c r="F15" i="20"/>
  <c r="H15" i="20"/>
  <c r="I15" i="20"/>
  <c r="J15" i="20"/>
  <c r="K15" i="20"/>
  <c r="L15" i="20"/>
  <c r="M15" i="20"/>
  <c r="M16" i="20" s="1"/>
  <c r="N15" i="20"/>
  <c r="O15" i="20"/>
  <c r="P15" i="20"/>
  <c r="Q15" i="20"/>
  <c r="R15" i="20"/>
  <c r="S15" i="20"/>
  <c r="T15" i="20"/>
  <c r="U15" i="20"/>
  <c r="U16" i="20" s="1"/>
  <c r="V15" i="20"/>
  <c r="W15" i="20"/>
  <c r="X15" i="20"/>
  <c r="Y15" i="20"/>
  <c r="Z15" i="20"/>
  <c r="AA15" i="20"/>
  <c r="AB15" i="20"/>
  <c r="AC15" i="20"/>
  <c r="AC16" i="20" s="1"/>
  <c r="AD15" i="20"/>
  <c r="AE15" i="20"/>
  <c r="AF15" i="20"/>
  <c r="AG15" i="20"/>
  <c r="AH15" i="20"/>
  <c r="AI15" i="20"/>
  <c r="AJ15" i="20"/>
  <c r="AK15" i="20"/>
  <c r="AK16" i="20" s="1"/>
  <c r="I16" i="20"/>
  <c r="K16" i="20"/>
  <c r="L16" i="20"/>
  <c r="S16" i="20"/>
  <c r="AA16" i="20"/>
  <c r="AB16" i="20"/>
  <c r="AI16" i="20"/>
  <c r="F19" i="20"/>
  <c r="D19" i="20" s="1"/>
  <c r="H19" i="20"/>
  <c r="I19" i="20"/>
  <c r="J19" i="20"/>
  <c r="K19" i="20"/>
  <c r="L19" i="20"/>
  <c r="M19" i="20"/>
  <c r="N19" i="20"/>
  <c r="N24" i="20" s="1"/>
  <c r="O19" i="20"/>
  <c r="P19" i="20"/>
  <c r="Q19" i="20"/>
  <c r="R19" i="20"/>
  <c r="S19" i="20"/>
  <c r="T19" i="20"/>
  <c r="U19" i="20"/>
  <c r="V19" i="20"/>
  <c r="V24" i="20" s="1"/>
  <c r="W19" i="20"/>
  <c r="X19" i="20"/>
  <c r="Y19" i="20"/>
  <c r="Z19" i="20"/>
  <c r="AA19" i="20"/>
  <c r="AB19" i="20"/>
  <c r="AC19" i="20"/>
  <c r="AD19" i="20"/>
  <c r="AD24" i="20" s="1"/>
  <c r="AE19" i="20"/>
  <c r="AF19" i="20"/>
  <c r="AG19" i="20"/>
  <c r="AH19" i="20"/>
  <c r="AI19" i="20"/>
  <c r="AJ19" i="20"/>
  <c r="AK19" i="20"/>
  <c r="F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U24" i="20" s="1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F22" i="20"/>
  <c r="G22" i="20"/>
  <c r="H22" i="20"/>
  <c r="I22" i="20"/>
  <c r="J22" i="20"/>
  <c r="K22" i="20"/>
  <c r="L22" i="20"/>
  <c r="D22" i="20" s="1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B24" i="20" s="1"/>
  <c r="AC22" i="20"/>
  <c r="AD22" i="20"/>
  <c r="AE22" i="20"/>
  <c r="AF22" i="20"/>
  <c r="AG22" i="20"/>
  <c r="AH22" i="20"/>
  <c r="AI22" i="20"/>
  <c r="AJ22" i="20"/>
  <c r="AK22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R24" i="20" s="1"/>
  <c r="S23" i="20"/>
  <c r="T23" i="20"/>
  <c r="U23" i="20"/>
  <c r="V23" i="20"/>
  <c r="W23" i="20"/>
  <c r="X23" i="20"/>
  <c r="Y23" i="20"/>
  <c r="Z23" i="20"/>
  <c r="Z24" i="20" s="1"/>
  <c r="AA23" i="20"/>
  <c r="AB23" i="20"/>
  <c r="AC23" i="20"/>
  <c r="AD23" i="20"/>
  <c r="AE23" i="20"/>
  <c r="AE24" i="20" s="1"/>
  <c r="AF23" i="20"/>
  <c r="AG23" i="20"/>
  <c r="AH23" i="20"/>
  <c r="AH24" i="20" s="1"/>
  <c r="AI23" i="20"/>
  <c r="AJ23" i="20"/>
  <c r="AK23" i="20"/>
  <c r="H24" i="20"/>
  <c r="J24" i="20"/>
  <c r="L24" i="20"/>
  <c r="P24" i="20"/>
  <c r="T24" i="20"/>
  <c r="X24" i="20"/>
  <c r="AC24" i="20"/>
  <c r="AF24" i="20"/>
  <c r="AJ24" i="20"/>
  <c r="AK24" i="20"/>
  <c r="F27" i="20"/>
  <c r="G27" i="20"/>
  <c r="H27" i="20"/>
  <c r="H29" i="20" s="1"/>
  <c r="I27" i="20"/>
  <c r="J27" i="20"/>
  <c r="J29" i="20" s="1"/>
  <c r="K27" i="20"/>
  <c r="L27" i="20"/>
  <c r="M27" i="20"/>
  <c r="N27" i="20"/>
  <c r="N29" i="20" s="1"/>
  <c r="O27" i="20"/>
  <c r="O29" i="20" s="1"/>
  <c r="P27" i="20"/>
  <c r="P29" i="20" s="1"/>
  <c r="Q27" i="20"/>
  <c r="R27" i="20"/>
  <c r="S27" i="20"/>
  <c r="S29" i="20" s="1"/>
  <c r="T27" i="20"/>
  <c r="U27" i="20"/>
  <c r="V27" i="20"/>
  <c r="W27" i="20"/>
  <c r="W29" i="20" s="1"/>
  <c r="X27" i="20"/>
  <c r="X29" i="20" s="1"/>
  <c r="Y27" i="20"/>
  <c r="Z27" i="20"/>
  <c r="Z29" i="20" s="1"/>
  <c r="AA27" i="20"/>
  <c r="AB27" i="20"/>
  <c r="AC27" i="20"/>
  <c r="AD27" i="20"/>
  <c r="AE27" i="20"/>
  <c r="AE29" i="20" s="1"/>
  <c r="AF27" i="20"/>
  <c r="AF29" i="20" s="1"/>
  <c r="AG27" i="20"/>
  <c r="AH27" i="20"/>
  <c r="AI27" i="20"/>
  <c r="AJ27" i="20"/>
  <c r="AK27" i="20"/>
  <c r="F28" i="20"/>
  <c r="G28" i="20"/>
  <c r="H28" i="20"/>
  <c r="I28" i="20"/>
  <c r="J28" i="20"/>
  <c r="K28" i="20"/>
  <c r="L28" i="20"/>
  <c r="D28" i="20" s="1"/>
  <c r="M28" i="20"/>
  <c r="M29" i="20" s="1"/>
  <c r="N28" i="20"/>
  <c r="O28" i="20"/>
  <c r="P28" i="20"/>
  <c r="Q28" i="20"/>
  <c r="R28" i="20"/>
  <c r="S28" i="20"/>
  <c r="T28" i="20"/>
  <c r="U28" i="20"/>
  <c r="U29" i="20" s="1"/>
  <c r="V28" i="20"/>
  <c r="W28" i="20"/>
  <c r="X28" i="20"/>
  <c r="Y28" i="20"/>
  <c r="Z28" i="20"/>
  <c r="AA28" i="20"/>
  <c r="AB28" i="20"/>
  <c r="AB29" i="20" s="1"/>
  <c r="AC28" i="20"/>
  <c r="AC29" i="20" s="1"/>
  <c r="AD28" i="20"/>
  <c r="AE28" i="20"/>
  <c r="AF28" i="20"/>
  <c r="AG28" i="20"/>
  <c r="AH28" i="20"/>
  <c r="AI28" i="20"/>
  <c r="AJ28" i="20"/>
  <c r="AK28" i="20"/>
  <c r="AK29" i="20" s="1"/>
  <c r="I29" i="20"/>
  <c r="K29" i="20"/>
  <c r="L29" i="20"/>
  <c r="Q29" i="20"/>
  <c r="R29" i="20"/>
  <c r="T29" i="20"/>
  <c r="V29" i="20"/>
  <c r="Y29" i="20"/>
  <c r="AA29" i="20"/>
  <c r="AD29" i="20"/>
  <c r="AG29" i="20"/>
  <c r="AH29" i="20"/>
  <c r="AI29" i="20"/>
  <c r="AJ29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R36" i="20" s="1"/>
  <c r="S32" i="20"/>
  <c r="T32" i="20"/>
  <c r="T36" i="20" s="1"/>
  <c r="U32" i="20"/>
  <c r="V32" i="20"/>
  <c r="W32" i="20"/>
  <c r="X32" i="20"/>
  <c r="Y32" i="20"/>
  <c r="Z32" i="20"/>
  <c r="Z36" i="20" s="1"/>
  <c r="AA32" i="20"/>
  <c r="AB32" i="20"/>
  <c r="AB36" i="20" s="1"/>
  <c r="AC32" i="20"/>
  <c r="AD32" i="20"/>
  <c r="AE32" i="20"/>
  <c r="AF32" i="20"/>
  <c r="AF36" i="20" s="1"/>
  <c r="AG32" i="20"/>
  <c r="AH32" i="20"/>
  <c r="AH36" i="20" s="1"/>
  <c r="AI32" i="20"/>
  <c r="AJ32" i="20"/>
  <c r="AJ36" i="20" s="1"/>
  <c r="AK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F34" i="20"/>
  <c r="G34" i="20"/>
  <c r="H34" i="20"/>
  <c r="I34" i="20"/>
  <c r="J34" i="20"/>
  <c r="K34" i="20"/>
  <c r="L34" i="20"/>
  <c r="D34" i="20" s="1"/>
  <c r="M34" i="20"/>
  <c r="N34" i="20"/>
  <c r="O34" i="20"/>
  <c r="O36" i="20" s="1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E36" i="20" s="1"/>
  <c r="AF34" i="20"/>
  <c r="AG34" i="20"/>
  <c r="AH34" i="20"/>
  <c r="AI34" i="20"/>
  <c r="AJ34" i="20"/>
  <c r="AK34" i="20"/>
  <c r="F35" i="20"/>
  <c r="G35" i="20"/>
  <c r="H35" i="20"/>
  <c r="I35" i="20"/>
  <c r="J35" i="20"/>
  <c r="D35" i="20" s="1"/>
  <c r="F35" i="32" s="1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H36" i="20"/>
  <c r="L36" i="20"/>
  <c r="L82" i="20" s="1"/>
  <c r="J643" i="44" s="1"/>
  <c r="P36" i="20"/>
  <c r="U36" i="20"/>
  <c r="X36" i="20"/>
  <c r="AG36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Q43" i="20" s="1"/>
  <c r="R39" i="20"/>
  <c r="S39" i="20"/>
  <c r="T39" i="20"/>
  <c r="U39" i="20"/>
  <c r="V39" i="20"/>
  <c r="W39" i="20"/>
  <c r="X39" i="20"/>
  <c r="Y39" i="20"/>
  <c r="Y43" i="20" s="1"/>
  <c r="Z39" i="20"/>
  <c r="AA39" i="20"/>
  <c r="AB39" i="20"/>
  <c r="AC39" i="20"/>
  <c r="AD39" i="20"/>
  <c r="AE39" i="20"/>
  <c r="AF39" i="20"/>
  <c r="AG39" i="20"/>
  <c r="AG43" i="20" s="1"/>
  <c r="AH39" i="20"/>
  <c r="AI39" i="20"/>
  <c r="AJ39" i="20"/>
  <c r="AK39" i="20"/>
  <c r="F40" i="20"/>
  <c r="G40" i="20"/>
  <c r="H40" i="20"/>
  <c r="H42" i="20" s="1"/>
  <c r="H43" i="20" s="1"/>
  <c r="I40" i="20"/>
  <c r="J40" i="20"/>
  <c r="K40" i="20"/>
  <c r="L40" i="20"/>
  <c r="M40" i="20"/>
  <c r="N40" i="20"/>
  <c r="N42" i="20" s="1"/>
  <c r="N43" i="20" s="1"/>
  <c r="O40" i="20"/>
  <c r="O42" i="20" s="1"/>
  <c r="P40" i="20"/>
  <c r="P42" i="20" s="1"/>
  <c r="P43" i="20" s="1"/>
  <c r="Q40" i="20"/>
  <c r="R40" i="20"/>
  <c r="S40" i="20"/>
  <c r="S42" i="20" s="1"/>
  <c r="S43" i="20" s="1"/>
  <c r="T40" i="20"/>
  <c r="U40" i="20"/>
  <c r="V40" i="20"/>
  <c r="V42" i="20" s="1"/>
  <c r="V43" i="20" s="1"/>
  <c r="W40" i="20"/>
  <c r="X40" i="20"/>
  <c r="X42" i="20" s="1"/>
  <c r="X43" i="20" s="1"/>
  <c r="Y40" i="20"/>
  <c r="Z40" i="20"/>
  <c r="AA40" i="20"/>
  <c r="AB40" i="20"/>
  <c r="AC40" i="20"/>
  <c r="AD40" i="20"/>
  <c r="AD42" i="20" s="1"/>
  <c r="AD43" i="20" s="1"/>
  <c r="AE40" i="20"/>
  <c r="AF40" i="20"/>
  <c r="AF42" i="20" s="1"/>
  <c r="AF43" i="20" s="1"/>
  <c r="AG40" i="20"/>
  <c r="AH40" i="20"/>
  <c r="AI40" i="20"/>
  <c r="AJ40" i="20"/>
  <c r="AK40" i="20"/>
  <c r="D41" i="20"/>
  <c r="F41" i="32" s="1"/>
  <c r="H41" i="32" s="1"/>
  <c r="F41" i="20"/>
  <c r="G41" i="20"/>
  <c r="H41" i="20"/>
  <c r="I41" i="20"/>
  <c r="J41" i="20"/>
  <c r="J42" i="20" s="1"/>
  <c r="K41" i="20"/>
  <c r="L41" i="20"/>
  <c r="L42" i="20" s="1"/>
  <c r="L43" i="20" s="1"/>
  <c r="M41" i="20"/>
  <c r="E41" i="20" s="1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Z42" i="20" s="1"/>
  <c r="AA41" i="20"/>
  <c r="AB41" i="20"/>
  <c r="AC41" i="20"/>
  <c r="AD41" i="20"/>
  <c r="AE41" i="20"/>
  <c r="AF41" i="20"/>
  <c r="AG41" i="20"/>
  <c r="AH41" i="20"/>
  <c r="AH42" i="20" s="1"/>
  <c r="AI41" i="20"/>
  <c r="AJ41" i="20"/>
  <c r="AK41" i="20"/>
  <c r="AK42" i="20" s="1"/>
  <c r="AK43" i="20" s="1"/>
  <c r="I42" i="20"/>
  <c r="K42" i="20"/>
  <c r="K43" i="20" s="1"/>
  <c r="M42" i="20"/>
  <c r="M43" i="20" s="1"/>
  <c r="Q42" i="20"/>
  <c r="R42" i="20"/>
  <c r="U42" i="20"/>
  <c r="U43" i="20" s="1"/>
  <c r="W42" i="20"/>
  <c r="W43" i="20" s="1"/>
  <c r="Y42" i="20"/>
  <c r="AA42" i="20"/>
  <c r="AA43" i="20" s="1"/>
  <c r="AC42" i="20"/>
  <c r="AC43" i="20" s="1"/>
  <c r="AE42" i="20"/>
  <c r="AE43" i="20" s="1"/>
  <c r="AG42" i="20"/>
  <c r="AI42" i="20"/>
  <c r="AJ42" i="20"/>
  <c r="AJ43" i="20" s="1"/>
  <c r="O43" i="20"/>
  <c r="AH43" i="20"/>
  <c r="AI43" i="20"/>
  <c r="F45" i="20"/>
  <c r="G45" i="20"/>
  <c r="H45" i="20"/>
  <c r="I45" i="20"/>
  <c r="J45" i="20"/>
  <c r="K45" i="20"/>
  <c r="L45" i="20"/>
  <c r="M45" i="20"/>
  <c r="E45" i="20" s="1"/>
  <c r="G45" i="32" s="1"/>
  <c r="I45" i="32" s="1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F49" i="20"/>
  <c r="G49" i="20"/>
  <c r="H49" i="20"/>
  <c r="I49" i="20"/>
  <c r="J49" i="20"/>
  <c r="K49" i="20"/>
  <c r="L49" i="20"/>
  <c r="D49" i="20" s="1"/>
  <c r="F49" i="32" s="1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D50" i="20"/>
  <c r="E50" i="20"/>
  <c r="F51" i="20"/>
  <c r="G51" i="20"/>
  <c r="E51" i="20" s="1"/>
  <c r="G51" i="32" s="1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D52" i="20"/>
  <c r="E52" i="20"/>
  <c r="F54" i="20"/>
  <c r="G54" i="20"/>
  <c r="G56" i="20" s="1"/>
  <c r="H54" i="20"/>
  <c r="I54" i="20"/>
  <c r="J54" i="20"/>
  <c r="K54" i="20"/>
  <c r="L54" i="20"/>
  <c r="L56" i="20" s="1"/>
  <c r="M54" i="20"/>
  <c r="M56" i="20" s="1"/>
  <c r="N54" i="20"/>
  <c r="O54" i="20"/>
  <c r="O56" i="20" s="1"/>
  <c r="P54" i="20"/>
  <c r="Q54" i="20"/>
  <c r="Q56" i="20" s="1"/>
  <c r="R54" i="20"/>
  <c r="S54" i="20"/>
  <c r="T54" i="20"/>
  <c r="T56" i="20" s="1"/>
  <c r="U54" i="20"/>
  <c r="U56" i="20" s="1"/>
  <c r="V54" i="20"/>
  <c r="W54" i="20"/>
  <c r="W56" i="20" s="1"/>
  <c r="X54" i="20"/>
  <c r="Y54" i="20"/>
  <c r="Y56" i="20" s="1"/>
  <c r="Z54" i="20"/>
  <c r="AA54" i="20"/>
  <c r="AB54" i="20"/>
  <c r="AB56" i="20" s="1"/>
  <c r="AC54" i="20"/>
  <c r="AC56" i="20" s="1"/>
  <c r="AD54" i="20"/>
  <c r="AE54" i="20"/>
  <c r="AE56" i="20" s="1"/>
  <c r="AF54" i="20"/>
  <c r="AG54" i="20"/>
  <c r="AG56" i="20" s="1"/>
  <c r="AH54" i="20"/>
  <c r="AI54" i="20"/>
  <c r="AJ54" i="20"/>
  <c r="AK54" i="20"/>
  <c r="AK56" i="20" s="1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R56" i="20" s="1"/>
  <c r="S55" i="20"/>
  <c r="T55" i="20"/>
  <c r="U55" i="20"/>
  <c r="V55" i="20"/>
  <c r="W55" i="20"/>
  <c r="X55" i="20"/>
  <c r="Y55" i="20"/>
  <c r="Z55" i="20"/>
  <c r="Z56" i="20" s="1"/>
  <c r="AA55" i="20"/>
  <c r="AB55" i="20"/>
  <c r="AC55" i="20"/>
  <c r="AD55" i="20"/>
  <c r="AE55" i="20"/>
  <c r="AF55" i="20"/>
  <c r="AG55" i="20"/>
  <c r="AH55" i="20"/>
  <c r="AH56" i="20" s="1"/>
  <c r="AI55" i="20"/>
  <c r="AJ55" i="20"/>
  <c r="AK55" i="20"/>
  <c r="F56" i="20"/>
  <c r="H56" i="20"/>
  <c r="J56" i="20"/>
  <c r="N56" i="20"/>
  <c r="P56" i="20"/>
  <c r="V56" i="20"/>
  <c r="X56" i="20"/>
  <c r="AD56" i="20"/>
  <c r="AF56" i="20"/>
  <c r="F59" i="20"/>
  <c r="G59" i="20"/>
  <c r="H59" i="20"/>
  <c r="I59" i="20"/>
  <c r="I61" i="20" s="1"/>
  <c r="J59" i="20"/>
  <c r="K59" i="20"/>
  <c r="L59" i="20"/>
  <c r="M59" i="20"/>
  <c r="N59" i="20"/>
  <c r="O59" i="20"/>
  <c r="O61" i="20" s="1"/>
  <c r="P59" i="20"/>
  <c r="P61" i="20" s="1"/>
  <c r="Q59" i="20"/>
  <c r="Q61" i="20" s="1"/>
  <c r="R59" i="20"/>
  <c r="S59" i="20"/>
  <c r="T59" i="20"/>
  <c r="U59" i="20"/>
  <c r="V59" i="20"/>
  <c r="W59" i="20"/>
  <c r="W61" i="20" s="1"/>
  <c r="X59" i="20"/>
  <c r="X61" i="20" s="1"/>
  <c r="Y59" i="20"/>
  <c r="Y61" i="20" s="1"/>
  <c r="Z59" i="20"/>
  <c r="AA59" i="20"/>
  <c r="AB59" i="20"/>
  <c r="AC59" i="20"/>
  <c r="AD59" i="20"/>
  <c r="AE59" i="20"/>
  <c r="AE61" i="20" s="1"/>
  <c r="AF59" i="20"/>
  <c r="AF61" i="20" s="1"/>
  <c r="AG59" i="20"/>
  <c r="AG61" i="20" s="1"/>
  <c r="AH59" i="20"/>
  <c r="AI59" i="20"/>
  <c r="AJ59" i="20"/>
  <c r="AK59" i="20"/>
  <c r="F60" i="20"/>
  <c r="D60" i="20" s="1"/>
  <c r="F60" i="32" s="1"/>
  <c r="H60" i="32" s="1"/>
  <c r="G60" i="20"/>
  <c r="H60" i="20"/>
  <c r="I60" i="20"/>
  <c r="J60" i="20"/>
  <c r="K60" i="20"/>
  <c r="L60" i="20"/>
  <c r="L61" i="20" s="1"/>
  <c r="M60" i="20"/>
  <c r="M61" i="20" s="1"/>
  <c r="N60" i="20"/>
  <c r="O60" i="20"/>
  <c r="P60" i="20"/>
  <c r="Q60" i="20"/>
  <c r="R60" i="20"/>
  <c r="S60" i="20"/>
  <c r="T60" i="20"/>
  <c r="U60" i="20"/>
  <c r="U61" i="20" s="1"/>
  <c r="V60" i="20"/>
  <c r="W60" i="20"/>
  <c r="X60" i="20"/>
  <c r="Y60" i="20"/>
  <c r="Z60" i="20"/>
  <c r="AA60" i="20"/>
  <c r="AB60" i="20"/>
  <c r="AB61" i="20" s="1"/>
  <c r="AC60" i="20"/>
  <c r="AC61" i="20" s="1"/>
  <c r="AD60" i="20"/>
  <c r="AE60" i="20"/>
  <c r="AF60" i="20"/>
  <c r="AG60" i="20"/>
  <c r="AH60" i="20"/>
  <c r="AI60" i="20"/>
  <c r="AJ60" i="20"/>
  <c r="AK60" i="20"/>
  <c r="AK61" i="20" s="1"/>
  <c r="H61" i="20"/>
  <c r="J61" i="20"/>
  <c r="K61" i="20"/>
  <c r="R61" i="20"/>
  <c r="S61" i="20"/>
  <c r="T61" i="20"/>
  <c r="Z61" i="20"/>
  <c r="AA61" i="20"/>
  <c r="AH61" i="20"/>
  <c r="AI61" i="20"/>
  <c r="AJ61" i="20"/>
  <c r="F64" i="20"/>
  <c r="G64" i="20"/>
  <c r="H64" i="20"/>
  <c r="I64" i="20"/>
  <c r="J64" i="20"/>
  <c r="K64" i="20"/>
  <c r="K66" i="20" s="1"/>
  <c r="L64" i="20"/>
  <c r="M64" i="20"/>
  <c r="N64" i="20"/>
  <c r="N66" i="20" s="1"/>
  <c r="O64" i="20"/>
  <c r="P64" i="20"/>
  <c r="Q64" i="20"/>
  <c r="Q66" i="20" s="1"/>
  <c r="R64" i="20"/>
  <c r="S64" i="20"/>
  <c r="S66" i="20" s="1"/>
  <c r="T64" i="20"/>
  <c r="U64" i="20"/>
  <c r="V64" i="20"/>
  <c r="V66" i="20" s="1"/>
  <c r="W64" i="20"/>
  <c r="X64" i="20"/>
  <c r="Y64" i="20"/>
  <c r="Y66" i="20" s="1"/>
  <c r="Z64" i="20"/>
  <c r="AA64" i="20"/>
  <c r="AA66" i="20" s="1"/>
  <c r="AB64" i="20"/>
  <c r="AC64" i="20"/>
  <c r="AD64" i="20"/>
  <c r="AE64" i="20"/>
  <c r="AF64" i="20"/>
  <c r="AG64" i="20"/>
  <c r="AG66" i="20" s="1"/>
  <c r="AH64" i="20"/>
  <c r="AI64" i="20"/>
  <c r="AI66" i="20" s="1"/>
  <c r="AJ64" i="20"/>
  <c r="AK64" i="20"/>
  <c r="D65" i="20"/>
  <c r="F65" i="32" s="1"/>
  <c r="F65" i="20"/>
  <c r="G65" i="20"/>
  <c r="H65" i="20"/>
  <c r="I65" i="20"/>
  <c r="J65" i="20"/>
  <c r="K65" i="20"/>
  <c r="L65" i="20"/>
  <c r="M65" i="20"/>
  <c r="N65" i="20"/>
  <c r="O65" i="20"/>
  <c r="O66" i="20" s="1"/>
  <c r="P65" i="20"/>
  <c r="Q65" i="20"/>
  <c r="R65" i="20"/>
  <c r="S65" i="20"/>
  <c r="T65" i="20"/>
  <c r="U65" i="20"/>
  <c r="V65" i="20"/>
  <c r="W65" i="20"/>
  <c r="W66" i="20" s="1"/>
  <c r="X65" i="20"/>
  <c r="Y65" i="20"/>
  <c r="Z65" i="20"/>
  <c r="AA65" i="20"/>
  <c r="AB65" i="20"/>
  <c r="AC65" i="20"/>
  <c r="AD65" i="20"/>
  <c r="AE65" i="20"/>
  <c r="AE66" i="20" s="1"/>
  <c r="AF65" i="20"/>
  <c r="AG65" i="20"/>
  <c r="AH65" i="20"/>
  <c r="AI65" i="20"/>
  <c r="AJ65" i="20"/>
  <c r="AJ66" i="20" s="1"/>
  <c r="AK65" i="20"/>
  <c r="J66" i="20"/>
  <c r="L66" i="20"/>
  <c r="M66" i="20"/>
  <c r="R66" i="20"/>
  <c r="T66" i="20"/>
  <c r="U66" i="20"/>
  <c r="Z66" i="20"/>
  <c r="AB66" i="20"/>
  <c r="AC66" i="20"/>
  <c r="AD66" i="20"/>
  <c r="AH66" i="20"/>
  <c r="AK66" i="20"/>
  <c r="F70" i="20"/>
  <c r="H70" i="20"/>
  <c r="I70" i="20"/>
  <c r="J70" i="20"/>
  <c r="K70" i="20"/>
  <c r="K72" i="20" s="1"/>
  <c r="L70" i="20"/>
  <c r="M70" i="20"/>
  <c r="M72" i="20" s="1"/>
  <c r="N70" i="20"/>
  <c r="O70" i="20"/>
  <c r="P70" i="20"/>
  <c r="Q70" i="20"/>
  <c r="R70" i="20"/>
  <c r="S70" i="20"/>
  <c r="S72" i="20" s="1"/>
  <c r="T70" i="20"/>
  <c r="T72" i="20" s="1"/>
  <c r="U70" i="20"/>
  <c r="U72" i="20" s="1"/>
  <c r="V70" i="20"/>
  <c r="W70" i="20"/>
  <c r="X70" i="20"/>
  <c r="Y70" i="20"/>
  <c r="Z70" i="20"/>
  <c r="AA70" i="20"/>
  <c r="AA72" i="20" s="1"/>
  <c r="AB70" i="20"/>
  <c r="AC70" i="20"/>
  <c r="AC72" i="20" s="1"/>
  <c r="AD70" i="20"/>
  <c r="AE70" i="20"/>
  <c r="AF70" i="20"/>
  <c r="AG70" i="20"/>
  <c r="AH70" i="20"/>
  <c r="AI70" i="20"/>
  <c r="AI72" i="20" s="1"/>
  <c r="AJ70" i="20"/>
  <c r="AJ72" i="20" s="1"/>
  <c r="AK70" i="20"/>
  <c r="AK72" i="20" s="1"/>
  <c r="F71" i="20"/>
  <c r="F72" i="20" s="1"/>
  <c r="G71" i="20"/>
  <c r="H71" i="20"/>
  <c r="I71" i="20"/>
  <c r="J71" i="20"/>
  <c r="K71" i="20"/>
  <c r="L71" i="20"/>
  <c r="M71" i="20"/>
  <c r="N71" i="20"/>
  <c r="O71" i="20"/>
  <c r="P71" i="20"/>
  <c r="Q71" i="20"/>
  <c r="Q72" i="20" s="1"/>
  <c r="R71" i="20"/>
  <c r="S71" i="20"/>
  <c r="T71" i="20"/>
  <c r="U71" i="20"/>
  <c r="V71" i="20"/>
  <c r="V72" i="20" s="1"/>
  <c r="W71" i="20"/>
  <c r="X71" i="20"/>
  <c r="Y71" i="20"/>
  <c r="Y72" i="20" s="1"/>
  <c r="Z71" i="20"/>
  <c r="AA71" i="20"/>
  <c r="AB71" i="20"/>
  <c r="AC71" i="20"/>
  <c r="AD71" i="20"/>
  <c r="AE71" i="20"/>
  <c r="AF71" i="20"/>
  <c r="AG71" i="20"/>
  <c r="AG72" i="20" s="1"/>
  <c r="AH71" i="20"/>
  <c r="AI71" i="20"/>
  <c r="AJ71" i="20"/>
  <c r="AK71" i="20"/>
  <c r="L72" i="20"/>
  <c r="N72" i="20"/>
  <c r="O72" i="20"/>
  <c r="W72" i="20"/>
  <c r="AB72" i="20"/>
  <c r="AD72" i="20"/>
  <c r="AE72" i="20"/>
  <c r="F73" i="20"/>
  <c r="G73" i="20"/>
  <c r="H73" i="20"/>
  <c r="I73" i="20"/>
  <c r="J73" i="20"/>
  <c r="K73" i="20"/>
  <c r="L73" i="20"/>
  <c r="D73" i="20" s="1"/>
  <c r="M73" i="20"/>
  <c r="E73" i="20" s="1"/>
  <c r="G73" i="32" s="1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F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D77" i="20"/>
  <c r="F77" i="32" s="1"/>
  <c r="H77" i="32" s="1"/>
  <c r="F77" i="20"/>
  <c r="G77" i="20"/>
  <c r="H77" i="20"/>
  <c r="I77" i="20"/>
  <c r="E77" i="20" s="1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F79" i="20"/>
  <c r="G79" i="20"/>
  <c r="H79" i="20"/>
  <c r="I79" i="20"/>
  <c r="J79" i="20"/>
  <c r="K79" i="20"/>
  <c r="L79" i="20"/>
  <c r="M79" i="20"/>
  <c r="E79" i="20" s="1"/>
  <c r="G79" i="32" s="1"/>
  <c r="I79" i="32" s="1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D81" i="20"/>
  <c r="F81" i="32" s="1"/>
  <c r="H81" i="32" s="1"/>
  <c r="F81" i="20"/>
  <c r="G81" i="20"/>
  <c r="H81" i="20"/>
  <c r="I81" i="20"/>
  <c r="J81" i="20"/>
  <c r="K81" i="20"/>
  <c r="L81" i="20"/>
  <c r="M81" i="20"/>
  <c r="E81" i="20" s="1"/>
  <c r="G81" i="32" s="1"/>
  <c r="I81" i="32" s="1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J82" i="20"/>
  <c r="AH643" i="44" s="1"/>
  <c r="A4" i="8"/>
  <c r="A5" i="8"/>
  <c r="F11" i="8"/>
  <c r="H11" i="8"/>
  <c r="L11" i="8" s="1"/>
  <c r="I11" i="8"/>
  <c r="M11" i="8"/>
  <c r="G12" i="8"/>
  <c r="H12" i="8"/>
  <c r="I12" i="8"/>
  <c r="M12" i="8"/>
  <c r="F13" i="8"/>
  <c r="H13" i="8"/>
  <c r="I13" i="8"/>
  <c r="L13" i="8"/>
  <c r="D13" i="32" s="1"/>
  <c r="F14" i="8"/>
  <c r="H14" i="8"/>
  <c r="I14" i="8"/>
  <c r="G14" i="8" s="1"/>
  <c r="L14" i="8"/>
  <c r="D14" i="32" s="1"/>
  <c r="H15" i="8"/>
  <c r="L15" i="8" s="1"/>
  <c r="I15" i="8"/>
  <c r="J16" i="8"/>
  <c r="J82" i="8" s="1"/>
  <c r="K16" i="8"/>
  <c r="H18" i="8"/>
  <c r="I18" i="8"/>
  <c r="F19" i="8"/>
  <c r="H19" i="8"/>
  <c r="I19" i="8"/>
  <c r="L19" i="8"/>
  <c r="M19" i="8"/>
  <c r="G20" i="8"/>
  <c r="H20" i="8"/>
  <c r="F20" i="8" s="1"/>
  <c r="I20" i="8"/>
  <c r="M20" i="8"/>
  <c r="E20" i="32" s="1"/>
  <c r="F21" i="8"/>
  <c r="F24" i="8" s="1"/>
  <c r="G21" i="8"/>
  <c r="H21" i="8"/>
  <c r="I21" i="8"/>
  <c r="M21" i="8" s="1"/>
  <c r="L21" i="8"/>
  <c r="F22" i="8"/>
  <c r="H22" i="8"/>
  <c r="H24" i="8" s="1"/>
  <c r="I22" i="8"/>
  <c r="L22" i="8"/>
  <c r="D22" i="32" s="1"/>
  <c r="F23" i="8"/>
  <c r="H23" i="8"/>
  <c r="L23" i="8" s="1"/>
  <c r="D23" i="32" s="1"/>
  <c r="I23" i="8"/>
  <c r="G23" i="8" s="1"/>
  <c r="M23" i="8"/>
  <c r="E23" i="32" s="1"/>
  <c r="J24" i="8"/>
  <c r="K24" i="8"/>
  <c r="F27" i="8"/>
  <c r="F29" i="8" s="1"/>
  <c r="G27" i="8"/>
  <c r="H27" i="8"/>
  <c r="I27" i="8"/>
  <c r="M27" i="8"/>
  <c r="H28" i="8"/>
  <c r="F28" i="8" s="1"/>
  <c r="I28" i="8"/>
  <c r="L28" i="8"/>
  <c r="D28" i="32" s="1"/>
  <c r="I29" i="8"/>
  <c r="J29" i="8"/>
  <c r="K29" i="8"/>
  <c r="F32" i="8"/>
  <c r="H32" i="8"/>
  <c r="I32" i="8"/>
  <c r="G32" i="8" s="1"/>
  <c r="L32" i="8"/>
  <c r="D32" i="32" s="1"/>
  <c r="H33" i="8"/>
  <c r="I33" i="8"/>
  <c r="F34" i="8"/>
  <c r="G34" i="8"/>
  <c r="H34" i="8"/>
  <c r="I34" i="8"/>
  <c r="L34" i="8"/>
  <c r="D34" i="32" s="1"/>
  <c r="M34" i="8"/>
  <c r="H35" i="8"/>
  <c r="F35" i="8" s="1"/>
  <c r="I35" i="8"/>
  <c r="J36" i="8"/>
  <c r="K36" i="8"/>
  <c r="L37" i="8"/>
  <c r="M37" i="8"/>
  <c r="H38" i="8"/>
  <c r="I38" i="8"/>
  <c r="G39" i="8"/>
  <c r="H39" i="8"/>
  <c r="F39" i="8" s="1"/>
  <c r="I39" i="8"/>
  <c r="M39" i="8"/>
  <c r="E39" i="32" s="1"/>
  <c r="F40" i="8"/>
  <c r="G40" i="8"/>
  <c r="H40" i="8"/>
  <c r="I40" i="8"/>
  <c r="M40" i="8" s="1"/>
  <c r="L40" i="8"/>
  <c r="D40" i="32" s="1"/>
  <c r="H41" i="8"/>
  <c r="I41" i="8"/>
  <c r="L41" i="8"/>
  <c r="D41" i="32" s="1"/>
  <c r="J42" i="8"/>
  <c r="K42" i="8"/>
  <c r="K43" i="8" s="1"/>
  <c r="L42" i="8"/>
  <c r="J43" i="8"/>
  <c r="F45" i="8"/>
  <c r="H45" i="8"/>
  <c r="I45" i="8"/>
  <c r="G45" i="8" s="1"/>
  <c r="L45" i="8"/>
  <c r="D45" i="32" s="1"/>
  <c r="M45" i="8"/>
  <c r="G47" i="8"/>
  <c r="H47" i="8"/>
  <c r="I47" i="8"/>
  <c r="M47" i="8"/>
  <c r="F49" i="8"/>
  <c r="G49" i="8"/>
  <c r="H49" i="8"/>
  <c r="I49" i="8"/>
  <c r="M49" i="8" s="1"/>
  <c r="E49" i="32" s="1"/>
  <c r="L49" i="8"/>
  <c r="D49" i="32" s="1"/>
  <c r="F51" i="8"/>
  <c r="H51" i="8"/>
  <c r="I51" i="8"/>
  <c r="G51" i="8" s="1"/>
  <c r="L51" i="8"/>
  <c r="H54" i="8"/>
  <c r="I54" i="8"/>
  <c r="F55" i="8"/>
  <c r="G55" i="8"/>
  <c r="H55" i="8"/>
  <c r="I55" i="8"/>
  <c r="L55" i="8"/>
  <c r="D55" i="32" s="1"/>
  <c r="M55" i="8"/>
  <c r="I56" i="8"/>
  <c r="J56" i="8"/>
  <c r="K56" i="8"/>
  <c r="H59" i="8"/>
  <c r="F59" i="8" s="1"/>
  <c r="I59" i="8"/>
  <c r="F60" i="8"/>
  <c r="G60" i="8"/>
  <c r="H60" i="8"/>
  <c r="L60" i="8" s="1"/>
  <c r="D60" i="32" s="1"/>
  <c r="I60" i="8"/>
  <c r="M60" i="8"/>
  <c r="F61" i="8"/>
  <c r="I61" i="8"/>
  <c r="J61" i="8"/>
  <c r="K61" i="8"/>
  <c r="H64" i="8"/>
  <c r="I64" i="8"/>
  <c r="G64" i="8" s="1"/>
  <c r="M64" i="8"/>
  <c r="F65" i="8"/>
  <c r="G65" i="8"/>
  <c r="H65" i="8"/>
  <c r="I65" i="8"/>
  <c r="L65" i="8"/>
  <c r="M65" i="8"/>
  <c r="G66" i="8"/>
  <c r="I66" i="8"/>
  <c r="J66" i="8"/>
  <c r="K66" i="8"/>
  <c r="L69" i="8"/>
  <c r="M69" i="8"/>
  <c r="F70" i="8"/>
  <c r="G70" i="8"/>
  <c r="H70" i="8"/>
  <c r="I70" i="8"/>
  <c r="L70" i="8"/>
  <c r="M70" i="8"/>
  <c r="G71" i="8"/>
  <c r="G72" i="8" s="1"/>
  <c r="H71" i="8"/>
  <c r="I71" i="8"/>
  <c r="M71" i="8" s="1"/>
  <c r="I72" i="8"/>
  <c r="J72" i="8"/>
  <c r="K72" i="8"/>
  <c r="G73" i="8"/>
  <c r="H73" i="8"/>
  <c r="I73" i="8"/>
  <c r="M73" i="8"/>
  <c r="F74" i="8"/>
  <c r="H74" i="8"/>
  <c r="I74" i="8"/>
  <c r="G74" i="8" s="1"/>
  <c r="L74" i="8"/>
  <c r="M74" i="8"/>
  <c r="E74" i="32" s="1"/>
  <c r="G75" i="8"/>
  <c r="H75" i="8"/>
  <c r="I75" i="8"/>
  <c r="M75" i="8"/>
  <c r="F76" i="8"/>
  <c r="H76" i="8"/>
  <c r="I76" i="8"/>
  <c r="L76" i="8"/>
  <c r="D76" i="32" s="1"/>
  <c r="F77" i="8"/>
  <c r="H77" i="8"/>
  <c r="I77" i="8"/>
  <c r="G77" i="8" s="1"/>
  <c r="L77" i="8"/>
  <c r="D77" i="32" s="1"/>
  <c r="F78" i="8"/>
  <c r="H78" i="8"/>
  <c r="L78" i="8" s="1"/>
  <c r="D78" i="32" s="1"/>
  <c r="I78" i="8"/>
  <c r="F79" i="8"/>
  <c r="G79" i="8"/>
  <c r="H79" i="8"/>
  <c r="I79" i="8"/>
  <c r="L79" i="8"/>
  <c r="D79" i="32" s="1"/>
  <c r="M79" i="8"/>
  <c r="E79" i="32" s="1"/>
  <c r="H80" i="8"/>
  <c r="F80" i="8" s="1"/>
  <c r="I80" i="8"/>
  <c r="F81" i="8"/>
  <c r="G81" i="8"/>
  <c r="H81" i="8"/>
  <c r="L81" i="8" s="1"/>
  <c r="D81" i="32" s="1"/>
  <c r="I81" i="8"/>
  <c r="M81" i="8"/>
  <c r="D82" i="8"/>
  <c r="E82" i="8"/>
  <c r="A5" i="32"/>
  <c r="D11" i="32"/>
  <c r="E11" i="32"/>
  <c r="E12" i="32"/>
  <c r="F12" i="32"/>
  <c r="D15" i="32"/>
  <c r="F19" i="32"/>
  <c r="D21" i="32"/>
  <c r="E21" i="32"/>
  <c r="F22" i="32"/>
  <c r="H22" i="32" s="1"/>
  <c r="E27" i="32"/>
  <c r="F28" i="32"/>
  <c r="E34" i="32"/>
  <c r="F34" i="32"/>
  <c r="H34" i="32" s="1"/>
  <c r="E40" i="32"/>
  <c r="G41" i="32"/>
  <c r="E45" i="32"/>
  <c r="E47" i="32"/>
  <c r="D51" i="32"/>
  <c r="E55" i="32"/>
  <c r="E60" i="32"/>
  <c r="D65" i="32"/>
  <c r="E65" i="32"/>
  <c r="E70" i="32"/>
  <c r="E71" i="32"/>
  <c r="E72" i="32"/>
  <c r="E73" i="32"/>
  <c r="F73" i="32"/>
  <c r="D74" i="32"/>
  <c r="E75" i="32"/>
  <c r="G77" i="32"/>
  <c r="E81" i="32"/>
  <c r="D12" i="4"/>
  <c r="F15" i="4"/>
  <c r="F18" i="4"/>
  <c r="F22" i="4"/>
  <c r="B30" i="4"/>
  <c r="B38" i="4" s="1"/>
  <c r="B39" i="4" s="1"/>
  <c r="C31" i="4"/>
  <c r="D31" i="4"/>
  <c r="B32" i="4"/>
  <c r="B33" i="4"/>
  <c r="B34" i="4"/>
  <c r="B35" i="4"/>
  <c r="B36" i="4"/>
  <c r="B37" i="4"/>
  <c r="B116" i="4"/>
  <c r="B117" i="4"/>
  <c r="B118" i="4"/>
  <c r="B119" i="4"/>
  <c r="B120" i="4"/>
  <c r="B121" i="4"/>
  <c r="B122" i="4"/>
  <c r="B123" i="4"/>
  <c r="B125" i="4"/>
  <c r="A5" i="45"/>
  <c r="D11" i="45"/>
  <c r="E11" i="45"/>
  <c r="J11" i="45"/>
  <c r="K11" i="45"/>
  <c r="D12" i="45"/>
  <c r="E12" i="45"/>
  <c r="E16" i="45" s="1"/>
  <c r="J12" i="45"/>
  <c r="J16" i="45" s="1"/>
  <c r="K12" i="45"/>
  <c r="D13" i="45"/>
  <c r="E13" i="45"/>
  <c r="J13" i="45"/>
  <c r="K13" i="45"/>
  <c r="D14" i="45"/>
  <c r="E14" i="45"/>
  <c r="J14" i="45"/>
  <c r="K14" i="45"/>
  <c r="D15" i="45"/>
  <c r="E15" i="45"/>
  <c r="J15" i="45"/>
  <c r="K15" i="45"/>
  <c r="D19" i="45"/>
  <c r="E19" i="45"/>
  <c r="J19" i="45"/>
  <c r="K19" i="45"/>
  <c r="D20" i="45"/>
  <c r="E20" i="45"/>
  <c r="J20" i="45"/>
  <c r="K20" i="45"/>
  <c r="D21" i="45"/>
  <c r="E21" i="45"/>
  <c r="J21" i="45"/>
  <c r="K21" i="45"/>
  <c r="D22" i="45"/>
  <c r="E22" i="45"/>
  <c r="E24" i="45" s="1"/>
  <c r="J22" i="45"/>
  <c r="K22" i="45"/>
  <c r="D23" i="45"/>
  <c r="E23" i="45"/>
  <c r="J23" i="45"/>
  <c r="K23" i="45"/>
  <c r="J24" i="45"/>
  <c r="D27" i="45"/>
  <c r="E27" i="45"/>
  <c r="J27" i="45"/>
  <c r="K27" i="45"/>
  <c r="D28" i="45"/>
  <c r="E28" i="45"/>
  <c r="E29" i="45" s="1"/>
  <c r="J28" i="45"/>
  <c r="K28" i="45"/>
  <c r="D29" i="45"/>
  <c r="J29" i="45"/>
  <c r="K29" i="45"/>
  <c r="D32" i="45"/>
  <c r="E32" i="45"/>
  <c r="J32" i="45"/>
  <c r="K32" i="45"/>
  <c r="D33" i="45"/>
  <c r="E33" i="45"/>
  <c r="J33" i="45"/>
  <c r="K33" i="45"/>
  <c r="D34" i="45"/>
  <c r="E34" i="45"/>
  <c r="E36" i="45" s="1"/>
  <c r="J34" i="45"/>
  <c r="K34" i="45"/>
  <c r="D35" i="45"/>
  <c r="E35" i="45"/>
  <c r="J35" i="45"/>
  <c r="K35" i="45"/>
  <c r="J36" i="45"/>
  <c r="K36" i="45"/>
  <c r="L37" i="45"/>
  <c r="M37" i="45"/>
  <c r="D39" i="45"/>
  <c r="D43" i="45" s="1"/>
  <c r="E39" i="45"/>
  <c r="J39" i="45"/>
  <c r="K39" i="45"/>
  <c r="D40" i="45"/>
  <c r="E40" i="45"/>
  <c r="E42" i="45" s="1"/>
  <c r="J40" i="45"/>
  <c r="K40" i="45"/>
  <c r="K42" i="45" s="1"/>
  <c r="K43" i="45" s="1"/>
  <c r="D41" i="45"/>
  <c r="E41" i="45"/>
  <c r="J41" i="45"/>
  <c r="K41" i="45"/>
  <c r="D42" i="45"/>
  <c r="E43" i="45"/>
  <c r="D45" i="45"/>
  <c r="E45" i="45"/>
  <c r="J45" i="45"/>
  <c r="K45" i="45"/>
  <c r="D47" i="45"/>
  <c r="D47" i="47" s="1"/>
  <c r="E47" i="45"/>
  <c r="J47" i="45"/>
  <c r="K47" i="45"/>
  <c r="D49" i="45"/>
  <c r="E49" i="45"/>
  <c r="J49" i="45"/>
  <c r="K49" i="45"/>
  <c r="D51" i="45"/>
  <c r="E51" i="45"/>
  <c r="J51" i="45"/>
  <c r="K51" i="45"/>
  <c r="D54" i="45"/>
  <c r="D56" i="45" s="1"/>
  <c r="E54" i="45"/>
  <c r="J54" i="45"/>
  <c r="K54" i="45"/>
  <c r="D55" i="45"/>
  <c r="E55" i="45"/>
  <c r="J55" i="45"/>
  <c r="K55" i="45"/>
  <c r="J56" i="45"/>
  <c r="K56" i="45"/>
  <c r="D59" i="45"/>
  <c r="E59" i="45"/>
  <c r="J59" i="45"/>
  <c r="K59" i="45"/>
  <c r="D60" i="45"/>
  <c r="E60" i="45"/>
  <c r="J60" i="45"/>
  <c r="K60" i="45"/>
  <c r="J61" i="45"/>
  <c r="K61" i="45"/>
  <c r="D64" i="45"/>
  <c r="D66" i="45" s="1"/>
  <c r="E64" i="45"/>
  <c r="J64" i="45"/>
  <c r="J66" i="45" s="1"/>
  <c r="K64" i="45"/>
  <c r="K66" i="45" s="1"/>
  <c r="D65" i="45"/>
  <c r="E65" i="45"/>
  <c r="J65" i="45"/>
  <c r="K65" i="45"/>
  <c r="E66" i="45"/>
  <c r="D70" i="45"/>
  <c r="E70" i="45"/>
  <c r="J70" i="45"/>
  <c r="K70" i="45"/>
  <c r="D71" i="45"/>
  <c r="E71" i="45"/>
  <c r="J71" i="45"/>
  <c r="K71" i="45"/>
  <c r="D72" i="45"/>
  <c r="J72" i="45"/>
  <c r="D73" i="45"/>
  <c r="E73" i="45"/>
  <c r="J73" i="45"/>
  <c r="K73" i="45"/>
  <c r="D74" i="45"/>
  <c r="E74" i="45"/>
  <c r="J74" i="45"/>
  <c r="K74" i="45"/>
  <c r="D75" i="45"/>
  <c r="E75" i="45"/>
  <c r="J75" i="45"/>
  <c r="K75" i="45"/>
  <c r="D76" i="45"/>
  <c r="E76" i="45"/>
  <c r="J76" i="45"/>
  <c r="K76" i="45"/>
  <c r="D77" i="45"/>
  <c r="E77" i="45"/>
  <c r="J77" i="45"/>
  <c r="K77" i="45"/>
  <c r="D78" i="45"/>
  <c r="E78" i="45"/>
  <c r="E78" i="47" s="1"/>
  <c r="J78" i="45"/>
  <c r="K78" i="45"/>
  <c r="D79" i="45"/>
  <c r="E79" i="45"/>
  <c r="J79" i="45"/>
  <c r="K79" i="45"/>
  <c r="D80" i="45"/>
  <c r="E80" i="45"/>
  <c r="J80" i="45"/>
  <c r="K80" i="45"/>
  <c r="D81" i="45"/>
  <c r="E81" i="45"/>
  <c r="J81" i="45"/>
  <c r="K81" i="45"/>
  <c r="D86" i="45"/>
  <c r="D89" i="45" s="1"/>
  <c r="E86" i="45"/>
  <c r="J86" i="45"/>
  <c r="K86" i="45"/>
  <c r="D87" i="45"/>
  <c r="E87" i="45"/>
  <c r="J87" i="45"/>
  <c r="K87" i="45"/>
  <c r="D88" i="45"/>
  <c r="E88" i="45"/>
  <c r="E89" i="45" s="1"/>
  <c r="I88" i="45"/>
  <c r="J88" i="45"/>
  <c r="K88" i="45"/>
  <c r="K89" i="45"/>
  <c r="A5" i="46"/>
  <c r="H8" i="46"/>
  <c r="J8" i="46"/>
  <c r="L8" i="46"/>
  <c r="N8" i="46"/>
  <c r="P8" i="46"/>
  <c r="R8" i="46"/>
  <c r="T8" i="46"/>
  <c r="AF11" i="46"/>
  <c r="AG11" i="46"/>
  <c r="AH11" i="46"/>
  <c r="AI11" i="46"/>
  <c r="AJ11" i="46"/>
  <c r="AK11" i="46"/>
  <c r="AF12" i="46"/>
  <c r="AG12" i="46"/>
  <c r="AH12" i="46"/>
  <c r="AI12" i="46"/>
  <c r="AJ12" i="46"/>
  <c r="AK12" i="46"/>
  <c r="AF13" i="46"/>
  <c r="AG13" i="46"/>
  <c r="AH13" i="46"/>
  <c r="AI13" i="46"/>
  <c r="AJ13" i="46"/>
  <c r="AK13" i="46"/>
  <c r="AK16" i="46" s="1"/>
  <c r="AF14" i="46"/>
  <c r="AG14" i="46"/>
  <c r="AH14" i="46"/>
  <c r="AI14" i="46"/>
  <c r="AJ14" i="46"/>
  <c r="AJ16" i="46" s="1"/>
  <c r="AK14" i="46"/>
  <c r="AF15" i="46"/>
  <c r="AG15" i="46"/>
  <c r="AH15" i="46"/>
  <c r="AI15" i="46"/>
  <c r="AJ15" i="46"/>
  <c r="AK15" i="46"/>
  <c r="AF16" i="46"/>
  <c r="AG16" i="46"/>
  <c r="AF19" i="46"/>
  <c r="AG19" i="46"/>
  <c r="AH19" i="46"/>
  <c r="AH24" i="46" s="1"/>
  <c r="AI19" i="46"/>
  <c r="AJ19" i="46"/>
  <c r="AK19" i="46"/>
  <c r="AK24" i="46" s="1"/>
  <c r="AF20" i="46"/>
  <c r="AG20" i="46"/>
  <c r="AG24" i="46" s="1"/>
  <c r="AH20" i="46"/>
  <c r="AI20" i="46"/>
  <c r="AJ20" i="46"/>
  <c r="AK20" i="46"/>
  <c r="AF21" i="46"/>
  <c r="AG21" i="46"/>
  <c r="AH21" i="46"/>
  <c r="AI21" i="46"/>
  <c r="AJ21" i="46"/>
  <c r="AK21" i="46"/>
  <c r="AF22" i="46"/>
  <c r="AF24" i="46" s="1"/>
  <c r="AG22" i="46"/>
  <c r="AH22" i="46"/>
  <c r="AI22" i="46"/>
  <c r="AJ22" i="46"/>
  <c r="AK22" i="46"/>
  <c r="AF23" i="46"/>
  <c r="AG23" i="46"/>
  <c r="AH23" i="46"/>
  <c r="AI23" i="46"/>
  <c r="AJ23" i="46"/>
  <c r="AK23" i="46"/>
  <c r="AI24" i="46"/>
  <c r="AJ24" i="46"/>
  <c r="AF27" i="46"/>
  <c r="AG27" i="46"/>
  <c r="AG29" i="46" s="1"/>
  <c r="AH27" i="46"/>
  <c r="AH29" i="46" s="1"/>
  <c r="AI27" i="46"/>
  <c r="AJ27" i="46"/>
  <c r="AJ29" i="46" s="1"/>
  <c r="AK27" i="46"/>
  <c r="AF28" i="46"/>
  <c r="AF29" i="46" s="1"/>
  <c r="AG28" i="46"/>
  <c r="AH28" i="46"/>
  <c r="AI28" i="46"/>
  <c r="AJ28" i="46"/>
  <c r="AK28" i="46"/>
  <c r="AI29" i="46"/>
  <c r="AK29" i="46"/>
  <c r="AF32" i="46"/>
  <c r="AG32" i="46"/>
  <c r="AH32" i="46"/>
  <c r="AI32" i="46"/>
  <c r="AJ32" i="46"/>
  <c r="AK32" i="46"/>
  <c r="AF33" i="46"/>
  <c r="AG33" i="46"/>
  <c r="AH33" i="46"/>
  <c r="AH36" i="46" s="1"/>
  <c r="AI33" i="46"/>
  <c r="AJ33" i="46"/>
  <c r="AK33" i="46"/>
  <c r="AF34" i="46"/>
  <c r="AF36" i="46" s="1"/>
  <c r="AG34" i="46"/>
  <c r="AH34" i="46"/>
  <c r="AI34" i="46"/>
  <c r="AJ34" i="46"/>
  <c r="AK34" i="46"/>
  <c r="AF35" i="46"/>
  <c r="AG35" i="46"/>
  <c r="AH35" i="46"/>
  <c r="AI35" i="46"/>
  <c r="AI36" i="46" s="1"/>
  <c r="AJ35" i="46"/>
  <c r="AK35" i="46"/>
  <c r="AJ36" i="46"/>
  <c r="AF39" i="46"/>
  <c r="AG39" i="46"/>
  <c r="AH39" i="46"/>
  <c r="AI39" i="46"/>
  <c r="AJ39" i="46"/>
  <c r="AJ43" i="46" s="1"/>
  <c r="AK39" i="46"/>
  <c r="AF40" i="46"/>
  <c r="AG40" i="46"/>
  <c r="AH40" i="46"/>
  <c r="AI40" i="46"/>
  <c r="AJ40" i="46"/>
  <c r="AK40" i="46"/>
  <c r="AF41" i="46"/>
  <c r="AG41" i="46"/>
  <c r="AG42" i="46" s="1"/>
  <c r="AG43" i="46" s="1"/>
  <c r="AH41" i="46"/>
  <c r="AI41" i="46"/>
  <c r="AI42" i="46" s="1"/>
  <c r="AI43" i="46" s="1"/>
  <c r="AJ41" i="46"/>
  <c r="AK41" i="46"/>
  <c r="AJ42" i="46"/>
  <c r="AK42" i="46"/>
  <c r="AK43" i="46"/>
  <c r="AF45" i="46"/>
  <c r="AG45" i="46"/>
  <c r="AH45" i="46"/>
  <c r="AI45" i="46"/>
  <c r="AJ45" i="46"/>
  <c r="AK45" i="46"/>
  <c r="AF47" i="46"/>
  <c r="AG47" i="46"/>
  <c r="AH47" i="46"/>
  <c r="AI47" i="46"/>
  <c r="AJ47" i="46"/>
  <c r="AK47" i="46"/>
  <c r="AF49" i="46"/>
  <c r="AG49" i="46"/>
  <c r="AH49" i="46"/>
  <c r="AI49" i="46"/>
  <c r="AJ49" i="46"/>
  <c r="AK49" i="46"/>
  <c r="D50" i="46"/>
  <c r="E50" i="46"/>
  <c r="AF51" i="46"/>
  <c r="AG51" i="46"/>
  <c r="AH51" i="46"/>
  <c r="AI51" i="46"/>
  <c r="AJ51" i="46"/>
  <c r="AK51" i="46"/>
  <c r="D52" i="46"/>
  <c r="E52" i="46"/>
  <c r="AF54" i="46"/>
  <c r="AF56" i="46" s="1"/>
  <c r="AG54" i="46"/>
  <c r="AH54" i="46"/>
  <c r="AI54" i="46"/>
  <c r="AJ54" i="46"/>
  <c r="AK54" i="46"/>
  <c r="AF55" i="46"/>
  <c r="AG55" i="46"/>
  <c r="AG56" i="46" s="1"/>
  <c r="AH55" i="46"/>
  <c r="AH56" i="46" s="1"/>
  <c r="AI55" i="46"/>
  <c r="AJ55" i="46"/>
  <c r="AK55" i="46"/>
  <c r="AI56" i="46"/>
  <c r="AJ56" i="46"/>
  <c r="AK56" i="46"/>
  <c r="AF59" i="46"/>
  <c r="AF61" i="46" s="1"/>
  <c r="AG59" i="46"/>
  <c r="AH59" i="46"/>
  <c r="AI59" i="46"/>
  <c r="AI61" i="46" s="1"/>
  <c r="AJ59" i="46"/>
  <c r="AK59" i="46"/>
  <c r="AK61" i="46" s="1"/>
  <c r="AF60" i="46"/>
  <c r="AG60" i="46"/>
  <c r="AG61" i="46" s="1"/>
  <c r="AH60" i="46"/>
  <c r="AI60" i="46"/>
  <c r="AJ60" i="46"/>
  <c r="AK60" i="46"/>
  <c r="AH61" i="46"/>
  <c r="AJ61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F70" i="46"/>
  <c r="AG70" i="46"/>
  <c r="AH70" i="46"/>
  <c r="AH72" i="46" s="1"/>
  <c r="AI70" i="46"/>
  <c r="AI72" i="46" s="1"/>
  <c r="AJ70" i="46"/>
  <c r="AK70" i="46"/>
  <c r="AF71" i="46"/>
  <c r="AG71" i="46"/>
  <c r="AH71" i="46"/>
  <c r="AI71" i="46"/>
  <c r="AJ71" i="46"/>
  <c r="AK71" i="46"/>
  <c r="AF72" i="46"/>
  <c r="AG72" i="46"/>
  <c r="AF73" i="46"/>
  <c r="AG73" i="46"/>
  <c r="AH73" i="46"/>
  <c r="AI73" i="46"/>
  <c r="AJ73" i="46"/>
  <c r="AK73" i="46"/>
  <c r="AF74" i="46"/>
  <c r="AG74" i="46"/>
  <c r="AH74" i="46"/>
  <c r="AI74" i="46"/>
  <c r="AJ74" i="46"/>
  <c r="AK74" i="46"/>
  <c r="AF75" i="46"/>
  <c r="AG75" i="46"/>
  <c r="AH75" i="46"/>
  <c r="AI75" i="46"/>
  <c r="AJ75" i="46"/>
  <c r="AK75" i="46"/>
  <c r="AF76" i="46"/>
  <c r="AG76" i="46"/>
  <c r="AH76" i="46"/>
  <c r="AI76" i="46"/>
  <c r="AJ76" i="46"/>
  <c r="AK76" i="46"/>
  <c r="AF77" i="46"/>
  <c r="AG77" i="46"/>
  <c r="AH77" i="46"/>
  <c r="AI77" i="46"/>
  <c r="AJ77" i="46"/>
  <c r="AK77" i="46"/>
  <c r="AF78" i="46"/>
  <c r="AG78" i="46"/>
  <c r="AH78" i="46"/>
  <c r="AI78" i="46"/>
  <c r="AJ78" i="46"/>
  <c r="AK78" i="46"/>
  <c r="I79" i="46"/>
  <c r="O79" i="46"/>
  <c r="AF79" i="46"/>
  <c r="AG79" i="46"/>
  <c r="AH79" i="46"/>
  <c r="AI79" i="46"/>
  <c r="AJ79" i="46"/>
  <c r="AK79" i="46"/>
  <c r="H80" i="46"/>
  <c r="AF80" i="46"/>
  <c r="AG80" i="46"/>
  <c r="AH80" i="46"/>
  <c r="AI80" i="46"/>
  <c r="AJ80" i="46"/>
  <c r="AK80" i="46"/>
  <c r="AF81" i="46"/>
  <c r="AG81" i="46"/>
  <c r="AH81" i="46"/>
  <c r="AI81" i="46"/>
  <c r="AJ81" i="46"/>
  <c r="AK81" i="46"/>
  <c r="H86" i="46"/>
  <c r="H89" i="46" s="1"/>
  <c r="I86" i="46"/>
  <c r="J86" i="46"/>
  <c r="K86" i="46"/>
  <c r="L86" i="46"/>
  <c r="M86" i="46"/>
  <c r="N86" i="46"/>
  <c r="O86" i="46"/>
  <c r="O89" i="46" s="1"/>
  <c r="P86" i="46"/>
  <c r="P89" i="46" s="1"/>
  <c r="Q86" i="46"/>
  <c r="R86" i="46"/>
  <c r="S86" i="46"/>
  <c r="T86" i="46"/>
  <c r="U86" i="46"/>
  <c r="V86" i="46"/>
  <c r="W86" i="46"/>
  <c r="X86" i="46"/>
  <c r="Y86" i="46"/>
  <c r="Z86" i="46"/>
  <c r="AA86" i="46"/>
  <c r="AB86" i="46"/>
  <c r="AC86" i="46"/>
  <c r="AD86" i="46"/>
  <c r="AE86" i="46"/>
  <c r="AE89" i="46" s="1"/>
  <c r="AF86" i="46"/>
  <c r="AF89" i="46" s="1"/>
  <c r="AG86" i="46"/>
  <c r="AH86" i="46"/>
  <c r="AI86" i="46"/>
  <c r="AJ86" i="46"/>
  <c r="AK86" i="46"/>
  <c r="F87" i="46"/>
  <c r="D87" i="46" s="1"/>
  <c r="H87" i="46"/>
  <c r="I87" i="46"/>
  <c r="J87" i="46"/>
  <c r="K87" i="46"/>
  <c r="L87" i="46"/>
  <c r="L89" i="46" s="1"/>
  <c r="M87" i="46"/>
  <c r="E87" i="46" s="1"/>
  <c r="G87" i="47" s="1"/>
  <c r="I87" i="47" s="1"/>
  <c r="N87" i="46"/>
  <c r="O87" i="46"/>
  <c r="P87" i="46"/>
  <c r="Q87" i="46"/>
  <c r="R87" i="46"/>
  <c r="S87" i="46"/>
  <c r="T87" i="46"/>
  <c r="T89" i="46" s="1"/>
  <c r="U87" i="46"/>
  <c r="V87" i="46"/>
  <c r="W87" i="46"/>
  <c r="X87" i="46"/>
  <c r="Y87" i="46"/>
  <c r="Z87" i="46"/>
  <c r="AA87" i="46"/>
  <c r="AB87" i="46"/>
  <c r="AB89" i="46" s="1"/>
  <c r="AC87" i="46"/>
  <c r="AD87" i="46"/>
  <c r="AE87" i="46"/>
  <c r="AF87" i="46"/>
  <c r="AG87" i="46"/>
  <c r="AH87" i="46"/>
  <c r="AI87" i="46"/>
  <c r="AJ87" i="46"/>
  <c r="AJ89" i="46" s="1"/>
  <c r="AK87" i="46"/>
  <c r="H88" i="46"/>
  <c r="I88" i="46"/>
  <c r="I89" i="46" s="1"/>
  <c r="J88" i="46"/>
  <c r="K88" i="46"/>
  <c r="L88" i="46"/>
  <c r="M88" i="46"/>
  <c r="N88" i="46"/>
  <c r="O88" i="46"/>
  <c r="P88" i="46"/>
  <c r="Q88" i="46"/>
  <c r="Q89" i="46" s="1"/>
  <c r="R88" i="46"/>
  <c r="S88" i="46"/>
  <c r="T88" i="46"/>
  <c r="U88" i="46"/>
  <c r="V88" i="46"/>
  <c r="W88" i="46"/>
  <c r="X88" i="46"/>
  <c r="Y88" i="46"/>
  <c r="Y89" i="46" s="1"/>
  <c r="Z88" i="46"/>
  <c r="AA88" i="46"/>
  <c r="AB88" i="46"/>
  <c r="AC88" i="46"/>
  <c r="AD88" i="46"/>
  <c r="AE88" i="46"/>
  <c r="AF88" i="46"/>
  <c r="AG88" i="46"/>
  <c r="AG89" i="46" s="1"/>
  <c r="AH88" i="46"/>
  <c r="AI88" i="46"/>
  <c r="AJ88" i="46"/>
  <c r="AK88" i="46"/>
  <c r="J89" i="46"/>
  <c r="R89" i="46"/>
  <c r="W89" i="46"/>
  <c r="X89" i="46"/>
  <c r="Z89" i="46"/>
  <c r="AH89" i="46"/>
  <c r="A5" i="47"/>
  <c r="D11" i="47"/>
  <c r="E11" i="47"/>
  <c r="E16" i="47" s="1"/>
  <c r="D12" i="47"/>
  <c r="E12" i="47"/>
  <c r="E13" i="47"/>
  <c r="D14" i="47"/>
  <c r="E14" i="47"/>
  <c r="D15" i="47"/>
  <c r="E15" i="47"/>
  <c r="D19" i="47"/>
  <c r="E19" i="47"/>
  <c r="D20" i="47"/>
  <c r="E20" i="47"/>
  <c r="D21" i="47"/>
  <c r="E21" i="47"/>
  <c r="E24" i="47" s="1"/>
  <c r="D22" i="47"/>
  <c r="E22" i="47"/>
  <c r="D23" i="47"/>
  <c r="E23" i="47"/>
  <c r="D27" i="47"/>
  <c r="E27" i="47"/>
  <c r="E29" i="47" s="1"/>
  <c r="D28" i="47"/>
  <c r="E28" i="47"/>
  <c r="D32" i="47"/>
  <c r="E32" i="47"/>
  <c r="E33" i="47"/>
  <c r="D34" i="47"/>
  <c r="E34" i="47"/>
  <c r="D35" i="47"/>
  <c r="E35" i="47"/>
  <c r="D39" i="47"/>
  <c r="D43" i="47" s="1"/>
  <c r="E39" i="47"/>
  <c r="D40" i="47"/>
  <c r="D42" i="47" s="1"/>
  <c r="E40" i="47"/>
  <c r="E42" i="47" s="1"/>
  <c r="D41" i="47"/>
  <c r="E41" i="47"/>
  <c r="E43" i="47"/>
  <c r="D45" i="47"/>
  <c r="E45" i="47"/>
  <c r="E47" i="47"/>
  <c r="D49" i="47"/>
  <c r="E49" i="47"/>
  <c r="D51" i="47"/>
  <c r="E51" i="47"/>
  <c r="D54" i="47"/>
  <c r="D56" i="47" s="1"/>
  <c r="E54" i="47"/>
  <c r="E56" i="47" s="1"/>
  <c r="D55" i="47"/>
  <c r="E55" i="47"/>
  <c r="D60" i="47"/>
  <c r="E60" i="47"/>
  <c r="D64" i="47"/>
  <c r="E64" i="47"/>
  <c r="D65" i="47"/>
  <c r="E65" i="47"/>
  <c r="D66" i="47"/>
  <c r="E66" i="47"/>
  <c r="D70" i="47"/>
  <c r="D71" i="47"/>
  <c r="E71" i="47"/>
  <c r="D72" i="47"/>
  <c r="D73" i="47"/>
  <c r="E73" i="47"/>
  <c r="D74" i="47"/>
  <c r="E74" i="47"/>
  <c r="D75" i="47"/>
  <c r="E75" i="47"/>
  <c r="D76" i="47"/>
  <c r="E76" i="47"/>
  <c r="D77" i="47"/>
  <c r="E77" i="47"/>
  <c r="D78" i="47"/>
  <c r="D79" i="47"/>
  <c r="E79" i="47"/>
  <c r="D80" i="47"/>
  <c r="E80" i="47"/>
  <c r="D81" i="47"/>
  <c r="E81" i="47"/>
  <c r="D86" i="47"/>
  <c r="E86" i="47"/>
  <c r="D87" i="47"/>
  <c r="E87" i="47"/>
  <c r="F87" i="47"/>
  <c r="H87" i="47" s="1"/>
  <c r="D88" i="47"/>
  <c r="E88" i="47"/>
  <c r="A5" i="21"/>
  <c r="H8" i="21"/>
  <c r="J8" i="21"/>
  <c r="L8" i="21"/>
  <c r="N8" i="21"/>
  <c r="P8" i="21"/>
  <c r="R8" i="21"/>
  <c r="T8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D12" i="21"/>
  <c r="F12" i="33" s="1"/>
  <c r="F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F13" i="21"/>
  <c r="G13" i="21"/>
  <c r="E13" i="21" s="1"/>
  <c r="G13" i="33" s="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F15" i="21"/>
  <c r="D15" i="21" s="1"/>
  <c r="F15" i="33" s="1"/>
  <c r="H15" i="33" s="1"/>
  <c r="G15" i="21"/>
  <c r="H15" i="21"/>
  <c r="I15" i="21"/>
  <c r="J15" i="21"/>
  <c r="K15" i="21"/>
  <c r="L15" i="21"/>
  <c r="L16" i="21" s="1"/>
  <c r="M15" i="21"/>
  <c r="E15" i="21" s="1"/>
  <c r="G15" i="33" s="1"/>
  <c r="I15" i="33" s="1"/>
  <c r="N15" i="21"/>
  <c r="O15" i="21"/>
  <c r="P15" i="21"/>
  <c r="Q15" i="21"/>
  <c r="R15" i="21"/>
  <c r="S15" i="21"/>
  <c r="T15" i="21"/>
  <c r="T16" i="21" s="1"/>
  <c r="U15" i="21"/>
  <c r="V15" i="21"/>
  <c r="W15" i="21"/>
  <c r="X15" i="21"/>
  <c r="Y15" i="21"/>
  <c r="Z15" i="21"/>
  <c r="AA15" i="21"/>
  <c r="AB15" i="21"/>
  <c r="AB16" i="21" s="1"/>
  <c r="AC15" i="21"/>
  <c r="AD15" i="21"/>
  <c r="AE15" i="21"/>
  <c r="AF15" i="21"/>
  <c r="AG15" i="21"/>
  <c r="AH15" i="21"/>
  <c r="AI15" i="21"/>
  <c r="AJ15" i="21"/>
  <c r="AJ16" i="21" s="1"/>
  <c r="AK15" i="21"/>
  <c r="J16" i="21"/>
  <c r="K16" i="21"/>
  <c r="R16" i="21"/>
  <c r="S16" i="21"/>
  <c r="Z16" i="21"/>
  <c r="AA16" i="21"/>
  <c r="AH16" i="21"/>
  <c r="AI16" i="21"/>
  <c r="F19" i="21"/>
  <c r="G19" i="21"/>
  <c r="H19" i="21"/>
  <c r="I19" i="21"/>
  <c r="I24" i="21" s="1"/>
  <c r="J19" i="21"/>
  <c r="J24" i="21" s="1"/>
  <c r="K19" i="21"/>
  <c r="K24" i="21" s="1"/>
  <c r="L19" i="21"/>
  <c r="M19" i="21"/>
  <c r="N19" i="21"/>
  <c r="O19" i="21"/>
  <c r="P19" i="21"/>
  <c r="Q19" i="21"/>
  <c r="Q24" i="21" s="1"/>
  <c r="R19" i="21"/>
  <c r="R24" i="21" s="1"/>
  <c r="S19" i="21"/>
  <c r="S24" i="21" s="1"/>
  <c r="T19" i="21"/>
  <c r="U19" i="21"/>
  <c r="V19" i="21"/>
  <c r="W19" i="21"/>
  <c r="X19" i="21"/>
  <c r="Y19" i="21"/>
  <c r="Y24" i="21" s="1"/>
  <c r="Z19" i="21"/>
  <c r="Z24" i="21" s="1"/>
  <c r="AA19" i="21"/>
  <c r="AA24" i="21" s="1"/>
  <c r="AB19" i="21"/>
  <c r="AC19" i="21"/>
  <c r="AD19" i="21"/>
  <c r="AE19" i="21"/>
  <c r="AF19" i="21"/>
  <c r="AG19" i="21"/>
  <c r="AH19" i="21"/>
  <c r="AH24" i="21" s="1"/>
  <c r="AI19" i="21"/>
  <c r="AI24" i="21" s="1"/>
  <c r="AJ19" i="21"/>
  <c r="AK19" i="21"/>
  <c r="F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F21" i="21"/>
  <c r="D21" i="21" s="1"/>
  <c r="F21" i="33" s="1"/>
  <c r="G21" i="21"/>
  <c r="H21" i="21"/>
  <c r="I21" i="21"/>
  <c r="J21" i="21"/>
  <c r="K21" i="21"/>
  <c r="L21" i="21"/>
  <c r="M21" i="21"/>
  <c r="N21" i="21"/>
  <c r="O21" i="21"/>
  <c r="O24" i="21" s="1"/>
  <c r="P21" i="21"/>
  <c r="Q21" i="21"/>
  <c r="R21" i="21"/>
  <c r="S21" i="21"/>
  <c r="T21" i="21"/>
  <c r="U21" i="21"/>
  <c r="V21" i="21"/>
  <c r="W21" i="21"/>
  <c r="W24" i="21" s="1"/>
  <c r="X21" i="21"/>
  <c r="Y21" i="21"/>
  <c r="Z21" i="21"/>
  <c r="AA21" i="21"/>
  <c r="AB21" i="21"/>
  <c r="AC21" i="21"/>
  <c r="AD21" i="21"/>
  <c r="AE21" i="21"/>
  <c r="AE24" i="21" s="1"/>
  <c r="AF21" i="21"/>
  <c r="AG21" i="21"/>
  <c r="AH21" i="21"/>
  <c r="AI21" i="21"/>
  <c r="AJ21" i="21"/>
  <c r="AK21" i="21"/>
  <c r="F22" i="21"/>
  <c r="G22" i="21"/>
  <c r="H22" i="21"/>
  <c r="I22" i="21"/>
  <c r="J22" i="21"/>
  <c r="K22" i="21"/>
  <c r="L22" i="21"/>
  <c r="D22" i="21" s="1"/>
  <c r="F22" i="33" s="1"/>
  <c r="M22" i="21"/>
  <c r="E22" i="21" s="1"/>
  <c r="G22" i="33" s="1"/>
  <c r="I22" i="33" s="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F23" i="21"/>
  <c r="D23" i="21" s="1"/>
  <c r="G23" i="21"/>
  <c r="E23" i="21" s="1"/>
  <c r="G23" i="33" s="1"/>
  <c r="H23" i="21"/>
  <c r="I23" i="21"/>
  <c r="J23" i="21"/>
  <c r="K23" i="21"/>
  <c r="L23" i="21"/>
  <c r="M23" i="21"/>
  <c r="N23" i="21"/>
  <c r="O23" i="21"/>
  <c r="P23" i="21"/>
  <c r="P24" i="21" s="1"/>
  <c r="Q23" i="21"/>
  <c r="R23" i="21"/>
  <c r="S23" i="21"/>
  <c r="T23" i="21"/>
  <c r="U23" i="21"/>
  <c r="V23" i="21"/>
  <c r="W23" i="21"/>
  <c r="X23" i="21"/>
  <c r="X24" i="21" s="1"/>
  <c r="Y23" i="21"/>
  <c r="Z23" i="21"/>
  <c r="AA23" i="21"/>
  <c r="AB23" i="21"/>
  <c r="AC23" i="21"/>
  <c r="AD23" i="21"/>
  <c r="AE23" i="21"/>
  <c r="AF23" i="21"/>
  <c r="AF24" i="21" s="1"/>
  <c r="AG23" i="21"/>
  <c r="AH23" i="21"/>
  <c r="AI23" i="21"/>
  <c r="AJ23" i="21"/>
  <c r="AK23" i="21"/>
  <c r="F24" i="21"/>
  <c r="H24" i="21"/>
  <c r="N24" i="21"/>
  <c r="V24" i="21"/>
  <c r="AD24" i="21"/>
  <c r="AG24" i="21"/>
  <c r="F27" i="21"/>
  <c r="F29" i="21" s="1"/>
  <c r="G27" i="21"/>
  <c r="H27" i="21"/>
  <c r="I27" i="21"/>
  <c r="J27" i="21"/>
  <c r="K27" i="21"/>
  <c r="L27" i="21"/>
  <c r="M27" i="21"/>
  <c r="M29" i="21" s="1"/>
  <c r="N27" i="21"/>
  <c r="O27" i="21"/>
  <c r="P27" i="21"/>
  <c r="Q27" i="21"/>
  <c r="R27" i="21"/>
  <c r="S27" i="21"/>
  <c r="T27" i="21"/>
  <c r="U27" i="21"/>
  <c r="U29" i="21" s="1"/>
  <c r="V27" i="21"/>
  <c r="W27" i="21"/>
  <c r="X27" i="21"/>
  <c r="Y27" i="21"/>
  <c r="Z27" i="21"/>
  <c r="AA27" i="21"/>
  <c r="AB27" i="21"/>
  <c r="AC27" i="21"/>
  <c r="AC29" i="21" s="1"/>
  <c r="AD27" i="21"/>
  <c r="AD29" i="21" s="1"/>
  <c r="AE27" i="21"/>
  <c r="AF27" i="21"/>
  <c r="AG27" i="21"/>
  <c r="AH27" i="21"/>
  <c r="AI27" i="21"/>
  <c r="AJ27" i="21"/>
  <c r="AK27" i="21"/>
  <c r="AK29" i="21" s="1"/>
  <c r="F28" i="21"/>
  <c r="G28" i="21"/>
  <c r="H28" i="21"/>
  <c r="I28" i="21"/>
  <c r="J28" i="21"/>
  <c r="K28" i="21"/>
  <c r="L28" i="21"/>
  <c r="M28" i="21"/>
  <c r="N28" i="21"/>
  <c r="O28" i="21"/>
  <c r="P28" i="21"/>
  <c r="P29" i="21" s="1"/>
  <c r="Q28" i="21"/>
  <c r="Q29" i="21" s="1"/>
  <c r="R28" i="21"/>
  <c r="R29" i="21" s="1"/>
  <c r="R82" i="21" s="1"/>
  <c r="S28" i="21"/>
  <c r="T28" i="21"/>
  <c r="U28" i="21"/>
  <c r="V28" i="21"/>
  <c r="W28" i="21"/>
  <c r="X28" i="21"/>
  <c r="Y28" i="21"/>
  <c r="Y29" i="21" s="1"/>
  <c r="Z28" i="21"/>
  <c r="Z29" i="21" s="1"/>
  <c r="AA28" i="21"/>
  <c r="AB28" i="21"/>
  <c r="AC28" i="21"/>
  <c r="AD28" i="21"/>
  <c r="AE28" i="21"/>
  <c r="AF28" i="21"/>
  <c r="AG28" i="21"/>
  <c r="AH28" i="21"/>
  <c r="AI28" i="21"/>
  <c r="AJ28" i="21"/>
  <c r="AK28" i="21"/>
  <c r="G29" i="21"/>
  <c r="H29" i="21"/>
  <c r="N29" i="21"/>
  <c r="O29" i="21"/>
  <c r="V29" i="21"/>
  <c r="W29" i="21"/>
  <c r="X29" i="21"/>
  <c r="AE29" i="21"/>
  <c r="AF29" i="21"/>
  <c r="AG29" i="21"/>
  <c r="AH29" i="21"/>
  <c r="AH82" i="21" s="1"/>
  <c r="F32" i="21"/>
  <c r="G32" i="21"/>
  <c r="H32" i="21"/>
  <c r="I32" i="21"/>
  <c r="J32" i="21"/>
  <c r="K32" i="21"/>
  <c r="L32" i="21"/>
  <c r="L36" i="21" s="1"/>
  <c r="M32" i="21"/>
  <c r="N32" i="21"/>
  <c r="O32" i="21"/>
  <c r="P32" i="21"/>
  <c r="P36" i="21" s="1"/>
  <c r="Q32" i="21"/>
  <c r="R32" i="21"/>
  <c r="S32" i="21"/>
  <c r="T32" i="21"/>
  <c r="T36" i="21" s="1"/>
  <c r="U32" i="21"/>
  <c r="V32" i="21"/>
  <c r="W32" i="21"/>
  <c r="X32" i="21"/>
  <c r="Y32" i="21"/>
  <c r="Z32" i="21"/>
  <c r="AA32" i="21"/>
  <c r="AB32" i="21"/>
  <c r="AB36" i="21" s="1"/>
  <c r="AC32" i="21"/>
  <c r="AD32" i="21"/>
  <c r="AE32" i="21"/>
  <c r="AF32" i="21"/>
  <c r="AF36" i="21" s="1"/>
  <c r="AG32" i="21"/>
  <c r="AH32" i="21"/>
  <c r="AI32" i="21"/>
  <c r="AJ32" i="21"/>
  <c r="AJ36" i="21" s="1"/>
  <c r="AK32" i="21"/>
  <c r="F33" i="21"/>
  <c r="G33" i="21"/>
  <c r="E33" i="21" s="1"/>
  <c r="G33" i="33" s="1"/>
  <c r="H33" i="21"/>
  <c r="I33" i="21"/>
  <c r="J33" i="21"/>
  <c r="K33" i="21"/>
  <c r="L33" i="21"/>
  <c r="M33" i="21"/>
  <c r="N33" i="21"/>
  <c r="N36" i="21" s="1"/>
  <c r="O33" i="21"/>
  <c r="P33" i="21"/>
  <c r="Q33" i="21"/>
  <c r="R33" i="21"/>
  <c r="S33" i="21"/>
  <c r="T33" i="21"/>
  <c r="U33" i="21"/>
  <c r="V33" i="21"/>
  <c r="V36" i="21" s="1"/>
  <c r="W33" i="21"/>
  <c r="X33" i="21"/>
  <c r="Y33" i="21"/>
  <c r="Z33" i="21"/>
  <c r="AA33" i="21"/>
  <c r="AB33" i="21"/>
  <c r="AC33" i="21"/>
  <c r="AD33" i="21"/>
  <c r="AD36" i="21" s="1"/>
  <c r="AE33" i="21"/>
  <c r="AF33" i="21"/>
  <c r="AG33" i="21"/>
  <c r="AH33" i="21"/>
  <c r="AI33" i="21"/>
  <c r="AJ33" i="21"/>
  <c r="AK33" i="21"/>
  <c r="F34" i="21"/>
  <c r="G34" i="21"/>
  <c r="H34" i="21"/>
  <c r="I34" i="21"/>
  <c r="J34" i="21"/>
  <c r="K34" i="21"/>
  <c r="L34" i="21"/>
  <c r="D34" i="21" s="1"/>
  <c r="F34" i="33" s="1"/>
  <c r="M34" i="21"/>
  <c r="E34" i="21" s="1"/>
  <c r="G34" i="33" s="1"/>
  <c r="I34" i="33" s="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F35" i="21"/>
  <c r="G35" i="21"/>
  <c r="H35" i="21"/>
  <c r="I35" i="21"/>
  <c r="J35" i="21"/>
  <c r="K35" i="21"/>
  <c r="L35" i="21"/>
  <c r="M35" i="21"/>
  <c r="E35" i="21" s="1"/>
  <c r="G35" i="33" s="1"/>
  <c r="I35" i="33" s="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H36" i="21"/>
  <c r="I36" i="21"/>
  <c r="J36" i="21"/>
  <c r="K36" i="21"/>
  <c r="Q36" i="21"/>
  <c r="R36" i="21"/>
  <c r="S36" i="21"/>
  <c r="X36" i="21"/>
  <c r="Y36" i="21"/>
  <c r="Z36" i="21"/>
  <c r="AA36" i="21"/>
  <c r="AG36" i="21"/>
  <c r="AH36" i="21"/>
  <c r="AI36" i="21"/>
  <c r="F39" i="21"/>
  <c r="G39" i="21"/>
  <c r="H39" i="21"/>
  <c r="H43" i="21" s="1"/>
  <c r="I39" i="21"/>
  <c r="I43" i="21" s="1"/>
  <c r="J39" i="21"/>
  <c r="K39" i="21"/>
  <c r="L39" i="21"/>
  <c r="M39" i="21"/>
  <c r="N39" i="21"/>
  <c r="O39" i="21"/>
  <c r="P39" i="21"/>
  <c r="P43" i="21" s="1"/>
  <c r="Q39" i="21"/>
  <c r="Q43" i="21" s="1"/>
  <c r="R39" i="21"/>
  <c r="S39" i="21"/>
  <c r="T39" i="21"/>
  <c r="U39" i="21"/>
  <c r="V39" i="21"/>
  <c r="W39" i="21"/>
  <c r="X39" i="21"/>
  <c r="X43" i="21" s="1"/>
  <c r="Y39" i="21"/>
  <c r="Y43" i="21" s="1"/>
  <c r="Z39" i="21"/>
  <c r="AA39" i="21"/>
  <c r="AB39" i="21"/>
  <c r="AC39" i="21"/>
  <c r="AD39" i="21"/>
  <c r="AE39" i="21"/>
  <c r="AF39" i="21"/>
  <c r="AG39" i="21"/>
  <c r="AG43" i="21" s="1"/>
  <c r="AH39" i="21"/>
  <c r="AI39" i="21"/>
  <c r="AJ39" i="21"/>
  <c r="AK39" i="21"/>
  <c r="F40" i="21"/>
  <c r="G40" i="21"/>
  <c r="H40" i="21"/>
  <c r="I40" i="21"/>
  <c r="J40" i="21"/>
  <c r="K40" i="21"/>
  <c r="L40" i="21"/>
  <c r="M40" i="21"/>
  <c r="N40" i="21"/>
  <c r="N42" i="21" s="1"/>
  <c r="N43" i="21" s="1"/>
  <c r="O40" i="21"/>
  <c r="O42" i="21" s="1"/>
  <c r="O43" i="21" s="1"/>
  <c r="P40" i="21"/>
  <c r="Q40" i="21"/>
  <c r="R40" i="21"/>
  <c r="S40" i="21"/>
  <c r="T40" i="21"/>
  <c r="U40" i="21"/>
  <c r="V40" i="21"/>
  <c r="V42" i="21" s="1"/>
  <c r="V43" i="21" s="1"/>
  <c r="W40" i="21"/>
  <c r="W42" i="21" s="1"/>
  <c r="W43" i="21" s="1"/>
  <c r="X40" i="21"/>
  <c r="Y40" i="21"/>
  <c r="Z40" i="21"/>
  <c r="AA40" i="21"/>
  <c r="AB40" i="21"/>
  <c r="AC40" i="21"/>
  <c r="AD40" i="21"/>
  <c r="AD42" i="21" s="1"/>
  <c r="AD43" i="21" s="1"/>
  <c r="AE40" i="21"/>
  <c r="AE42" i="21" s="1"/>
  <c r="AE43" i="21" s="1"/>
  <c r="AF40" i="21"/>
  <c r="AG40" i="21"/>
  <c r="AH40" i="21"/>
  <c r="AI40" i="21"/>
  <c r="AJ40" i="21"/>
  <c r="AK40" i="21"/>
  <c r="F41" i="21"/>
  <c r="G41" i="21"/>
  <c r="H41" i="21"/>
  <c r="I41" i="21"/>
  <c r="J41" i="21"/>
  <c r="J42" i="21" s="1"/>
  <c r="J43" i="21" s="1"/>
  <c r="K41" i="21"/>
  <c r="K42" i="21" s="1"/>
  <c r="K43" i="21" s="1"/>
  <c r="L41" i="21"/>
  <c r="D41" i="21" s="1"/>
  <c r="F41" i="33" s="1"/>
  <c r="H41" i="33" s="1"/>
  <c r="M41" i="21"/>
  <c r="E41" i="21" s="1"/>
  <c r="G41" i="33" s="1"/>
  <c r="I41" i="33" s="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Z42" i="21" s="1"/>
  <c r="Z43" i="21" s="1"/>
  <c r="AA41" i="21"/>
  <c r="AA42" i="21" s="1"/>
  <c r="AA43" i="21" s="1"/>
  <c r="AB41" i="21"/>
  <c r="AC41" i="21"/>
  <c r="AD41" i="21"/>
  <c r="AE41" i="21"/>
  <c r="AF41" i="21"/>
  <c r="AG41" i="21"/>
  <c r="AH41" i="21"/>
  <c r="AH42" i="21" s="1"/>
  <c r="AH43" i="21" s="1"/>
  <c r="AI41" i="21"/>
  <c r="AI42" i="21" s="1"/>
  <c r="AI43" i="21" s="1"/>
  <c r="AJ41" i="21"/>
  <c r="AK41" i="21"/>
  <c r="H42" i="21"/>
  <c r="I42" i="21"/>
  <c r="P42" i="21"/>
  <c r="Q42" i="21"/>
  <c r="R42" i="21"/>
  <c r="R43" i="21" s="1"/>
  <c r="S42" i="21"/>
  <c r="S43" i="21" s="1"/>
  <c r="X42" i="21"/>
  <c r="Y42" i="21"/>
  <c r="AF42" i="21"/>
  <c r="AF43" i="21" s="1"/>
  <c r="AG42" i="21"/>
  <c r="F45" i="21"/>
  <c r="D45" i="21" s="1"/>
  <c r="F45" i="33" s="1"/>
  <c r="G45" i="21"/>
  <c r="E45" i="21" s="1"/>
  <c r="G45" i="33" s="1"/>
  <c r="I45" i="33" s="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F47" i="21"/>
  <c r="G47" i="21"/>
  <c r="H47" i="21"/>
  <c r="I47" i="21"/>
  <c r="J47" i="21"/>
  <c r="K47" i="21"/>
  <c r="L47" i="21"/>
  <c r="D47" i="21" s="1"/>
  <c r="F47" i="33" s="1"/>
  <c r="H47" i="33" s="1"/>
  <c r="M47" i="21"/>
  <c r="E47" i="21" s="1"/>
  <c r="G47" i="33" s="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D50" i="21"/>
  <c r="E50" i="21"/>
  <c r="F51" i="21"/>
  <c r="G51" i="21"/>
  <c r="H51" i="21"/>
  <c r="I51" i="21"/>
  <c r="J51" i="21"/>
  <c r="K51" i="21"/>
  <c r="L51" i="21"/>
  <c r="D51" i="21" s="1"/>
  <c r="F51" i="33" s="1"/>
  <c r="H51" i="33" s="1"/>
  <c r="M51" i="21"/>
  <c r="E51" i="21" s="1"/>
  <c r="G51" i="33" s="1"/>
  <c r="I51" i="33" s="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D52" i="21"/>
  <c r="E52" i="21"/>
  <c r="F54" i="21"/>
  <c r="G54" i="21"/>
  <c r="H54" i="21"/>
  <c r="I54" i="21"/>
  <c r="J54" i="21"/>
  <c r="J56" i="21" s="1"/>
  <c r="K54" i="21"/>
  <c r="K56" i="21" s="1"/>
  <c r="L54" i="21"/>
  <c r="M54" i="21"/>
  <c r="N54" i="21"/>
  <c r="O54" i="21"/>
  <c r="P54" i="21"/>
  <c r="Q54" i="21"/>
  <c r="R54" i="21"/>
  <c r="R56" i="21" s="1"/>
  <c r="S54" i="21"/>
  <c r="S56" i="21" s="1"/>
  <c r="T54" i="21"/>
  <c r="U54" i="21"/>
  <c r="V54" i="21"/>
  <c r="W54" i="21"/>
  <c r="X54" i="21"/>
  <c r="Y54" i="21"/>
  <c r="Z54" i="21"/>
  <c r="Z56" i="21" s="1"/>
  <c r="AA54" i="21"/>
  <c r="AA56" i="21" s="1"/>
  <c r="AB54" i="21"/>
  <c r="AC54" i="21"/>
  <c r="AD54" i="21"/>
  <c r="AE54" i="21"/>
  <c r="AF54" i="21"/>
  <c r="AG54" i="21"/>
  <c r="AH54" i="21"/>
  <c r="AH56" i="21" s="1"/>
  <c r="AI54" i="21"/>
  <c r="AI56" i="21" s="1"/>
  <c r="AJ54" i="21"/>
  <c r="AK54" i="21"/>
  <c r="F55" i="21"/>
  <c r="G55" i="21"/>
  <c r="H55" i="21"/>
  <c r="I55" i="21"/>
  <c r="J55" i="21"/>
  <c r="K55" i="21"/>
  <c r="L55" i="21"/>
  <c r="M55" i="21"/>
  <c r="N55" i="21"/>
  <c r="N56" i="21" s="1"/>
  <c r="O55" i="21"/>
  <c r="O56" i="21" s="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D56" i="21" s="1"/>
  <c r="AE55" i="21"/>
  <c r="AE56" i="21" s="1"/>
  <c r="AF55" i="21"/>
  <c r="AG55" i="21"/>
  <c r="AH55" i="21"/>
  <c r="AI55" i="21"/>
  <c r="AJ55" i="21"/>
  <c r="AK55" i="21"/>
  <c r="F56" i="21"/>
  <c r="G56" i="21"/>
  <c r="L56" i="21"/>
  <c r="M56" i="21"/>
  <c r="T56" i="21"/>
  <c r="U56" i="21"/>
  <c r="V56" i="21"/>
  <c r="W56" i="21"/>
  <c r="AB56" i="21"/>
  <c r="AC56" i="21"/>
  <c r="AJ56" i="21"/>
  <c r="AK56" i="21"/>
  <c r="F59" i="21"/>
  <c r="G59" i="21"/>
  <c r="H59" i="21"/>
  <c r="I59" i="21"/>
  <c r="J59" i="21"/>
  <c r="K59" i="21"/>
  <c r="L59" i="21"/>
  <c r="L61" i="21" s="1"/>
  <c r="M59" i="21"/>
  <c r="M61" i="21" s="1"/>
  <c r="N59" i="21"/>
  <c r="O59" i="21"/>
  <c r="P59" i="21"/>
  <c r="Q59" i="21"/>
  <c r="R59" i="21"/>
  <c r="S59" i="21"/>
  <c r="T59" i="21"/>
  <c r="T61" i="21" s="1"/>
  <c r="U59" i="21"/>
  <c r="U61" i="21" s="1"/>
  <c r="V59" i="21"/>
  <c r="W59" i="21"/>
  <c r="X59" i="21"/>
  <c r="Y59" i="21"/>
  <c r="Z59" i="21"/>
  <c r="AA59" i="21"/>
  <c r="AB59" i="21"/>
  <c r="AB61" i="21" s="1"/>
  <c r="AC59" i="21"/>
  <c r="AC61" i="21" s="1"/>
  <c r="AD59" i="21"/>
  <c r="AE59" i="21"/>
  <c r="AF59" i="21"/>
  <c r="AG59" i="21"/>
  <c r="AH59" i="21"/>
  <c r="AI59" i="21"/>
  <c r="AJ59" i="21"/>
  <c r="AJ61" i="21" s="1"/>
  <c r="AK59" i="21"/>
  <c r="AK61" i="21" s="1"/>
  <c r="F60" i="21"/>
  <c r="D60" i="21" s="1"/>
  <c r="F60" i="33" s="1"/>
  <c r="G60" i="21"/>
  <c r="E60" i="21" s="1"/>
  <c r="G60" i="33" s="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F61" i="21"/>
  <c r="G61" i="21"/>
  <c r="H61" i="21"/>
  <c r="I61" i="21"/>
  <c r="N61" i="21"/>
  <c r="O61" i="21"/>
  <c r="P61" i="21"/>
  <c r="Q61" i="21"/>
  <c r="V61" i="21"/>
  <c r="W61" i="21"/>
  <c r="X61" i="21"/>
  <c r="Y61" i="21"/>
  <c r="AD61" i="21"/>
  <c r="AE61" i="21"/>
  <c r="AF61" i="21"/>
  <c r="AG61" i="21"/>
  <c r="F64" i="21"/>
  <c r="F66" i="21" s="1"/>
  <c r="H64" i="21"/>
  <c r="I64" i="21"/>
  <c r="J64" i="21"/>
  <c r="K64" i="21"/>
  <c r="L64" i="21"/>
  <c r="M64" i="21"/>
  <c r="M66" i="21" s="1"/>
  <c r="N64" i="21"/>
  <c r="N66" i="21" s="1"/>
  <c r="O64" i="21"/>
  <c r="O66" i="21" s="1"/>
  <c r="P64" i="21"/>
  <c r="Q64" i="21"/>
  <c r="R64" i="21"/>
  <c r="S64" i="21"/>
  <c r="T64" i="21"/>
  <c r="T66" i="21" s="1"/>
  <c r="U64" i="21"/>
  <c r="U66" i="21" s="1"/>
  <c r="V64" i="21"/>
  <c r="V66" i="21" s="1"/>
  <c r="W64" i="21"/>
  <c r="W66" i="21" s="1"/>
  <c r="X64" i="21"/>
  <c r="Y64" i="21"/>
  <c r="Z64" i="21"/>
  <c r="AA64" i="21"/>
  <c r="AB64" i="21"/>
  <c r="AB66" i="21" s="1"/>
  <c r="AC64" i="21"/>
  <c r="AC66" i="21" s="1"/>
  <c r="AD64" i="21"/>
  <c r="AD66" i="21" s="1"/>
  <c r="AE64" i="21"/>
  <c r="AE66" i="21" s="1"/>
  <c r="AF64" i="21"/>
  <c r="AG64" i="21"/>
  <c r="AH64" i="21"/>
  <c r="AI64" i="21"/>
  <c r="AJ64" i="21"/>
  <c r="AJ66" i="21" s="1"/>
  <c r="AK64" i="21"/>
  <c r="AK66" i="21" s="1"/>
  <c r="F65" i="21"/>
  <c r="H65" i="21"/>
  <c r="I65" i="21"/>
  <c r="J65" i="21"/>
  <c r="K65" i="21"/>
  <c r="K66" i="21" s="1"/>
  <c r="L65" i="21"/>
  <c r="M65" i="21"/>
  <c r="N65" i="21"/>
  <c r="O65" i="21"/>
  <c r="P65" i="21"/>
  <c r="Q65" i="21"/>
  <c r="R65" i="21"/>
  <c r="S65" i="21"/>
  <c r="S66" i="21" s="1"/>
  <c r="T65" i="21"/>
  <c r="U65" i="21"/>
  <c r="V65" i="21"/>
  <c r="W65" i="21"/>
  <c r="X65" i="21"/>
  <c r="Y65" i="21"/>
  <c r="Z65" i="21"/>
  <c r="Z66" i="21" s="1"/>
  <c r="AA65" i="21"/>
  <c r="AB65" i="21"/>
  <c r="AC65" i="21"/>
  <c r="AD65" i="21"/>
  <c r="AE65" i="21"/>
  <c r="AF65" i="21"/>
  <c r="AG65" i="21"/>
  <c r="AH65" i="21"/>
  <c r="AH66" i="21" s="1"/>
  <c r="AI65" i="21"/>
  <c r="AI66" i="21" s="1"/>
  <c r="AJ65" i="21"/>
  <c r="AK65" i="21"/>
  <c r="H66" i="21"/>
  <c r="I66" i="21"/>
  <c r="P66" i="21"/>
  <c r="Q66" i="21"/>
  <c r="R66" i="21"/>
  <c r="X66" i="21"/>
  <c r="Y66" i="21"/>
  <c r="AA66" i="21"/>
  <c r="AF66" i="21"/>
  <c r="AG66" i="21"/>
  <c r="F70" i="21"/>
  <c r="H70" i="21"/>
  <c r="H72" i="21" s="1"/>
  <c r="I70" i="21"/>
  <c r="I72" i="21" s="1"/>
  <c r="J70" i="21"/>
  <c r="L70" i="21"/>
  <c r="M70" i="21"/>
  <c r="N70" i="21"/>
  <c r="P70" i="21"/>
  <c r="Q70" i="21"/>
  <c r="R70" i="21"/>
  <c r="R72" i="21" s="1"/>
  <c r="S70" i="21"/>
  <c r="S72" i="21" s="1"/>
  <c r="T70" i="21"/>
  <c r="U70" i="21"/>
  <c r="V70" i="21"/>
  <c r="W70" i="21"/>
  <c r="X70" i="21"/>
  <c r="Y70" i="21"/>
  <c r="Z70" i="21"/>
  <c r="Z72" i="21" s="1"/>
  <c r="AA70" i="21"/>
  <c r="AA72" i="21" s="1"/>
  <c r="AB70" i="21"/>
  <c r="AC70" i="21"/>
  <c r="AD70" i="21"/>
  <c r="AE70" i="21"/>
  <c r="AF70" i="21"/>
  <c r="AG70" i="21"/>
  <c r="AH70" i="21"/>
  <c r="AH72" i="21" s="1"/>
  <c r="AI70" i="21"/>
  <c r="AI72" i="21" s="1"/>
  <c r="AJ70" i="21"/>
  <c r="AK70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V72" i="21" s="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J72" i="21"/>
  <c r="K72" i="21"/>
  <c r="L72" i="21"/>
  <c r="M72" i="21"/>
  <c r="N72" i="21"/>
  <c r="O72" i="21"/>
  <c r="T72" i="21"/>
  <c r="U72" i="21"/>
  <c r="W72" i="21"/>
  <c r="AB72" i="21"/>
  <c r="AC72" i="21"/>
  <c r="AD72" i="21"/>
  <c r="AE72" i="21"/>
  <c r="AJ72" i="21"/>
  <c r="AK72" i="21"/>
  <c r="F73" i="21"/>
  <c r="G73" i="21"/>
  <c r="H73" i="21"/>
  <c r="I73" i="21"/>
  <c r="J73" i="21"/>
  <c r="K73" i="21"/>
  <c r="L73" i="21"/>
  <c r="D73" i="21" s="1"/>
  <c r="F73" i="33" s="1"/>
  <c r="H73" i="33" s="1"/>
  <c r="M73" i="21"/>
  <c r="E73" i="21" s="1"/>
  <c r="G73" i="33" s="1"/>
  <c r="I73" i="33" s="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F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F76" i="21"/>
  <c r="D76" i="21" s="1"/>
  <c r="F76" i="33" s="1"/>
  <c r="G76" i="21"/>
  <c r="E76" i="21" s="1"/>
  <c r="G76" i="33" s="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F77" i="21"/>
  <c r="G77" i="21"/>
  <c r="H77" i="21"/>
  <c r="I77" i="21"/>
  <c r="J77" i="21"/>
  <c r="K77" i="21"/>
  <c r="L77" i="21"/>
  <c r="D77" i="21" s="1"/>
  <c r="F77" i="33" s="1"/>
  <c r="M77" i="21"/>
  <c r="E77" i="21" s="1"/>
  <c r="G77" i="33" s="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F80" i="21"/>
  <c r="D80" i="21" s="1"/>
  <c r="F80" i="33" s="1"/>
  <c r="H80" i="33" s="1"/>
  <c r="G80" i="21"/>
  <c r="E80" i="21" s="1"/>
  <c r="G80" i="33" s="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F81" i="21"/>
  <c r="G81" i="21"/>
  <c r="H81" i="21"/>
  <c r="I81" i="21"/>
  <c r="J81" i="21"/>
  <c r="K81" i="21"/>
  <c r="L81" i="21"/>
  <c r="D81" i="21" s="1"/>
  <c r="F81" i="33" s="1"/>
  <c r="M81" i="21"/>
  <c r="E81" i="21" s="1"/>
  <c r="G81" i="33" s="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F86" i="21"/>
  <c r="G86" i="21"/>
  <c r="D87" i="21"/>
  <c r="F87" i="33" s="1"/>
  <c r="H87" i="33" s="1"/>
  <c r="E87" i="21"/>
  <c r="G87" i="33" s="1"/>
  <c r="I87" i="33" s="1"/>
  <c r="F87" i="21"/>
  <c r="G87" i="21"/>
  <c r="G87" i="46" s="1"/>
  <c r="F88" i="21"/>
  <c r="G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4" i="9"/>
  <c r="A5" i="9"/>
  <c r="F11" i="9"/>
  <c r="G11" i="9"/>
  <c r="H11" i="9"/>
  <c r="L11" i="9" s="1"/>
  <c r="I11" i="9"/>
  <c r="M11" i="9" s="1"/>
  <c r="H12" i="9"/>
  <c r="F12" i="9" s="1"/>
  <c r="I12" i="9"/>
  <c r="G12" i="9" s="1"/>
  <c r="L12" i="9"/>
  <c r="D12" i="33" s="1"/>
  <c r="M12" i="9"/>
  <c r="E12" i="33" s="1"/>
  <c r="H13" i="9"/>
  <c r="F13" i="9" s="1"/>
  <c r="I13" i="9"/>
  <c r="G13" i="9" s="1"/>
  <c r="L13" i="9"/>
  <c r="M13" i="9"/>
  <c r="F14" i="9"/>
  <c r="G14" i="9"/>
  <c r="H14" i="9"/>
  <c r="I14" i="9"/>
  <c r="L14" i="9"/>
  <c r="M14" i="9"/>
  <c r="H15" i="9"/>
  <c r="L15" i="9" s="1"/>
  <c r="D15" i="33" s="1"/>
  <c r="I15" i="9"/>
  <c r="M15" i="9" s="1"/>
  <c r="E15" i="33" s="1"/>
  <c r="H16" i="9"/>
  <c r="I16" i="9"/>
  <c r="J16" i="9"/>
  <c r="K16" i="9"/>
  <c r="K82" i="9" s="1"/>
  <c r="K91" i="9" s="1"/>
  <c r="H18" i="9"/>
  <c r="I18" i="9"/>
  <c r="H19" i="9"/>
  <c r="I19" i="9"/>
  <c r="H20" i="9"/>
  <c r="I20" i="9"/>
  <c r="H21" i="9"/>
  <c r="F21" i="9" s="1"/>
  <c r="I21" i="9"/>
  <c r="G21" i="9" s="1"/>
  <c r="L21" i="9"/>
  <c r="D21" i="33" s="1"/>
  <c r="H21" i="33" s="1"/>
  <c r="M21" i="9"/>
  <c r="E21" i="33" s="1"/>
  <c r="F22" i="9"/>
  <c r="G22" i="9"/>
  <c r="H22" i="9"/>
  <c r="I22" i="9"/>
  <c r="L22" i="9"/>
  <c r="M22" i="9"/>
  <c r="E22" i="33" s="1"/>
  <c r="F23" i="9"/>
  <c r="G23" i="9"/>
  <c r="H23" i="9"/>
  <c r="L23" i="9" s="1"/>
  <c r="I23" i="9"/>
  <c r="M23" i="9" s="1"/>
  <c r="J24" i="9"/>
  <c r="K24" i="9"/>
  <c r="H27" i="9"/>
  <c r="I27" i="9"/>
  <c r="L27" i="9"/>
  <c r="M27" i="9"/>
  <c r="H28" i="9"/>
  <c r="F28" i="9" s="1"/>
  <c r="I28" i="9"/>
  <c r="G28" i="9" s="1"/>
  <c r="L28" i="9"/>
  <c r="M28" i="9"/>
  <c r="E28" i="33" s="1"/>
  <c r="J29" i="9"/>
  <c r="K29" i="9"/>
  <c r="F32" i="9"/>
  <c r="G32" i="9"/>
  <c r="H32" i="9"/>
  <c r="I32" i="9"/>
  <c r="L32" i="9"/>
  <c r="M32" i="9"/>
  <c r="H33" i="9"/>
  <c r="F33" i="9" s="1"/>
  <c r="F36" i="9" s="1"/>
  <c r="I33" i="9"/>
  <c r="H34" i="9"/>
  <c r="F34" i="9" s="1"/>
  <c r="I34" i="9"/>
  <c r="G34" i="9" s="1"/>
  <c r="L34" i="9"/>
  <c r="M34" i="9"/>
  <c r="E34" i="33" s="1"/>
  <c r="H35" i="9"/>
  <c r="F35" i="9" s="1"/>
  <c r="I35" i="9"/>
  <c r="G35" i="9" s="1"/>
  <c r="L35" i="9"/>
  <c r="M35" i="9"/>
  <c r="J36" i="9"/>
  <c r="K36" i="9"/>
  <c r="H38" i="9"/>
  <c r="I38" i="9"/>
  <c r="H39" i="9"/>
  <c r="F39" i="9" s="1"/>
  <c r="I39" i="9"/>
  <c r="G39" i="9" s="1"/>
  <c r="L39" i="9"/>
  <c r="D39" i="33" s="1"/>
  <c r="M39" i="9"/>
  <c r="E39" i="33" s="1"/>
  <c r="F40" i="9"/>
  <c r="G40" i="9"/>
  <c r="H40" i="9"/>
  <c r="I40" i="9"/>
  <c r="L40" i="9"/>
  <c r="L42" i="9" s="1"/>
  <c r="L43" i="9" s="1"/>
  <c r="M40" i="9"/>
  <c r="M42" i="9" s="1"/>
  <c r="M43" i="9" s="1"/>
  <c r="F41" i="9"/>
  <c r="G41" i="9"/>
  <c r="H41" i="9"/>
  <c r="L41" i="9" s="1"/>
  <c r="I41" i="9"/>
  <c r="M41" i="9" s="1"/>
  <c r="H42" i="9"/>
  <c r="I42" i="9"/>
  <c r="J42" i="9"/>
  <c r="J43" i="9" s="1"/>
  <c r="K42" i="9"/>
  <c r="K43" i="9" s="1"/>
  <c r="H43" i="9"/>
  <c r="I43" i="9"/>
  <c r="H45" i="9"/>
  <c r="F45" i="9" s="1"/>
  <c r="I45" i="9"/>
  <c r="G45" i="9" s="1"/>
  <c r="L45" i="9"/>
  <c r="M45" i="9"/>
  <c r="E45" i="33" s="1"/>
  <c r="H47" i="9"/>
  <c r="F47" i="9" s="1"/>
  <c r="I47" i="9"/>
  <c r="G47" i="9" s="1"/>
  <c r="L47" i="9"/>
  <c r="M47" i="9"/>
  <c r="F49" i="9"/>
  <c r="G49" i="9"/>
  <c r="H49" i="9"/>
  <c r="I49" i="9"/>
  <c r="L49" i="9"/>
  <c r="M49" i="9"/>
  <c r="H51" i="9"/>
  <c r="L51" i="9" s="1"/>
  <c r="D51" i="33" s="1"/>
  <c r="I51" i="9"/>
  <c r="M51" i="9" s="1"/>
  <c r="E51" i="33" s="1"/>
  <c r="H54" i="9"/>
  <c r="I54" i="9"/>
  <c r="L54" i="9"/>
  <c r="M54" i="9"/>
  <c r="H55" i="9"/>
  <c r="F55" i="9" s="1"/>
  <c r="I55" i="9"/>
  <c r="G55" i="9" s="1"/>
  <c r="L55" i="9"/>
  <c r="M55" i="9"/>
  <c r="J56" i="9"/>
  <c r="K56" i="9"/>
  <c r="F59" i="9"/>
  <c r="G59" i="9"/>
  <c r="H59" i="9"/>
  <c r="I59" i="9"/>
  <c r="L59" i="9"/>
  <c r="L61" i="9" s="1"/>
  <c r="M59" i="9"/>
  <c r="M61" i="9" s="1"/>
  <c r="H60" i="9"/>
  <c r="L60" i="9" s="1"/>
  <c r="I60" i="9"/>
  <c r="M60" i="9" s="1"/>
  <c r="E60" i="33" s="1"/>
  <c r="H61" i="9"/>
  <c r="I61" i="9"/>
  <c r="J61" i="9"/>
  <c r="K61" i="9"/>
  <c r="H64" i="9"/>
  <c r="I64" i="9"/>
  <c r="L64" i="9"/>
  <c r="M64" i="9"/>
  <c r="H65" i="9"/>
  <c r="F65" i="9" s="1"/>
  <c r="I65" i="9"/>
  <c r="G65" i="9" s="1"/>
  <c r="L65" i="9"/>
  <c r="D65" i="33" s="1"/>
  <c r="M65" i="9"/>
  <c r="J66" i="9"/>
  <c r="K66" i="9"/>
  <c r="L66" i="9"/>
  <c r="M66" i="9"/>
  <c r="F70" i="9"/>
  <c r="G70" i="9"/>
  <c r="H70" i="9"/>
  <c r="I70" i="9"/>
  <c r="L70" i="9"/>
  <c r="M70" i="9"/>
  <c r="H71" i="9"/>
  <c r="F71" i="9" s="1"/>
  <c r="I71" i="9"/>
  <c r="J72" i="9"/>
  <c r="K72" i="9"/>
  <c r="H73" i="9"/>
  <c r="F73" i="9" s="1"/>
  <c r="I73" i="9"/>
  <c r="G73" i="9" s="1"/>
  <c r="L73" i="9"/>
  <c r="D73" i="33" s="1"/>
  <c r="M73" i="9"/>
  <c r="E73" i="33" s="1"/>
  <c r="H74" i="9"/>
  <c r="F74" i="9" s="1"/>
  <c r="I74" i="9"/>
  <c r="G74" i="9" s="1"/>
  <c r="L74" i="9"/>
  <c r="M74" i="9"/>
  <c r="F75" i="9"/>
  <c r="G75" i="9"/>
  <c r="H75" i="9"/>
  <c r="I75" i="9"/>
  <c r="L75" i="9"/>
  <c r="M75" i="9"/>
  <c r="H76" i="9"/>
  <c r="I76" i="9"/>
  <c r="H77" i="9"/>
  <c r="I77" i="9"/>
  <c r="H78" i="9"/>
  <c r="F78" i="9" s="1"/>
  <c r="I78" i="9"/>
  <c r="G78" i="9" s="1"/>
  <c r="L78" i="9"/>
  <c r="M78" i="9"/>
  <c r="E78" i="33" s="1"/>
  <c r="F79" i="9"/>
  <c r="G79" i="9"/>
  <c r="H79" i="9"/>
  <c r="I79" i="9"/>
  <c r="L79" i="9"/>
  <c r="M79" i="9"/>
  <c r="F80" i="9"/>
  <c r="G80" i="9"/>
  <c r="H80" i="9"/>
  <c r="L80" i="9" s="1"/>
  <c r="D80" i="33" s="1"/>
  <c r="I80" i="9"/>
  <c r="M80" i="9" s="1"/>
  <c r="H81" i="9"/>
  <c r="F81" i="9" s="1"/>
  <c r="I81" i="9"/>
  <c r="G81" i="9" s="1"/>
  <c r="L81" i="9"/>
  <c r="M81" i="9"/>
  <c r="E81" i="33" s="1"/>
  <c r="D82" i="9"/>
  <c r="E82" i="9"/>
  <c r="H86" i="9"/>
  <c r="I86" i="9"/>
  <c r="L86" i="9"/>
  <c r="D86" i="33" s="1"/>
  <c r="D89" i="33" s="1"/>
  <c r="M86" i="9"/>
  <c r="E86" i="33" s="1"/>
  <c r="E89" i="33" s="1"/>
  <c r="H87" i="9"/>
  <c r="H87" i="45" s="1"/>
  <c r="I87" i="9"/>
  <c r="I87" i="45" s="1"/>
  <c r="L87" i="9"/>
  <c r="D87" i="33" s="1"/>
  <c r="M87" i="9"/>
  <c r="F88" i="9"/>
  <c r="G88" i="9"/>
  <c r="H88" i="9"/>
  <c r="H88" i="45" s="1"/>
  <c r="I88" i="9"/>
  <c r="L88" i="9"/>
  <c r="M88" i="9"/>
  <c r="E88" i="33" s="1"/>
  <c r="D89" i="9"/>
  <c r="E89" i="9"/>
  <c r="J89" i="9"/>
  <c r="K89" i="9"/>
  <c r="L89" i="9"/>
  <c r="M89" i="9"/>
  <c r="B15" i="4" s="1"/>
  <c r="D91" i="9"/>
  <c r="E91" i="9"/>
  <c r="A5" i="33"/>
  <c r="D13" i="33"/>
  <c r="E13" i="33"/>
  <c r="D14" i="33"/>
  <c r="E14" i="33"/>
  <c r="D22" i="33"/>
  <c r="D23" i="33"/>
  <c r="E23" i="33"/>
  <c r="F23" i="33"/>
  <c r="H23" i="33" s="1"/>
  <c r="D28" i="33"/>
  <c r="D32" i="33"/>
  <c r="E32" i="33"/>
  <c r="D34" i="33"/>
  <c r="D35" i="33"/>
  <c r="E35" i="33"/>
  <c r="D40" i="33"/>
  <c r="D41" i="33"/>
  <c r="E41" i="33"/>
  <c r="D42" i="33"/>
  <c r="D43" i="33" s="1"/>
  <c r="D45" i="33"/>
  <c r="D47" i="33"/>
  <c r="E47" i="33"/>
  <c r="I47" i="33"/>
  <c r="D49" i="33"/>
  <c r="E49" i="33"/>
  <c r="D55" i="33"/>
  <c r="E55" i="33"/>
  <c r="D59" i="33"/>
  <c r="E59" i="33"/>
  <c r="E61" i="33" s="1"/>
  <c r="D60" i="33"/>
  <c r="H60" i="33"/>
  <c r="I60" i="33"/>
  <c r="D61" i="33"/>
  <c r="D64" i="33"/>
  <c r="E64" i="33"/>
  <c r="E65" i="33"/>
  <c r="D66" i="33"/>
  <c r="D70" i="33"/>
  <c r="E70" i="33"/>
  <c r="D74" i="33"/>
  <c r="E74" i="33"/>
  <c r="D75" i="33"/>
  <c r="E75" i="33"/>
  <c r="D78" i="33"/>
  <c r="D79" i="33"/>
  <c r="E79" i="33"/>
  <c r="E80" i="33"/>
  <c r="D81" i="33"/>
  <c r="H81" i="33"/>
  <c r="I81" i="33"/>
  <c r="E87" i="33"/>
  <c r="D88" i="33"/>
  <c r="A5" i="19"/>
  <c r="H11" i="19"/>
  <c r="F11" i="19" s="1"/>
  <c r="I11" i="19"/>
  <c r="L11" i="19"/>
  <c r="M11" i="19"/>
  <c r="E11" i="43" s="1"/>
  <c r="H12" i="19"/>
  <c r="F12" i="19" s="1"/>
  <c r="I12" i="19"/>
  <c r="G12" i="19" s="1"/>
  <c r="L12" i="19"/>
  <c r="M12" i="19"/>
  <c r="F13" i="19"/>
  <c r="G13" i="19"/>
  <c r="H13" i="19"/>
  <c r="I13" i="19"/>
  <c r="L13" i="19"/>
  <c r="M13" i="19"/>
  <c r="H14" i="19"/>
  <c r="I14" i="19"/>
  <c r="F15" i="19"/>
  <c r="G15" i="19"/>
  <c r="H15" i="19"/>
  <c r="I15" i="19"/>
  <c r="L15" i="19"/>
  <c r="M15" i="19"/>
  <c r="J16" i="19"/>
  <c r="K16" i="19"/>
  <c r="H18" i="19"/>
  <c r="I18" i="19"/>
  <c r="F19" i="19"/>
  <c r="H19" i="19"/>
  <c r="I19" i="19"/>
  <c r="G19" i="19" s="1"/>
  <c r="H20" i="19"/>
  <c r="F20" i="19" s="1"/>
  <c r="I20" i="19"/>
  <c r="G20" i="19" s="1"/>
  <c r="L20" i="19"/>
  <c r="D20" i="43" s="1"/>
  <c r="M20" i="19"/>
  <c r="E20" i="43" s="1"/>
  <c r="I20" i="43" s="1"/>
  <c r="F21" i="19"/>
  <c r="H21" i="19"/>
  <c r="I21" i="19"/>
  <c r="G21" i="19" s="1"/>
  <c r="L21" i="19"/>
  <c r="M21" i="19"/>
  <c r="G22" i="19"/>
  <c r="H22" i="19"/>
  <c r="L22" i="19" s="1"/>
  <c r="D22" i="43" s="1"/>
  <c r="I22" i="19"/>
  <c r="M22" i="19"/>
  <c r="H23" i="19"/>
  <c r="F23" i="19" s="1"/>
  <c r="I23" i="19"/>
  <c r="G23" i="19" s="1"/>
  <c r="L23" i="19"/>
  <c r="D23" i="43" s="1"/>
  <c r="M23" i="19"/>
  <c r="E23" i="43" s="1"/>
  <c r="J24" i="19"/>
  <c r="K24" i="19"/>
  <c r="G27" i="19"/>
  <c r="H27" i="19"/>
  <c r="F27" i="19" s="1"/>
  <c r="I27" i="19"/>
  <c r="L27" i="19"/>
  <c r="L29" i="19" s="1"/>
  <c r="M27" i="19"/>
  <c r="M29" i="19" s="1"/>
  <c r="F28" i="19"/>
  <c r="F29" i="19" s="1"/>
  <c r="G28" i="19"/>
  <c r="H28" i="19"/>
  <c r="I28" i="19"/>
  <c r="M28" i="19" s="1"/>
  <c r="L28" i="19"/>
  <c r="H29" i="19"/>
  <c r="I29" i="19"/>
  <c r="J29" i="19"/>
  <c r="K29" i="19"/>
  <c r="H32" i="19"/>
  <c r="I32" i="19"/>
  <c r="M32" i="19"/>
  <c r="E32" i="43" s="1"/>
  <c r="F33" i="19"/>
  <c r="H33" i="19"/>
  <c r="I33" i="19"/>
  <c r="G33" i="19" s="1"/>
  <c r="L33" i="19"/>
  <c r="M33" i="19"/>
  <c r="G34" i="19"/>
  <c r="H34" i="19"/>
  <c r="I34" i="19"/>
  <c r="M34" i="19" s="1"/>
  <c r="F35" i="19"/>
  <c r="H35" i="19"/>
  <c r="I35" i="19"/>
  <c r="L35" i="19"/>
  <c r="D35" i="43" s="1"/>
  <c r="J36" i="19"/>
  <c r="K36" i="19"/>
  <c r="L37" i="19"/>
  <c r="M37" i="19"/>
  <c r="H38" i="19"/>
  <c r="I38" i="19"/>
  <c r="G39" i="19"/>
  <c r="H39" i="19"/>
  <c r="F39" i="19" s="1"/>
  <c r="I39" i="19"/>
  <c r="M39" i="19" s="1"/>
  <c r="L39" i="19"/>
  <c r="F40" i="19"/>
  <c r="H40" i="19"/>
  <c r="I40" i="19"/>
  <c r="G40" i="19" s="1"/>
  <c r="L40" i="19"/>
  <c r="M40" i="19"/>
  <c r="M42" i="19" s="1"/>
  <c r="M43" i="19" s="1"/>
  <c r="F41" i="19"/>
  <c r="H41" i="19"/>
  <c r="L41" i="19" s="1"/>
  <c r="I41" i="19"/>
  <c r="G41" i="19" s="1"/>
  <c r="M41" i="19"/>
  <c r="F42" i="19"/>
  <c r="F43" i="19" s="1"/>
  <c r="G42" i="19"/>
  <c r="H42" i="19"/>
  <c r="H43" i="19" s="1"/>
  <c r="I42" i="19"/>
  <c r="I43" i="19" s="1"/>
  <c r="J42" i="19"/>
  <c r="K42" i="19"/>
  <c r="K43" i="19" s="1"/>
  <c r="J43" i="19"/>
  <c r="H45" i="19"/>
  <c r="I45" i="19"/>
  <c r="H47" i="19"/>
  <c r="F47" i="19" s="1"/>
  <c r="I47" i="19"/>
  <c r="G47" i="19" s="1"/>
  <c r="L47" i="19"/>
  <c r="M47" i="19"/>
  <c r="E47" i="43" s="1"/>
  <c r="F49" i="19"/>
  <c r="G49" i="19"/>
  <c r="H49" i="19"/>
  <c r="I49" i="19"/>
  <c r="L49" i="19"/>
  <c r="M49" i="19"/>
  <c r="G51" i="19"/>
  <c r="H51" i="19"/>
  <c r="I51" i="19"/>
  <c r="M51" i="19"/>
  <c r="E51" i="43" s="1"/>
  <c r="H54" i="19"/>
  <c r="F54" i="19" s="1"/>
  <c r="I54" i="19"/>
  <c r="G54" i="19" s="1"/>
  <c r="L54" i="19"/>
  <c r="M54" i="19"/>
  <c r="M56" i="19" s="1"/>
  <c r="G55" i="19"/>
  <c r="H55" i="19"/>
  <c r="I55" i="19"/>
  <c r="M55" i="19"/>
  <c r="I56" i="19"/>
  <c r="J56" i="19"/>
  <c r="K56" i="19"/>
  <c r="F59" i="19"/>
  <c r="H59" i="19"/>
  <c r="I59" i="19"/>
  <c r="L59" i="19"/>
  <c r="L61" i="19" s="1"/>
  <c r="H60" i="19"/>
  <c r="L60" i="19" s="1"/>
  <c r="I60" i="19"/>
  <c r="G60" i="19" s="1"/>
  <c r="M60" i="19"/>
  <c r="H61" i="19"/>
  <c r="J61" i="19"/>
  <c r="K61" i="19"/>
  <c r="H64" i="19"/>
  <c r="I64" i="19"/>
  <c r="H65" i="19"/>
  <c r="F65" i="19" s="1"/>
  <c r="I65" i="19"/>
  <c r="L65" i="19"/>
  <c r="D65" i="43" s="1"/>
  <c r="J66" i="19"/>
  <c r="K66" i="19"/>
  <c r="L69" i="19"/>
  <c r="M69" i="19"/>
  <c r="H70" i="19"/>
  <c r="F70" i="19" s="1"/>
  <c r="I70" i="19"/>
  <c r="G70" i="19" s="1"/>
  <c r="G72" i="19" s="1"/>
  <c r="L70" i="19"/>
  <c r="L72" i="19" s="1"/>
  <c r="M70" i="19"/>
  <c r="F71" i="19"/>
  <c r="F72" i="19" s="1"/>
  <c r="G71" i="19"/>
  <c r="H71" i="19"/>
  <c r="I71" i="19"/>
  <c r="L71" i="19"/>
  <c r="M71" i="19"/>
  <c r="H72" i="19"/>
  <c r="I72" i="19"/>
  <c r="J72" i="19"/>
  <c r="K72" i="19"/>
  <c r="G73" i="19"/>
  <c r="H73" i="19"/>
  <c r="I73" i="19"/>
  <c r="M73" i="19" s="1"/>
  <c r="E73" i="43" s="1"/>
  <c r="H74" i="19"/>
  <c r="F74" i="19" s="1"/>
  <c r="I74" i="19"/>
  <c r="G74" i="19" s="1"/>
  <c r="L74" i="19"/>
  <c r="D74" i="43" s="1"/>
  <c r="H74" i="43" s="1"/>
  <c r="M74" i="19"/>
  <c r="E74" i="43" s="1"/>
  <c r="G75" i="19"/>
  <c r="H75" i="19"/>
  <c r="I75" i="19"/>
  <c r="M75" i="19"/>
  <c r="F76" i="19"/>
  <c r="G76" i="19"/>
  <c r="H76" i="19"/>
  <c r="I76" i="19"/>
  <c r="M76" i="19" s="1"/>
  <c r="L76" i="19"/>
  <c r="H77" i="19"/>
  <c r="L77" i="19" s="1"/>
  <c r="I77" i="19"/>
  <c r="G77" i="19" s="1"/>
  <c r="F78" i="19"/>
  <c r="G78" i="19"/>
  <c r="H78" i="19"/>
  <c r="I78" i="19"/>
  <c r="L78" i="19"/>
  <c r="M78" i="19"/>
  <c r="H79" i="19"/>
  <c r="F79" i="19" s="1"/>
  <c r="I79" i="19"/>
  <c r="M79" i="19" s="1"/>
  <c r="E79" i="43" s="1"/>
  <c r="L79" i="19"/>
  <c r="D79" i="43" s="1"/>
  <c r="F80" i="19"/>
  <c r="H80" i="19"/>
  <c r="I80" i="19"/>
  <c r="L80" i="19"/>
  <c r="F81" i="19"/>
  <c r="H81" i="19"/>
  <c r="L81" i="19" s="1"/>
  <c r="I81" i="19"/>
  <c r="G81" i="19" s="1"/>
  <c r="M81" i="19"/>
  <c r="D82" i="19"/>
  <c r="D91" i="19" s="1"/>
  <c r="E82" i="19"/>
  <c r="E91" i="19" s="1"/>
  <c r="G86" i="19"/>
  <c r="H86" i="19"/>
  <c r="I86" i="19"/>
  <c r="M86" i="19"/>
  <c r="H87" i="19"/>
  <c r="F87" i="19" s="1"/>
  <c r="I87" i="19"/>
  <c r="M87" i="19" s="1"/>
  <c r="L87" i="19"/>
  <c r="H88" i="19"/>
  <c r="F88" i="19" s="1"/>
  <c r="I88" i="19"/>
  <c r="L88" i="19"/>
  <c r="D89" i="19"/>
  <c r="E89" i="19"/>
  <c r="J89" i="19"/>
  <c r="K89" i="19"/>
  <c r="A5" i="31"/>
  <c r="H8" i="31"/>
  <c r="J8" i="31"/>
  <c r="L8" i="31"/>
  <c r="N8" i="31"/>
  <c r="P8" i="31"/>
  <c r="R8" i="31"/>
  <c r="T8" i="31"/>
  <c r="F11" i="31"/>
  <c r="G11" i="31"/>
  <c r="D12" i="31"/>
  <c r="F12" i="43" s="1"/>
  <c r="F12" i="31"/>
  <c r="G12" i="31"/>
  <c r="E12" i="31" s="1"/>
  <c r="G12" i="43" s="1"/>
  <c r="I12" i="43" s="1"/>
  <c r="F13" i="31"/>
  <c r="D13" i="31" s="1"/>
  <c r="G13" i="31"/>
  <c r="E13" i="31" s="1"/>
  <c r="G13" i="43" s="1"/>
  <c r="I13" i="43" s="1"/>
  <c r="D14" i="31"/>
  <c r="F14" i="43" s="1"/>
  <c r="F14" i="31"/>
  <c r="G14" i="31"/>
  <c r="E14" i="31" s="1"/>
  <c r="G14" i="43" s="1"/>
  <c r="E15" i="31"/>
  <c r="G15" i="43" s="1"/>
  <c r="I15" i="43" s="1"/>
  <c r="F15" i="31"/>
  <c r="D15" i="31" s="1"/>
  <c r="F15" i="43" s="1"/>
  <c r="H15" i="43" s="1"/>
  <c r="G15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F19" i="31"/>
  <c r="D19" i="31" s="1"/>
  <c r="G19" i="31"/>
  <c r="E20" i="31"/>
  <c r="G20" i="43" s="1"/>
  <c r="F20" i="31"/>
  <c r="G20" i="31"/>
  <c r="F21" i="31"/>
  <c r="D21" i="31" s="1"/>
  <c r="F21" i="43" s="1"/>
  <c r="G21" i="31"/>
  <c r="E21" i="31" s="1"/>
  <c r="G21" i="43" s="1"/>
  <c r="E22" i="31"/>
  <c r="F22" i="31"/>
  <c r="D22" i="31" s="1"/>
  <c r="F22" i="43" s="1"/>
  <c r="H22" i="43" s="1"/>
  <c r="G22" i="31"/>
  <c r="F23" i="31"/>
  <c r="D23" i="31" s="1"/>
  <c r="F23" i="43" s="1"/>
  <c r="H23" i="43" s="1"/>
  <c r="G23" i="31"/>
  <c r="E23" i="31" s="1"/>
  <c r="G23" i="43" s="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U82" i="31" s="1"/>
  <c r="V24" i="31"/>
  <c r="V82" i="31" s="1"/>
  <c r="W24" i="31"/>
  <c r="X24" i="31"/>
  <c r="Y24" i="31"/>
  <c r="Z24" i="31"/>
  <c r="AA24" i="31"/>
  <c r="AB24" i="31"/>
  <c r="AC24" i="31"/>
  <c r="AC82" i="31" s="1"/>
  <c r="AA653" i="44" s="1"/>
  <c r="AD24" i="31"/>
  <c r="AE24" i="31"/>
  <c r="AF24" i="31"/>
  <c r="AG24" i="31"/>
  <c r="AH24" i="31"/>
  <c r="AI24" i="31"/>
  <c r="AJ24" i="31"/>
  <c r="AK24" i="31"/>
  <c r="AK82" i="31" s="1"/>
  <c r="D27" i="31"/>
  <c r="F27" i="43" s="1"/>
  <c r="F27" i="31"/>
  <c r="G27" i="31"/>
  <c r="E27" i="31" s="1"/>
  <c r="F28" i="31"/>
  <c r="G28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F32" i="31"/>
  <c r="D32" i="31" s="1"/>
  <c r="G32" i="31"/>
  <c r="D33" i="31"/>
  <c r="F33" i="43" s="1"/>
  <c r="H33" i="43" s="1"/>
  <c r="E33" i="31"/>
  <c r="G33" i="43" s="1"/>
  <c r="F33" i="31"/>
  <c r="G33" i="31"/>
  <c r="F34" i="31"/>
  <c r="D34" i="31" s="1"/>
  <c r="G34" i="31"/>
  <c r="E34" i="31" s="1"/>
  <c r="E35" i="31"/>
  <c r="G35" i="43" s="1"/>
  <c r="F35" i="31"/>
  <c r="D35" i="31" s="1"/>
  <c r="F35" i="43" s="1"/>
  <c r="H35" i="43" s="1"/>
  <c r="G35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E39" i="31"/>
  <c r="G39" i="43" s="1"/>
  <c r="I39" i="43" s="1"/>
  <c r="F39" i="31"/>
  <c r="D39" i="31" s="1"/>
  <c r="F39" i="43" s="1"/>
  <c r="G39" i="31"/>
  <c r="D40" i="31"/>
  <c r="F40" i="31"/>
  <c r="G40" i="31"/>
  <c r="E40" i="31" s="1"/>
  <c r="G40" i="43" s="1"/>
  <c r="F41" i="31"/>
  <c r="G41" i="31"/>
  <c r="G42" i="31" s="1"/>
  <c r="G43" i="31" s="1"/>
  <c r="H42" i="31"/>
  <c r="I42" i="31"/>
  <c r="I43" i="31" s="1"/>
  <c r="J42" i="31"/>
  <c r="J43" i="31" s="1"/>
  <c r="K42" i="31"/>
  <c r="K43" i="31" s="1"/>
  <c r="L42" i="31"/>
  <c r="L43" i="31" s="1"/>
  <c r="M42" i="31"/>
  <c r="N42" i="31"/>
  <c r="O42" i="31"/>
  <c r="P42" i="31"/>
  <c r="Q42" i="31"/>
  <c r="R42" i="31"/>
  <c r="R43" i="31" s="1"/>
  <c r="S42" i="31"/>
  <c r="S43" i="31" s="1"/>
  <c r="T42" i="31"/>
  <c r="T43" i="31" s="1"/>
  <c r="U42" i="31"/>
  <c r="V42" i="31"/>
  <c r="W42" i="31"/>
  <c r="X42" i="31"/>
  <c r="Y42" i="31"/>
  <c r="Z42" i="31"/>
  <c r="AA42" i="31"/>
  <c r="AA43" i="31" s="1"/>
  <c r="AB42" i="31"/>
  <c r="AB43" i="31" s="1"/>
  <c r="AC42" i="31"/>
  <c r="AD42" i="31"/>
  <c r="AE42" i="31"/>
  <c r="AF42" i="31"/>
  <c r="AG42" i="31"/>
  <c r="AH42" i="31"/>
  <c r="AI42" i="31"/>
  <c r="AI43" i="31" s="1"/>
  <c r="AJ42" i="31"/>
  <c r="AJ43" i="31" s="1"/>
  <c r="AK42" i="31"/>
  <c r="H43" i="31"/>
  <c r="M43" i="31"/>
  <c r="N43" i="31"/>
  <c r="O43" i="31"/>
  <c r="P43" i="31"/>
  <c r="Q43" i="31"/>
  <c r="U43" i="31"/>
  <c r="V43" i="31"/>
  <c r="W43" i="31"/>
  <c r="X43" i="31"/>
  <c r="X82" i="31" s="1"/>
  <c r="Y43" i="31"/>
  <c r="Z43" i="31"/>
  <c r="AC43" i="31"/>
  <c r="AD43" i="31"/>
  <c r="AE43" i="31"/>
  <c r="AF43" i="31"/>
  <c r="AG43" i="31"/>
  <c r="AH43" i="31"/>
  <c r="AK43" i="31"/>
  <c r="E45" i="31"/>
  <c r="G45" i="43" s="1"/>
  <c r="F45" i="31"/>
  <c r="D45" i="31" s="1"/>
  <c r="G45" i="31"/>
  <c r="D47" i="31"/>
  <c r="F47" i="31"/>
  <c r="G47" i="31"/>
  <c r="E47" i="31" s="1"/>
  <c r="G47" i="43" s="1"/>
  <c r="I47" i="43" s="1"/>
  <c r="E49" i="31"/>
  <c r="G49" i="43" s="1"/>
  <c r="F49" i="31"/>
  <c r="D49" i="31" s="1"/>
  <c r="F49" i="43" s="1"/>
  <c r="G49" i="31"/>
  <c r="D50" i="31"/>
  <c r="E50" i="31"/>
  <c r="F51" i="31"/>
  <c r="D51" i="31" s="1"/>
  <c r="F51" i="43" s="1"/>
  <c r="G51" i="31"/>
  <c r="E51" i="31" s="1"/>
  <c r="G51" i="43" s="1"/>
  <c r="D52" i="31"/>
  <c r="E52" i="31"/>
  <c r="D54" i="31"/>
  <c r="F54" i="31"/>
  <c r="G54" i="31"/>
  <c r="E54" i="31" s="1"/>
  <c r="F55" i="31"/>
  <c r="G55" i="31"/>
  <c r="G56" i="31" s="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F59" i="31"/>
  <c r="D59" i="31" s="1"/>
  <c r="G59" i="31"/>
  <c r="E59" i="31" s="1"/>
  <c r="E60" i="31"/>
  <c r="G60" i="43" s="1"/>
  <c r="I60" i="43" s="1"/>
  <c r="F60" i="31"/>
  <c r="F61" i="31" s="1"/>
  <c r="G60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E64" i="31"/>
  <c r="G64" i="43" s="1"/>
  <c r="F64" i="31"/>
  <c r="D64" i="31" s="1"/>
  <c r="G64" i="31"/>
  <c r="D65" i="31"/>
  <c r="F65" i="43" s="1"/>
  <c r="F65" i="31"/>
  <c r="G65" i="31"/>
  <c r="E65" i="31" s="1"/>
  <c r="G65" i="43" s="1"/>
  <c r="F66" i="31"/>
  <c r="G66" i="31"/>
  <c r="H66" i="31"/>
  <c r="I66" i="31"/>
  <c r="J66" i="31"/>
  <c r="K66" i="31"/>
  <c r="L66" i="31"/>
  <c r="M66" i="31"/>
  <c r="N66" i="31"/>
  <c r="O66" i="31"/>
  <c r="O82" i="31" s="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D70" i="31"/>
  <c r="F70" i="43" s="1"/>
  <c r="E70" i="31"/>
  <c r="G70" i="43" s="1"/>
  <c r="F70" i="31"/>
  <c r="G70" i="31"/>
  <c r="F71" i="31"/>
  <c r="D71" i="31" s="1"/>
  <c r="F71" i="43" s="1"/>
  <c r="G71" i="31"/>
  <c r="F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D73" i="31"/>
  <c r="F73" i="43" s="1"/>
  <c r="F73" i="31"/>
  <c r="G73" i="31"/>
  <c r="E73" i="31" s="1"/>
  <c r="G73" i="43" s="1"/>
  <c r="F74" i="31"/>
  <c r="D74" i="31" s="1"/>
  <c r="G74" i="31"/>
  <c r="E74" i="31" s="1"/>
  <c r="D75" i="31"/>
  <c r="F75" i="43" s="1"/>
  <c r="F75" i="31"/>
  <c r="G75" i="31"/>
  <c r="E75" i="31" s="1"/>
  <c r="G75" i="43" s="1"/>
  <c r="I75" i="43" s="1"/>
  <c r="E76" i="31"/>
  <c r="G76" i="43" s="1"/>
  <c r="F76" i="31"/>
  <c r="D76" i="31" s="1"/>
  <c r="F76" i="43" s="1"/>
  <c r="G76" i="31"/>
  <c r="D77" i="31"/>
  <c r="F77" i="43" s="1"/>
  <c r="F77" i="31"/>
  <c r="G77" i="31"/>
  <c r="E77" i="31" s="1"/>
  <c r="G77" i="43" s="1"/>
  <c r="F78" i="31"/>
  <c r="D78" i="31" s="1"/>
  <c r="F78" i="43" s="1"/>
  <c r="H78" i="43" s="1"/>
  <c r="G78" i="31"/>
  <c r="E78" i="31" s="1"/>
  <c r="G78" i="43" s="1"/>
  <c r="D79" i="31"/>
  <c r="F79" i="43" s="1"/>
  <c r="F79" i="31"/>
  <c r="G79" i="31"/>
  <c r="E79" i="31" s="1"/>
  <c r="G79" i="43" s="1"/>
  <c r="F80" i="31"/>
  <c r="D80" i="31" s="1"/>
  <c r="F80" i="43" s="1"/>
  <c r="H80" i="43" s="1"/>
  <c r="G80" i="31"/>
  <c r="E80" i="31" s="1"/>
  <c r="G80" i="43" s="1"/>
  <c r="D81" i="31"/>
  <c r="F81" i="31"/>
  <c r="G81" i="31"/>
  <c r="E81" i="31" s="1"/>
  <c r="G81" i="43" s="1"/>
  <c r="I81" i="43" s="1"/>
  <c r="H82" i="31"/>
  <c r="F653" i="44" s="1"/>
  <c r="M82" i="31"/>
  <c r="N82" i="31"/>
  <c r="L653" i="44" s="1"/>
  <c r="P82" i="31"/>
  <c r="AD82" i="31"/>
  <c r="AE82" i="31"/>
  <c r="AF82" i="31"/>
  <c r="E86" i="31"/>
  <c r="F86" i="31"/>
  <c r="F89" i="31" s="1"/>
  <c r="G86" i="31"/>
  <c r="F87" i="31"/>
  <c r="D87" i="31" s="1"/>
  <c r="F87" i="43" s="1"/>
  <c r="H87" i="43" s="1"/>
  <c r="G87" i="31"/>
  <c r="D88" i="31"/>
  <c r="F88" i="43" s="1"/>
  <c r="H88" i="43" s="1"/>
  <c r="E88" i="31"/>
  <c r="F88" i="31"/>
  <c r="G88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H91" i="31"/>
  <c r="N91" i="31"/>
  <c r="AC91" i="31"/>
  <c r="A5" i="43"/>
  <c r="D11" i="43"/>
  <c r="D12" i="43"/>
  <c r="E12" i="43"/>
  <c r="D13" i="43"/>
  <c r="E13" i="43"/>
  <c r="F13" i="43"/>
  <c r="H13" i="43"/>
  <c r="D15" i="43"/>
  <c r="E15" i="43"/>
  <c r="F19" i="43"/>
  <c r="D21" i="43"/>
  <c r="E21" i="43"/>
  <c r="E22" i="43"/>
  <c r="G22" i="43"/>
  <c r="I22" i="43" s="1"/>
  <c r="D27" i="43"/>
  <c r="E27" i="43"/>
  <c r="D28" i="43"/>
  <c r="E28" i="43"/>
  <c r="D33" i="43"/>
  <c r="E34" i="43"/>
  <c r="F34" i="43"/>
  <c r="G34" i="43"/>
  <c r="I34" i="43" s="1"/>
  <c r="D39" i="43"/>
  <c r="E39" i="43"/>
  <c r="E40" i="43"/>
  <c r="E42" i="43" s="1"/>
  <c r="E43" i="43" s="1"/>
  <c r="F40" i="43"/>
  <c r="D41" i="43"/>
  <c r="E41" i="43"/>
  <c r="F45" i="43"/>
  <c r="D47" i="43"/>
  <c r="F47" i="43"/>
  <c r="H47" i="43" s="1"/>
  <c r="D49" i="43"/>
  <c r="E49" i="43"/>
  <c r="H49" i="43"/>
  <c r="I49" i="43"/>
  <c r="D54" i="43"/>
  <c r="E54" i="43"/>
  <c r="E56" i="43" s="1"/>
  <c r="G54" i="43"/>
  <c r="E55" i="43"/>
  <c r="D59" i="43"/>
  <c r="D61" i="43" s="1"/>
  <c r="D60" i="43"/>
  <c r="E60" i="43"/>
  <c r="G66" i="43"/>
  <c r="D70" i="43"/>
  <c r="D71" i="43"/>
  <c r="E71" i="43"/>
  <c r="H71" i="43"/>
  <c r="D72" i="43"/>
  <c r="F74" i="43"/>
  <c r="G74" i="43"/>
  <c r="I74" i="43" s="1"/>
  <c r="E75" i="43"/>
  <c r="D76" i="43"/>
  <c r="E76" i="43"/>
  <c r="D77" i="43"/>
  <c r="D78" i="43"/>
  <c r="E78" i="43"/>
  <c r="I78" i="43"/>
  <c r="I79" i="43"/>
  <c r="D80" i="43"/>
  <c r="D81" i="43"/>
  <c r="E81" i="43"/>
  <c r="F81" i="43"/>
  <c r="H81" i="43" s="1"/>
  <c r="D86" i="43"/>
  <c r="E86" i="43"/>
  <c r="D87" i="43"/>
  <c r="E87" i="43"/>
  <c r="D88" i="43"/>
  <c r="G88" i="43"/>
  <c r="A5" i="6"/>
  <c r="D11" i="6"/>
  <c r="E11" i="6"/>
  <c r="D12" i="6"/>
  <c r="E12" i="6"/>
  <c r="U12" i="6"/>
  <c r="D13" i="6"/>
  <c r="E13" i="6"/>
  <c r="D14" i="6"/>
  <c r="E14" i="6"/>
  <c r="D15" i="6"/>
  <c r="G15" i="6"/>
  <c r="G15" i="20" s="1"/>
  <c r="E15" i="20" s="1"/>
  <c r="G15" i="32" s="1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G19" i="6"/>
  <c r="G19" i="20" s="1"/>
  <c r="D20" i="6"/>
  <c r="E20" i="6"/>
  <c r="D21" i="6"/>
  <c r="D24" i="6" s="1"/>
  <c r="E21" i="6"/>
  <c r="E24" i="6" s="1"/>
  <c r="D22" i="6"/>
  <c r="E22" i="6"/>
  <c r="D23" i="6"/>
  <c r="E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U82" i="6" s="1"/>
  <c r="V29" i="6"/>
  <c r="W29" i="6"/>
  <c r="X29" i="6"/>
  <c r="Y29" i="6"/>
  <c r="D32" i="6"/>
  <c r="E32" i="6"/>
  <c r="D33" i="6"/>
  <c r="D36" i="6" s="1"/>
  <c r="E33" i="6"/>
  <c r="E36" i="6" s="1"/>
  <c r="D34" i="6"/>
  <c r="E34" i="6"/>
  <c r="D35" i="6"/>
  <c r="E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F42" i="6"/>
  <c r="F43" i="6" s="1"/>
  <c r="G42" i="6"/>
  <c r="G43" i="6" s="1"/>
  <c r="H42" i="6"/>
  <c r="H43" i="6" s="1"/>
  <c r="I42" i="6"/>
  <c r="I43" i="6" s="1"/>
  <c r="J42" i="6"/>
  <c r="K42" i="6"/>
  <c r="L42" i="6"/>
  <c r="M42" i="6"/>
  <c r="N42" i="6"/>
  <c r="N43" i="6" s="1"/>
  <c r="O42" i="6"/>
  <c r="O43" i="6" s="1"/>
  <c r="P42" i="6"/>
  <c r="P43" i="6" s="1"/>
  <c r="Q42" i="6"/>
  <c r="Q43" i="6" s="1"/>
  <c r="Q82" i="6" s="1"/>
  <c r="R42" i="6"/>
  <c r="S42" i="6"/>
  <c r="T42" i="6"/>
  <c r="U42" i="6"/>
  <c r="V42" i="6"/>
  <c r="V43" i="6" s="1"/>
  <c r="W42" i="6"/>
  <c r="W43" i="6" s="1"/>
  <c r="X42" i="6"/>
  <c r="X43" i="6" s="1"/>
  <c r="Y42" i="6"/>
  <c r="Y43" i="6" s="1"/>
  <c r="Y82" i="6" s="1"/>
  <c r="J43" i="6"/>
  <c r="K43" i="6"/>
  <c r="L43" i="6"/>
  <c r="M43" i="6"/>
  <c r="M82" i="6" s="1"/>
  <c r="R43" i="6"/>
  <c r="S43" i="6"/>
  <c r="T43" i="6"/>
  <c r="U43" i="6"/>
  <c r="D45" i="6"/>
  <c r="E45" i="6"/>
  <c r="D47" i="6"/>
  <c r="E47" i="6"/>
  <c r="D49" i="6"/>
  <c r="E49" i="6"/>
  <c r="D51" i="6"/>
  <c r="E51" i="6"/>
  <c r="D54" i="6"/>
  <c r="E54" i="6"/>
  <c r="D55" i="6"/>
  <c r="E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D61" i="6" s="1"/>
  <c r="E59" i="6"/>
  <c r="E61" i="6" s="1"/>
  <c r="D60" i="6"/>
  <c r="E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I64" i="6"/>
  <c r="G64" i="21" s="1"/>
  <c r="E64" i="21" s="1"/>
  <c r="U64" i="6"/>
  <c r="D65" i="6"/>
  <c r="D66" i="6" s="1"/>
  <c r="E65" i="6"/>
  <c r="I65" i="6"/>
  <c r="G65" i="21" s="1"/>
  <c r="U65" i="6"/>
  <c r="U66" i="6" s="1"/>
  <c r="F66" i="6"/>
  <c r="G66" i="6"/>
  <c r="H66" i="6"/>
  <c r="J66" i="6"/>
  <c r="K66" i="6"/>
  <c r="L66" i="6"/>
  <c r="M66" i="6"/>
  <c r="N66" i="6"/>
  <c r="O66" i="6"/>
  <c r="P66" i="6"/>
  <c r="Q66" i="6"/>
  <c r="R66" i="6"/>
  <c r="S66" i="6"/>
  <c r="T66" i="6"/>
  <c r="V66" i="6"/>
  <c r="W66" i="6"/>
  <c r="X66" i="6"/>
  <c r="Y66" i="6"/>
  <c r="D70" i="6"/>
  <c r="D72" i="6" s="1"/>
  <c r="E70" i="6"/>
  <c r="E72" i="6" s="1"/>
  <c r="D71" i="6"/>
  <c r="E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G74" i="6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J82" i="6"/>
  <c r="K82" i="6"/>
  <c r="L82" i="6"/>
  <c r="R82" i="6"/>
  <c r="T82" i="6"/>
  <c r="A5" i="12"/>
  <c r="D11" i="12"/>
  <c r="D16" i="12" s="1"/>
  <c r="E11" i="12"/>
  <c r="E16" i="12" s="1"/>
  <c r="J11" i="12"/>
  <c r="K11" i="12"/>
  <c r="D12" i="12"/>
  <c r="E12" i="12"/>
  <c r="J12" i="12"/>
  <c r="J16" i="12" s="1"/>
  <c r="K12" i="12"/>
  <c r="D13" i="12"/>
  <c r="E13" i="12"/>
  <c r="J13" i="12"/>
  <c r="K13" i="12"/>
  <c r="D14" i="12"/>
  <c r="E14" i="12"/>
  <c r="H14" i="12"/>
  <c r="J14" i="12"/>
  <c r="K14" i="12"/>
  <c r="D15" i="12"/>
  <c r="E15" i="12"/>
  <c r="J15" i="12"/>
  <c r="K15" i="12"/>
  <c r="D19" i="12"/>
  <c r="E19" i="12"/>
  <c r="H19" i="12"/>
  <c r="J19" i="12"/>
  <c r="K19" i="12"/>
  <c r="D20" i="12"/>
  <c r="E20" i="12"/>
  <c r="J20" i="12"/>
  <c r="K20" i="12"/>
  <c r="D21" i="12"/>
  <c r="D24" i="12" s="1"/>
  <c r="E21" i="12"/>
  <c r="J21" i="12"/>
  <c r="K21" i="12"/>
  <c r="D22" i="12"/>
  <c r="E22" i="12"/>
  <c r="I22" i="12"/>
  <c r="J22" i="12"/>
  <c r="K22" i="12"/>
  <c r="D23" i="12"/>
  <c r="E23" i="12"/>
  <c r="J23" i="12"/>
  <c r="K23" i="12"/>
  <c r="E24" i="12"/>
  <c r="D27" i="12"/>
  <c r="D29" i="12" s="1"/>
  <c r="E27" i="12"/>
  <c r="E29" i="12" s="1"/>
  <c r="J27" i="12"/>
  <c r="K27" i="12"/>
  <c r="D28" i="12"/>
  <c r="E28" i="12"/>
  <c r="I28" i="12"/>
  <c r="J28" i="12"/>
  <c r="J29" i="12" s="1"/>
  <c r="K28" i="12"/>
  <c r="D32" i="12"/>
  <c r="E32" i="12"/>
  <c r="E36" i="12" s="1"/>
  <c r="J32" i="12"/>
  <c r="K32" i="12"/>
  <c r="D33" i="12"/>
  <c r="E33" i="12"/>
  <c r="J33" i="12"/>
  <c r="K33" i="12"/>
  <c r="K36" i="12" s="1"/>
  <c r="D34" i="12"/>
  <c r="E34" i="12"/>
  <c r="J34" i="12"/>
  <c r="J36" i="12" s="1"/>
  <c r="K34" i="12"/>
  <c r="D35" i="12"/>
  <c r="E35" i="12"/>
  <c r="J35" i="12"/>
  <c r="K35" i="12"/>
  <c r="L37" i="12"/>
  <c r="M37" i="12"/>
  <c r="D39" i="12"/>
  <c r="E39" i="12"/>
  <c r="J39" i="12"/>
  <c r="K39" i="12"/>
  <c r="D40" i="12"/>
  <c r="E40" i="12"/>
  <c r="J40" i="12"/>
  <c r="J42" i="12" s="1"/>
  <c r="K40" i="12"/>
  <c r="D41" i="12"/>
  <c r="E41" i="12"/>
  <c r="J41" i="12"/>
  <c r="K41" i="12"/>
  <c r="D42" i="12"/>
  <c r="D43" i="12" s="1"/>
  <c r="E42" i="12"/>
  <c r="E43" i="12" s="1"/>
  <c r="K42" i="12"/>
  <c r="J43" i="12"/>
  <c r="K43" i="12"/>
  <c r="D45" i="12"/>
  <c r="E45" i="12"/>
  <c r="I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J51" i="12"/>
  <c r="K51" i="12"/>
  <c r="D54" i="12"/>
  <c r="E54" i="12"/>
  <c r="J54" i="12"/>
  <c r="J56" i="12" s="1"/>
  <c r="K54" i="12"/>
  <c r="D55" i="12"/>
  <c r="E55" i="12"/>
  <c r="J55" i="12"/>
  <c r="K55" i="12"/>
  <c r="D56" i="12"/>
  <c r="E56" i="12"/>
  <c r="K56" i="12"/>
  <c r="D59" i="12"/>
  <c r="D61" i="12" s="1"/>
  <c r="E59" i="12"/>
  <c r="J59" i="12"/>
  <c r="J61" i="12" s="1"/>
  <c r="K59" i="12"/>
  <c r="K61" i="12" s="1"/>
  <c r="D60" i="12"/>
  <c r="E60" i="12"/>
  <c r="J60" i="12"/>
  <c r="K60" i="12"/>
  <c r="E61" i="12"/>
  <c r="D64" i="12"/>
  <c r="D66" i="12" s="1"/>
  <c r="E64" i="12"/>
  <c r="E66" i="12" s="1"/>
  <c r="J64" i="12"/>
  <c r="K64" i="12"/>
  <c r="D65" i="12"/>
  <c r="E65" i="12"/>
  <c r="J65" i="12"/>
  <c r="J66" i="12" s="1"/>
  <c r="K65" i="12"/>
  <c r="D70" i="12"/>
  <c r="E70" i="12"/>
  <c r="J70" i="12"/>
  <c r="K70" i="12"/>
  <c r="D71" i="12"/>
  <c r="D72" i="12" s="1"/>
  <c r="E71" i="12"/>
  <c r="J71" i="12"/>
  <c r="K71" i="12"/>
  <c r="J72" i="12"/>
  <c r="K72" i="12"/>
  <c r="D73" i="12"/>
  <c r="E73" i="12"/>
  <c r="J73" i="12"/>
  <c r="K73" i="12"/>
  <c r="D74" i="12"/>
  <c r="E74" i="12"/>
  <c r="J74" i="12"/>
  <c r="K74" i="12"/>
  <c r="D75" i="12"/>
  <c r="E75" i="12"/>
  <c r="J75" i="12"/>
  <c r="K75" i="12"/>
  <c r="D76" i="12"/>
  <c r="E76" i="12"/>
  <c r="J76" i="12"/>
  <c r="K76" i="12"/>
  <c r="D77" i="12"/>
  <c r="E77" i="12"/>
  <c r="H77" i="12"/>
  <c r="J77" i="12"/>
  <c r="K77" i="12"/>
  <c r="D78" i="12"/>
  <c r="E78" i="12"/>
  <c r="H78" i="12"/>
  <c r="J78" i="12"/>
  <c r="K78" i="12"/>
  <c r="D79" i="12"/>
  <c r="E79" i="12"/>
  <c r="J79" i="12"/>
  <c r="K79" i="12"/>
  <c r="D80" i="12"/>
  <c r="E80" i="12"/>
  <c r="I80" i="12"/>
  <c r="J80" i="12"/>
  <c r="K80" i="12"/>
  <c r="E81" i="12"/>
  <c r="J81" i="12"/>
  <c r="K81" i="12"/>
  <c r="A5" i="24"/>
  <c r="H8" i="24"/>
  <c r="J8" i="24"/>
  <c r="L8" i="24"/>
  <c r="N8" i="24"/>
  <c r="P8" i="24"/>
  <c r="R8" i="24"/>
  <c r="T8" i="24"/>
  <c r="F11" i="24"/>
  <c r="G11" i="24"/>
  <c r="L11" i="24"/>
  <c r="U11" i="24"/>
  <c r="V11" i="24"/>
  <c r="AF11" i="24"/>
  <c r="AG11" i="24"/>
  <c r="AH11" i="24"/>
  <c r="AI11" i="24"/>
  <c r="AI16" i="24" s="1"/>
  <c r="AJ11" i="24"/>
  <c r="AJ16" i="24" s="1"/>
  <c r="AK11" i="24"/>
  <c r="AK16" i="24" s="1"/>
  <c r="F12" i="24"/>
  <c r="G12" i="24"/>
  <c r="Z12" i="24"/>
  <c r="AA12" i="24"/>
  <c r="AB12" i="24"/>
  <c r="AF12" i="24"/>
  <c r="AG12" i="24"/>
  <c r="AH12" i="24"/>
  <c r="AI12" i="24"/>
  <c r="AJ12" i="24"/>
  <c r="AK12" i="24"/>
  <c r="F13" i="24"/>
  <c r="G13" i="24"/>
  <c r="AF13" i="24"/>
  <c r="AF16" i="24" s="1"/>
  <c r="AG13" i="24"/>
  <c r="AG16" i="24" s="1"/>
  <c r="AH13" i="24"/>
  <c r="AH16" i="24" s="1"/>
  <c r="AI13" i="24"/>
  <c r="AJ13" i="24"/>
  <c r="AK13" i="24"/>
  <c r="F14" i="24"/>
  <c r="G14" i="24"/>
  <c r="AE14" i="24"/>
  <c r="AF14" i="24"/>
  <c r="AG14" i="24"/>
  <c r="AH14" i="24"/>
  <c r="AI14" i="24"/>
  <c r="AJ14" i="24"/>
  <c r="AK14" i="24"/>
  <c r="F15" i="24"/>
  <c r="G15" i="24"/>
  <c r="M15" i="24"/>
  <c r="AD15" i="24"/>
  <c r="AF15" i="24"/>
  <c r="AG15" i="24"/>
  <c r="AH15" i="24"/>
  <c r="AI15" i="24"/>
  <c r="AJ15" i="24"/>
  <c r="AK15" i="24"/>
  <c r="F19" i="24"/>
  <c r="G19" i="24"/>
  <c r="AF19" i="24"/>
  <c r="AG19" i="24"/>
  <c r="AG24" i="24" s="1"/>
  <c r="AH19" i="24"/>
  <c r="AH24" i="24" s="1"/>
  <c r="AI19" i="24"/>
  <c r="AJ19" i="24"/>
  <c r="AK19" i="24"/>
  <c r="F20" i="24"/>
  <c r="F24" i="24" s="1"/>
  <c r="G20" i="24"/>
  <c r="AF20" i="24"/>
  <c r="AG20" i="24"/>
  <c r="AH20" i="24"/>
  <c r="AI20" i="24"/>
  <c r="AJ20" i="24"/>
  <c r="AK20" i="24"/>
  <c r="F21" i="24"/>
  <c r="G21" i="24"/>
  <c r="AF21" i="24"/>
  <c r="AG21" i="24"/>
  <c r="AH21" i="24"/>
  <c r="AI21" i="24"/>
  <c r="AJ21" i="24"/>
  <c r="AK21" i="24"/>
  <c r="F22" i="24"/>
  <c r="G22" i="24"/>
  <c r="I22" i="24"/>
  <c r="R22" i="24"/>
  <c r="S22" i="24"/>
  <c r="AF22" i="24"/>
  <c r="AG22" i="24"/>
  <c r="AH22" i="24"/>
  <c r="AI22" i="24"/>
  <c r="AI24" i="24" s="1"/>
  <c r="AJ22" i="24"/>
  <c r="AJ24" i="24" s="1"/>
  <c r="AK22" i="24"/>
  <c r="F23" i="24"/>
  <c r="G23" i="24"/>
  <c r="AF23" i="24"/>
  <c r="AG23" i="24"/>
  <c r="AH23" i="24"/>
  <c r="AI23" i="24"/>
  <c r="AJ23" i="24"/>
  <c r="AK23" i="24"/>
  <c r="AF24" i="24"/>
  <c r="F27" i="24"/>
  <c r="G27" i="24"/>
  <c r="AF27" i="24"/>
  <c r="AF29" i="24" s="1"/>
  <c r="AG27" i="24"/>
  <c r="AG29" i="24" s="1"/>
  <c r="AH27" i="24"/>
  <c r="AI27" i="24"/>
  <c r="AJ27" i="24"/>
  <c r="AK27" i="24"/>
  <c r="F28" i="24"/>
  <c r="G28" i="24"/>
  <c r="AF28" i="24"/>
  <c r="AG28" i="24"/>
  <c r="AH28" i="24"/>
  <c r="AI28" i="24"/>
  <c r="AJ28" i="24"/>
  <c r="AJ29" i="24" s="1"/>
  <c r="AK28" i="24"/>
  <c r="G29" i="24"/>
  <c r="AH29" i="24"/>
  <c r="AK29" i="24"/>
  <c r="F32" i="24"/>
  <c r="G32" i="24"/>
  <c r="AF32" i="24"/>
  <c r="AG32" i="24"/>
  <c r="AH32" i="24"/>
  <c r="AI32" i="24"/>
  <c r="AJ32" i="24"/>
  <c r="AK32" i="24"/>
  <c r="F33" i="24"/>
  <c r="G33" i="24"/>
  <c r="J33" i="24"/>
  <c r="K33" i="24"/>
  <c r="AF33" i="24"/>
  <c r="AG33" i="24"/>
  <c r="AH33" i="24"/>
  <c r="AI33" i="24"/>
  <c r="AJ33" i="24"/>
  <c r="AK33" i="24"/>
  <c r="AK36" i="24" s="1"/>
  <c r="F34" i="24"/>
  <c r="G34" i="24"/>
  <c r="O34" i="24"/>
  <c r="P34" i="24"/>
  <c r="AF34" i="24"/>
  <c r="AG34" i="24"/>
  <c r="AH34" i="24"/>
  <c r="AI34" i="24"/>
  <c r="AJ34" i="24"/>
  <c r="AK34" i="24"/>
  <c r="F35" i="24"/>
  <c r="G35" i="24"/>
  <c r="AF35" i="24"/>
  <c r="AG35" i="24"/>
  <c r="AH35" i="24"/>
  <c r="AI35" i="24"/>
  <c r="AJ35" i="24"/>
  <c r="AK35" i="24"/>
  <c r="F36" i="24"/>
  <c r="G36" i="24"/>
  <c r="AH36" i="24"/>
  <c r="AI36" i="24"/>
  <c r="AJ36" i="24"/>
  <c r="F39" i="24"/>
  <c r="G39" i="24"/>
  <c r="AF39" i="24"/>
  <c r="AG39" i="24"/>
  <c r="AH39" i="24"/>
  <c r="AI39" i="24"/>
  <c r="AI43" i="24" s="1"/>
  <c r="AJ39" i="24"/>
  <c r="AK39" i="24"/>
  <c r="F40" i="24"/>
  <c r="G40" i="24"/>
  <c r="T40" i="24"/>
  <c r="AF40" i="24"/>
  <c r="AF42" i="24" s="1"/>
  <c r="AF43" i="24" s="1"/>
  <c r="AG40" i="24"/>
  <c r="AH40" i="24"/>
  <c r="AI40" i="24"/>
  <c r="AJ40" i="24"/>
  <c r="AJ42" i="24" s="1"/>
  <c r="AK40" i="24"/>
  <c r="F41" i="24"/>
  <c r="G41" i="24"/>
  <c r="L41" i="24"/>
  <c r="AF41" i="24"/>
  <c r="AG41" i="24"/>
  <c r="AH41" i="24"/>
  <c r="AI41" i="24"/>
  <c r="AJ41" i="24"/>
  <c r="AK41" i="24"/>
  <c r="AK42" i="24" s="1"/>
  <c r="G42" i="24"/>
  <c r="G43" i="24" s="1"/>
  <c r="AH42" i="24"/>
  <c r="AI42" i="24"/>
  <c r="AH43" i="24"/>
  <c r="F45" i="24"/>
  <c r="G45" i="24"/>
  <c r="O45" i="24"/>
  <c r="P45" i="24"/>
  <c r="AF45" i="24"/>
  <c r="AG45" i="24"/>
  <c r="AH45" i="24"/>
  <c r="AI45" i="24"/>
  <c r="AJ45" i="24"/>
  <c r="AK45" i="24"/>
  <c r="F47" i="24"/>
  <c r="G47" i="24"/>
  <c r="U47" i="24"/>
  <c r="V47" i="24"/>
  <c r="W47" i="24"/>
  <c r="AB47" i="24"/>
  <c r="AF47" i="24"/>
  <c r="AG47" i="24"/>
  <c r="AH47" i="24"/>
  <c r="AI47" i="24"/>
  <c r="AJ47" i="24"/>
  <c r="AK47" i="24"/>
  <c r="F49" i="24"/>
  <c r="G49" i="24"/>
  <c r="Z49" i="24"/>
  <c r="AA49" i="24"/>
  <c r="AB49" i="24"/>
  <c r="AF49" i="24"/>
  <c r="AG49" i="24"/>
  <c r="AH49" i="24"/>
  <c r="AI49" i="24"/>
  <c r="AJ49" i="24"/>
  <c r="AK49" i="24"/>
  <c r="D50" i="24"/>
  <c r="E50" i="24"/>
  <c r="F51" i="24"/>
  <c r="G51" i="24"/>
  <c r="AD51" i="24"/>
  <c r="AE51" i="24"/>
  <c r="AF51" i="24"/>
  <c r="AG51" i="24"/>
  <c r="AH51" i="24"/>
  <c r="AI51" i="24"/>
  <c r="AJ51" i="24"/>
  <c r="AK51" i="24"/>
  <c r="D52" i="24"/>
  <c r="E52" i="24"/>
  <c r="F54" i="24"/>
  <c r="G54" i="24"/>
  <c r="AF54" i="24"/>
  <c r="AG54" i="24"/>
  <c r="AH54" i="24"/>
  <c r="AI54" i="24"/>
  <c r="AJ54" i="24"/>
  <c r="AJ56" i="24" s="1"/>
  <c r="AK54" i="24"/>
  <c r="AK56" i="24" s="1"/>
  <c r="F55" i="24"/>
  <c r="G55" i="24"/>
  <c r="X55" i="24"/>
  <c r="AF55" i="24"/>
  <c r="AG55" i="24"/>
  <c r="AG56" i="24" s="1"/>
  <c r="AH55" i="24"/>
  <c r="AI55" i="24"/>
  <c r="AJ55" i="24"/>
  <c r="AK55" i="24"/>
  <c r="F56" i="24"/>
  <c r="G56" i="24"/>
  <c r="AF56" i="24"/>
  <c r="F59" i="24"/>
  <c r="F61" i="24" s="1"/>
  <c r="G59" i="24"/>
  <c r="W59" i="24"/>
  <c r="AB59" i="24"/>
  <c r="AC59" i="24"/>
  <c r="AD59" i="24"/>
  <c r="AF59" i="24"/>
  <c r="AG59" i="24"/>
  <c r="AH59" i="24"/>
  <c r="AI59" i="24"/>
  <c r="AJ59" i="24"/>
  <c r="AJ61" i="24" s="1"/>
  <c r="AK59" i="24"/>
  <c r="F60" i="24"/>
  <c r="G60" i="24"/>
  <c r="R60" i="24"/>
  <c r="AA60" i="24"/>
  <c r="AB60" i="24"/>
  <c r="AC60" i="24"/>
  <c r="AF60" i="24"/>
  <c r="AG60" i="24"/>
  <c r="AH60" i="24"/>
  <c r="AI60" i="24"/>
  <c r="AJ60" i="24"/>
  <c r="AK60" i="24"/>
  <c r="AF61" i="24"/>
  <c r="AG61" i="24"/>
  <c r="AH61" i="24"/>
  <c r="AI61" i="24"/>
  <c r="F64" i="24"/>
  <c r="G64" i="24"/>
  <c r="G66" i="24" s="1"/>
  <c r="F65" i="24"/>
  <c r="G65" i="24"/>
  <c r="F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F70" i="24"/>
  <c r="G70" i="24"/>
  <c r="L70" i="24"/>
  <c r="AF70" i="24"/>
  <c r="AG70" i="24"/>
  <c r="AH70" i="24"/>
  <c r="AI70" i="24"/>
  <c r="AJ70" i="24"/>
  <c r="AK70" i="24"/>
  <c r="F71" i="24"/>
  <c r="G71" i="24"/>
  <c r="U71" i="24"/>
  <c r="AF71" i="24"/>
  <c r="AG71" i="24"/>
  <c r="AH71" i="24"/>
  <c r="AI71" i="24"/>
  <c r="AI72" i="24" s="1"/>
  <c r="AJ71" i="24"/>
  <c r="AK71" i="24"/>
  <c r="AF72" i="24"/>
  <c r="AG72" i="24"/>
  <c r="AH72" i="24"/>
  <c r="F73" i="24"/>
  <c r="G73" i="24"/>
  <c r="Q73" i="24"/>
  <c r="V73" i="24"/>
  <c r="AF73" i="24"/>
  <c r="AG73" i="24"/>
  <c r="AH73" i="24"/>
  <c r="AI73" i="24"/>
  <c r="AJ73" i="24"/>
  <c r="AK73" i="24"/>
  <c r="F74" i="24"/>
  <c r="G74" i="24"/>
  <c r="V74" i="24"/>
  <c r="W74" i="24"/>
  <c r="AF74" i="24"/>
  <c r="AG74" i="24"/>
  <c r="AH74" i="24"/>
  <c r="AI74" i="24"/>
  <c r="AJ74" i="24"/>
  <c r="AK74" i="24"/>
  <c r="F75" i="24"/>
  <c r="G75" i="24"/>
  <c r="AF75" i="24"/>
  <c r="AG75" i="24"/>
  <c r="AH75" i="24"/>
  <c r="AI75" i="24"/>
  <c r="AJ75" i="24"/>
  <c r="AK75" i="24"/>
  <c r="F76" i="24"/>
  <c r="G76" i="24"/>
  <c r="K76" i="24"/>
  <c r="AF76" i="24"/>
  <c r="AG76" i="24"/>
  <c r="AH76" i="24"/>
  <c r="AI76" i="24"/>
  <c r="AJ76" i="24"/>
  <c r="AK76" i="24"/>
  <c r="F77" i="24"/>
  <c r="G77" i="24"/>
  <c r="I77" i="24"/>
  <c r="AF77" i="24"/>
  <c r="AG77" i="24"/>
  <c r="AH77" i="24"/>
  <c r="AI77" i="24"/>
  <c r="AJ77" i="24"/>
  <c r="AK77" i="24"/>
  <c r="F78" i="24"/>
  <c r="G78" i="24"/>
  <c r="O78" i="24"/>
  <c r="T78" i="24"/>
  <c r="AC78" i="24"/>
  <c r="AF78" i="24"/>
  <c r="AG78" i="24"/>
  <c r="AH78" i="24"/>
  <c r="AI78" i="24"/>
  <c r="AJ78" i="24"/>
  <c r="AK78" i="24"/>
  <c r="F79" i="24"/>
  <c r="G79" i="24"/>
  <c r="M79" i="24"/>
  <c r="R79" i="24"/>
  <c r="AF79" i="24"/>
  <c r="AG79" i="24"/>
  <c r="AH79" i="24"/>
  <c r="AI79" i="24"/>
  <c r="AJ79" i="24"/>
  <c r="AK79" i="24"/>
  <c r="F80" i="24"/>
  <c r="G80" i="24"/>
  <c r="S80" i="24"/>
  <c r="Y80" i="24"/>
  <c r="AF80" i="24"/>
  <c r="AG80" i="24"/>
  <c r="AH80" i="24"/>
  <c r="AI80" i="24"/>
  <c r="AJ80" i="24"/>
  <c r="AK80" i="24"/>
  <c r="F81" i="24"/>
  <c r="G81" i="24"/>
  <c r="AE81" i="24"/>
  <c r="AF81" i="24"/>
  <c r="AG81" i="24"/>
  <c r="AH81" i="24"/>
  <c r="AI81" i="24"/>
  <c r="AJ81" i="24"/>
  <c r="AK81" i="24"/>
  <c r="A4" i="36"/>
  <c r="A5" i="36"/>
  <c r="A4" i="10"/>
  <c r="A5" i="10"/>
  <c r="G11" i="10"/>
  <c r="H11" i="10"/>
  <c r="I11" i="10"/>
  <c r="M11" i="10"/>
  <c r="G12" i="10"/>
  <c r="H12" i="10"/>
  <c r="I12" i="10"/>
  <c r="I12" i="12" s="1"/>
  <c r="L12" i="10"/>
  <c r="H13" i="10"/>
  <c r="I13" i="10"/>
  <c r="L13" i="10"/>
  <c r="F14" i="10"/>
  <c r="H14" i="10"/>
  <c r="I14" i="10"/>
  <c r="G14" i="10" s="1"/>
  <c r="L14" i="10"/>
  <c r="M14" i="10"/>
  <c r="F15" i="10"/>
  <c r="G15" i="10"/>
  <c r="H15" i="10"/>
  <c r="I15" i="10"/>
  <c r="M15" i="10"/>
  <c r="J16" i="10"/>
  <c r="K16" i="10"/>
  <c r="H18" i="10"/>
  <c r="I18" i="10"/>
  <c r="G19" i="10"/>
  <c r="H19" i="10"/>
  <c r="F19" i="10" s="1"/>
  <c r="I19" i="10"/>
  <c r="M19" i="10"/>
  <c r="H20" i="10"/>
  <c r="I20" i="10"/>
  <c r="H21" i="10"/>
  <c r="I21" i="10"/>
  <c r="L21" i="10"/>
  <c r="M21" i="10"/>
  <c r="F22" i="10"/>
  <c r="H22" i="10"/>
  <c r="I22" i="10"/>
  <c r="G22" i="10" s="1"/>
  <c r="L22" i="10"/>
  <c r="M22" i="10"/>
  <c r="G23" i="10"/>
  <c r="H23" i="10"/>
  <c r="I23" i="10"/>
  <c r="M23" i="10"/>
  <c r="J24" i="10"/>
  <c r="K24" i="10"/>
  <c r="G27" i="10"/>
  <c r="H27" i="10"/>
  <c r="I27" i="10"/>
  <c r="H28" i="10"/>
  <c r="I28" i="10"/>
  <c r="M28" i="10" s="1"/>
  <c r="E28" i="34" s="1"/>
  <c r="L28" i="10"/>
  <c r="J29" i="10"/>
  <c r="K29" i="10"/>
  <c r="K82" i="10" s="1"/>
  <c r="F32" i="10"/>
  <c r="H32" i="10"/>
  <c r="I32" i="10"/>
  <c r="G32" i="10" s="1"/>
  <c r="L32" i="10"/>
  <c r="M32" i="10"/>
  <c r="E32" i="34" s="1"/>
  <c r="F33" i="10"/>
  <c r="G33" i="10"/>
  <c r="H33" i="10"/>
  <c r="I33" i="10"/>
  <c r="M33" i="10"/>
  <c r="H34" i="10"/>
  <c r="I34" i="10"/>
  <c r="L34" i="10"/>
  <c r="D34" i="34" s="1"/>
  <c r="H35" i="10"/>
  <c r="I35" i="10"/>
  <c r="L35" i="10"/>
  <c r="M35" i="10"/>
  <c r="J36" i="10"/>
  <c r="K36" i="10"/>
  <c r="L37" i="10"/>
  <c r="M37" i="10"/>
  <c r="H38" i="10"/>
  <c r="I38" i="10"/>
  <c r="H39" i="10"/>
  <c r="I39" i="10"/>
  <c r="L39" i="10"/>
  <c r="D39" i="34" s="1"/>
  <c r="H40" i="10"/>
  <c r="I40" i="10"/>
  <c r="M40" i="10" s="1"/>
  <c r="L40" i="10"/>
  <c r="L42" i="10" s="1"/>
  <c r="F41" i="10"/>
  <c r="H41" i="10"/>
  <c r="I41" i="10"/>
  <c r="G41" i="10" s="1"/>
  <c r="L41" i="10"/>
  <c r="M41" i="10"/>
  <c r="H42" i="10"/>
  <c r="J42" i="10"/>
  <c r="K42" i="10"/>
  <c r="J43" i="10"/>
  <c r="K43" i="10"/>
  <c r="F45" i="10"/>
  <c r="G45" i="10"/>
  <c r="H45" i="10"/>
  <c r="I45" i="10"/>
  <c r="M45" i="10"/>
  <c r="H47" i="10"/>
  <c r="I47" i="10"/>
  <c r="L47" i="10"/>
  <c r="D47" i="34" s="1"/>
  <c r="H49" i="10"/>
  <c r="I49" i="10"/>
  <c r="M49" i="10"/>
  <c r="F51" i="10"/>
  <c r="H51" i="10"/>
  <c r="I51" i="10"/>
  <c r="L51" i="10"/>
  <c r="D51" i="34" s="1"/>
  <c r="M51" i="10"/>
  <c r="G54" i="10"/>
  <c r="H54" i="10"/>
  <c r="H54" i="12" s="1"/>
  <c r="I54" i="10"/>
  <c r="M54" i="10"/>
  <c r="G55" i="10"/>
  <c r="H55" i="10"/>
  <c r="I55" i="10"/>
  <c r="I56" i="10"/>
  <c r="J56" i="10"/>
  <c r="K56" i="10"/>
  <c r="H59" i="10"/>
  <c r="I59" i="10"/>
  <c r="M59" i="10"/>
  <c r="F60" i="10"/>
  <c r="H60" i="10"/>
  <c r="H60" i="12" s="1"/>
  <c r="I60" i="10"/>
  <c r="I60" i="12" s="1"/>
  <c r="L60" i="10"/>
  <c r="D60" i="34" s="1"/>
  <c r="M60" i="10"/>
  <c r="E60" i="34" s="1"/>
  <c r="J61" i="10"/>
  <c r="K61" i="10"/>
  <c r="M61" i="10"/>
  <c r="F64" i="10"/>
  <c r="G64" i="10"/>
  <c r="H64" i="10"/>
  <c r="I64" i="10"/>
  <c r="M64" i="10"/>
  <c r="G65" i="10"/>
  <c r="H65" i="10"/>
  <c r="I65" i="10"/>
  <c r="J66" i="10"/>
  <c r="K66" i="10"/>
  <c r="L69" i="10"/>
  <c r="M69" i="10"/>
  <c r="G70" i="10"/>
  <c r="H70" i="10"/>
  <c r="F70" i="10" s="1"/>
  <c r="I70" i="10"/>
  <c r="L70" i="10"/>
  <c r="H71" i="10"/>
  <c r="I71" i="10"/>
  <c r="L71" i="10"/>
  <c r="J72" i="10"/>
  <c r="K72" i="10"/>
  <c r="L72" i="10"/>
  <c r="F73" i="10"/>
  <c r="H73" i="10"/>
  <c r="H73" i="12" s="1"/>
  <c r="I73" i="10"/>
  <c r="G73" i="10" s="1"/>
  <c r="L73" i="10"/>
  <c r="M73" i="10"/>
  <c r="G74" i="10"/>
  <c r="H74" i="10"/>
  <c r="I74" i="10"/>
  <c r="M74" i="10"/>
  <c r="G75" i="10"/>
  <c r="H75" i="10"/>
  <c r="F75" i="10" s="1"/>
  <c r="I75" i="10"/>
  <c r="L75" i="10"/>
  <c r="H76" i="10"/>
  <c r="I76" i="10"/>
  <c r="F77" i="10"/>
  <c r="H77" i="10"/>
  <c r="I77" i="10"/>
  <c r="L77" i="10"/>
  <c r="D77" i="34" s="1"/>
  <c r="M77" i="10"/>
  <c r="E77" i="34" s="1"/>
  <c r="F78" i="10"/>
  <c r="G78" i="10"/>
  <c r="H78" i="10"/>
  <c r="I78" i="10"/>
  <c r="M78" i="10"/>
  <c r="H79" i="10"/>
  <c r="I79" i="10"/>
  <c r="L79" i="10"/>
  <c r="D79" i="34" s="1"/>
  <c r="H80" i="10"/>
  <c r="I80" i="10"/>
  <c r="M80" i="10" s="1"/>
  <c r="E80" i="34" s="1"/>
  <c r="L80" i="10"/>
  <c r="F81" i="10"/>
  <c r="H81" i="10"/>
  <c r="I81" i="10"/>
  <c r="G81" i="10" s="1"/>
  <c r="L81" i="10"/>
  <c r="D81" i="34" s="1"/>
  <c r="M81" i="10"/>
  <c r="D82" i="10"/>
  <c r="E82" i="10"/>
  <c r="J82" i="10"/>
  <c r="A5" i="22"/>
  <c r="H8" i="22"/>
  <c r="J8" i="22"/>
  <c r="L8" i="22"/>
  <c r="N8" i="22"/>
  <c r="P8" i="22"/>
  <c r="R8" i="22"/>
  <c r="T8" i="22"/>
  <c r="F11" i="22"/>
  <c r="G11" i="22"/>
  <c r="H11" i="22"/>
  <c r="I11" i="22"/>
  <c r="I11" i="24" s="1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F12" i="22"/>
  <c r="G12" i="22"/>
  <c r="H12" i="22"/>
  <c r="I12" i="22"/>
  <c r="I12" i="24" s="1"/>
  <c r="J12" i="22"/>
  <c r="J12" i="24" s="1"/>
  <c r="K12" i="22"/>
  <c r="L12" i="22"/>
  <c r="L12" i="24" s="1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Z12" i="46" s="1"/>
  <c r="AA12" i="22"/>
  <c r="AB12" i="22"/>
  <c r="AC12" i="22"/>
  <c r="AD12" i="22"/>
  <c r="AE12" i="22"/>
  <c r="AF12" i="22"/>
  <c r="AG12" i="22"/>
  <c r="AH12" i="22"/>
  <c r="AI12" i="22"/>
  <c r="AJ12" i="22"/>
  <c r="AK12" i="22"/>
  <c r="F13" i="22"/>
  <c r="G13" i="22"/>
  <c r="H13" i="22"/>
  <c r="H13" i="24" s="1"/>
  <c r="I13" i="22"/>
  <c r="I13" i="24" s="1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X13" i="46" s="1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K16" i="22" s="1"/>
  <c r="F15" i="22"/>
  <c r="D15" i="22" s="1"/>
  <c r="F15" i="34" s="1"/>
  <c r="G15" i="22"/>
  <c r="H15" i="22"/>
  <c r="I15" i="22"/>
  <c r="J15" i="22"/>
  <c r="K15" i="22"/>
  <c r="L15" i="22"/>
  <c r="L15" i="24" s="1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B16" i="22" s="1"/>
  <c r="AC15" i="22"/>
  <c r="AD15" i="22"/>
  <c r="AD15" i="46" s="1"/>
  <c r="AE15" i="22"/>
  <c r="AF15" i="22"/>
  <c r="AG15" i="22"/>
  <c r="AH15" i="22"/>
  <c r="AI15" i="22"/>
  <c r="AJ15" i="22"/>
  <c r="AK15" i="22"/>
  <c r="I16" i="22"/>
  <c r="T16" i="22"/>
  <c r="U16" i="22"/>
  <c r="V16" i="22"/>
  <c r="F19" i="22"/>
  <c r="G19" i="22"/>
  <c r="H19" i="22"/>
  <c r="I19" i="22"/>
  <c r="J19" i="22"/>
  <c r="K19" i="22"/>
  <c r="L19" i="22"/>
  <c r="L19" i="24" s="1"/>
  <c r="M19" i="22"/>
  <c r="M19" i="24" s="1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K24" i="22" s="1"/>
  <c r="D20" i="22"/>
  <c r="F20" i="22"/>
  <c r="G20" i="22"/>
  <c r="H20" i="22"/>
  <c r="I20" i="22"/>
  <c r="J20" i="22"/>
  <c r="K20" i="22"/>
  <c r="K20" i="24" s="1"/>
  <c r="L20" i="22"/>
  <c r="L20" i="24" s="1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D23" i="22"/>
  <c r="F23" i="34" s="1"/>
  <c r="F23" i="22"/>
  <c r="G23" i="22"/>
  <c r="E23" i="22" s="1"/>
  <c r="G23" i="34" s="1"/>
  <c r="I23" i="34" s="1"/>
  <c r="H23" i="22"/>
  <c r="I23" i="22"/>
  <c r="J23" i="22"/>
  <c r="K23" i="22"/>
  <c r="L23" i="22"/>
  <c r="L23" i="24" s="1"/>
  <c r="M23" i="22"/>
  <c r="M23" i="24" s="1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J24" i="22"/>
  <c r="K24" i="22"/>
  <c r="L24" i="22"/>
  <c r="R24" i="22"/>
  <c r="Z24" i="22"/>
  <c r="AA24" i="22"/>
  <c r="AB24" i="22"/>
  <c r="AC24" i="22"/>
  <c r="AH24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H29" i="22" s="1"/>
  <c r="AI27" i="22"/>
  <c r="AI29" i="22" s="1"/>
  <c r="AJ27" i="22"/>
  <c r="AK27" i="22"/>
  <c r="F28" i="22"/>
  <c r="G28" i="22"/>
  <c r="H28" i="22"/>
  <c r="H28" i="24" s="1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X28" i="46" s="1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F29" i="22"/>
  <c r="G29" i="22"/>
  <c r="L29" i="22"/>
  <c r="M29" i="22"/>
  <c r="T29" i="22"/>
  <c r="U29" i="22"/>
  <c r="V29" i="22"/>
  <c r="W29" i="22"/>
  <c r="AB29" i="22"/>
  <c r="AC29" i="22"/>
  <c r="AJ29" i="22"/>
  <c r="AK29" i="22"/>
  <c r="E32" i="22"/>
  <c r="F32" i="22"/>
  <c r="G32" i="22"/>
  <c r="H32" i="22"/>
  <c r="I32" i="22"/>
  <c r="J32" i="22"/>
  <c r="K32" i="22"/>
  <c r="K32" i="24" s="1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C36" i="22" s="1"/>
  <c r="AD32" i="22"/>
  <c r="AE32" i="22"/>
  <c r="AF32" i="22"/>
  <c r="AG32" i="22"/>
  <c r="AH32" i="22"/>
  <c r="AI32" i="22"/>
  <c r="AJ32" i="22"/>
  <c r="AK32" i="22"/>
  <c r="AK36" i="22" s="1"/>
  <c r="F33" i="22"/>
  <c r="D33" i="22" s="1"/>
  <c r="F33" i="34" s="1"/>
  <c r="G33" i="22"/>
  <c r="H33" i="22"/>
  <c r="I33" i="22"/>
  <c r="J33" i="22"/>
  <c r="K33" i="22"/>
  <c r="L33" i="22"/>
  <c r="L33" i="24" s="1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F34" i="22"/>
  <c r="D34" i="22" s="1"/>
  <c r="F34" i="34" s="1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D35" i="22"/>
  <c r="F35" i="34" s="1"/>
  <c r="F35" i="22"/>
  <c r="G35" i="22"/>
  <c r="E35" i="22" s="1"/>
  <c r="G35" i="34" s="1"/>
  <c r="H35" i="22"/>
  <c r="I35" i="22"/>
  <c r="J35" i="22"/>
  <c r="K35" i="22"/>
  <c r="L35" i="22"/>
  <c r="L35" i="24" s="1"/>
  <c r="M35" i="22"/>
  <c r="N35" i="22"/>
  <c r="N35" i="24" s="1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J36" i="22"/>
  <c r="R36" i="22"/>
  <c r="Z36" i="22"/>
  <c r="AA36" i="22"/>
  <c r="AH36" i="22"/>
  <c r="F39" i="22"/>
  <c r="G39" i="22"/>
  <c r="H39" i="22"/>
  <c r="H39" i="24" s="1"/>
  <c r="I39" i="22"/>
  <c r="I39" i="24" s="1"/>
  <c r="J39" i="22"/>
  <c r="J39" i="24" s="1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H43" i="22" s="1"/>
  <c r="AI39" i="22"/>
  <c r="AJ39" i="22"/>
  <c r="AK39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E40" i="24" s="1"/>
  <c r="AF40" i="22"/>
  <c r="AF42" i="22" s="1"/>
  <c r="AF43" i="22" s="1"/>
  <c r="AG40" i="22"/>
  <c r="AG42" i="22" s="1"/>
  <c r="AH40" i="22"/>
  <c r="AI40" i="22"/>
  <c r="AJ40" i="22"/>
  <c r="AK40" i="22"/>
  <c r="F41" i="22"/>
  <c r="G41" i="22"/>
  <c r="E41" i="22" s="1"/>
  <c r="G41" i="34" s="1"/>
  <c r="I41" i="34" s="1"/>
  <c r="H41" i="22"/>
  <c r="I41" i="22"/>
  <c r="J41" i="22"/>
  <c r="K41" i="22"/>
  <c r="L41" i="22"/>
  <c r="L42" i="22" s="1"/>
  <c r="L43" i="22" s="1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J42" i="22"/>
  <c r="J43" i="22" s="1"/>
  <c r="K42" i="22"/>
  <c r="R42" i="22"/>
  <c r="S42" i="22"/>
  <c r="T42" i="22"/>
  <c r="T43" i="22" s="1"/>
  <c r="U42" i="22"/>
  <c r="U43" i="22" s="1"/>
  <c r="Z42" i="22"/>
  <c r="AA42" i="22"/>
  <c r="AH42" i="22"/>
  <c r="AI42" i="22"/>
  <c r="AI43" i="22" s="1"/>
  <c r="AJ42" i="22"/>
  <c r="AJ43" i="22" s="1"/>
  <c r="AK42" i="22"/>
  <c r="AK43" i="22" s="1"/>
  <c r="K43" i="22"/>
  <c r="S43" i="22"/>
  <c r="AA43" i="22"/>
  <c r="AG43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E45" i="24" s="1"/>
  <c r="AF45" i="22"/>
  <c r="AG45" i="22"/>
  <c r="AH45" i="22"/>
  <c r="AI45" i="22"/>
  <c r="AJ45" i="22"/>
  <c r="AK45" i="22"/>
  <c r="D47" i="22"/>
  <c r="F47" i="34" s="1"/>
  <c r="H47" i="34" s="1"/>
  <c r="F47" i="22"/>
  <c r="G47" i="22"/>
  <c r="E47" i="22" s="1"/>
  <c r="G47" i="34" s="1"/>
  <c r="H47" i="22"/>
  <c r="I47" i="22"/>
  <c r="J47" i="22"/>
  <c r="K47" i="22"/>
  <c r="L47" i="22"/>
  <c r="L47" i="24" s="1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B47" i="46" s="1"/>
  <c r="AC47" i="22"/>
  <c r="AD47" i="22"/>
  <c r="AE47" i="22"/>
  <c r="AF47" i="22"/>
  <c r="AG47" i="22"/>
  <c r="AH47" i="22"/>
  <c r="AI47" i="22"/>
  <c r="AJ47" i="22"/>
  <c r="AK47" i="22"/>
  <c r="F49" i="22"/>
  <c r="G49" i="22"/>
  <c r="H49" i="22"/>
  <c r="I49" i="22"/>
  <c r="J49" i="22"/>
  <c r="K49" i="22"/>
  <c r="K49" i="24" s="1"/>
  <c r="L49" i="22"/>
  <c r="L49" i="24" s="1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Z49" i="46" s="1"/>
  <c r="AA49" i="22"/>
  <c r="AB49" i="22"/>
  <c r="AC49" i="22"/>
  <c r="AD49" i="22"/>
  <c r="AE49" i="22"/>
  <c r="AF49" i="22"/>
  <c r="AG49" i="22"/>
  <c r="AH49" i="22"/>
  <c r="AI49" i="22"/>
  <c r="AJ49" i="22"/>
  <c r="AK49" i="22"/>
  <c r="D50" i="22"/>
  <c r="E50" i="22"/>
  <c r="F51" i="22"/>
  <c r="G51" i="22"/>
  <c r="H51" i="22"/>
  <c r="H51" i="24" s="1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D51" i="46" s="1"/>
  <c r="AE51" i="22"/>
  <c r="AE51" i="46" s="1"/>
  <c r="AF51" i="22"/>
  <c r="AG51" i="22"/>
  <c r="AH51" i="22"/>
  <c r="AI51" i="22"/>
  <c r="AJ51" i="22"/>
  <c r="AK51" i="22"/>
  <c r="D52" i="22"/>
  <c r="E52" i="22"/>
  <c r="D54" i="22"/>
  <c r="F54" i="22"/>
  <c r="G54" i="22"/>
  <c r="H54" i="22"/>
  <c r="I54" i="22"/>
  <c r="J54" i="22"/>
  <c r="K54" i="22"/>
  <c r="L54" i="22"/>
  <c r="M54" i="22"/>
  <c r="M56" i="22" s="1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A54" i="24" s="1"/>
  <c r="AB54" i="22"/>
  <c r="AC54" i="22"/>
  <c r="AD54" i="22"/>
  <c r="AE54" i="22"/>
  <c r="AF54" i="22"/>
  <c r="AG54" i="22"/>
  <c r="AH54" i="22"/>
  <c r="AI54" i="22"/>
  <c r="AJ54" i="22"/>
  <c r="AJ56" i="22" s="1"/>
  <c r="AK54" i="22"/>
  <c r="AK56" i="22" s="1"/>
  <c r="F55" i="22"/>
  <c r="G55" i="22"/>
  <c r="H55" i="22"/>
  <c r="H55" i="24" s="1"/>
  <c r="I55" i="22"/>
  <c r="I55" i="24" s="1"/>
  <c r="J55" i="22"/>
  <c r="J55" i="24" s="1"/>
  <c r="K55" i="22"/>
  <c r="L55" i="22"/>
  <c r="M55" i="22"/>
  <c r="N55" i="22"/>
  <c r="O55" i="22"/>
  <c r="P55" i="22"/>
  <c r="Q55" i="22"/>
  <c r="R55" i="22"/>
  <c r="R55" i="46" s="1"/>
  <c r="S55" i="22"/>
  <c r="S55" i="24" s="1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G56" i="22" s="1"/>
  <c r="AH55" i="22"/>
  <c r="AI55" i="22"/>
  <c r="AJ55" i="22"/>
  <c r="AK55" i="22"/>
  <c r="F56" i="22"/>
  <c r="G56" i="22"/>
  <c r="H56" i="22"/>
  <c r="I56" i="22"/>
  <c r="N56" i="22"/>
  <c r="O56" i="22"/>
  <c r="P56" i="22"/>
  <c r="V56" i="22"/>
  <c r="W56" i="22"/>
  <c r="X56" i="22"/>
  <c r="AD56" i="22"/>
  <c r="AE56" i="22"/>
  <c r="AF56" i="22"/>
  <c r="F59" i="22"/>
  <c r="F61" i="22" s="1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F60" i="22"/>
  <c r="G60" i="22"/>
  <c r="H60" i="22"/>
  <c r="I60" i="22"/>
  <c r="J60" i="22"/>
  <c r="K60" i="22"/>
  <c r="K60" i="24" s="1"/>
  <c r="L60" i="22"/>
  <c r="L60" i="24" s="1"/>
  <c r="M60" i="22"/>
  <c r="M60" i="24" s="1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A61" i="22" s="1"/>
  <c r="AB60" i="22"/>
  <c r="AC60" i="22"/>
  <c r="AC60" i="46" s="1"/>
  <c r="AD60" i="22"/>
  <c r="AE60" i="22"/>
  <c r="AF60" i="22"/>
  <c r="AG60" i="22"/>
  <c r="AH60" i="22"/>
  <c r="AI60" i="22"/>
  <c r="AJ60" i="22"/>
  <c r="AK60" i="22"/>
  <c r="H61" i="22"/>
  <c r="I61" i="22"/>
  <c r="J61" i="22"/>
  <c r="P61" i="22"/>
  <c r="Q61" i="22"/>
  <c r="R61" i="22"/>
  <c r="S61" i="22"/>
  <c r="X61" i="22"/>
  <c r="Y61" i="22"/>
  <c r="Z61" i="22"/>
  <c r="AF61" i="22"/>
  <c r="AG61" i="22"/>
  <c r="AH61" i="22"/>
  <c r="AI61" i="22"/>
  <c r="F64" i="22"/>
  <c r="G64" i="22"/>
  <c r="H64" i="22"/>
  <c r="I64" i="22"/>
  <c r="J64" i="22"/>
  <c r="K64" i="22"/>
  <c r="L64" i="22"/>
  <c r="M64" i="22"/>
  <c r="N64" i="22"/>
  <c r="O64" i="22"/>
  <c r="O66" i="22" s="1"/>
  <c r="P64" i="22"/>
  <c r="P66" i="22" s="1"/>
  <c r="Q64" i="22"/>
  <c r="Q66" i="22" s="1"/>
  <c r="R64" i="22"/>
  <c r="S64" i="22"/>
  <c r="T64" i="22"/>
  <c r="U64" i="22"/>
  <c r="V64" i="22"/>
  <c r="W64" i="22"/>
  <c r="W66" i="22" s="1"/>
  <c r="X64" i="22"/>
  <c r="X66" i="22" s="1"/>
  <c r="Y64" i="22"/>
  <c r="Y66" i="22" s="1"/>
  <c r="Z64" i="22"/>
  <c r="AA64" i="22"/>
  <c r="AB64" i="22"/>
  <c r="AC64" i="22"/>
  <c r="AD64" i="22"/>
  <c r="AE64" i="22"/>
  <c r="AE66" i="22" s="1"/>
  <c r="AF64" i="22"/>
  <c r="AF66" i="22" s="1"/>
  <c r="AG64" i="22"/>
  <c r="AG66" i="22" s="1"/>
  <c r="AH64" i="22"/>
  <c r="AI64" i="22"/>
  <c r="AJ64" i="22"/>
  <c r="AK64" i="22"/>
  <c r="F65" i="22"/>
  <c r="D65" i="22" s="1"/>
  <c r="F65" i="34" s="1"/>
  <c r="G65" i="22"/>
  <c r="H65" i="22"/>
  <c r="I65" i="22"/>
  <c r="J65" i="22"/>
  <c r="K65" i="22"/>
  <c r="L65" i="22"/>
  <c r="L66" i="22" s="1"/>
  <c r="M65" i="22"/>
  <c r="M66" i="22" s="1"/>
  <c r="N65" i="22"/>
  <c r="O65" i="22"/>
  <c r="P65" i="22"/>
  <c r="Q65" i="22"/>
  <c r="R65" i="22"/>
  <c r="S65" i="22"/>
  <c r="T65" i="22"/>
  <c r="U65" i="22"/>
  <c r="U66" i="22" s="1"/>
  <c r="V65" i="22"/>
  <c r="W65" i="22"/>
  <c r="X65" i="22"/>
  <c r="Y65" i="22"/>
  <c r="Z65" i="22"/>
  <c r="AA65" i="22"/>
  <c r="AB65" i="22"/>
  <c r="AB66" i="22" s="1"/>
  <c r="AC65" i="22"/>
  <c r="AC66" i="22" s="1"/>
  <c r="AD65" i="22"/>
  <c r="AE65" i="22"/>
  <c r="AF65" i="22"/>
  <c r="AG65" i="22"/>
  <c r="AH65" i="22"/>
  <c r="AI65" i="22"/>
  <c r="AJ65" i="22"/>
  <c r="AJ66" i="22" s="1"/>
  <c r="AK65" i="22"/>
  <c r="AK66" i="22" s="1"/>
  <c r="J66" i="22"/>
  <c r="K66" i="22"/>
  <c r="R66" i="22"/>
  <c r="S66" i="22"/>
  <c r="T66" i="22"/>
  <c r="Z66" i="22"/>
  <c r="AA66" i="22"/>
  <c r="AH66" i="22"/>
  <c r="AI66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H72" i="22" s="1"/>
  <c r="AI70" i="22"/>
  <c r="AI72" i="22" s="1"/>
  <c r="AJ70" i="22"/>
  <c r="AK70" i="22"/>
  <c r="F71" i="22"/>
  <c r="G71" i="22"/>
  <c r="H71" i="22"/>
  <c r="I71" i="22"/>
  <c r="I71" i="24" s="1"/>
  <c r="J71" i="22"/>
  <c r="K71" i="22"/>
  <c r="L71" i="22"/>
  <c r="M71" i="22"/>
  <c r="N71" i="22"/>
  <c r="O71" i="22"/>
  <c r="O72" i="22" s="1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E72" i="22" s="1"/>
  <c r="AF71" i="22"/>
  <c r="AG71" i="22"/>
  <c r="AH71" i="22"/>
  <c r="AI71" i="22"/>
  <c r="AJ71" i="22"/>
  <c r="AK71" i="22"/>
  <c r="F72" i="22"/>
  <c r="G72" i="22"/>
  <c r="L72" i="22"/>
  <c r="M72" i="22"/>
  <c r="N72" i="22"/>
  <c r="T72" i="22"/>
  <c r="U72" i="22"/>
  <c r="V72" i="22"/>
  <c r="W72" i="22"/>
  <c r="AB72" i="22"/>
  <c r="AC72" i="22"/>
  <c r="AD72" i="22"/>
  <c r="AJ72" i="22"/>
  <c r="AK72" i="22"/>
  <c r="F73" i="22"/>
  <c r="G73" i="22"/>
  <c r="H73" i="22"/>
  <c r="H73" i="24" s="1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W73" i="24" s="1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F74" i="22"/>
  <c r="G74" i="22"/>
  <c r="E74" i="22" s="1"/>
  <c r="G74" i="34" s="1"/>
  <c r="H74" i="22"/>
  <c r="H74" i="24" s="1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F75" i="22"/>
  <c r="G75" i="22"/>
  <c r="H75" i="22"/>
  <c r="H75" i="24" s="1"/>
  <c r="I75" i="22"/>
  <c r="J75" i="22"/>
  <c r="K75" i="22"/>
  <c r="L75" i="22"/>
  <c r="M75" i="22"/>
  <c r="M75" i="24" s="1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C75" i="24" s="1"/>
  <c r="AD75" i="22"/>
  <c r="AE75" i="22"/>
  <c r="AF75" i="22"/>
  <c r="AG75" i="22"/>
  <c r="AH75" i="22"/>
  <c r="AI75" i="22"/>
  <c r="AJ75" i="22"/>
  <c r="AK75" i="22"/>
  <c r="F76" i="22"/>
  <c r="G76" i="22"/>
  <c r="H76" i="22"/>
  <c r="I76" i="22"/>
  <c r="J76" i="22"/>
  <c r="K76" i="22"/>
  <c r="L76" i="22"/>
  <c r="L76" i="24" s="1"/>
  <c r="M76" i="22"/>
  <c r="N76" i="22"/>
  <c r="O76" i="22"/>
  <c r="P76" i="22"/>
  <c r="Q76" i="22"/>
  <c r="R76" i="22"/>
  <c r="S76" i="22"/>
  <c r="S76" i="24" s="1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D77" i="22"/>
  <c r="F77" i="34" s="1"/>
  <c r="H77" i="34" s="1"/>
  <c r="F77" i="22"/>
  <c r="G77" i="22"/>
  <c r="H77" i="22"/>
  <c r="I77" i="22"/>
  <c r="J77" i="22"/>
  <c r="J77" i="24" s="1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F78" i="22"/>
  <c r="G78" i="22"/>
  <c r="H78" i="22"/>
  <c r="I78" i="22"/>
  <c r="I78" i="24" s="1"/>
  <c r="J78" i="22"/>
  <c r="J78" i="24" s="1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F79" i="22"/>
  <c r="G79" i="22"/>
  <c r="H79" i="22"/>
  <c r="I79" i="22"/>
  <c r="J79" i="22"/>
  <c r="K79" i="22"/>
  <c r="L79" i="22"/>
  <c r="M79" i="22"/>
  <c r="N79" i="22"/>
  <c r="O79" i="22"/>
  <c r="P79" i="22"/>
  <c r="P79" i="46" s="1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F80" i="22"/>
  <c r="D80" i="22" s="1"/>
  <c r="F80" i="34" s="1"/>
  <c r="H80" i="34" s="1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E81" i="22"/>
  <c r="G81" i="34" s="1"/>
  <c r="F81" i="22"/>
  <c r="G81" i="22"/>
  <c r="H81" i="22"/>
  <c r="I81" i="22"/>
  <c r="J81" i="22"/>
  <c r="K81" i="22"/>
  <c r="K81" i="24" s="1"/>
  <c r="L81" i="22"/>
  <c r="M81" i="22"/>
  <c r="M81" i="24" s="1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5" i="34"/>
  <c r="E11" i="34"/>
  <c r="D12" i="34"/>
  <c r="D13" i="34"/>
  <c r="D14" i="34"/>
  <c r="E14" i="34"/>
  <c r="E15" i="34"/>
  <c r="E19" i="34"/>
  <c r="F20" i="34"/>
  <c r="D21" i="34"/>
  <c r="E21" i="34"/>
  <c r="D22" i="34"/>
  <c r="E22" i="34"/>
  <c r="E23" i="34"/>
  <c r="D28" i="34"/>
  <c r="D32" i="34"/>
  <c r="E33" i="34"/>
  <c r="D35" i="34"/>
  <c r="E35" i="34"/>
  <c r="I35" i="34"/>
  <c r="D40" i="34"/>
  <c r="D41" i="34"/>
  <c r="E41" i="34"/>
  <c r="D42" i="34"/>
  <c r="E45" i="34"/>
  <c r="E49" i="34"/>
  <c r="E51" i="34"/>
  <c r="E54" i="34"/>
  <c r="E59" i="34"/>
  <c r="E61" i="34" s="1"/>
  <c r="E64" i="34"/>
  <c r="D70" i="34"/>
  <c r="D72" i="34" s="1"/>
  <c r="D71" i="34"/>
  <c r="D73" i="34"/>
  <c r="E73" i="34"/>
  <c r="E74" i="34"/>
  <c r="I74" i="34"/>
  <c r="D75" i="34"/>
  <c r="E78" i="34"/>
  <c r="D80" i="34"/>
  <c r="E81" i="34"/>
  <c r="I81" i="34"/>
  <c r="A4" i="11"/>
  <c r="A5" i="11"/>
  <c r="F11" i="11"/>
  <c r="H11" i="11"/>
  <c r="I11" i="11"/>
  <c r="G11" i="11" s="1"/>
  <c r="L11" i="11"/>
  <c r="M11" i="11"/>
  <c r="G12" i="11"/>
  <c r="H12" i="11"/>
  <c r="L12" i="11" s="1"/>
  <c r="I12" i="11"/>
  <c r="M12" i="11"/>
  <c r="H13" i="11"/>
  <c r="I13" i="11"/>
  <c r="M13" i="11" s="1"/>
  <c r="H14" i="11"/>
  <c r="F14" i="11" s="1"/>
  <c r="I14" i="11"/>
  <c r="G14" i="11" s="1"/>
  <c r="L14" i="11"/>
  <c r="M14" i="11"/>
  <c r="E14" i="35" s="1"/>
  <c r="F15" i="11"/>
  <c r="H15" i="11"/>
  <c r="I15" i="11"/>
  <c r="G15" i="11" s="1"/>
  <c r="L15" i="11"/>
  <c r="M15" i="11"/>
  <c r="H16" i="11"/>
  <c r="J16" i="11"/>
  <c r="K16" i="11"/>
  <c r="H18" i="11"/>
  <c r="I18" i="11"/>
  <c r="F19" i="11"/>
  <c r="H19" i="11"/>
  <c r="I19" i="11"/>
  <c r="G19" i="11" s="1"/>
  <c r="L19" i="11"/>
  <c r="M19" i="11"/>
  <c r="F20" i="11"/>
  <c r="G20" i="11"/>
  <c r="H20" i="11"/>
  <c r="L20" i="11" s="1"/>
  <c r="I20" i="11"/>
  <c r="M20" i="11"/>
  <c r="H21" i="11"/>
  <c r="I21" i="11"/>
  <c r="H22" i="11"/>
  <c r="F22" i="11" s="1"/>
  <c r="I22" i="11"/>
  <c r="G22" i="11" s="1"/>
  <c r="L22" i="11"/>
  <c r="M22" i="11"/>
  <c r="F23" i="11"/>
  <c r="H23" i="11"/>
  <c r="I23" i="11"/>
  <c r="I23" i="12" s="1"/>
  <c r="L23" i="11"/>
  <c r="M23" i="11"/>
  <c r="J24" i="11"/>
  <c r="K24" i="11"/>
  <c r="F27" i="11"/>
  <c r="F29" i="11" s="1"/>
  <c r="G27" i="11"/>
  <c r="H27" i="11"/>
  <c r="I27" i="11"/>
  <c r="M27" i="11"/>
  <c r="H28" i="11"/>
  <c r="F28" i="11" s="1"/>
  <c r="I28" i="11"/>
  <c r="L28" i="11"/>
  <c r="D28" i="35" s="1"/>
  <c r="J29" i="11"/>
  <c r="K29" i="11"/>
  <c r="H32" i="11"/>
  <c r="F32" i="11" s="1"/>
  <c r="I32" i="11"/>
  <c r="G32" i="11" s="1"/>
  <c r="L32" i="11"/>
  <c r="M32" i="11"/>
  <c r="F33" i="11"/>
  <c r="H33" i="11"/>
  <c r="I33" i="11"/>
  <c r="G33" i="11" s="1"/>
  <c r="L33" i="11"/>
  <c r="M33" i="11"/>
  <c r="E33" i="35" s="1"/>
  <c r="G34" i="11"/>
  <c r="H34" i="11"/>
  <c r="I34" i="11"/>
  <c r="M34" i="11"/>
  <c r="H35" i="11"/>
  <c r="F35" i="11" s="1"/>
  <c r="I35" i="11"/>
  <c r="L35" i="11"/>
  <c r="J36" i="11"/>
  <c r="K36" i="11"/>
  <c r="L37" i="11"/>
  <c r="M37" i="11"/>
  <c r="H38" i="11"/>
  <c r="I38" i="11"/>
  <c r="F39" i="11"/>
  <c r="G39" i="11"/>
  <c r="H39" i="11"/>
  <c r="L39" i="11" s="1"/>
  <c r="I39" i="11"/>
  <c r="M39" i="11"/>
  <c r="H40" i="11"/>
  <c r="I40" i="11"/>
  <c r="L40" i="11"/>
  <c r="L42" i="11" s="1"/>
  <c r="L43" i="11" s="1"/>
  <c r="H41" i="11"/>
  <c r="F41" i="11" s="1"/>
  <c r="I41" i="11"/>
  <c r="G41" i="11" s="1"/>
  <c r="L41" i="11"/>
  <c r="M41" i="11"/>
  <c r="J42" i="11"/>
  <c r="K42" i="11"/>
  <c r="K43" i="11" s="1"/>
  <c r="J43" i="11"/>
  <c r="F45" i="11"/>
  <c r="H45" i="11"/>
  <c r="I45" i="11"/>
  <c r="G45" i="11" s="1"/>
  <c r="L45" i="11"/>
  <c r="M45" i="11"/>
  <c r="G47" i="11"/>
  <c r="H47" i="11"/>
  <c r="I47" i="11"/>
  <c r="M47" i="11"/>
  <c r="G49" i="11"/>
  <c r="H49" i="11"/>
  <c r="F49" i="11" s="1"/>
  <c r="I49" i="11"/>
  <c r="M49" i="11" s="1"/>
  <c r="L49" i="11"/>
  <c r="H51" i="11"/>
  <c r="F51" i="11" s="1"/>
  <c r="I51" i="11"/>
  <c r="G51" i="11" s="1"/>
  <c r="L51" i="11"/>
  <c r="D51" i="35" s="1"/>
  <c r="M51" i="11"/>
  <c r="E51" i="35" s="1"/>
  <c r="F54" i="11"/>
  <c r="H54" i="11"/>
  <c r="I54" i="11"/>
  <c r="G54" i="11" s="1"/>
  <c r="L54" i="11"/>
  <c r="M54" i="11"/>
  <c r="M56" i="11" s="1"/>
  <c r="G55" i="11"/>
  <c r="G56" i="11" s="1"/>
  <c r="H55" i="11"/>
  <c r="F55" i="11" s="1"/>
  <c r="I55" i="11"/>
  <c r="M55" i="11"/>
  <c r="I56" i="11"/>
  <c r="J56" i="11"/>
  <c r="K56" i="11"/>
  <c r="G59" i="11"/>
  <c r="G61" i="11" s="1"/>
  <c r="H59" i="11"/>
  <c r="I59" i="11"/>
  <c r="H60" i="11"/>
  <c r="F60" i="11" s="1"/>
  <c r="I60" i="11"/>
  <c r="G60" i="11" s="1"/>
  <c r="L60" i="11"/>
  <c r="D60" i="35" s="1"/>
  <c r="M60" i="11"/>
  <c r="E60" i="35" s="1"/>
  <c r="J61" i="11"/>
  <c r="K61" i="11"/>
  <c r="F64" i="11"/>
  <c r="H64" i="11"/>
  <c r="I64" i="11"/>
  <c r="G64" i="11" s="1"/>
  <c r="G66" i="11" s="1"/>
  <c r="L64" i="11"/>
  <c r="L66" i="11" s="1"/>
  <c r="M64" i="11"/>
  <c r="G65" i="11"/>
  <c r="H65" i="11"/>
  <c r="L65" i="11" s="1"/>
  <c r="I65" i="11"/>
  <c r="M65" i="11"/>
  <c r="H66" i="11"/>
  <c r="I66" i="11"/>
  <c r="J66" i="11"/>
  <c r="K66" i="11"/>
  <c r="H70" i="11"/>
  <c r="I70" i="11"/>
  <c r="L70" i="11"/>
  <c r="L72" i="11" s="1"/>
  <c r="H71" i="11"/>
  <c r="F71" i="11" s="1"/>
  <c r="I71" i="11"/>
  <c r="L71" i="11"/>
  <c r="J72" i="11"/>
  <c r="K72" i="11"/>
  <c r="F73" i="11"/>
  <c r="H73" i="11"/>
  <c r="I73" i="11"/>
  <c r="I73" i="12" s="1"/>
  <c r="L73" i="11"/>
  <c r="M73" i="11"/>
  <c r="F74" i="11"/>
  <c r="G74" i="11"/>
  <c r="H74" i="11"/>
  <c r="L74" i="11" s="1"/>
  <c r="I74" i="11"/>
  <c r="M74" i="11"/>
  <c r="H75" i="11"/>
  <c r="F75" i="11" s="1"/>
  <c r="I75" i="11"/>
  <c r="M75" i="11" s="1"/>
  <c r="L75" i="11"/>
  <c r="D75" i="35" s="1"/>
  <c r="G76" i="11"/>
  <c r="H76" i="11"/>
  <c r="I76" i="11"/>
  <c r="M76" i="11" s="1"/>
  <c r="E76" i="35" s="1"/>
  <c r="F77" i="11"/>
  <c r="H77" i="11"/>
  <c r="I77" i="11"/>
  <c r="G77" i="11" s="1"/>
  <c r="L77" i="11"/>
  <c r="D77" i="35" s="1"/>
  <c r="M77" i="11"/>
  <c r="F78" i="11"/>
  <c r="G78" i="11"/>
  <c r="H78" i="11"/>
  <c r="L78" i="11" s="1"/>
  <c r="I78" i="11"/>
  <c r="M78" i="11"/>
  <c r="H79" i="11"/>
  <c r="L79" i="11" s="1"/>
  <c r="D79" i="35" s="1"/>
  <c r="I79" i="11"/>
  <c r="H80" i="11"/>
  <c r="F80" i="11" s="1"/>
  <c r="I80" i="11"/>
  <c r="G80" i="11" s="1"/>
  <c r="L80" i="11"/>
  <c r="D80" i="35" s="1"/>
  <c r="M80" i="11"/>
  <c r="E80" i="35" s="1"/>
  <c r="F81" i="11"/>
  <c r="H81" i="11"/>
  <c r="I81" i="11"/>
  <c r="G81" i="11" s="1"/>
  <c r="L81" i="11"/>
  <c r="M81" i="11"/>
  <c r="D82" i="11"/>
  <c r="E82" i="11"/>
  <c r="J82" i="11"/>
  <c r="A5" i="23"/>
  <c r="H8" i="23"/>
  <c r="J8" i="23"/>
  <c r="L8" i="23"/>
  <c r="N8" i="23"/>
  <c r="P8" i="23"/>
  <c r="R8" i="23"/>
  <c r="T8" i="23"/>
  <c r="F11" i="23"/>
  <c r="F11" i="46" s="1"/>
  <c r="G11" i="23"/>
  <c r="H11" i="23"/>
  <c r="I11" i="23"/>
  <c r="J11" i="23"/>
  <c r="K11" i="23"/>
  <c r="L11" i="23"/>
  <c r="L11" i="46" s="1"/>
  <c r="M11" i="23"/>
  <c r="M11" i="46" s="1"/>
  <c r="N11" i="23"/>
  <c r="O11" i="23"/>
  <c r="P11" i="23"/>
  <c r="Q11" i="23"/>
  <c r="Q16" i="23" s="1"/>
  <c r="R11" i="23"/>
  <c r="S11" i="23"/>
  <c r="T11" i="23"/>
  <c r="U11" i="23"/>
  <c r="V11" i="23"/>
  <c r="W11" i="23"/>
  <c r="W16" i="23" s="1"/>
  <c r="X11" i="23"/>
  <c r="Y11" i="23"/>
  <c r="Z11" i="23"/>
  <c r="AA11" i="23"/>
  <c r="AA11" i="24" s="1"/>
  <c r="AB11" i="23"/>
  <c r="AC11" i="23"/>
  <c r="AD11" i="23"/>
  <c r="AE11" i="23"/>
  <c r="AE16" i="23" s="1"/>
  <c r="AF11" i="23"/>
  <c r="AG11" i="23"/>
  <c r="AH11" i="23"/>
  <c r="AI11" i="23"/>
  <c r="AJ11" i="23"/>
  <c r="AK11" i="23"/>
  <c r="F12" i="23"/>
  <c r="G12" i="23"/>
  <c r="H12" i="23"/>
  <c r="H12" i="46" s="1"/>
  <c r="I12" i="23"/>
  <c r="J12" i="23"/>
  <c r="K12" i="23"/>
  <c r="K12" i="46" s="1"/>
  <c r="L12" i="23"/>
  <c r="L12" i="46" s="1"/>
  <c r="M12" i="23"/>
  <c r="N12" i="23"/>
  <c r="N16" i="23" s="1"/>
  <c r="O12" i="23"/>
  <c r="P12" i="23"/>
  <c r="Q12" i="23"/>
  <c r="R12" i="23"/>
  <c r="S12" i="23"/>
  <c r="T12" i="23"/>
  <c r="U12" i="23"/>
  <c r="U16" i="23" s="1"/>
  <c r="V12" i="23"/>
  <c r="V16" i="23" s="1"/>
  <c r="W12" i="23"/>
  <c r="X12" i="23"/>
  <c r="Y12" i="23"/>
  <c r="Z12" i="23"/>
  <c r="AA12" i="23"/>
  <c r="AB12" i="23"/>
  <c r="AC12" i="23"/>
  <c r="AC16" i="23" s="1"/>
  <c r="AD12" i="23"/>
  <c r="AD16" i="23" s="1"/>
  <c r="AE12" i="23"/>
  <c r="AF12" i="23"/>
  <c r="AG12" i="23"/>
  <c r="AH12" i="23"/>
  <c r="AI12" i="23"/>
  <c r="AJ12" i="23"/>
  <c r="AK12" i="23"/>
  <c r="AK16" i="23" s="1"/>
  <c r="D13" i="23"/>
  <c r="F13" i="35" s="1"/>
  <c r="F13" i="23"/>
  <c r="F13" i="46" s="1"/>
  <c r="G13" i="23"/>
  <c r="H13" i="23"/>
  <c r="I13" i="23"/>
  <c r="I13" i="46" s="1"/>
  <c r="J13" i="23"/>
  <c r="J13" i="46" s="1"/>
  <c r="K13" i="23"/>
  <c r="L13" i="23"/>
  <c r="M13" i="23"/>
  <c r="M13" i="46" s="1"/>
  <c r="N13" i="23"/>
  <c r="O13" i="23"/>
  <c r="P13" i="23"/>
  <c r="Q13" i="23"/>
  <c r="Q13" i="24" s="1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J16" i="23" s="1"/>
  <c r="AK13" i="23"/>
  <c r="F14" i="23"/>
  <c r="G14" i="23"/>
  <c r="G14" i="46" s="1"/>
  <c r="H14" i="23"/>
  <c r="H14" i="46" s="1"/>
  <c r="I14" i="23"/>
  <c r="J14" i="23"/>
  <c r="K14" i="23"/>
  <c r="K14" i="46" s="1"/>
  <c r="L14" i="23"/>
  <c r="L14" i="46" s="1"/>
  <c r="M14" i="23"/>
  <c r="N14" i="23"/>
  <c r="O14" i="23"/>
  <c r="O14" i="24" s="1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F15" i="23"/>
  <c r="G15" i="23"/>
  <c r="H15" i="23"/>
  <c r="I15" i="23"/>
  <c r="I15" i="46" s="1"/>
  <c r="J15" i="23"/>
  <c r="J15" i="46" s="1"/>
  <c r="K15" i="23"/>
  <c r="K15" i="46" s="1"/>
  <c r="L15" i="23"/>
  <c r="M15" i="23"/>
  <c r="M15" i="46" s="1"/>
  <c r="N15" i="23"/>
  <c r="O15" i="23"/>
  <c r="P15" i="23"/>
  <c r="P16" i="23" s="1"/>
  <c r="Q15" i="23"/>
  <c r="R15" i="23"/>
  <c r="S15" i="23"/>
  <c r="T15" i="23"/>
  <c r="U15" i="23"/>
  <c r="V15" i="23"/>
  <c r="W15" i="23"/>
  <c r="X15" i="23"/>
  <c r="X16" i="23" s="1"/>
  <c r="Y15" i="23"/>
  <c r="Z15" i="23"/>
  <c r="AA15" i="23"/>
  <c r="AB15" i="23"/>
  <c r="AC15" i="23"/>
  <c r="AC15" i="24" s="1"/>
  <c r="AD15" i="23"/>
  <c r="AE15" i="23"/>
  <c r="AF15" i="23"/>
  <c r="AG15" i="23"/>
  <c r="AH15" i="23"/>
  <c r="AI15" i="23"/>
  <c r="AJ15" i="23"/>
  <c r="AK15" i="23"/>
  <c r="H16" i="23"/>
  <c r="I16" i="23"/>
  <c r="O16" i="23"/>
  <c r="Z16" i="23"/>
  <c r="AB16" i="23"/>
  <c r="AG16" i="23"/>
  <c r="AH16" i="23"/>
  <c r="F19" i="23"/>
  <c r="G19" i="23"/>
  <c r="H19" i="23"/>
  <c r="I19" i="23"/>
  <c r="J19" i="23"/>
  <c r="K19" i="23"/>
  <c r="K19" i="46" s="1"/>
  <c r="L19" i="23"/>
  <c r="M19" i="23"/>
  <c r="N19" i="23"/>
  <c r="O19" i="23"/>
  <c r="P19" i="23"/>
  <c r="Q19" i="23"/>
  <c r="R19" i="23"/>
  <c r="R24" i="23" s="1"/>
  <c r="S19" i="23"/>
  <c r="T19" i="23"/>
  <c r="U19" i="23"/>
  <c r="V19" i="23"/>
  <c r="W19" i="23"/>
  <c r="X19" i="23"/>
  <c r="Y19" i="23"/>
  <c r="Y24" i="23" s="1"/>
  <c r="Z19" i="23"/>
  <c r="Z24" i="23" s="1"/>
  <c r="AA19" i="23"/>
  <c r="AB19" i="23"/>
  <c r="AC19" i="23"/>
  <c r="AD19" i="23"/>
  <c r="AE19" i="23"/>
  <c r="AF19" i="23"/>
  <c r="AF24" i="23" s="1"/>
  <c r="AG19" i="23"/>
  <c r="AG24" i="23" s="1"/>
  <c r="AH19" i="23"/>
  <c r="AH24" i="23" s="1"/>
  <c r="AI19" i="23"/>
  <c r="AJ19" i="23"/>
  <c r="AK19" i="23"/>
  <c r="F20" i="23"/>
  <c r="G20" i="23"/>
  <c r="H20" i="23"/>
  <c r="H20" i="46" s="1"/>
  <c r="I20" i="23"/>
  <c r="I20" i="46" s="1"/>
  <c r="J20" i="23"/>
  <c r="J20" i="46" s="1"/>
  <c r="K20" i="23"/>
  <c r="L20" i="23"/>
  <c r="M20" i="23"/>
  <c r="M20" i="46" s="1"/>
  <c r="N20" i="23"/>
  <c r="N20" i="24" s="1"/>
  <c r="O20" i="23"/>
  <c r="O24" i="23" s="1"/>
  <c r="P20" i="23"/>
  <c r="Q20" i="23"/>
  <c r="R20" i="23"/>
  <c r="S20" i="23"/>
  <c r="T20" i="23"/>
  <c r="U20" i="23"/>
  <c r="V20" i="23"/>
  <c r="W20" i="23"/>
  <c r="X20" i="23"/>
  <c r="X20" i="24" s="1"/>
  <c r="Y20" i="23"/>
  <c r="Z20" i="23"/>
  <c r="AA20" i="23"/>
  <c r="AB20" i="23"/>
  <c r="AC20" i="23"/>
  <c r="AD20" i="23"/>
  <c r="AE20" i="23"/>
  <c r="AE20" i="24" s="1"/>
  <c r="AF20" i="23"/>
  <c r="AG20" i="23"/>
  <c r="AH20" i="23"/>
  <c r="AI20" i="23"/>
  <c r="AJ20" i="23"/>
  <c r="AK20" i="23"/>
  <c r="F21" i="23"/>
  <c r="G21" i="23"/>
  <c r="G21" i="46" s="1"/>
  <c r="H21" i="23"/>
  <c r="H21" i="46" s="1"/>
  <c r="I21" i="23"/>
  <c r="I21" i="46" s="1"/>
  <c r="J21" i="23"/>
  <c r="J21" i="46" s="1"/>
  <c r="K21" i="23"/>
  <c r="L21" i="23"/>
  <c r="M21" i="23"/>
  <c r="N21" i="23"/>
  <c r="O21" i="23"/>
  <c r="P21" i="23"/>
  <c r="Q21" i="23"/>
  <c r="R21" i="23"/>
  <c r="S21" i="23"/>
  <c r="T21" i="23"/>
  <c r="U21" i="23"/>
  <c r="U24" i="23" s="1"/>
  <c r="V21" i="23"/>
  <c r="V24" i="23" s="1"/>
  <c r="W21" i="23"/>
  <c r="X21" i="23"/>
  <c r="Y21" i="23"/>
  <c r="Z21" i="23"/>
  <c r="AA21" i="23"/>
  <c r="AB21" i="23"/>
  <c r="AC21" i="23"/>
  <c r="AD21" i="23"/>
  <c r="AD24" i="23" s="1"/>
  <c r="AE21" i="23"/>
  <c r="AF21" i="23"/>
  <c r="AG21" i="23"/>
  <c r="AH21" i="23"/>
  <c r="AI21" i="23"/>
  <c r="AJ21" i="23"/>
  <c r="AK21" i="23"/>
  <c r="AK24" i="23" s="1"/>
  <c r="D22" i="23"/>
  <c r="F22" i="35" s="1"/>
  <c r="H22" i="35" s="1"/>
  <c r="F22" i="23"/>
  <c r="G22" i="23"/>
  <c r="G22" i="46" s="1"/>
  <c r="H22" i="23"/>
  <c r="H22" i="46" s="1"/>
  <c r="I22" i="23"/>
  <c r="I22" i="46" s="1"/>
  <c r="J22" i="23"/>
  <c r="J22" i="46" s="1"/>
  <c r="K22" i="23"/>
  <c r="K22" i="46" s="1"/>
  <c r="L22" i="23"/>
  <c r="L22" i="46" s="1"/>
  <c r="M22" i="23"/>
  <c r="M22" i="46" s="1"/>
  <c r="N22" i="23"/>
  <c r="O22" i="23"/>
  <c r="P22" i="23"/>
  <c r="Q22" i="23"/>
  <c r="R22" i="23"/>
  <c r="S22" i="23"/>
  <c r="T22" i="23"/>
  <c r="T22" i="24" s="1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F23" i="23"/>
  <c r="F23" i="46" s="1"/>
  <c r="G23" i="23"/>
  <c r="H23" i="23"/>
  <c r="H23" i="46" s="1"/>
  <c r="I23" i="23"/>
  <c r="J23" i="23"/>
  <c r="J23" i="46" s="1"/>
  <c r="K23" i="23"/>
  <c r="K23" i="46" s="1"/>
  <c r="L23" i="23"/>
  <c r="M23" i="23"/>
  <c r="M23" i="46" s="1"/>
  <c r="N23" i="23"/>
  <c r="O23" i="23"/>
  <c r="P23" i="23"/>
  <c r="Q23" i="23"/>
  <c r="R23" i="23"/>
  <c r="R23" i="24" s="1"/>
  <c r="S23" i="23"/>
  <c r="T23" i="23"/>
  <c r="U23" i="23"/>
  <c r="U23" i="24" s="1"/>
  <c r="V23" i="23"/>
  <c r="W23" i="23"/>
  <c r="X23" i="23"/>
  <c r="Y23" i="23"/>
  <c r="Z23" i="23"/>
  <c r="AA23" i="23"/>
  <c r="AB23" i="23"/>
  <c r="AC23" i="23"/>
  <c r="AD23" i="23"/>
  <c r="AE23" i="23"/>
  <c r="AE23" i="24" s="1"/>
  <c r="AF23" i="23"/>
  <c r="AG23" i="23"/>
  <c r="AH23" i="23"/>
  <c r="AI23" i="23"/>
  <c r="AJ23" i="23"/>
  <c r="AK23" i="23"/>
  <c r="F27" i="23"/>
  <c r="G27" i="23"/>
  <c r="G27" i="46" s="1"/>
  <c r="H27" i="23"/>
  <c r="I27" i="23"/>
  <c r="J27" i="23"/>
  <c r="K27" i="23"/>
  <c r="L27" i="23"/>
  <c r="M27" i="23"/>
  <c r="M29" i="23" s="1"/>
  <c r="N27" i="23"/>
  <c r="O27" i="23"/>
  <c r="P27" i="23"/>
  <c r="Q27" i="23"/>
  <c r="R27" i="23"/>
  <c r="S27" i="23"/>
  <c r="T27" i="23"/>
  <c r="T29" i="23" s="1"/>
  <c r="U27" i="23"/>
  <c r="U29" i="23" s="1"/>
  <c r="V27" i="23"/>
  <c r="V29" i="23" s="1"/>
  <c r="W27" i="23"/>
  <c r="X27" i="23"/>
  <c r="Y27" i="23"/>
  <c r="Z27" i="23"/>
  <c r="AA27" i="23"/>
  <c r="AB27" i="23"/>
  <c r="AB29" i="23" s="1"/>
  <c r="AC27" i="23"/>
  <c r="AC29" i="23" s="1"/>
  <c r="AD27" i="23"/>
  <c r="AE27" i="23"/>
  <c r="AF27" i="23"/>
  <c r="AG27" i="23"/>
  <c r="AH27" i="23"/>
  <c r="AI27" i="23"/>
  <c r="AJ27" i="23"/>
  <c r="AJ29" i="23" s="1"/>
  <c r="AK27" i="23"/>
  <c r="AK29" i="23" s="1"/>
  <c r="F28" i="23"/>
  <c r="F28" i="46" s="1"/>
  <c r="G28" i="23"/>
  <c r="H28" i="23"/>
  <c r="I28" i="23"/>
  <c r="I28" i="46" s="1"/>
  <c r="J28" i="23"/>
  <c r="K28" i="23"/>
  <c r="K28" i="46" s="1"/>
  <c r="L28" i="23"/>
  <c r="L28" i="46" s="1"/>
  <c r="M28" i="23"/>
  <c r="M28" i="46" s="1"/>
  <c r="N28" i="23"/>
  <c r="O28" i="23"/>
  <c r="P28" i="23"/>
  <c r="Q28" i="23"/>
  <c r="Q29" i="23" s="1"/>
  <c r="R28" i="23"/>
  <c r="R29" i="23" s="1"/>
  <c r="S28" i="23"/>
  <c r="T28" i="23"/>
  <c r="U28" i="23"/>
  <c r="V28" i="23"/>
  <c r="W28" i="23"/>
  <c r="X28" i="23"/>
  <c r="Y28" i="23"/>
  <c r="Y29" i="23" s="1"/>
  <c r="Z28" i="23"/>
  <c r="AA28" i="23"/>
  <c r="AA28" i="24" s="1"/>
  <c r="AB28" i="23"/>
  <c r="AC28" i="23"/>
  <c r="AD28" i="23"/>
  <c r="AE28" i="23"/>
  <c r="AF28" i="23"/>
  <c r="AG28" i="23"/>
  <c r="AG29" i="23" s="1"/>
  <c r="AH28" i="23"/>
  <c r="AH29" i="23" s="1"/>
  <c r="AI28" i="23"/>
  <c r="AJ28" i="23"/>
  <c r="AK28" i="23"/>
  <c r="G29" i="23"/>
  <c r="H29" i="23"/>
  <c r="O29" i="23"/>
  <c r="P29" i="23"/>
  <c r="W29" i="23"/>
  <c r="X29" i="23"/>
  <c r="AE29" i="23"/>
  <c r="AF29" i="23"/>
  <c r="F32" i="23"/>
  <c r="G32" i="23"/>
  <c r="H32" i="23"/>
  <c r="I32" i="23"/>
  <c r="I32" i="46" s="1"/>
  <c r="J32" i="23"/>
  <c r="J32" i="46" s="1"/>
  <c r="K32" i="23"/>
  <c r="L32" i="23"/>
  <c r="M32" i="23"/>
  <c r="N32" i="23"/>
  <c r="O32" i="23"/>
  <c r="O36" i="23" s="1"/>
  <c r="P32" i="23"/>
  <c r="P36" i="23" s="1"/>
  <c r="Q32" i="23"/>
  <c r="R32" i="23"/>
  <c r="S32" i="23"/>
  <c r="T32" i="23"/>
  <c r="U32" i="23"/>
  <c r="V32" i="23"/>
  <c r="V32" i="24" s="1"/>
  <c r="W32" i="23"/>
  <c r="W36" i="23" s="1"/>
  <c r="X32" i="23"/>
  <c r="X36" i="23" s="1"/>
  <c r="Y32" i="23"/>
  <c r="Z32" i="23"/>
  <c r="AA32" i="23"/>
  <c r="AB32" i="23"/>
  <c r="AC32" i="23"/>
  <c r="AD32" i="23"/>
  <c r="AE32" i="23"/>
  <c r="AF32" i="23"/>
  <c r="AF36" i="23" s="1"/>
  <c r="AG32" i="23"/>
  <c r="AH32" i="23"/>
  <c r="AI32" i="23"/>
  <c r="AJ32" i="23"/>
  <c r="AK32" i="23"/>
  <c r="E33" i="23"/>
  <c r="G33" i="35" s="1"/>
  <c r="I33" i="35" s="1"/>
  <c r="F33" i="23"/>
  <c r="G33" i="23"/>
  <c r="G33" i="46" s="1"/>
  <c r="H33" i="23"/>
  <c r="H33" i="46" s="1"/>
  <c r="I33" i="23"/>
  <c r="I33" i="46" s="1"/>
  <c r="J33" i="23"/>
  <c r="J33" i="46" s="1"/>
  <c r="K33" i="23"/>
  <c r="L33" i="23"/>
  <c r="M33" i="23"/>
  <c r="N33" i="23"/>
  <c r="N36" i="23" s="1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D36" i="23" s="1"/>
  <c r="AE33" i="23"/>
  <c r="AF33" i="23"/>
  <c r="AG33" i="23"/>
  <c r="AH33" i="23"/>
  <c r="AI33" i="23"/>
  <c r="AJ33" i="23"/>
  <c r="AK33" i="23"/>
  <c r="AK36" i="23" s="1"/>
  <c r="D34" i="23"/>
  <c r="F34" i="35" s="1"/>
  <c r="F34" i="23"/>
  <c r="G34" i="23"/>
  <c r="G34" i="46" s="1"/>
  <c r="H34" i="23"/>
  <c r="H34" i="46" s="1"/>
  <c r="I34" i="23"/>
  <c r="I34" i="46" s="1"/>
  <c r="J34" i="23"/>
  <c r="K34" i="23"/>
  <c r="K34" i="46" s="1"/>
  <c r="L34" i="23"/>
  <c r="L34" i="46" s="1"/>
  <c r="M34" i="23"/>
  <c r="M34" i="46" s="1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F35" i="23"/>
  <c r="F35" i="46" s="1"/>
  <c r="G35" i="23"/>
  <c r="H35" i="23"/>
  <c r="I35" i="23"/>
  <c r="I35" i="46" s="1"/>
  <c r="J35" i="23"/>
  <c r="J35" i="46" s="1"/>
  <c r="K35" i="23"/>
  <c r="K35" i="46" s="1"/>
  <c r="L35" i="23"/>
  <c r="M35" i="23"/>
  <c r="M35" i="46" s="1"/>
  <c r="N35" i="23"/>
  <c r="O35" i="23"/>
  <c r="P35" i="23"/>
  <c r="P35" i="24" s="1"/>
  <c r="Q35" i="23"/>
  <c r="R35" i="23"/>
  <c r="S35" i="23"/>
  <c r="T35" i="23"/>
  <c r="U35" i="23"/>
  <c r="V35" i="23"/>
  <c r="W35" i="23"/>
  <c r="X35" i="23"/>
  <c r="Y35" i="23"/>
  <c r="Z35" i="23"/>
  <c r="Z35" i="24" s="1"/>
  <c r="AA35" i="23"/>
  <c r="AB35" i="23"/>
  <c r="AC35" i="23"/>
  <c r="AD35" i="23"/>
  <c r="AE35" i="23"/>
  <c r="AF35" i="23"/>
  <c r="AG35" i="23"/>
  <c r="AH35" i="23"/>
  <c r="AI35" i="23"/>
  <c r="AJ35" i="23"/>
  <c r="AK35" i="23"/>
  <c r="AE36" i="23"/>
  <c r="F39" i="23"/>
  <c r="F39" i="46" s="1"/>
  <c r="G39" i="23"/>
  <c r="H39" i="23"/>
  <c r="I39" i="23"/>
  <c r="J39" i="23"/>
  <c r="K39" i="23"/>
  <c r="L39" i="23"/>
  <c r="M39" i="23"/>
  <c r="M39" i="46" s="1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A39" i="24" s="1"/>
  <c r="AB39" i="23"/>
  <c r="AB43" i="23" s="1"/>
  <c r="AC39" i="23"/>
  <c r="AD39" i="23"/>
  <c r="AE39" i="23"/>
  <c r="AF39" i="23"/>
  <c r="AG39" i="23"/>
  <c r="AH39" i="23"/>
  <c r="AI39" i="23"/>
  <c r="AJ39" i="23"/>
  <c r="AJ43" i="23" s="1"/>
  <c r="AK39" i="23"/>
  <c r="F40" i="23"/>
  <c r="G40" i="23"/>
  <c r="H40" i="23"/>
  <c r="I40" i="23"/>
  <c r="J40" i="23"/>
  <c r="K40" i="23"/>
  <c r="L40" i="23"/>
  <c r="M40" i="23"/>
  <c r="M40" i="46" s="1"/>
  <c r="N40" i="23"/>
  <c r="O40" i="23"/>
  <c r="P40" i="23"/>
  <c r="Q40" i="23"/>
  <c r="R40" i="23"/>
  <c r="S40" i="23"/>
  <c r="T40" i="23"/>
  <c r="T42" i="23" s="1"/>
  <c r="U40" i="23"/>
  <c r="V40" i="23"/>
  <c r="W40" i="23"/>
  <c r="X40" i="23"/>
  <c r="Y40" i="23"/>
  <c r="Z40" i="23"/>
  <c r="AA40" i="23"/>
  <c r="AA42" i="23" s="1"/>
  <c r="AA43" i="23" s="1"/>
  <c r="AB40" i="23"/>
  <c r="AB42" i="23" s="1"/>
  <c r="AC40" i="23"/>
  <c r="AD40" i="23"/>
  <c r="AE40" i="23"/>
  <c r="AF40" i="23"/>
  <c r="AG40" i="23"/>
  <c r="AH40" i="23"/>
  <c r="AI40" i="23"/>
  <c r="AI42" i="23" s="1"/>
  <c r="AI43" i="23" s="1"/>
  <c r="AJ40" i="23"/>
  <c r="AJ42" i="23" s="1"/>
  <c r="AK40" i="23"/>
  <c r="F41" i="23"/>
  <c r="G41" i="23"/>
  <c r="H41" i="23"/>
  <c r="H41" i="46" s="1"/>
  <c r="I41" i="23"/>
  <c r="I41" i="46" s="1"/>
  <c r="J41" i="23"/>
  <c r="J41" i="46" s="1"/>
  <c r="K41" i="23"/>
  <c r="K41" i="46" s="1"/>
  <c r="L41" i="23"/>
  <c r="M41" i="23"/>
  <c r="N41" i="23"/>
  <c r="O41" i="23"/>
  <c r="O42" i="23" s="1"/>
  <c r="O43" i="23" s="1"/>
  <c r="P41" i="23"/>
  <c r="P42" i="23" s="1"/>
  <c r="P43" i="23" s="1"/>
  <c r="Q41" i="23"/>
  <c r="R41" i="23"/>
  <c r="S41" i="23"/>
  <c r="T41" i="23"/>
  <c r="U41" i="23"/>
  <c r="V41" i="23"/>
  <c r="W41" i="23"/>
  <c r="X41" i="23"/>
  <c r="X41" i="24" s="1"/>
  <c r="Y41" i="23"/>
  <c r="Z41" i="23"/>
  <c r="AA41" i="23"/>
  <c r="AB41" i="23"/>
  <c r="AC41" i="23"/>
  <c r="AD41" i="23"/>
  <c r="AE41" i="23"/>
  <c r="AE42" i="23" s="1"/>
  <c r="AE43" i="23" s="1"/>
  <c r="AF41" i="23"/>
  <c r="AF42" i="23" s="1"/>
  <c r="AF43" i="23" s="1"/>
  <c r="AG41" i="23"/>
  <c r="AH41" i="23"/>
  <c r="AI41" i="23"/>
  <c r="AJ41" i="23"/>
  <c r="AK41" i="23"/>
  <c r="F42" i="23"/>
  <c r="G42" i="23"/>
  <c r="G43" i="23" s="1"/>
  <c r="H42" i="23"/>
  <c r="H43" i="23" s="1"/>
  <c r="M42" i="23"/>
  <c r="M43" i="23" s="1"/>
  <c r="N42" i="23"/>
  <c r="N43" i="23" s="1"/>
  <c r="U42" i="23"/>
  <c r="V42" i="23"/>
  <c r="W42" i="23"/>
  <c r="W43" i="23" s="1"/>
  <c r="AC42" i="23"/>
  <c r="AC43" i="23" s="1"/>
  <c r="AD42" i="23"/>
  <c r="AD43" i="23" s="1"/>
  <c r="AK42" i="23"/>
  <c r="F43" i="23"/>
  <c r="U43" i="23"/>
  <c r="V43" i="23"/>
  <c r="AK43" i="23"/>
  <c r="D45" i="23"/>
  <c r="F45" i="35" s="1"/>
  <c r="H45" i="35" s="1"/>
  <c r="F45" i="23"/>
  <c r="G45" i="23"/>
  <c r="G45" i="46" s="1"/>
  <c r="H45" i="23"/>
  <c r="H45" i="46" s="1"/>
  <c r="I45" i="23"/>
  <c r="I45" i="46" s="1"/>
  <c r="J45" i="23"/>
  <c r="J45" i="46" s="1"/>
  <c r="K45" i="23"/>
  <c r="K45" i="46" s="1"/>
  <c r="L45" i="23"/>
  <c r="L45" i="46" s="1"/>
  <c r="M45" i="23"/>
  <c r="M45" i="46" s="1"/>
  <c r="N45" i="23"/>
  <c r="O45" i="23"/>
  <c r="P45" i="23"/>
  <c r="Q45" i="23"/>
  <c r="Q45" i="24" s="1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F47" i="23"/>
  <c r="F47" i="46" s="1"/>
  <c r="G47" i="23"/>
  <c r="H47" i="23"/>
  <c r="H47" i="46" s="1"/>
  <c r="I47" i="23"/>
  <c r="I47" i="46" s="1"/>
  <c r="J47" i="23"/>
  <c r="J47" i="46" s="1"/>
  <c r="K47" i="23"/>
  <c r="K47" i="46" s="1"/>
  <c r="L47" i="23"/>
  <c r="M47" i="23"/>
  <c r="M47" i="46" s="1"/>
  <c r="N47" i="23"/>
  <c r="O47" i="23"/>
  <c r="P47" i="23"/>
  <c r="P47" i="46" s="1"/>
  <c r="Q47" i="23"/>
  <c r="Q47" i="46" s="1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F49" i="23"/>
  <c r="G49" i="23"/>
  <c r="G49" i="46" s="1"/>
  <c r="H49" i="23"/>
  <c r="H49" i="46" s="1"/>
  <c r="I49" i="23"/>
  <c r="J49" i="23"/>
  <c r="K49" i="23"/>
  <c r="K49" i="46" s="1"/>
  <c r="L49" i="23"/>
  <c r="L49" i="46" s="1"/>
  <c r="M49" i="23"/>
  <c r="M49" i="46" s="1"/>
  <c r="N49" i="23"/>
  <c r="O49" i="23"/>
  <c r="P49" i="23"/>
  <c r="Q49" i="23"/>
  <c r="R49" i="23"/>
  <c r="S49" i="23"/>
  <c r="T49" i="23"/>
  <c r="U49" i="23"/>
  <c r="E49" i="23" s="1"/>
  <c r="G49" i="35" s="1"/>
  <c r="I49" i="35" s="1"/>
  <c r="V49" i="23"/>
  <c r="V49" i="46" s="1"/>
  <c r="W49" i="23"/>
  <c r="X49" i="23"/>
  <c r="X49" i="46" s="1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D50" i="23"/>
  <c r="E50" i="23"/>
  <c r="F51" i="23"/>
  <c r="G51" i="23"/>
  <c r="H51" i="23"/>
  <c r="I51" i="23"/>
  <c r="I51" i="46" s="1"/>
  <c r="J51" i="23"/>
  <c r="K51" i="23"/>
  <c r="K51" i="46" s="1"/>
  <c r="L51" i="23"/>
  <c r="L51" i="46" s="1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Y51" i="24" s="1"/>
  <c r="Z51" i="23"/>
  <c r="Z51" i="46" s="1"/>
  <c r="AA51" i="23"/>
  <c r="AB51" i="23"/>
  <c r="AC51" i="23"/>
  <c r="AD51" i="23"/>
  <c r="AE51" i="23"/>
  <c r="AF51" i="23"/>
  <c r="AG51" i="23"/>
  <c r="AH51" i="23"/>
  <c r="AI51" i="23"/>
  <c r="AJ51" i="23"/>
  <c r="AK51" i="23"/>
  <c r="D52" i="23"/>
  <c r="E52" i="23"/>
  <c r="F54" i="23"/>
  <c r="G54" i="23"/>
  <c r="H54" i="23"/>
  <c r="I54" i="23"/>
  <c r="I54" i="46" s="1"/>
  <c r="J54" i="23"/>
  <c r="K54" i="23"/>
  <c r="L54" i="23"/>
  <c r="M54" i="23"/>
  <c r="N54" i="23"/>
  <c r="O54" i="23"/>
  <c r="O56" i="23" s="1"/>
  <c r="P54" i="23"/>
  <c r="P56" i="23" s="1"/>
  <c r="Q54" i="23"/>
  <c r="R54" i="23"/>
  <c r="S54" i="23"/>
  <c r="T54" i="23"/>
  <c r="U54" i="23"/>
  <c r="V54" i="23"/>
  <c r="W54" i="23"/>
  <c r="W56" i="23" s="1"/>
  <c r="X54" i="23"/>
  <c r="X56" i="23" s="1"/>
  <c r="Y54" i="23"/>
  <c r="Z54" i="23"/>
  <c r="AA54" i="23"/>
  <c r="AB54" i="23"/>
  <c r="AC54" i="23"/>
  <c r="AD54" i="23"/>
  <c r="AE54" i="23"/>
  <c r="AE56" i="23" s="1"/>
  <c r="AF54" i="23"/>
  <c r="AF56" i="23" s="1"/>
  <c r="AG54" i="23"/>
  <c r="AH54" i="23"/>
  <c r="AI54" i="23"/>
  <c r="AJ54" i="23"/>
  <c r="AK54" i="23"/>
  <c r="F55" i="23"/>
  <c r="F55" i="46" s="1"/>
  <c r="G55" i="23"/>
  <c r="G55" i="46" s="1"/>
  <c r="H55" i="23"/>
  <c r="H55" i="46" s="1"/>
  <c r="I55" i="23"/>
  <c r="J55" i="23"/>
  <c r="K55" i="23"/>
  <c r="L55" i="23"/>
  <c r="M55" i="23"/>
  <c r="M55" i="46" s="1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A56" i="23" s="1"/>
  <c r="AB55" i="23"/>
  <c r="AB56" i="23" s="1"/>
  <c r="AC55" i="23"/>
  <c r="AD55" i="23"/>
  <c r="AE55" i="23"/>
  <c r="AF55" i="23"/>
  <c r="AG55" i="23"/>
  <c r="AH55" i="23"/>
  <c r="AI55" i="23"/>
  <c r="AI56" i="23" s="1"/>
  <c r="AJ55" i="23"/>
  <c r="AJ56" i="23" s="1"/>
  <c r="AK55" i="23"/>
  <c r="I56" i="23"/>
  <c r="J56" i="23"/>
  <c r="Q56" i="23"/>
  <c r="R56" i="23"/>
  <c r="S56" i="23"/>
  <c r="T56" i="23"/>
  <c r="Y56" i="23"/>
  <c r="Z56" i="23"/>
  <c r="AG56" i="23"/>
  <c r="AH56" i="23"/>
  <c r="F59" i="23"/>
  <c r="F59" i="46" s="1"/>
  <c r="G59" i="23"/>
  <c r="H59" i="23"/>
  <c r="I59" i="23"/>
  <c r="J59" i="23"/>
  <c r="K59" i="23"/>
  <c r="K59" i="46" s="1"/>
  <c r="L59" i="23"/>
  <c r="M59" i="23"/>
  <c r="N59" i="23"/>
  <c r="O59" i="23"/>
  <c r="P59" i="23"/>
  <c r="Q59" i="23"/>
  <c r="Q61" i="23" s="1"/>
  <c r="R59" i="23"/>
  <c r="R61" i="23" s="1"/>
  <c r="S59" i="23"/>
  <c r="T59" i="23"/>
  <c r="U59" i="23"/>
  <c r="V59" i="23"/>
  <c r="W59" i="23"/>
  <c r="X59" i="23"/>
  <c r="Y59" i="23"/>
  <c r="Y61" i="23" s="1"/>
  <c r="Z59" i="23"/>
  <c r="Z61" i="23" s="1"/>
  <c r="AA59" i="23"/>
  <c r="AB59" i="23"/>
  <c r="AC59" i="23"/>
  <c r="AD59" i="23"/>
  <c r="AE59" i="23"/>
  <c r="AF59" i="23"/>
  <c r="AG59" i="23"/>
  <c r="AG61" i="23" s="1"/>
  <c r="AH59" i="23"/>
  <c r="AH61" i="23" s="1"/>
  <c r="AI59" i="23"/>
  <c r="AJ59" i="23"/>
  <c r="AK59" i="23"/>
  <c r="F60" i="23"/>
  <c r="G60" i="23"/>
  <c r="G60" i="46" s="1"/>
  <c r="H60" i="23"/>
  <c r="H60" i="46" s="1"/>
  <c r="I60" i="23"/>
  <c r="I60" i="46" s="1"/>
  <c r="J60" i="23"/>
  <c r="J60" i="46" s="1"/>
  <c r="K60" i="23"/>
  <c r="K60" i="46" s="1"/>
  <c r="L60" i="23"/>
  <c r="L60" i="46" s="1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F61" i="23"/>
  <c r="K61" i="23"/>
  <c r="L61" i="23"/>
  <c r="M61" i="23"/>
  <c r="N61" i="23"/>
  <c r="S61" i="23"/>
  <c r="T61" i="23"/>
  <c r="U61" i="23"/>
  <c r="V61" i="23"/>
  <c r="AA61" i="23"/>
  <c r="AB61" i="23"/>
  <c r="AC61" i="23"/>
  <c r="AD61" i="23"/>
  <c r="AI61" i="23"/>
  <c r="AJ61" i="23"/>
  <c r="AK61" i="23"/>
  <c r="F64" i="23"/>
  <c r="G64" i="23"/>
  <c r="E64" i="23" s="1"/>
  <c r="H64" i="23"/>
  <c r="I64" i="23"/>
  <c r="J64" i="23"/>
  <c r="K64" i="23"/>
  <c r="L64" i="23"/>
  <c r="D64" i="23" s="1"/>
  <c r="M64" i="23"/>
  <c r="N64" i="23"/>
  <c r="O64" i="23"/>
  <c r="P64" i="23"/>
  <c r="Q64" i="23"/>
  <c r="R64" i="23"/>
  <c r="S64" i="23"/>
  <c r="S66" i="23" s="1"/>
  <c r="T64" i="23"/>
  <c r="T66" i="23" s="1"/>
  <c r="U64" i="23"/>
  <c r="V64" i="23"/>
  <c r="W64" i="23"/>
  <c r="X64" i="23"/>
  <c r="Y64" i="23"/>
  <c r="Z64" i="23"/>
  <c r="AA64" i="23"/>
  <c r="AA66" i="23" s="1"/>
  <c r="AB64" i="23"/>
  <c r="AB66" i="23" s="1"/>
  <c r="AC64" i="23"/>
  <c r="AD64" i="23"/>
  <c r="AE64" i="23"/>
  <c r="AF64" i="23"/>
  <c r="AG64" i="23"/>
  <c r="AH64" i="23"/>
  <c r="AI64" i="23"/>
  <c r="AI66" i="23" s="1"/>
  <c r="AJ64" i="23"/>
  <c r="AJ66" i="23" s="1"/>
  <c r="AK64" i="23"/>
  <c r="F65" i="23"/>
  <c r="G65" i="23"/>
  <c r="H65" i="23"/>
  <c r="H65" i="46" s="1"/>
  <c r="I65" i="23"/>
  <c r="J65" i="23"/>
  <c r="J65" i="46" s="1"/>
  <c r="K65" i="23"/>
  <c r="K65" i="46" s="1"/>
  <c r="L65" i="23"/>
  <c r="M65" i="23"/>
  <c r="N65" i="23"/>
  <c r="O65" i="23"/>
  <c r="O66" i="23" s="1"/>
  <c r="P65" i="23"/>
  <c r="P66" i="23" s="1"/>
  <c r="Q65" i="23"/>
  <c r="R65" i="23"/>
  <c r="S65" i="23"/>
  <c r="T65" i="23"/>
  <c r="U65" i="23"/>
  <c r="V65" i="23"/>
  <c r="W65" i="23"/>
  <c r="W66" i="23" s="1"/>
  <c r="X65" i="23"/>
  <c r="Y65" i="23"/>
  <c r="Z65" i="23"/>
  <c r="AA65" i="23"/>
  <c r="AB65" i="23"/>
  <c r="AC65" i="23"/>
  <c r="AD65" i="23"/>
  <c r="AE65" i="23"/>
  <c r="AE66" i="23" s="1"/>
  <c r="AF65" i="23"/>
  <c r="AF66" i="23" s="1"/>
  <c r="AG65" i="23"/>
  <c r="AH65" i="23"/>
  <c r="AI65" i="23"/>
  <c r="AJ65" i="23"/>
  <c r="AK65" i="23"/>
  <c r="F66" i="23"/>
  <c r="G66" i="23"/>
  <c r="H66" i="23"/>
  <c r="M66" i="23"/>
  <c r="N66" i="23"/>
  <c r="U66" i="23"/>
  <c r="V66" i="23"/>
  <c r="X66" i="23"/>
  <c r="AC66" i="23"/>
  <c r="AD66" i="23"/>
  <c r="AK66" i="23"/>
  <c r="F70" i="23"/>
  <c r="G70" i="23"/>
  <c r="H70" i="23"/>
  <c r="H70" i="46" s="1"/>
  <c r="I70" i="23"/>
  <c r="J70" i="23"/>
  <c r="K70" i="23"/>
  <c r="L70" i="23"/>
  <c r="M70" i="23"/>
  <c r="N70" i="23"/>
  <c r="N72" i="23" s="1"/>
  <c r="O70" i="23"/>
  <c r="P70" i="23"/>
  <c r="Q70" i="23"/>
  <c r="R70" i="23"/>
  <c r="S70" i="23"/>
  <c r="T70" i="23"/>
  <c r="U70" i="23"/>
  <c r="V70" i="23"/>
  <c r="W70" i="23"/>
  <c r="W70" i="24" s="1"/>
  <c r="X70" i="23"/>
  <c r="Y70" i="23"/>
  <c r="Z70" i="23"/>
  <c r="AA70" i="23"/>
  <c r="AB70" i="23"/>
  <c r="AC70" i="23"/>
  <c r="AC72" i="23" s="1"/>
  <c r="AD70" i="23"/>
  <c r="AD72" i="23" s="1"/>
  <c r="AE70" i="23"/>
  <c r="AF70" i="23"/>
  <c r="AG70" i="23"/>
  <c r="AH70" i="23"/>
  <c r="AI70" i="23"/>
  <c r="AJ70" i="23"/>
  <c r="AK70" i="23"/>
  <c r="AK72" i="23" s="1"/>
  <c r="D71" i="23"/>
  <c r="F71" i="35" s="1"/>
  <c r="H71" i="35" s="1"/>
  <c r="F71" i="23"/>
  <c r="F71" i="46" s="1"/>
  <c r="G71" i="23"/>
  <c r="G71" i="46" s="1"/>
  <c r="H71" i="23"/>
  <c r="H71" i="46" s="1"/>
  <c r="I71" i="23"/>
  <c r="J71" i="23"/>
  <c r="K71" i="23"/>
  <c r="L71" i="23"/>
  <c r="M71" i="23"/>
  <c r="M71" i="46" s="1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A71" i="24" s="1"/>
  <c r="AB71" i="23"/>
  <c r="AB71" i="24" s="1"/>
  <c r="AC71" i="23"/>
  <c r="AD71" i="23"/>
  <c r="AE71" i="23"/>
  <c r="AF71" i="23"/>
  <c r="AG71" i="23"/>
  <c r="AH71" i="23"/>
  <c r="AI71" i="23"/>
  <c r="AJ71" i="23"/>
  <c r="AK71" i="23"/>
  <c r="G72" i="23"/>
  <c r="H72" i="23"/>
  <c r="I72" i="23"/>
  <c r="O72" i="23"/>
  <c r="P72" i="23"/>
  <c r="Q72" i="23"/>
  <c r="R72" i="23"/>
  <c r="W72" i="23"/>
  <c r="X72" i="23"/>
  <c r="Y72" i="23"/>
  <c r="AE72" i="23"/>
  <c r="AF72" i="23"/>
  <c r="AG72" i="23"/>
  <c r="AH72" i="23"/>
  <c r="F73" i="23"/>
  <c r="G73" i="23"/>
  <c r="G73" i="46" s="1"/>
  <c r="H73" i="23"/>
  <c r="H73" i="46" s="1"/>
  <c r="I73" i="23"/>
  <c r="I73" i="46" s="1"/>
  <c r="J73" i="23"/>
  <c r="J73" i="46" s="1"/>
  <c r="K73" i="23"/>
  <c r="K73" i="46" s="1"/>
  <c r="L73" i="23"/>
  <c r="L73" i="46" s="1"/>
  <c r="M73" i="23"/>
  <c r="M73" i="46" s="1"/>
  <c r="N73" i="23"/>
  <c r="O73" i="23"/>
  <c r="O73" i="24" s="1"/>
  <c r="P73" i="23"/>
  <c r="P73" i="24" s="1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E73" i="24" s="1"/>
  <c r="AF73" i="23"/>
  <c r="AG73" i="23"/>
  <c r="AH73" i="23"/>
  <c r="AI73" i="23"/>
  <c r="AJ73" i="23"/>
  <c r="AK73" i="23"/>
  <c r="F74" i="23"/>
  <c r="F74" i="46" s="1"/>
  <c r="G74" i="23"/>
  <c r="H74" i="23"/>
  <c r="I74" i="23"/>
  <c r="I74" i="46" s="1"/>
  <c r="J74" i="23"/>
  <c r="J74" i="46" s="1"/>
  <c r="K74" i="23"/>
  <c r="K74" i="46" s="1"/>
  <c r="L74" i="23"/>
  <c r="M74" i="23"/>
  <c r="M74" i="46" s="1"/>
  <c r="N74" i="23"/>
  <c r="O74" i="23"/>
  <c r="P74" i="23"/>
  <c r="Q74" i="23"/>
  <c r="R74" i="23"/>
  <c r="S74" i="23"/>
  <c r="T74" i="23"/>
  <c r="U74" i="23"/>
  <c r="U74" i="24" s="1"/>
  <c r="V74" i="23"/>
  <c r="W74" i="23"/>
  <c r="X74" i="23"/>
  <c r="Y74" i="23"/>
  <c r="Z74" i="23"/>
  <c r="AA74" i="23"/>
  <c r="AB74" i="23"/>
  <c r="AB74" i="24" s="1"/>
  <c r="AC74" i="23"/>
  <c r="AD74" i="23"/>
  <c r="AE74" i="23"/>
  <c r="AF74" i="23"/>
  <c r="AG74" i="23"/>
  <c r="AH74" i="23"/>
  <c r="AI74" i="23"/>
  <c r="AJ74" i="23"/>
  <c r="AK74" i="23"/>
  <c r="F75" i="23"/>
  <c r="G75" i="23"/>
  <c r="H75" i="23"/>
  <c r="I75" i="23"/>
  <c r="I75" i="46" s="1"/>
  <c r="J75" i="23"/>
  <c r="J75" i="46" s="1"/>
  <c r="K75" i="23"/>
  <c r="L75" i="23"/>
  <c r="D75" i="23" s="1"/>
  <c r="M75" i="23"/>
  <c r="M75" i="46" s="1"/>
  <c r="N75" i="23"/>
  <c r="O75" i="23"/>
  <c r="P75" i="23"/>
  <c r="Q75" i="23"/>
  <c r="R75" i="23"/>
  <c r="S75" i="23"/>
  <c r="T75" i="23"/>
  <c r="T75" i="46" s="1"/>
  <c r="U75" i="23"/>
  <c r="U75" i="24" s="1"/>
  <c r="V75" i="23"/>
  <c r="W75" i="23"/>
  <c r="X75" i="23"/>
  <c r="Y75" i="23"/>
  <c r="Z75" i="23"/>
  <c r="Z75" i="24" s="1"/>
  <c r="AA75" i="23"/>
  <c r="AA75" i="24" s="1"/>
  <c r="AB75" i="23"/>
  <c r="AB75" i="24" s="1"/>
  <c r="AC75" i="23"/>
  <c r="AD75" i="23"/>
  <c r="AE75" i="23"/>
  <c r="AF75" i="23"/>
  <c r="AG75" i="23"/>
  <c r="AH75" i="23"/>
  <c r="AI75" i="23"/>
  <c r="AJ75" i="23"/>
  <c r="AK75" i="23"/>
  <c r="F76" i="23"/>
  <c r="G76" i="23"/>
  <c r="H76" i="23"/>
  <c r="H76" i="46" s="1"/>
  <c r="I76" i="23"/>
  <c r="I76" i="46" s="1"/>
  <c r="J76" i="23"/>
  <c r="J76" i="46" s="1"/>
  <c r="K76" i="23"/>
  <c r="K76" i="46" s="1"/>
  <c r="L76" i="23"/>
  <c r="M76" i="23"/>
  <c r="N76" i="23"/>
  <c r="O76" i="23"/>
  <c r="P76" i="23"/>
  <c r="P76" i="24" s="1"/>
  <c r="Q76" i="23"/>
  <c r="Q76" i="24" s="1"/>
  <c r="R76" i="23"/>
  <c r="R76" i="24" s="1"/>
  <c r="S76" i="23"/>
  <c r="T76" i="23"/>
  <c r="U76" i="23"/>
  <c r="V76" i="23"/>
  <c r="W76" i="23"/>
  <c r="X76" i="23"/>
  <c r="Y76" i="23"/>
  <c r="Z76" i="23"/>
  <c r="AA76" i="23"/>
  <c r="AA76" i="24" s="1"/>
  <c r="AB76" i="23"/>
  <c r="AC76" i="23"/>
  <c r="AD76" i="23"/>
  <c r="AE76" i="23"/>
  <c r="AF76" i="23"/>
  <c r="AG76" i="23"/>
  <c r="AH76" i="23"/>
  <c r="AI76" i="23"/>
  <c r="AJ76" i="23"/>
  <c r="AK76" i="23"/>
  <c r="F77" i="23"/>
  <c r="G77" i="23"/>
  <c r="G77" i="46" s="1"/>
  <c r="H77" i="23"/>
  <c r="I77" i="23"/>
  <c r="I77" i="46" s="1"/>
  <c r="J77" i="23"/>
  <c r="K77" i="23"/>
  <c r="L77" i="23"/>
  <c r="M77" i="23"/>
  <c r="M77" i="46" s="1"/>
  <c r="N77" i="23"/>
  <c r="N77" i="24" s="1"/>
  <c r="O77" i="23"/>
  <c r="P77" i="23"/>
  <c r="Q77" i="23"/>
  <c r="R77" i="23"/>
  <c r="S77" i="23"/>
  <c r="T77" i="23"/>
  <c r="U77" i="23"/>
  <c r="V77" i="23"/>
  <c r="V77" i="46" s="1"/>
  <c r="W77" i="23"/>
  <c r="X77" i="23"/>
  <c r="X77" i="24" s="1"/>
  <c r="Y77" i="23"/>
  <c r="Y77" i="24" s="1"/>
  <c r="Z77" i="23"/>
  <c r="AA77" i="23"/>
  <c r="AB77" i="23"/>
  <c r="AC77" i="23"/>
  <c r="AD77" i="23"/>
  <c r="AD77" i="24" s="1"/>
  <c r="AE77" i="23"/>
  <c r="AF77" i="23"/>
  <c r="AG77" i="23"/>
  <c r="AH77" i="23"/>
  <c r="AI77" i="23"/>
  <c r="AJ77" i="23"/>
  <c r="AK77" i="23"/>
  <c r="E78" i="23"/>
  <c r="G78" i="35" s="1"/>
  <c r="F78" i="23"/>
  <c r="G78" i="23"/>
  <c r="G78" i="46" s="1"/>
  <c r="H78" i="23"/>
  <c r="H78" i="46" s="1"/>
  <c r="I78" i="23"/>
  <c r="J78" i="23"/>
  <c r="K78" i="23"/>
  <c r="K78" i="46" s="1"/>
  <c r="L78" i="23"/>
  <c r="L78" i="46" s="1"/>
  <c r="M78" i="23"/>
  <c r="N78" i="23"/>
  <c r="N78" i="24" s="1"/>
  <c r="O78" i="23"/>
  <c r="P78" i="23"/>
  <c r="Q78" i="23"/>
  <c r="R78" i="23"/>
  <c r="S78" i="23"/>
  <c r="T78" i="23"/>
  <c r="U78" i="23"/>
  <c r="V78" i="23"/>
  <c r="V78" i="46" s="1"/>
  <c r="W78" i="23"/>
  <c r="X78" i="23"/>
  <c r="Y78" i="23"/>
  <c r="Z78" i="23"/>
  <c r="AA78" i="23"/>
  <c r="AB78" i="23"/>
  <c r="AC78" i="23"/>
  <c r="AD78" i="23"/>
  <c r="AD78" i="24" s="1"/>
  <c r="AE78" i="23"/>
  <c r="AE78" i="24" s="1"/>
  <c r="AF78" i="23"/>
  <c r="AG78" i="23"/>
  <c r="AH78" i="23"/>
  <c r="AI78" i="23"/>
  <c r="AJ78" i="23"/>
  <c r="AK78" i="23"/>
  <c r="D79" i="23"/>
  <c r="F79" i="35" s="1"/>
  <c r="H79" i="35" s="1"/>
  <c r="F79" i="23"/>
  <c r="F79" i="46" s="1"/>
  <c r="G79" i="23"/>
  <c r="G79" i="46" s="1"/>
  <c r="H79" i="23"/>
  <c r="H79" i="46" s="1"/>
  <c r="I79" i="23"/>
  <c r="J79" i="23"/>
  <c r="J79" i="46" s="1"/>
  <c r="K79" i="23"/>
  <c r="K79" i="46" s="1"/>
  <c r="L79" i="23"/>
  <c r="L79" i="46" s="1"/>
  <c r="M79" i="23"/>
  <c r="M79" i="46" s="1"/>
  <c r="N79" i="23"/>
  <c r="O79" i="23"/>
  <c r="P79" i="23"/>
  <c r="Q79" i="23"/>
  <c r="R79" i="23"/>
  <c r="S79" i="23"/>
  <c r="S79" i="24" s="1"/>
  <c r="T79" i="23"/>
  <c r="T79" i="24" s="1"/>
  <c r="U79" i="23"/>
  <c r="V79" i="23"/>
  <c r="W79" i="23"/>
  <c r="X79" i="23"/>
  <c r="Y79" i="23"/>
  <c r="Z79" i="23"/>
  <c r="AA79" i="23"/>
  <c r="AB79" i="23"/>
  <c r="AC79" i="23"/>
  <c r="AC79" i="24" s="1"/>
  <c r="AD79" i="23"/>
  <c r="AE79" i="23"/>
  <c r="AF79" i="23"/>
  <c r="AG79" i="23"/>
  <c r="AH79" i="23"/>
  <c r="AI79" i="23"/>
  <c r="AJ79" i="23"/>
  <c r="AK79" i="23"/>
  <c r="F80" i="23"/>
  <c r="F80" i="46" s="1"/>
  <c r="G80" i="23"/>
  <c r="H80" i="23"/>
  <c r="H80" i="24" s="1"/>
  <c r="I80" i="23"/>
  <c r="J80" i="23"/>
  <c r="K80" i="23"/>
  <c r="K80" i="46" s="1"/>
  <c r="L80" i="23"/>
  <c r="L80" i="46" s="1"/>
  <c r="M80" i="23"/>
  <c r="M80" i="46" s="1"/>
  <c r="N80" i="23"/>
  <c r="O80" i="23"/>
  <c r="P80" i="23"/>
  <c r="Q80" i="23"/>
  <c r="R80" i="23"/>
  <c r="S80" i="23"/>
  <c r="T80" i="23"/>
  <c r="U80" i="23"/>
  <c r="V80" i="23"/>
  <c r="W80" i="23"/>
  <c r="X80" i="23"/>
  <c r="X80" i="24" s="1"/>
  <c r="Y80" i="23"/>
  <c r="Z80" i="23"/>
  <c r="Z80" i="24" s="1"/>
  <c r="AA80" i="23"/>
  <c r="AB80" i="23"/>
  <c r="AC80" i="23"/>
  <c r="AD80" i="23"/>
  <c r="AE80" i="23"/>
  <c r="AF80" i="23"/>
  <c r="AG80" i="23"/>
  <c r="AH80" i="23"/>
  <c r="AI80" i="23"/>
  <c r="AJ80" i="23"/>
  <c r="AK80" i="23"/>
  <c r="F81" i="23"/>
  <c r="G81" i="23"/>
  <c r="G81" i="46" s="1"/>
  <c r="H81" i="23"/>
  <c r="H81" i="46" s="1"/>
  <c r="I81" i="23"/>
  <c r="I81" i="46" s="1"/>
  <c r="J81" i="23"/>
  <c r="J81" i="46" s="1"/>
  <c r="L81" i="23"/>
  <c r="L81" i="46" s="1"/>
  <c r="M81" i="23"/>
  <c r="N81" i="23"/>
  <c r="O81" i="23"/>
  <c r="O81" i="24" s="1"/>
  <c r="P81" i="23"/>
  <c r="P81" i="24" s="1"/>
  <c r="Q81" i="23"/>
  <c r="Q81" i="24" s="1"/>
  <c r="R81" i="23"/>
  <c r="S81" i="23"/>
  <c r="T81" i="23"/>
  <c r="U81" i="23"/>
  <c r="V81" i="23"/>
  <c r="V81" i="24" s="1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4" i="35"/>
  <c r="A5" i="35"/>
  <c r="D11" i="35"/>
  <c r="D12" i="35"/>
  <c r="E12" i="35"/>
  <c r="E13" i="35"/>
  <c r="D14" i="35"/>
  <c r="D15" i="35"/>
  <c r="E15" i="35"/>
  <c r="D19" i="35"/>
  <c r="D20" i="35"/>
  <c r="E20" i="35"/>
  <c r="D22" i="35"/>
  <c r="E22" i="35"/>
  <c r="D23" i="35"/>
  <c r="E23" i="35"/>
  <c r="E27" i="35"/>
  <c r="D33" i="35"/>
  <c r="E34" i="35"/>
  <c r="D35" i="35"/>
  <c r="D39" i="35"/>
  <c r="E39" i="35"/>
  <c r="D40" i="35"/>
  <c r="D41" i="35"/>
  <c r="E41" i="35"/>
  <c r="D45" i="35"/>
  <c r="E45" i="35"/>
  <c r="E47" i="35"/>
  <c r="D49" i="35"/>
  <c r="E49" i="35"/>
  <c r="D54" i="35"/>
  <c r="E54" i="35"/>
  <c r="E56" i="35" s="1"/>
  <c r="E55" i="35"/>
  <c r="D64" i="35"/>
  <c r="D65" i="35"/>
  <c r="E65" i="35"/>
  <c r="D66" i="35"/>
  <c r="D70" i="35"/>
  <c r="D72" i="35" s="1"/>
  <c r="D71" i="35"/>
  <c r="D73" i="35"/>
  <c r="E73" i="35"/>
  <c r="D74" i="35"/>
  <c r="E74" i="35"/>
  <c r="E75" i="35"/>
  <c r="F75" i="35"/>
  <c r="H75" i="35"/>
  <c r="E77" i="35"/>
  <c r="D78" i="35"/>
  <c r="E78" i="35"/>
  <c r="D81" i="35"/>
  <c r="E81" i="35"/>
  <c r="A5" i="18"/>
  <c r="G11" i="18"/>
  <c r="H11" i="18"/>
  <c r="I11" i="18"/>
  <c r="M11" i="18" s="1"/>
  <c r="H12" i="18"/>
  <c r="F12" i="18" s="1"/>
  <c r="I12" i="18"/>
  <c r="G12" i="18" s="1"/>
  <c r="L12" i="18"/>
  <c r="D12" i="42" s="1"/>
  <c r="M12" i="18"/>
  <c r="E12" i="42" s="1"/>
  <c r="F13" i="18"/>
  <c r="H13" i="18"/>
  <c r="I13" i="18"/>
  <c r="G13" i="18" s="1"/>
  <c r="L13" i="18"/>
  <c r="M13" i="18"/>
  <c r="G14" i="18"/>
  <c r="H14" i="18"/>
  <c r="I14" i="18"/>
  <c r="M14" i="18"/>
  <c r="H15" i="18"/>
  <c r="F15" i="18" s="1"/>
  <c r="I15" i="18"/>
  <c r="M15" i="18" s="1"/>
  <c r="E15" i="42" s="1"/>
  <c r="L15" i="18"/>
  <c r="D15" i="42" s="1"/>
  <c r="D16" i="18"/>
  <c r="E16" i="18"/>
  <c r="H16" i="18"/>
  <c r="J16" i="18"/>
  <c r="K16" i="18"/>
  <c r="H18" i="18"/>
  <c r="I18" i="18"/>
  <c r="G19" i="18"/>
  <c r="H19" i="18"/>
  <c r="I19" i="18"/>
  <c r="M19" i="18"/>
  <c r="H20" i="18"/>
  <c r="F20" i="18" s="1"/>
  <c r="I20" i="18"/>
  <c r="L20" i="18"/>
  <c r="D20" i="42" s="1"/>
  <c r="H21" i="18"/>
  <c r="F21" i="18" s="1"/>
  <c r="I21" i="18"/>
  <c r="L21" i="18"/>
  <c r="D21" i="42" s="1"/>
  <c r="F22" i="18"/>
  <c r="H22" i="18"/>
  <c r="I22" i="18"/>
  <c r="G22" i="18" s="1"/>
  <c r="L22" i="18"/>
  <c r="M22" i="18"/>
  <c r="E22" i="42" s="1"/>
  <c r="F23" i="18"/>
  <c r="G23" i="18"/>
  <c r="H23" i="18"/>
  <c r="L23" i="18" s="1"/>
  <c r="I23" i="18"/>
  <c r="M23" i="18"/>
  <c r="D24" i="18"/>
  <c r="E24" i="18"/>
  <c r="J24" i="18"/>
  <c r="K24" i="18"/>
  <c r="F27" i="18"/>
  <c r="F29" i="18" s="1"/>
  <c r="G27" i="18"/>
  <c r="H27" i="18"/>
  <c r="I27" i="18"/>
  <c r="M27" i="18"/>
  <c r="H28" i="18"/>
  <c r="F28" i="18" s="1"/>
  <c r="I28" i="18"/>
  <c r="M28" i="18" s="1"/>
  <c r="L28" i="18"/>
  <c r="D28" i="42" s="1"/>
  <c r="D29" i="18"/>
  <c r="E29" i="18"/>
  <c r="J29" i="18"/>
  <c r="K29" i="18"/>
  <c r="H32" i="18"/>
  <c r="I32" i="18"/>
  <c r="L32" i="18"/>
  <c r="H33" i="18"/>
  <c r="F33" i="18" s="1"/>
  <c r="I33" i="18"/>
  <c r="G33" i="18" s="1"/>
  <c r="L33" i="18"/>
  <c r="D33" i="42" s="1"/>
  <c r="M33" i="18"/>
  <c r="E33" i="42" s="1"/>
  <c r="F34" i="18"/>
  <c r="H34" i="18"/>
  <c r="I34" i="18"/>
  <c r="G34" i="18" s="1"/>
  <c r="L34" i="18"/>
  <c r="M34" i="18"/>
  <c r="E34" i="42" s="1"/>
  <c r="G35" i="18"/>
  <c r="H35" i="18"/>
  <c r="L35" i="18" s="1"/>
  <c r="I35" i="18"/>
  <c r="M35" i="18"/>
  <c r="D36" i="18"/>
  <c r="E36" i="18"/>
  <c r="J36" i="18"/>
  <c r="K36" i="18"/>
  <c r="L37" i="18"/>
  <c r="M37" i="18"/>
  <c r="H38" i="18"/>
  <c r="I38" i="18"/>
  <c r="H39" i="18"/>
  <c r="F39" i="18" s="1"/>
  <c r="I39" i="18"/>
  <c r="G39" i="18" s="1"/>
  <c r="L39" i="18"/>
  <c r="D39" i="42" s="1"/>
  <c r="M39" i="18"/>
  <c r="E39" i="42" s="1"/>
  <c r="F40" i="18"/>
  <c r="H40" i="18"/>
  <c r="I40" i="18"/>
  <c r="G40" i="18" s="1"/>
  <c r="L40" i="18"/>
  <c r="M40" i="18"/>
  <c r="E40" i="42" s="1"/>
  <c r="G41" i="18"/>
  <c r="G42" i="18" s="1"/>
  <c r="G43" i="18" s="1"/>
  <c r="H41" i="18"/>
  <c r="I41" i="18"/>
  <c r="M41" i="18"/>
  <c r="D42" i="18"/>
  <c r="E42" i="18"/>
  <c r="J42" i="18"/>
  <c r="K42" i="18"/>
  <c r="M42" i="18"/>
  <c r="D43" i="18"/>
  <c r="E43" i="18"/>
  <c r="J43" i="18"/>
  <c r="K43" i="18"/>
  <c r="M43" i="18"/>
  <c r="F45" i="18"/>
  <c r="H45" i="18"/>
  <c r="I45" i="18"/>
  <c r="G45" i="18" s="1"/>
  <c r="L45" i="18"/>
  <c r="M45" i="18"/>
  <c r="E45" i="42" s="1"/>
  <c r="G47" i="18"/>
  <c r="H47" i="18"/>
  <c r="I47" i="18"/>
  <c r="M47" i="18"/>
  <c r="H49" i="18"/>
  <c r="F49" i="18" s="1"/>
  <c r="I49" i="18"/>
  <c r="M49" i="18" s="1"/>
  <c r="L49" i="18"/>
  <c r="H51" i="18"/>
  <c r="F51" i="18" s="1"/>
  <c r="I51" i="18"/>
  <c r="L51" i="18"/>
  <c r="D51" i="42" s="1"/>
  <c r="F54" i="18"/>
  <c r="H54" i="18"/>
  <c r="I54" i="18"/>
  <c r="G54" i="18" s="1"/>
  <c r="L54" i="18"/>
  <c r="M54" i="18"/>
  <c r="F55" i="18"/>
  <c r="F56" i="18" s="1"/>
  <c r="G55" i="18"/>
  <c r="G56" i="18" s="1"/>
  <c r="H55" i="18"/>
  <c r="L55" i="18" s="1"/>
  <c r="L56" i="18" s="1"/>
  <c r="I55" i="18"/>
  <c r="M55" i="18"/>
  <c r="D56" i="18"/>
  <c r="E56" i="18"/>
  <c r="H56" i="18"/>
  <c r="J56" i="18"/>
  <c r="K56" i="18"/>
  <c r="G59" i="18"/>
  <c r="H59" i="18"/>
  <c r="I59" i="18"/>
  <c r="M59" i="18"/>
  <c r="H60" i="18"/>
  <c r="F60" i="18" s="1"/>
  <c r="I60" i="18"/>
  <c r="M60" i="18" s="1"/>
  <c r="L60" i="18"/>
  <c r="D60" i="42" s="1"/>
  <c r="D61" i="18"/>
  <c r="E61" i="18"/>
  <c r="H61" i="18"/>
  <c r="J61" i="18"/>
  <c r="K61" i="18"/>
  <c r="H64" i="18"/>
  <c r="I64" i="18"/>
  <c r="L64" i="18"/>
  <c r="H65" i="18"/>
  <c r="F65" i="18" s="1"/>
  <c r="I65" i="18"/>
  <c r="G65" i="18" s="1"/>
  <c r="L65" i="18"/>
  <c r="M65" i="18"/>
  <c r="D66" i="18"/>
  <c r="E66" i="18"/>
  <c r="I66" i="18"/>
  <c r="J66" i="18"/>
  <c r="K66" i="18"/>
  <c r="K82" i="18" s="1"/>
  <c r="L69" i="18"/>
  <c r="M69" i="18"/>
  <c r="H70" i="18"/>
  <c r="I70" i="18"/>
  <c r="L70" i="18"/>
  <c r="H71" i="18"/>
  <c r="F71" i="18" s="1"/>
  <c r="I71" i="18"/>
  <c r="G71" i="18" s="1"/>
  <c r="L71" i="18"/>
  <c r="M71" i="18"/>
  <c r="D72" i="18"/>
  <c r="E72" i="18"/>
  <c r="I72" i="18"/>
  <c r="J72" i="18"/>
  <c r="K72" i="18"/>
  <c r="H73" i="18"/>
  <c r="F73" i="18" s="1"/>
  <c r="I73" i="18"/>
  <c r="G73" i="18" s="1"/>
  <c r="L73" i="18"/>
  <c r="M73" i="18"/>
  <c r="E73" i="42" s="1"/>
  <c r="F74" i="18"/>
  <c r="H74" i="18"/>
  <c r="I74" i="18"/>
  <c r="G74" i="18" s="1"/>
  <c r="L74" i="18"/>
  <c r="M74" i="18"/>
  <c r="G75" i="18"/>
  <c r="H75" i="18"/>
  <c r="I75" i="18"/>
  <c r="M75" i="18"/>
  <c r="G76" i="18"/>
  <c r="H76" i="18"/>
  <c r="F76" i="18" s="1"/>
  <c r="I76" i="18"/>
  <c r="M76" i="18" s="1"/>
  <c r="L76" i="18"/>
  <c r="D76" i="42" s="1"/>
  <c r="H77" i="18"/>
  <c r="F77" i="18" s="1"/>
  <c r="I77" i="18"/>
  <c r="G77" i="18" s="1"/>
  <c r="L77" i="18"/>
  <c r="M77" i="18"/>
  <c r="E77" i="42" s="1"/>
  <c r="F78" i="18"/>
  <c r="H78" i="18"/>
  <c r="I78" i="18"/>
  <c r="G78" i="18" s="1"/>
  <c r="L78" i="18"/>
  <c r="M78" i="18"/>
  <c r="G79" i="18"/>
  <c r="H79" i="18"/>
  <c r="L79" i="18" s="1"/>
  <c r="D79" i="42" s="1"/>
  <c r="I79" i="18"/>
  <c r="M79" i="18"/>
  <c r="H80" i="18"/>
  <c r="F80" i="18" s="1"/>
  <c r="I80" i="18"/>
  <c r="M80" i="18" s="1"/>
  <c r="L80" i="18"/>
  <c r="D80" i="42" s="1"/>
  <c r="H81" i="18"/>
  <c r="F81" i="18" s="1"/>
  <c r="I81" i="18"/>
  <c r="L81" i="18"/>
  <c r="D81" i="42" s="1"/>
  <c r="D82" i="18"/>
  <c r="J82" i="18"/>
  <c r="A5" i="30"/>
  <c r="H8" i="30"/>
  <c r="J8" i="30"/>
  <c r="L8" i="30"/>
  <c r="N8" i="30"/>
  <c r="P8" i="30"/>
  <c r="R8" i="30"/>
  <c r="T8" i="30"/>
  <c r="F11" i="30"/>
  <c r="D11" i="30" s="1"/>
  <c r="G11" i="30"/>
  <c r="E12" i="30"/>
  <c r="G12" i="42" s="1"/>
  <c r="F12" i="30"/>
  <c r="D12" i="30" s="1"/>
  <c r="F12" i="42" s="1"/>
  <c r="G12" i="30"/>
  <c r="F13" i="30"/>
  <c r="D13" i="30" s="1"/>
  <c r="F13" i="42" s="1"/>
  <c r="G13" i="30"/>
  <c r="E13" i="30" s="1"/>
  <c r="G13" i="42" s="1"/>
  <c r="D14" i="30"/>
  <c r="F14" i="42" s="1"/>
  <c r="E14" i="30"/>
  <c r="G14" i="42" s="1"/>
  <c r="F14" i="30"/>
  <c r="G14" i="30"/>
  <c r="F15" i="30"/>
  <c r="D15" i="30" s="1"/>
  <c r="F15" i="42" s="1"/>
  <c r="G15" i="30"/>
  <c r="E15" i="30" s="1"/>
  <c r="F16" i="30"/>
  <c r="H16" i="30"/>
  <c r="I16" i="30"/>
  <c r="J16" i="30"/>
  <c r="K16" i="30"/>
  <c r="L16" i="30"/>
  <c r="M16" i="30"/>
  <c r="N16" i="30"/>
  <c r="N82" i="30" s="1"/>
  <c r="L652" i="44" s="1"/>
  <c r="O16" i="30"/>
  <c r="P16" i="30"/>
  <c r="Q16" i="30"/>
  <c r="R16" i="30"/>
  <c r="S16" i="30"/>
  <c r="T16" i="30"/>
  <c r="U16" i="30"/>
  <c r="U82" i="30" s="1"/>
  <c r="S652" i="44" s="1"/>
  <c r="V16" i="30"/>
  <c r="V82" i="30" s="1"/>
  <c r="T652" i="44" s="1"/>
  <c r="W16" i="30"/>
  <c r="X16" i="30"/>
  <c r="Y16" i="30"/>
  <c r="Z16" i="30"/>
  <c r="AA16" i="30"/>
  <c r="AB16" i="30"/>
  <c r="AC16" i="30"/>
  <c r="AD16" i="30"/>
  <c r="AD82" i="30" s="1"/>
  <c r="AB652" i="44" s="1"/>
  <c r="AE16" i="30"/>
  <c r="AF16" i="30"/>
  <c r="AG16" i="30"/>
  <c r="AH16" i="30"/>
  <c r="AI16" i="30"/>
  <c r="AJ16" i="30"/>
  <c r="AK16" i="30"/>
  <c r="D19" i="30"/>
  <c r="F19" i="30"/>
  <c r="G19" i="30"/>
  <c r="E19" i="30" s="1"/>
  <c r="F20" i="30"/>
  <c r="D20" i="30" s="1"/>
  <c r="G20" i="30"/>
  <c r="E20" i="30" s="1"/>
  <c r="D21" i="30"/>
  <c r="F21" i="42" s="1"/>
  <c r="F21" i="30"/>
  <c r="G21" i="30"/>
  <c r="E21" i="30" s="1"/>
  <c r="G21" i="42" s="1"/>
  <c r="E22" i="30"/>
  <c r="G22" i="42" s="1"/>
  <c r="I22" i="42" s="1"/>
  <c r="F22" i="30"/>
  <c r="G22" i="30"/>
  <c r="D23" i="30"/>
  <c r="F23" i="42" s="1"/>
  <c r="F23" i="30"/>
  <c r="G23" i="30"/>
  <c r="E23" i="30" s="1"/>
  <c r="G23" i="42" s="1"/>
  <c r="G24" i="30"/>
  <c r="H24" i="30"/>
  <c r="H82" i="30" s="1"/>
  <c r="F652" i="44" s="1"/>
  <c r="I24" i="30"/>
  <c r="J24" i="30"/>
  <c r="K24" i="30"/>
  <c r="L24" i="30"/>
  <c r="M24" i="30"/>
  <c r="N24" i="30"/>
  <c r="O24" i="30"/>
  <c r="P24" i="30"/>
  <c r="P82" i="30" s="1"/>
  <c r="N652" i="44" s="1"/>
  <c r="Q24" i="30"/>
  <c r="R24" i="30"/>
  <c r="S24" i="30"/>
  <c r="T24" i="30"/>
  <c r="U24" i="30"/>
  <c r="V24" i="30"/>
  <c r="W24" i="30"/>
  <c r="W82" i="30" s="1"/>
  <c r="U652" i="44" s="1"/>
  <c r="X24" i="30"/>
  <c r="X82" i="30" s="1"/>
  <c r="V652" i="44" s="1"/>
  <c r="Y24" i="30"/>
  <c r="Z24" i="30"/>
  <c r="AA24" i="30"/>
  <c r="AB24" i="30"/>
  <c r="AC24" i="30"/>
  <c r="AD24" i="30"/>
  <c r="AE24" i="30"/>
  <c r="AE82" i="30" s="1"/>
  <c r="AC652" i="44" s="1"/>
  <c r="AF24" i="30"/>
  <c r="AF82" i="30" s="1"/>
  <c r="AD652" i="44" s="1"/>
  <c r="AG24" i="30"/>
  <c r="AH24" i="30"/>
  <c r="AI24" i="30"/>
  <c r="AJ24" i="30"/>
  <c r="AK24" i="30"/>
  <c r="E27" i="30"/>
  <c r="F27" i="30"/>
  <c r="G27" i="30"/>
  <c r="F28" i="30"/>
  <c r="D28" i="30" s="1"/>
  <c r="F28" i="42" s="1"/>
  <c r="G28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D32" i="30"/>
  <c r="F32" i="30"/>
  <c r="G32" i="30"/>
  <c r="E32" i="30" s="1"/>
  <c r="E33" i="30"/>
  <c r="G33" i="42" s="1"/>
  <c r="F33" i="30"/>
  <c r="G33" i="30"/>
  <c r="D34" i="30"/>
  <c r="F34" i="42" s="1"/>
  <c r="F34" i="30"/>
  <c r="G34" i="30"/>
  <c r="E34" i="30" s="1"/>
  <c r="G34" i="42" s="1"/>
  <c r="F35" i="30"/>
  <c r="D35" i="30" s="1"/>
  <c r="F35" i="42" s="1"/>
  <c r="G35" i="30"/>
  <c r="E35" i="30" s="1"/>
  <c r="G35" i="42" s="1"/>
  <c r="H36" i="30"/>
  <c r="I36" i="30"/>
  <c r="J36" i="30"/>
  <c r="K36" i="30"/>
  <c r="L36" i="30"/>
  <c r="M36" i="30"/>
  <c r="N36" i="30"/>
  <c r="O36" i="30"/>
  <c r="P36" i="30"/>
  <c r="Q36" i="30"/>
  <c r="R36" i="30"/>
  <c r="R82" i="30" s="1"/>
  <c r="P652" i="44" s="1"/>
  <c r="S36" i="30"/>
  <c r="T36" i="30"/>
  <c r="U36" i="30"/>
  <c r="V36" i="30"/>
  <c r="W36" i="30"/>
  <c r="X36" i="30"/>
  <c r="Y36" i="30"/>
  <c r="Z36" i="30"/>
  <c r="AA36" i="30"/>
  <c r="AB36" i="30"/>
  <c r="AB82" i="30" s="1"/>
  <c r="Z652" i="44" s="1"/>
  <c r="AC36" i="30"/>
  <c r="AD36" i="30"/>
  <c r="AE36" i="30"/>
  <c r="AF36" i="30"/>
  <c r="AG36" i="30"/>
  <c r="AH36" i="30"/>
  <c r="AI36" i="30"/>
  <c r="AJ36" i="30"/>
  <c r="AK36" i="30"/>
  <c r="F39" i="30"/>
  <c r="D39" i="30" s="1"/>
  <c r="F39" i="42" s="1"/>
  <c r="G39" i="30"/>
  <c r="E39" i="30" s="1"/>
  <c r="E40" i="30"/>
  <c r="G40" i="42" s="1"/>
  <c r="F40" i="30"/>
  <c r="D40" i="30" s="1"/>
  <c r="G40" i="30"/>
  <c r="F41" i="30"/>
  <c r="D41" i="30" s="1"/>
  <c r="G41" i="30"/>
  <c r="H42" i="30"/>
  <c r="I42" i="30"/>
  <c r="J42" i="30"/>
  <c r="K42" i="30"/>
  <c r="K43" i="30" s="1"/>
  <c r="L42" i="30"/>
  <c r="M42" i="30"/>
  <c r="M43" i="30" s="1"/>
  <c r="N42" i="30"/>
  <c r="N43" i="30" s="1"/>
  <c r="O42" i="30"/>
  <c r="P42" i="30"/>
  <c r="Q42" i="30"/>
  <c r="R42" i="30"/>
  <c r="S42" i="30"/>
  <c r="S43" i="30" s="1"/>
  <c r="S82" i="30" s="1"/>
  <c r="Q652" i="44" s="1"/>
  <c r="T42" i="30"/>
  <c r="T43" i="30" s="1"/>
  <c r="U42" i="30"/>
  <c r="U43" i="30" s="1"/>
  <c r="V42" i="30"/>
  <c r="V43" i="30" s="1"/>
  <c r="W42" i="30"/>
  <c r="X42" i="30"/>
  <c r="Y42" i="30"/>
  <c r="Z42" i="30"/>
  <c r="AA42" i="30"/>
  <c r="AA43" i="30" s="1"/>
  <c r="AB42" i="30"/>
  <c r="AB43" i="30" s="1"/>
  <c r="AC42" i="30"/>
  <c r="AC43" i="30" s="1"/>
  <c r="AD42" i="30"/>
  <c r="AD43" i="30" s="1"/>
  <c r="AE42" i="30"/>
  <c r="AF42" i="30"/>
  <c r="AG42" i="30"/>
  <c r="AH42" i="30"/>
  <c r="AI42" i="30"/>
  <c r="AI43" i="30" s="1"/>
  <c r="AI82" i="30" s="1"/>
  <c r="AG652" i="44" s="1"/>
  <c r="AJ42" i="30"/>
  <c r="AK42" i="30"/>
  <c r="AK43" i="30" s="1"/>
  <c r="H43" i="30"/>
  <c r="I43" i="30"/>
  <c r="J43" i="30"/>
  <c r="L43" i="30"/>
  <c r="O43" i="30"/>
  <c r="P43" i="30"/>
  <c r="Q43" i="30"/>
  <c r="R43" i="30"/>
  <c r="W43" i="30"/>
  <c r="X43" i="30"/>
  <c r="Y43" i="30"/>
  <c r="Z43" i="30"/>
  <c r="AE43" i="30"/>
  <c r="AF43" i="30"/>
  <c r="AG43" i="30"/>
  <c r="AH43" i="30"/>
  <c r="AJ43" i="30"/>
  <c r="F45" i="30"/>
  <c r="D45" i="30" s="1"/>
  <c r="F45" i="42" s="1"/>
  <c r="G45" i="30"/>
  <c r="E45" i="30" s="1"/>
  <c r="G45" i="42" s="1"/>
  <c r="I45" i="42" s="1"/>
  <c r="E47" i="30"/>
  <c r="G47" i="42" s="1"/>
  <c r="F47" i="30"/>
  <c r="D47" i="30" s="1"/>
  <c r="F47" i="42" s="1"/>
  <c r="G47" i="30"/>
  <c r="F49" i="30"/>
  <c r="D49" i="30" s="1"/>
  <c r="G49" i="30"/>
  <c r="E49" i="30" s="1"/>
  <c r="D50" i="30"/>
  <c r="E50" i="30"/>
  <c r="D51" i="30"/>
  <c r="F51" i="30"/>
  <c r="G51" i="30"/>
  <c r="E51" i="30" s="1"/>
  <c r="G51" i="42" s="1"/>
  <c r="D52" i="30"/>
  <c r="E52" i="30"/>
  <c r="D54" i="30"/>
  <c r="F54" i="42" s="1"/>
  <c r="E54" i="30"/>
  <c r="F54" i="30"/>
  <c r="G54" i="30"/>
  <c r="F55" i="30"/>
  <c r="D55" i="30" s="1"/>
  <c r="G55" i="30"/>
  <c r="F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D59" i="30"/>
  <c r="F59" i="30"/>
  <c r="G59" i="30"/>
  <c r="E59" i="30" s="1"/>
  <c r="F60" i="30"/>
  <c r="G60" i="30"/>
  <c r="G61" i="30" s="1"/>
  <c r="O60" i="30"/>
  <c r="O61" i="30" s="1"/>
  <c r="H61" i="30"/>
  <c r="I61" i="30"/>
  <c r="J61" i="30"/>
  <c r="K61" i="30"/>
  <c r="L61" i="30"/>
  <c r="M61" i="30"/>
  <c r="N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F64" i="30"/>
  <c r="D64" i="30" s="1"/>
  <c r="G64" i="30"/>
  <c r="E64" i="30" s="1"/>
  <c r="D65" i="30"/>
  <c r="F65" i="42" s="1"/>
  <c r="H65" i="42" s="1"/>
  <c r="E65" i="30"/>
  <c r="G65" i="42" s="1"/>
  <c r="F65" i="30"/>
  <c r="G65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F70" i="30"/>
  <c r="F72" i="30" s="1"/>
  <c r="G70" i="30"/>
  <c r="Y70" i="30"/>
  <c r="F71" i="30"/>
  <c r="D71" i="30" s="1"/>
  <c r="F71" i="42" s="1"/>
  <c r="G71" i="30"/>
  <c r="E71" i="30" s="1"/>
  <c r="G71" i="42" s="1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D73" i="30"/>
  <c r="F73" i="30"/>
  <c r="G73" i="30"/>
  <c r="E73" i="30" s="1"/>
  <c r="F74" i="30"/>
  <c r="D74" i="30" s="1"/>
  <c r="F74" i="42" s="1"/>
  <c r="G74" i="30"/>
  <c r="E74" i="30" s="1"/>
  <c r="G74" i="42" s="1"/>
  <c r="D75" i="30"/>
  <c r="F75" i="30"/>
  <c r="G75" i="30"/>
  <c r="E75" i="30" s="1"/>
  <c r="F76" i="30"/>
  <c r="D76" i="30" s="1"/>
  <c r="G76" i="30"/>
  <c r="E76" i="30" s="1"/>
  <c r="G76" i="42" s="1"/>
  <c r="I76" i="42" s="1"/>
  <c r="D77" i="30"/>
  <c r="F77" i="42" s="1"/>
  <c r="F77" i="30"/>
  <c r="G77" i="30"/>
  <c r="E77" i="30" s="1"/>
  <c r="G77" i="42" s="1"/>
  <c r="I77" i="42" s="1"/>
  <c r="O77" i="30"/>
  <c r="F78" i="30"/>
  <c r="D78" i="30" s="1"/>
  <c r="G78" i="30"/>
  <c r="E78" i="30" s="1"/>
  <c r="G78" i="42" s="1"/>
  <c r="F79" i="30"/>
  <c r="D79" i="30" s="1"/>
  <c r="F79" i="42" s="1"/>
  <c r="G79" i="30"/>
  <c r="E79" i="30" s="1"/>
  <c r="G79" i="42" s="1"/>
  <c r="D80" i="30"/>
  <c r="F80" i="42" s="1"/>
  <c r="E80" i="30"/>
  <c r="G80" i="42" s="1"/>
  <c r="F80" i="30"/>
  <c r="G80" i="30"/>
  <c r="F81" i="30"/>
  <c r="D81" i="30" s="1"/>
  <c r="G81" i="30"/>
  <c r="AA81" i="30"/>
  <c r="T82" i="30"/>
  <c r="R652" i="44" s="1"/>
  <c r="AJ82" i="30"/>
  <c r="AH652" i="44" s="1"/>
  <c r="AK82" i="30"/>
  <c r="AI652" i="44" s="1"/>
  <c r="A5" i="42"/>
  <c r="D13" i="42"/>
  <c r="E13" i="42"/>
  <c r="E14" i="42"/>
  <c r="G15" i="42"/>
  <c r="H15" i="42"/>
  <c r="I15" i="42"/>
  <c r="E19" i="42"/>
  <c r="F20" i="42"/>
  <c r="G20" i="42"/>
  <c r="H21" i="42"/>
  <c r="D22" i="42"/>
  <c r="D23" i="42"/>
  <c r="E23" i="42"/>
  <c r="E27" i="42"/>
  <c r="G27" i="42"/>
  <c r="F32" i="42"/>
  <c r="I33" i="42"/>
  <c r="D34" i="42"/>
  <c r="I34" i="42"/>
  <c r="D35" i="42"/>
  <c r="E35" i="42"/>
  <c r="G39" i="42"/>
  <c r="I39" i="42" s="1"/>
  <c r="H39" i="42"/>
  <c r="D40" i="42"/>
  <c r="I40" i="42"/>
  <c r="E41" i="42"/>
  <c r="F41" i="42"/>
  <c r="E42" i="42"/>
  <c r="E43" i="42" s="1"/>
  <c r="D45" i="42"/>
  <c r="H45" i="42"/>
  <c r="E47" i="42"/>
  <c r="D49" i="42"/>
  <c r="E49" i="42"/>
  <c r="F49" i="42"/>
  <c r="G49" i="42"/>
  <c r="F51" i="42"/>
  <c r="H51" i="42"/>
  <c r="D54" i="42"/>
  <c r="G54" i="42"/>
  <c r="D55" i="42"/>
  <c r="E55" i="42"/>
  <c r="F55" i="42"/>
  <c r="D56" i="42"/>
  <c r="E59" i="42"/>
  <c r="G59" i="42"/>
  <c r="I59" i="42"/>
  <c r="F64" i="42"/>
  <c r="G64" i="42"/>
  <c r="G66" i="42" s="1"/>
  <c r="D65" i="42"/>
  <c r="E65" i="42"/>
  <c r="D71" i="42"/>
  <c r="E71" i="42"/>
  <c r="D73" i="42"/>
  <c r="F73" i="42"/>
  <c r="G73" i="42"/>
  <c r="H73" i="42"/>
  <c r="I73" i="42"/>
  <c r="D74" i="42"/>
  <c r="E74" i="42"/>
  <c r="E75" i="42"/>
  <c r="F75" i="42"/>
  <c r="G75" i="42"/>
  <c r="E76" i="42"/>
  <c r="F76" i="42"/>
  <c r="H76" i="42"/>
  <c r="D77" i="42"/>
  <c r="D78" i="42"/>
  <c r="E78" i="42"/>
  <c r="F78" i="42"/>
  <c r="I78" i="42"/>
  <c r="E79" i="42"/>
  <c r="E80" i="42"/>
  <c r="F81" i="42"/>
  <c r="H81" i="42"/>
  <c r="A5" i="7"/>
  <c r="D11" i="7"/>
  <c r="D16" i="7" s="1"/>
  <c r="E11" i="7"/>
  <c r="D12" i="7"/>
  <c r="G12" i="7"/>
  <c r="G12" i="20" s="1"/>
  <c r="E12" i="20" s="1"/>
  <c r="G12" i="32" s="1"/>
  <c r="I12" i="32" s="1"/>
  <c r="I12" i="7"/>
  <c r="O12" i="7"/>
  <c r="Q12" i="7"/>
  <c r="Q16" i="7" s="1"/>
  <c r="S12" i="7"/>
  <c r="D13" i="7"/>
  <c r="E13" i="7"/>
  <c r="D14" i="7"/>
  <c r="E14" i="7"/>
  <c r="D15" i="7"/>
  <c r="E15" i="7"/>
  <c r="F16" i="7"/>
  <c r="F82" i="7" s="1"/>
  <c r="G16" i="7"/>
  <c r="H16" i="7"/>
  <c r="J16" i="7"/>
  <c r="K16" i="7"/>
  <c r="L16" i="7"/>
  <c r="M16" i="7"/>
  <c r="N16" i="7"/>
  <c r="N82" i="7" s="1"/>
  <c r="O16" i="7"/>
  <c r="P16" i="7"/>
  <c r="R16" i="7"/>
  <c r="T16" i="7"/>
  <c r="U16" i="7"/>
  <c r="V16" i="7"/>
  <c r="W16" i="7"/>
  <c r="X16" i="7"/>
  <c r="Y16" i="7"/>
  <c r="D19" i="7"/>
  <c r="E19" i="7"/>
  <c r="D20" i="7"/>
  <c r="E20" i="7"/>
  <c r="G20" i="7"/>
  <c r="I20" i="7"/>
  <c r="G20" i="21" s="1"/>
  <c r="O20" i="7"/>
  <c r="O24" i="7" s="1"/>
  <c r="Q20" i="7"/>
  <c r="S20" i="7"/>
  <c r="D21" i="7"/>
  <c r="E21" i="7"/>
  <c r="D22" i="7"/>
  <c r="E22" i="7"/>
  <c r="D23" i="7"/>
  <c r="E23" i="7"/>
  <c r="F24" i="7"/>
  <c r="H24" i="7"/>
  <c r="I24" i="7"/>
  <c r="J24" i="7"/>
  <c r="K24" i="7"/>
  <c r="L24" i="7"/>
  <c r="M24" i="7"/>
  <c r="N24" i="7"/>
  <c r="P24" i="7"/>
  <c r="Q24" i="7"/>
  <c r="Q82" i="7" s="1"/>
  <c r="Q91" i="7" s="1"/>
  <c r="R24" i="7"/>
  <c r="S24" i="7"/>
  <c r="T24" i="7"/>
  <c r="U24" i="7"/>
  <c r="V24" i="7"/>
  <c r="W24" i="7"/>
  <c r="X24" i="7"/>
  <c r="Y24" i="7"/>
  <c r="D27" i="7"/>
  <c r="E27" i="7"/>
  <c r="E29" i="7" s="1"/>
  <c r="D28" i="7"/>
  <c r="E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F36" i="7"/>
  <c r="G36" i="7"/>
  <c r="H36" i="7"/>
  <c r="I36" i="7"/>
  <c r="J36" i="7"/>
  <c r="K36" i="7"/>
  <c r="L36" i="7"/>
  <c r="L82" i="7" s="1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D42" i="7" s="1"/>
  <c r="D43" i="7" s="1"/>
  <c r="E40" i="7"/>
  <c r="D41" i="7"/>
  <c r="E41" i="7"/>
  <c r="E42" i="7"/>
  <c r="F42" i="7"/>
  <c r="F43" i="7" s="1"/>
  <c r="G42" i="7"/>
  <c r="H42" i="7"/>
  <c r="I42" i="7"/>
  <c r="J42" i="7"/>
  <c r="K42" i="7"/>
  <c r="K43" i="7" s="1"/>
  <c r="L42" i="7"/>
  <c r="L43" i="7" s="1"/>
  <c r="M42" i="7"/>
  <c r="M43" i="7" s="1"/>
  <c r="N42" i="7"/>
  <c r="N43" i="7" s="1"/>
  <c r="O42" i="7"/>
  <c r="O43" i="7" s="1"/>
  <c r="P42" i="7"/>
  <c r="Q42" i="7"/>
  <c r="R42" i="7"/>
  <c r="S42" i="7"/>
  <c r="S43" i="7" s="1"/>
  <c r="T42" i="7"/>
  <c r="T43" i="7" s="1"/>
  <c r="U42" i="7"/>
  <c r="U43" i="7" s="1"/>
  <c r="V42" i="7"/>
  <c r="V43" i="7" s="1"/>
  <c r="W42" i="7"/>
  <c r="X42" i="7"/>
  <c r="Y42" i="7"/>
  <c r="G43" i="7"/>
  <c r="H43" i="7"/>
  <c r="I43" i="7"/>
  <c r="J43" i="7"/>
  <c r="P43" i="7"/>
  <c r="Q43" i="7"/>
  <c r="R43" i="7"/>
  <c r="W43" i="7"/>
  <c r="X43" i="7"/>
  <c r="Y43" i="7"/>
  <c r="D45" i="7"/>
  <c r="E45" i="7"/>
  <c r="D47" i="7"/>
  <c r="E47" i="7"/>
  <c r="D49" i="7"/>
  <c r="E49" i="7"/>
  <c r="D51" i="7"/>
  <c r="E51" i="7"/>
  <c r="D54" i="7"/>
  <c r="D56" i="7" s="1"/>
  <c r="E54" i="7"/>
  <c r="D55" i="7"/>
  <c r="E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D66" i="7" s="1"/>
  <c r="E65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D72" i="7" s="1"/>
  <c r="E70" i="7"/>
  <c r="E72" i="7" s="1"/>
  <c r="G70" i="7"/>
  <c r="G70" i="20" s="1"/>
  <c r="I70" i="7"/>
  <c r="G70" i="21" s="1"/>
  <c r="S70" i="7"/>
  <c r="D71" i="7"/>
  <c r="E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I74" i="7"/>
  <c r="S74" i="7"/>
  <c r="D75" i="7"/>
  <c r="S75" i="7"/>
  <c r="E75" i="7" s="1"/>
  <c r="D76" i="7"/>
  <c r="E76" i="7"/>
  <c r="D77" i="7"/>
  <c r="E77" i="7"/>
  <c r="D78" i="7"/>
  <c r="E78" i="7"/>
  <c r="D79" i="7"/>
  <c r="E79" i="7"/>
  <c r="D80" i="7"/>
  <c r="E80" i="7"/>
  <c r="D81" i="7"/>
  <c r="E81" i="7"/>
  <c r="J82" i="7"/>
  <c r="J91" i="7" s="1"/>
  <c r="T82" i="7"/>
  <c r="Y82" i="7"/>
  <c r="Y91" i="7" s="1"/>
  <c r="D86" i="7"/>
  <c r="E86" i="7"/>
  <c r="S87" i="7"/>
  <c r="E87" i="7" s="1"/>
  <c r="T87" i="7"/>
  <c r="D87" i="7" s="1"/>
  <c r="E88" i="7"/>
  <c r="T88" i="7"/>
  <c r="D88" i="7" s="1"/>
  <c r="D89" i="7" s="1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U89" i="7"/>
  <c r="V89" i="7"/>
  <c r="W89" i="7"/>
  <c r="X89" i="7"/>
  <c r="Y89" i="7"/>
  <c r="F91" i="7"/>
  <c r="N91" i="7"/>
  <c r="A5" i="5"/>
  <c r="F87" i="5"/>
  <c r="A4" i="15"/>
  <c r="A5" i="15"/>
  <c r="D11" i="15"/>
  <c r="E11" i="15"/>
  <c r="J11" i="15"/>
  <c r="K11" i="15"/>
  <c r="D12" i="15"/>
  <c r="E12" i="15"/>
  <c r="I12" i="15"/>
  <c r="J12" i="15"/>
  <c r="K12" i="15"/>
  <c r="D13" i="15"/>
  <c r="E13" i="15"/>
  <c r="J13" i="15"/>
  <c r="K13" i="15"/>
  <c r="D14" i="15"/>
  <c r="E14" i="15"/>
  <c r="J14" i="15"/>
  <c r="K14" i="15"/>
  <c r="D15" i="15"/>
  <c r="E15" i="15"/>
  <c r="J15" i="15"/>
  <c r="K15" i="15"/>
  <c r="J16" i="15"/>
  <c r="K16" i="15"/>
  <c r="D19" i="15"/>
  <c r="E19" i="15"/>
  <c r="J19" i="15"/>
  <c r="K19" i="15"/>
  <c r="D20" i="15"/>
  <c r="E20" i="15"/>
  <c r="J20" i="15"/>
  <c r="K20" i="15"/>
  <c r="D21" i="15"/>
  <c r="E21" i="15"/>
  <c r="J21" i="15"/>
  <c r="K21" i="15"/>
  <c r="D22" i="15"/>
  <c r="E22" i="15"/>
  <c r="J22" i="15"/>
  <c r="K22" i="15"/>
  <c r="D23" i="15"/>
  <c r="E23" i="15"/>
  <c r="J23" i="15"/>
  <c r="K23" i="15"/>
  <c r="D24" i="15"/>
  <c r="E24" i="15"/>
  <c r="D27" i="15"/>
  <c r="D29" i="15" s="1"/>
  <c r="E27" i="15"/>
  <c r="E29" i="15" s="1"/>
  <c r="J27" i="15"/>
  <c r="J29" i="15" s="1"/>
  <c r="K27" i="15"/>
  <c r="D28" i="15"/>
  <c r="E28" i="15"/>
  <c r="J28" i="15"/>
  <c r="K28" i="15"/>
  <c r="D32" i="15"/>
  <c r="E32" i="15"/>
  <c r="J32" i="15"/>
  <c r="K32" i="15"/>
  <c r="D33" i="15"/>
  <c r="E33" i="15"/>
  <c r="J33" i="15"/>
  <c r="J36" i="15" s="1"/>
  <c r="K33" i="15"/>
  <c r="K36" i="15" s="1"/>
  <c r="D34" i="15"/>
  <c r="E34" i="15"/>
  <c r="I34" i="15"/>
  <c r="J34" i="15"/>
  <c r="K34" i="15"/>
  <c r="D35" i="15"/>
  <c r="E35" i="15"/>
  <c r="J35" i="15"/>
  <c r="K35" i="15"/>
  <c r="D36" i="15"/>
  <c r="E36" i="15"/>
  <c r="L37" i="15"/>
  <c r="M37" i="15"/>
  <c r="D39" i="15"/>
  <c r="E39" i="15"/>
  <c r="I39" i="15"/>
  <c r="J39" i="15"/>
  <c r="K39" i="15"/>
  <c r="D40" i="15"/>
  <c r="E40" i="15"/>
  <c r="J40" i="15"/>
  <c r="K40" i="15"/>
  <c r="D41" i="15"/>
  <c r="E41" i="15"/>
  <c r="E42" i="15" s="1"/>
  <c r="E43" i="15" s="1"/>
  <c r="J41" i="15"/>
  <c r="K41" i="15"/>
  <c r="D42" i="15"/>
  <c r="D43" i="15" s="1"/>
  <c r="J42" i="15"/>
  <c r="J43" i="15" s="1"/>
  <c r="K42" i="15"/>
  <c r="K43" i="15"/>
  <c r="D45" i="15"/>
  <c r="E45" i="15"/>
  <c r="J45" i="15"/>
  <c r="K45" i="15"/>
  <c r="D47" i="15"/>
  <c r="E47" i="15"/>
  <c r="J47" i="15"/>
  <c r="K47" i="15"/>
  <c r="M47" i="15"/>
  <c r="E47" i="39" s="1"/>
  <c r="D49" i="15"/>
  <c r="E49" i="15"/>
  <c r="J49" i="15"/>
  <c r="K49" i="15"/>
  <c r="D51" i="15"/>
  <c r="E51" i="15"/>
  <c r="H51" i="15"/>
  <c r="J51" i="15"/>
  <c r="K51" i="15"/>
  <c r="D54" i="15"/>
  <c r="E54" i="15"/>
  <c r="H54" i="15"/>
  <c r="I54" i="15"/>
  <c r="J54" i="15"/>
  <c r="D55" i="15"/>
  <c r="E55" i="15"/>
  <c r="J55" i="15"/>
  <c r="K55" i="15"/>
  <c r="D56" i="15"/>
  <c r="E56" i="15"/>
  <c r="J56" i="15"/>
  <c r="K56" i="15"/>
  <c r="D59" i="15"/>
  <c r="E59" i="15"/>
  <c r="J59" i="15"/>
  <c r="J61" i="15" s="1"/>
  <c r="K59" i="15"/>
  <c r="K61" i="15" s="1"/>
  <c r="D60" i="15"/>
  <c r="E60" i="15"/>
  <c r="J60" i="15"/>
  <c r="K60" i="15"/>
  <c r="D61" i="15"/>
  <c r="E61" i="15"/>
  <c r="D64" i="15"/>
  <c r="D66" i="15" s="1"/>
  <c r="E64" i="15"/>
  <c r="E66" i="15" s="1"/>
  <c r="J64" i="15"/>
  <c r="J66" i="15" s="1"/>
  <c r="K64" i="15"/>
  <c r="K66" i="15" s="1"/>
  <c r="D65" i="15"/>
  <c r="E65" i="15"/>
  <c r="H65" i="15"/>
  <c r="J65" i="15"/>
  <c r="K65" i="15"/>
  <c r="D70" i="15"/>
  <c r="E70" i="15"/>
  <c r="E72" i="15" s="1"/>
  <c r="J70" i="15"/>
  <c r="K70" i="15"/>
  <c r="D71" i="15"/>
  <c r="E71" i="15"/>
  <c r="J71" i="15"/>
  <c r="J72" i="15" s="1"/>
  <c r="K71" i="15"/>
  <c r="K72" i="15" s="1"/>
  <c r="D73" i="15"/>
  <c r="E73" i="15"/>
  <c r="I73" i="15"/>
  <c r="M73" i="15" s="1"/>
  <c r="J73" i="15"/>
  <c r="K73" i="15"/>
  <c r="D74" i="15"/>
  <c r="E74" i="15"/>
  <c r="J74" i="15"/>
  <c r="K74" i="15"/>
  <c r="D75" i="15"/>
  <c r="E75" i="15"/>
  <c r="J75" i="15"/>
  <c r="K75" i="15"/>
  <c r="D76" i="15"/>
  <c r="E76" i="15"/>
  <c r="H76" i="15"/>
  <c r="J76" i="15"/>
  <c r="K76" i="15"/>
  <c r="D77" i="15"/>
  <c r="E77" i="15"/>
  <c r="H77" i="15"/>
  <c r="I77" i="15"/>
  <c r="J77" i="15"/>
  <c r="K77" i="15"/>
  <c r="D78" i="15"/>
  <c r="E78" i="15"/>
  <c r="J78" i="15"/>
  <c r="K78" i="15"/>
  <c r="D79" i="15"/>
  <c r="E79" i="15"/>
  <c r="J79" i="15"/>
  <c r="K79" i="15"/>
  <c r="D80" i="15"/>
  <c r="E80" i="15"/>
  <c r="J80" i="15"/>
  <c r="K80" i="15"/>
  <c r="D81" i="15"/>
  <c r="E81" i="15"/>
  <c r="I81" i="15"/>
  <c r="M81" i="15" s="1"/>
  <c r="J81" i="15"/>
  <c r="K81" i="15"/>
  <c r="D86" i="15"/>
  <c r="D89" i="15" s="1"/>
  <c r="E86" i="15"/>
  <c r="I86" i="15"/>
  <c r="J86" i="15"/>
  <c r="J89" i="15" s="1"/>
  <c r="K86" i="15"/>
  <c r="D87" i="15"/>
  <c r="E87" i="15"/>
  <c r="J87" i="15"/>
  <c r="K87" i="15"/>
  <c r="D88" i="15"/>
  <c r="E88" i="15"/>
  <c r="J88" i="15"/>
  <c r="K88" i="15"/>
  <c r="E89" i="15"/>
  <c r="K89" i="15"/>
  <c r="A5" i="27"/>
  <c r="H8" i="27"/>
  <c r="J8" i="27"/>
  <c r="L8" i="27"/>
  <c r="N8" i="27"/>
  <c r="P8" i="27"/>
  <c r="R8" i="27"/>
  <c r="T8" i="27"/>
  <c r="F11" i="27"/>
  <c r="G11" i="27"/>
  <c r="R11" i="27"/>
  <c r="X11" i="27"/>
  <c r="Y11" i="27"/>
  <c r="AF11" i="27"/>
  <c r="AG11" i="27"/>
  <c r="AH11" i="27"/>
  <c r="AI11" i="27"/>
  <c r="AJ11" i="27"/>
  <c r="AK11" i="27"/>
  <c r="F12" i="27"/>
  <c r="G12" i="27"/>
  <c r="N12" i="27"/>
  <c r="O12" i="27"/>
  <c r="AF12" i="27"/>
  <c r="AG12" i="27"/>
  <c r="AH12" i="27"/>
  <c r="AI12" i="27"/>
  <c r="AJ12" i="27"/>
  <c r="AK12" i="27"/>
  <c r="F13" i="27"/>
  <c r="G13" i="27"/>
  <c r="S13" i="27"/>
  <c r="T13" i="27"/>
  <c r="U13" i="27"/>
  <c r="AF13" i="27"/>
  <c r="AG13" i="27"/>
  <c r="AH13" i="27"/>
  <c r="AI13" i="27"/>
  <c r="AJ13" i="27"/>
  <c r="AK13" i="27"/>
  <c r="F14" i="27"/>
  <c r="G14" i="27"/>
  <c r="Z14" i="27"/>
  <c r="AF14" i="27"/>
  <c r="AG14" i="27"/>
  <c r="AH14" i="27"/>
  <c r="AI14" i="27"/>
  <c r="AJ14" i="27"/>
  <c r="AK14" i="27"/>
  <c r="F15" i="27"/>
  <c r="G15" i="27"/>
  <c r="O15" i="27"/>
  <c r="P15" i="27"/>
  <c r="Q15" i="27"/>
  <c r="AF15" i="27"/>
  <c r="AG15" i="27"/>
  <c r="AH15" i="27"/>
  <c r="AI15" i="27"/>
  <c r="AJ15" i="27"/>
  <c r="AK15" i="27"/>
  <c r="F16" i="27"/>
  <c r="AK16" i="27"/>
  <c r="F19" i="27"/>
  <c r="G19" i="27"/>
  <c r="S19" i="27"/>
  <c r="T19" i="27"/>
  <c r="AF19" i="27"/>
  <c r="AG19" i="27"/>
  <c r="AH19" i="27"/>
  <c r="AI19" i="27"/>
  <c r="AJ19" i="27"/>
  <c r="AK19" i="27"/>
  <c r="F20" i="27"/>
  <c r="G20" i="27"/>
  <c r="I20" i="27"/>
  <c r="J20" i="27"/>
  <c r="T20" i="27"/>
  <c r="Y20" i="27"/>
  <c r="Z20" i="27"/>
  <c r="AF20" i="27"/>
  <c r="AG20" i="27"/>
  <c r="AH20" i="27"/>
  <c r="AI20" i="27"/>
  <c r="AI24" i="27" s="1"/>
  <c r="AJ20" i="27"/>
  <c r="AJ24" i="27" s="1"/>
  <c r="AK20" i="27"/>
  <c r="F21" i="27"/>
  <c r="G21" i="27"/>
  <c r="O21" i="27"/>
  <c r="P21" i="27"/>
  <c r="AE21" i="27"/>
  <c r="AF21" i="27"/>
  <c r="AF24" i="27" s="1"/>
  <c r="AG21" i="27"/>
  <c r="AG24" i="27" s="1"/>
  <c r="AH21" i="27"/>
  <c r="AI21" i="27"/>
  <c r="AJ21" i="27"/>
  <c r="AK21" i="27"/>
  <c r="F22" i="27"/>
  <c r="G22" i="27"/>
  <c r="H22" i="27"/>
  <c r="U22" i="27"/>
  <c r="V22" i="27"/>
  <c r="AF22" i="27"/>
  <c r="AG22" i="27"/>
  <c r="AH22" i="27"/>
  <c r="AI22" i="27"/>
  <c r="AJ22" i="27"/>
  <c r="AK22" i="27"/>
  <c r="F23" i="27"/>
  <c r="G23" i="27"/>
  <c r="K23" i="27"/>
  <c r="L23" i="27"/>
  <c r="M23" i="27"/>
  <c r="AA23" i="27"/>
  <c r="AB23" i="27"/>
  <c r="AF23" i="27"/>
  <c r="AG23" i="27"/>
  <c r="AH23" i="27"/>
  <c r="AI23" i="27"/>
  <c r="AJ23" i="27"/>
  <c r="AK23" i="27"/>
  <c r="AH24" i="27"/>
  <c r="F27" i="27"/>
  <c r="G27" i="27"/>
  <c r="O27" i="27"/>
  <c r="AE27" i="27"/>
  <c r="AF27" i="27"/>
  <c r="AF29" i="27" s="1"/>
  <c r="AG27" i="27"/>
  <c r="AG29" i="27" s="1"/>
  <c r="AH27" i="27"/>
  <c r="AH29" i="27" s="1"/>
  <c r="AI27" i="27"/>
  <c r="AJ27" i="27"/>
  <c r="AK27" i="27"/>
  <c r="F28" i="27"/>
  <c r="G28" i="27"/>
  <c r="U28" i="27"/>
  <c r="V28" i="27"/>
  <c r="W28" i="27"/>
  <c r="AF28" i="27"/>
  <c r="AG28" i="27"/>
  <c r="AH28" i="27"/>
  <c r="AI28" i="27"/>
  <c r="AJ28" i="27"/>
  <c r="AK28" i="27"/>
  <c r="AI29" i="27"/>
  <c r="AJ29" i="27"/>
  <c r="AK29" i="27"/>
  <c r="F32" i="27"/>
  <c r="G32" i="27"/>
  <c r="I32" i="27"/>
  <c r="Y32" i="27"/>
  <c r="AF32" i="27"/>
  <c r="AG32" i="27"/>
  <c r="AH32" i="27"/>
  <c r="AI32" i="27"/>
  <c r="AI36" i="27" s="1"/>
  <c r="AJ32" i="27"/>
  <c r="AK32" i="27"/>
  <c r="F33" i="27"/>
  <c r="G33" i="27"/>
  <c r="O33" i="27"/>
  <c r="P33" i="27"/>
  <c r="AE33" i="27"/>
  <c r="AF33" i="27"/>
  <c r="AF36" i="27" s="1"/>
  <c r="AG33" i="27"/>
  <c r="AG36" i="27" s="1"/>
  <c r="AH33" i="27"/>
  <c r="AI33" i="27"/>
  <c r="AJ33" i="27"/>
  <c r="AK33" i="27"/>
  <c r="F34" i="27"/>
  <c r="G34" i="27"/>
  <c r="U34" i="27"/>
  <c r="V34" i="27"/>
  <c r="W34" i="27"/>
  <c r="X34" i="27"/>
  <c r="AF34" i="27"/>
  <c r="AG34" i="27"/>
  <c r="AH34" i="27"/>
  <c r="AI34" i="27"/>
  <c r="AJ34" i="27"/>
  <c r="AK34" i="27"/>
  <c r="F35" i="27"/>
  <c r="G35" i="27"/>
  <c r="K35" i="27"/>
  <c r="L35" i="27"/>
  <c r="AA35" i="27"/>
  <c r="AB35" i="27"/>
  <c r="AC35" i="27"/>
  <c r="AF35" i="27"/>
  <c r="AG35" i="27"/>
  <c r="AH35" i="27"/>
  <c r="AI35" i="27"/>
  <c r="AJ35" i="27"/>
  <c r="AK35" i="27"/>
  <c r="AH36" i="27"/>
  <c r="AJ36" i="27"/>
  <c r="F39" i="27"/>
  <c r="G39" i="27"/>
  <c r="O39" i="27"/>
  <c r="P39" i="27"/>
  <c r="Q39" i="27"/>
  <c r="AE39" i="27"/>
  <c r="AF39" i="27"/>
  <c r="AG39" i="27"/>
  <c r="AH39" i="27"/>
  <c r="AI39" i="27"/>
  <c r="AJ39" i="27"/>
  <c r="AK39" i="27"/>
  <c r="F40" i="27"/>
  <c r="G40" i="27"/>
  <c r="U40" i="27"/>
  <c r="AF40" i="27"/>
  <c r="AF42" i="27" s="1"/>
  <c r="AG40" i="27"/>
  <c r="AH40" i="27"/>
  <c r="AI40" i="27"/>
  <c r="AJ40" i="27"/>
  <c r="AK40" i="27"/>
  <c r="F41" i="27"/>
  <c r="G41" i="27"/>
  <c r="K41" i="27"/>
  <c r="L41" i="27"/>
  <c r="AA41" i="27"/>
  <c r="AF41" i="27"/>
  <c r="AG41" i="27"/>
  <c r="AH41" i="27"/>
  <c r="AI41" i="27"/>
  <c r="AJ41" i="27"/>
  <c r="AJ42" i="27" s="1"/>
  <c r="AJ43" i="27" s="1"/>
  <c r="AK41" i="27"/>
  <c r="AG42" i="27"/>
  <c r="AH42" i="27"/>
  <c r="AI42" i="27"/>
  <c r="AI43" i="27" s="1"/>
  <c r="AF43" i="27"/>
  <c r="AG43" i="27"/>
  <c r="AH43" i="27"/>
  <c r="F45" i="27"/>
  <c r="G45" i="27"/>
  <c r="M45" i="27"/>
  <c r="N45" i="27"/>
  <c r="O45" i="27"/>
  <c r="P45" i="27"/>
  <c r="AC45" i="27"/>
  <c r="AD45" i="27"/>
  <c r="AF45" i="27"/>
  <c r="AG45" i="27"/>
  <c r="AH45" i="27"/>
  <c r="AI45" i="27"/>
  <c r="AJ45" i="27"/>
  <c r="AK45" i="27"/>
  <c r="F47" i="27"/>
  <c r="G47" i="27"/>
  <c r="S47" i="27"/>
  <c r="T47" i="27"/>
  <c r="U47" i="27"/>
  <c r="AF47" i="27"/>
  <c r="AG47" i="27"/>
  <c r="AH47" i="27"/>
  <c r="AI47" i="27"/>
  <c r="AJ47" i="27"/>
  <c r="AK47" i="27"/>
  <c r="F49" i="27"/>
  <c r="G49" i="27"/>
  <c r="I49" i="27"/>
  <c r="J49" i="27"/>
  <c r="Y49" i="27"/>
  <c r="Z49" i="27"/>
  <c r="AF49" i="27"/>
  <c r="AG49" i="27"/>
  <c r="AH49" i="27"/>
  <c r="AI49" i="27"/>
  <c r="AJ49" i="27"/>
  <c r="AK49" i="27"/>
  <c r="D50" i="27"/>
  <c r="E50" i="27"/>
  <c r="F51" i="27"/>
  <c r="G51" i="27"/>
  <c r="H51" i="27"/>
  <c r="M51" i="27"/>
  <c r="AC51" i="27"/>
  <c r="AF51" i="27"/>
  <c r="AG51" i="27"/>
  <c r="AH51" i="27"/>
  <c r="AI51" i="27"/>
  <c r="AJ51" i="27"/>
  <c r="AK51" i="27"/>
  <c r="D52" i="27"/>
  <c r="E52" i="27"/>
  <c r="F54" i="27"/>
  <c r="G54" i="27"/>
  <c r="I54" i="27"/>
  <c r="J54" i="27"/>
  <c r="Y54" i="27"/>
  <c r="AB54" i="27"/>
  <c r="AF54" i="27"/>
  <c r="AG54" i="27"/>
  <c r="AH54" i="27"/>
  <c r="AI54" i="27"/>
  <c r="AI56" i="27" s="1"/>
  <c r="AJ54" i="27"/>
  <c r="AJ56" i="27" s="1"/>
  <c r="AK54" i="27"/>
  <c r="F55" i="27"/>
  <c r="G55" i="27"/>
  <c r="W55" i="27"/>
  <c r="AF55" i="27"/>
  <c r="AF56" i="27" s="1"/>
  <c r="AG55" i="27"/>
  <c r="AH55" i="27"/>
  <c r="AI55" i="27"/>
  <c r="AJ55" i="27"/>
  <c r="AK55" i="27"/>
  <c r="F56" i="27"/>
  <c r="AK56" i="27"/>
  <c r="F59" i="27"/>
  <c r="G59" i="27"/>
  <c r="K59" i="27"/>
  <c r="T59" i="27"/>
  <c r="AA59" i="27"/>
  <c r="AF59" i="27"/>
  <c r="AG59" i="27"/>
  <c r="AH59" i="27"/>
  <c r="AI59" i="27"/>
  <c r="AI61" i="27" s="1"/>
  <c r="AJ59" i="27"/>
  <c r="AJ61" i="27" s="1"/>
  <c r="AK59" i="27"/>
  <c r="AK61" i="27" s="1"/>
  <c r="F60" i="27"/>
  <c r="G60" i="27"/>
  <c r="I60" i="27"/>
  <c r="J60" i="27"/>
  <c r="K60" i="27"/>
  <c r="Y60" i="27"/>
  <c r="Z60" i="27"/>
  <c r="AF60" i="27"/>
  <c r="AG60" i="27"/>
  <c r="AH60" i="27"/>
  <c r="AI60" i="27"/>
  <c r="AJ60" i="27"/>
  <c r="AK60" i="27"/>
  <c r="G61" i="27"/>
  <c r="AF61" i="27"/>
  <c r="AG61" i="27"/>
  <c r="AH61" i="27"/>
  <c r="F64" i="27"/>
  <c r="G64" i="27"/>
  <c r="G66" i="27" s="1"/>
  <c r="P64" i="27"/>
  <c r="U64" i="27"/>
  <c r="AF64" i="27"/>
  <c r="AF66" i="27" s="1"/>
  <c r="AG64" i="27"/>
  <c r="AH64" i="27"/>
  <c r="AI64" i="27"/>
  <c r="AJ64" i="27"/>
  <c r="AK64" i="27"/>
  <c r="AK66" i="27" s="1"/>
  <c r="F65" i="27"/>
  <c r="G65" i="27"/>
  <c r="K65" i="27"/>
  <c r="AA65" i="27"/>
  <c r="AF65" i="27"/>
  <c r="AG65" i="27"/>
  <c r="AH65" i="27"/>
  <c r="AI65" i="27"/>
  <c r="AI66" i="27" s="1"/>
  <c r="AJ65" i="27"/>
  <c r="AJ66" i="27" s="1"/>
  <c r="AK65" i="27"/>
  <c r="AB66" i="27"/>
  <c r="AG66" i="27"/>
  <c r="AH66" i="27"/>
  <c r="F70" i="27"/>
  <c r="G70" i="27"/>
  <c r="O70" i="27"/>
  <c r="AE70" i="27"/>
  <c r="AF70" i="27"/>
  <c r="AG70" i="27"/>
  <c r="AG72" i="27" s="1"/>
  <c r="AH70" i="27"/>
  <c r="AH72" i="27" s="1"/>
  <c r="AI70" i="27"/>
  <c r="AJ70" i="27"/>
  <c r="AK70" i="27"/>
  <c r="F71" i="27"/>
  <c r="G71" i="27"/>
  <c r="U71" i="27"/>
  <c r="V71" i="27"/>
  <c r="AF71" i="27"/>
  <c r="AG71" i="27"/>
  <c r="AH71" i="27"/>
  <c r="AI71" i="27"/>
  <c r="AJ71" i="27"/>
  <c r="AK71" i="27"/>
  <c r="AI72" i="27"/>
  <c r="AJ72" i="27"/>
  <c r="AK72" i="27"/>
  <c r="F73" i="27"/>
  <c r="G73" i="27"/>
  <c r="Q73" i="27"/>
  <c r="R73" i="27"/>
  <c r="AF73" i="27"/>
  <c r="AG73" i="27"/>
  <c r="AH73" i="27"/>
  <c r="AI73" i="27"/>
  <c r="AJ73" i="27"/>
  <c r="AK73" i="27"/>
  <c r="F74" i="27"/>
  <c r="H74" i="27"/>
  <c r="J74" i="27"/>
  <c r="O74" i="27"/>
  <c r="X74" i="27"/>
  <c r="Y74" i="27"/>
  <c r="AE74" i="27"/>
  <c r="AF74" i="27"/>
  <c r="AG74" i="27"/>
  <c r="AH74" i="27"/>
  <c r="AI74" i="27"/>
  <c r="AJ74" i="27"/>
  <c r="AK74" i="27"/>
  <c r="F75" i="27"/>
  <c r="G75" i="27"/>
  <c r="U75" i="27"/>
  <c r="AF75" i="27"/>
  <c r="AG75" i="27"/>
  <c r="AH75" i="27"/>
  <c r="AI75" i="27"/>
  <c r="AJ75" i="27"/>
  <c r="AK75" i="27"/>
  <c r="F76" i="27"/>
  <c r="G76" i="27"/>
  <c r="K76" i="27"/>
  <c r="AA76" i="27"/>
  <c r="AF76" i="27"/>
  <c r="AG76" i="27"/>
  <c r="AH76" i="27"/>
  <c r="AI76" i="27"/>
  <c r="AJ76" i="27"/>
  <c r="AK76" i="27"/>
  <c r="F77" i="27"/>
  <c r="G77" i="27"/>
  <c r="I77" i="27"/>
  <c r="L77" i="27"/>
  <c r="Y77" i="27"/>
  <c r="Z77" i="27"/>
  <c r="AF77" i="27"/>
  <c r="AG77" i="27"/>
  <c r="AH77" i="27"/>
  <c r="AI77" i="27"/>
  <c r="AJ77" i="27"/>
  <c r="AK77" i="27"/>
  <c r="F78" i="27"/>
  <c r="G78" i="27"/>
  <c r="W78" i="27"/>
  <c r="AF78" i="27"/>
  <c r="AG78" i="27"/>
  <c r="AH78" i="27"/>
  <c r="AI78" i="27"/>
  <c r="AJ78" i="27"/>
  <c r="AK78" i="27"/>
  <c r="F79" i="27"/>
  <c r="G79" i="27"/>
  <c r="M79" i="27"/>
  <c r="N79" i="27"/>
  <c r="AC79" i="27"/>
  <c r="AD79" i="27"/>
  <c r="AF79" i="27"/>
  <c r="AG79" i="27"/>
  <c r="AH79" i="27"/>
  <c r="AI79" i="27"/>
  <c r="AJ79" i="27"/>
  <c r="AK79" i="27"/>
  <c r="F80" i="27"/>
  <c r="G80" i="27"/>
  <c r="L80" i="27"/>
  <c r="M80" i="27"/>
  <c r="S80" i="27"/>
  <c r="AB80" i="27"/>
  <c r="AF80" i="27"/>
  <c r="AG80" i="27"/>
  <c r="AH80" i="27"/>
  <c r="AI80" i="27"/>
  <c r="AJ80" i="27"/>
  <c r="AK80" i="27"/>
  <c r="F81" i="27"/>
  <c r="G81" i="27"/>
  <c r="Q81" i="27"/>
  <c r="R81" i="27"/>
  <c r="S81" i="27"/>
  <c r="AF81" i="27"/>
  <c r="AG81" i="27"/>
  <c r="AH81" i="27"/>
  <c r="AI81" i="27"/>
  <c r="AJ81" i="27"/>
  <c r="AK81" i="27"/>
  <c r="F86" i="27"/>
  <c r="G86" i="27"/>
  <c r="H86" i="27"/>
  <c r="H89" i="27" s="1"/>
  <c r="J86" i="27"/>
  <c r="L86" i="27"/>
  <c r="N86" i="27"/>
  <c r="P86" i="27"/>
  <c r="P89" i="27" s="1"/>
  <c r="R86" i="27"/>
  <c r="T86" i="27"/>
  <c r="U86" i="27"/>
  <c r="U89" i="27" s="1"/>
  <c r="V86" i="27"/>
  <c r="V89" i="27" s="1"/>
  <c r="X86" i="27"/>
  <c r="Z86" i="27"/>
  <c r="AB86" i="27"/>
  <c r="AD86" i="27"/>
  <c r="AD89" i="27" s="1"/>
  <c r="AF86" i="27"/>
  <c r="AF89" i="27" s="1"/>
  <c r="AG86" i="27"/>
  <c r="AH86" i="27"/>
  <c r="AI86" i="27"/>
  <c r="AJ86" i="27"/>
  <c r="AK86" i="27"/>
  <c r="AK89" i="27" s="1"/>
  <c r="F87" i="27"/>
  <c r="D87" i="27" s="1"/>
  <c r="F87" i="39" s="1"/>
  <c r="G87" i="27"/>
  <c r="H87" i="27"/>
  <c r="J87" i="27"/>
  <c r="L87" i="27"/>
  <c r="L89" i="27" s="1"/>
  <c r="N87" i="27"/>
  <c r="P87" i="27"/>
  <c r="R87" i="27"/>
  <c r="T87" i="27"/>
  <c r="V87" i="27"/>
  <c r="X87" i="27"/>
  <c r="Z87" i="27"/>
  <c r="AB87" i="27"/>
  <c r="AD87" i="27"/>
  <c r="AF87" i="27"/>
  <c r="AG87" i="27"/>
  <c r="AH87" i="27"/>
  <c r="AI87" i="27"/>
  <c r="AI89" i="27" s="1"/>
  <c r="AJ87" i="27"/>
  <c r="AJ89" i="27" s="1"/>
  <c r="AK87" i="27"/>
  <c r="F88" i="27"/>
  <c r="G88" i="27"/>
  <c r="H88" i="27"/>
  <c r="J88" i="27"/>
  <c r="D88" i="27" s="1"/>
  <c r="F88" i="39" s="1"/>
  <c r="L88" i="27"/>
  <c r="N88" i="27"/>
  <c r="P88" i="27"/>
  <c r="R88" i="27"/>
  <c r="R89" i="27" s="1"/>
  <c r="S88" i="27"/>
  <c r="T88" i="27"/>
  <c r="V88" i="27"/>
  <c r="X88" i="27"/>
  <c r="Z88" i="27"/>
  <c r="AB88" i="27"/>
  <c r="AD88" i="27"/>
  <c r="AF88" i="27"/>
  <c r="AG88" i="27"/>
  <c r="AG89" i="27" s="1"/>
  <c r="AH88" i="27"/>
  <c r="AI88" i="27"/>
  <c r="AJ88" i="27"/>
  <c r="AK88" i="27"/>
  <c r="G89" i="27"/>
  <c r="X89" i="27"/>
  <c r="Z89" i="27"/>
  <c r="AH89" i="27"/>
  <c r="A4" i="39"/>
  <c r="A5" i="39"/>
  <c r="E73" i="39"/>
  <c r="E81" i="39"/>
  <c r="A4" i="13"/>
  <c r="A5" i="13"/>
  <c r="H11" i="13"/>
  <c r="F11" i="13" s="1"/>
  <c r="I11" i="13"/>
  <c r="K11" i="13"/>
  <c r="K16" i="13" s="1"/>
  <c r="L11" i="13"/>
  <c r="M11" i="13"/>
  <c r="F12" i="13"/>
  <c r="H12" i="13"/>
  <c r="I12" i="13"/>
  <c r="G12" i="13" s="1"/>
  <c r="L12" i="13"/>
  <c r="D12" i="37" s="1"/>
  <c r="M12" i="13"/>
  <c r="E12" i="37" s="1"/>
  <c r="F13" i="13"/>
  <c r="G13" i="13"/>
  <c r="H13" i="13"/>
  <c r="L13" i="13" s="1"/>
  <c r="D13" i="37" s="1"/>
  <c r="I13" i="13"/>
  <c r="M13" i="13"/>
  <c r="H14" i="13"/>
  <c r="F14" i="13" s="1"/>
  <c r="I14" i="13"/>
  <c r="H15" i="13"/>
  <c r="I15" i="13"/>
  <c r="M15" i="13"/>
  <c r="J16" i="13"/>
  <c r="H18" i="13"/>
  <c r="I18" i="13"/>
  <c r="H19" i="13"/>
  <c r="I19" i="13"/>
  <c r="F20" i="13"/>
  <c r="H20" i="13"/>
  <c r="I20" i="13"/>
  <c r="I20" i="15" s="1"/>
  <c r="G20" i="15" s="1"/>
  <c r="L20" i="13"/>
  <c r="M20" i="13"/>
  <c r="E20" i="37" s="1"/>
  <c r="F21" i="13"/>
  <c r="G21" i="13"/>
  <c r="H21" i="13"/>
  <c r="I21" i="13"/>
  <c r="H22" i="13"/>
  <c r="I22" i="13"/>
  <c r="H23" i="13"/>
  <c r="I23" i="13"/>
  <c r="G23" i="13" s="1"/>
  <c r="M23" i="13"/>
  <c r="E23" i="37" s="1"/>
  <c r="J24" i="13"/>
  <c r="K24" i="13"/>
  <c r="F27" i="13"/>
  <c r="H27" i="13"/>
  <c r="I27" i="13"/>
  <c r="G27" i="13" s="1"/>
  <c r="L27" i="13"/>
  <c r="M27" i="13"/>
  <c r="F28" i="13"/>
  <c r="F29" i="13" s="1"/>
  <c r="G28" i="13"/>
  <c r="G29" i="13" s="1"/>
  <c r="H28" i="13"/>
  <c r="L28" i="13" s="1"/>
  <c r="D28" i="37" s="1"/>
  <c r="I28" i="13"/>
  <c r="M28" i="13" s="1"/>
  <c r="E28" i="37" s="1"/>
  <c r="H29" i="13"/>
  <c r="I29" i="13"/>
  <c r="J29" i="13"/>
  <c r="K29" i="13"/>
  <c r="F32" i="13"/>
  <c r="G32" i="13"/>
  <c r="H32" i="13"/>
  <c r="I32" i="13"/>
  <c r="H33" i="13"/>
  <c r="I33" i="13"/>
  <c r="L33" i="13"/>
  <c r="D33" i="37" s="1"/>
  <c r="M33" i="13"/>
  <c r="E33" i="37" s="1"/>
  <c r="G34" i="13"/>
  <c r="H34" i="13"/>
  <c r="F34" i="13" s="1"/>
  <c r="I34" i="13"/>
  <c r="L34" i="13"/>
  <c r="D34" i="37" s="1"/>
  <c r="M34" i="13"/>
  <c r="E34" i="37" s="1"/>
  <c r="F35" i="13"/>
  <c r="G35" i="13"/>
  <c r="H35" i="13"/>
  <c r="L35" i="13" s="1"/>
  <c r="D35" i="37" s="1"/>
  <c r="I35" i="13"/>
  <c r="M35" i="13" s="1"/>
  <c r="E35" i="37" s="1"/>
  <c r="J36" i="13"/>
  <c r="K36" i="13"/>
  <c r="L37" i="13"/>
  <c r="M37" i="13"/>
  <c r="H38" i="13"/>
  <c r="I38" i="13"/>
  <c r="G39" i="13"/>
  <c r="H39" i="13"/>
  <c r="F39" i="13" s="1"/>
  <c r="I39" i="13"/>
  <c r="L39" i="13"/>
  <c r="D39" i="37" s="1"/>
  <c r="M39" i="13"/>
  <c r="E39" i="37" s="1"/>
  <c r="F40" i="13"/>
  <c r="G40" i="13"/>
  <c r="H40" i="13"/>
  <c r="L40" i="13" s="1"/>
  <c r="I40" i="13"/>
  <c r="M40" i="13" s="1"/>
  <c r="H41" i="13"/>
  <c r="I41" i="13"/>
  <c r="H42" i="13"/>
  <c r="H43" i="13" s="1"/>
  <c r="I42" i="13"/>
  <c r="I43" i="13" s="1"/>
  <c r="J42" i="13"/>
  <c r="K42" i="13"/>
  <c r="J43" i="13"/>
  <c r="K43" i="13"/>
  <c r="H45" i="13"/>
  <c r="I45" i="13"/>
  <c r="H47" i="13"/>
  <c r="I47" i="13"/>
  <c r="I47" i="15" s="1"/>
  <c r="G47" i="15" s="1"/>
  <c r="L47" i="13"/>
  <c r="D47" i="37" s="1"/>
  <c r="M47" i="13"/>
  <c r="E47" i="37" s="1"/>
  <c r="F49" i="13"/>
  <c r="G49" i="13"/>
  <c r="H49" i="13"/>
  <c r="I49" i="13"/>
  <c r="M49" i="13"/>
  <c r="H51" i="13"/>
  <c r="I51" i="13"/>
  <c r="M51" i="13" s="1"/>
  <c r="E51" i="37" s="1"/>
  <c r="H54" i="13"/>
  <c r="I54" i="13"/>
  <c r="K54" i="13"/>
  <c r="K54" i="15" s="1"/>
  <c r="H55" i="13"/>
  <c r="F55" i="13" s="1"/>
  <c r="I55" i="13"/>
  <c r="L55" i="13"/>
  <c r="D55" i="37" s="1"/>
  <c r="M55" i="13"/>
  <c r="E55" i="37" s="1"/>
  <c r="J56" i="13"/>
  <c r="K56" i="13"/>
  <c r="F59" i="13"/>
  <c r="H59" i="13"/>
  <c r="I59" i="13"/>
  <c r="G59" i="13" s="1"/>
  <c r="G61" i="13" s="1"/>
  <c r="L59" i="13"/>
  <c r="L61" i="13" s="1"/>
  <c r="M59" i="13"/>
  <c r="G60" i="13"/>
  <c r="H60" i="13"/>
  <c r="L60" i="13" s="1"/>
  <c r="D60" i="37" s="1"/>
  <c r="I60" i="13"/>
  <c r="M60" i="13" s="1"/>
  <c r="E60" i="37" s="1"/>
  <c r="H61" i="13"/>
  <c r="I61" i="13"/>
  <c r="J61" i="13"/>
  <c r="K61" i="13"/>
  <c r="H64" i="13"/>
  <c r="I64" i="13"/>
  <c r="L64" i="13"/>
  <c r="D64" i="37" s="1"/>
  <c r="H65" i="13"/>
  <c r="F65" i="13" s="1"/>
  <c r="I65" i="13"/>
  <c r="L65" i="13"/>
  <c r="J66" i="13"/>
  <c r="K66" i="13"/>
  <c r="L66" i="13"/>
  <c r="L69" i="13"/>
  <c r="M69" i="13"/>
  <c r="H70" i="13"/>
  <c r="F70" i="13" s="1"/>
  <c r="I70" i="13"/>
  <c r="L70" i="13"/>
  <c r="M70" i="13"/>
  <c r="F71" i="13"/>
  <c r="F72" i="13" s="1"/>
  <c r="G71" i="13"/>
  <c r="H71" i="13"/>
  <c r="I71" i="13"/>
  <c r="L71" i="13"/>
  <c r="M71" i="13"/>
  <c r="H72" i="13"/>
  <c r="J72" i="13"/>
  <c r="K72" i="13"/>
  <c r="G73" i="13"/>
  <c r="H73" i="13"/>
  <c r="L73" i="13" s="1"/>
  <c r="D73" i="37" s="1"/>
  <c r="I73" i="13"/>
  <c r="M73" i="13" s="1"/>
  <c r="E73" i="37" s="1"/>
  <c r="H74" i="13"/>
  <c r="I74" i="13"/>
  <c r="H75" i="13"/>
  <c r="F75" i="13" s="1"/>
  <c r="I75" i="13"/>
  <c r="L75" i="13"/>
  <c r="M75" i="13"/>
  <c r="F76" i="13"/>
  <c r="H76" i="13"/>
  <c r="I76" i="13"/>
  <c r="G76" i="13" s="1"/>
  <c r="L76" i="13"/>
  <c r="M76" i="13"/>
  <c r="G77" i="13"/>
  <c r="H77" i="13"/>
  <c r="I77" i="13"/>
  <c r="M77" i="13" s="1"/>
  <c r="E77" i="37" s="1"/>
  <c r="G78" i="13"/>
  <c r="H78" i="13"/>
  <c r="I78" i="13"/>
  <c r="H79" i="13"/>
  <c r="F79" i="13" s="1"/>
  <c r="I79" i="13"/>
  <c r="L79" i="13"/>
  <c r="M79" i="13"/>
  <c r="E79" i="37" s="1"/>
  <c r="F80" i="13"/>
  <c r="H80" i="13"/>
  <c r="I80" i="13"/>
  <c r="G80" i="13" s="1"/>
  <c r="L80" i="13"/>
  <c r="M80" i="13"/>
  <c r="G81" i="13"/>
  <c r="H81" i="13"/>
  <c r="I81" i="13"/>
  <c r="M81" i="13" s="1"/>
  <c r="E81" i="37" s="1"/>
  <c r="D82" i="13"/>
  <c r="E82" i="13"/>
  <c r="E91" i="13" s="1"/>
  <c r="F86" i="13"/>
  <c r="G86" i="13"/>
  <c r="H86" i="13"/>
  <c r="L86" i="13" s="1"/>
  <c r="I86" i="13"/>
  <c r="M86" i="13"/>
  <c r="H87" i="13"/>
  <c r="H87" i="15" s="1"/>
  <c r="I87" i="13"/>
  <c r="M87" i="13" s="1"/>
  <c r="E87" i="37" s="1"/>
  <c r="E87" i="5" s="1"/>
  <c r="H88" i="13"/>
  <c r="I88" i="13"/>
  <c r="M88" i="13"/>
  <c r="E88" i="37" s="1"/>
  <c r="D89" i="13"/>
  <c r="E89" i="13"/>
  <c r="J89" i="13"/>
  <c r="K89" i="13"/>
  <c r="D91" i="13"/>
  <c r="A5" i="25"/>
  <c r="H8" i="25"/>
  <c r="J8" i="25"/>
  <c r="L8" i="25"/>
  <c r="N8" i="25"/>
  <c r="P8" i="25"/>
  <c r="R8" i="25"/>
  <c r="T8" i="25"/>
  <c r="F11" i="25"/>
  <c r="G11" i="25"/>
  <c r="H11" i="25"/>
  <c r="I11" i="25"/>
  <c r="J11" i="25"/>
  <c r="K11" i="25"/>
  <c r="K11" i="27" s="1"/>
  <c r="L11" i="25"/>
  <c r="L11" i="27" s="1"/>
  <c r="M11" i="25"/>
  <c r="N11" i="25"/>
  <c r="O11" i="25"/>
  <c r="P11" i="25"/>
  <c r="Q11" i="25"/>
  <c r="R11" i="25"/>
  <c r="S11" i="25"/>
  <c r="S11" i="27" s="1"/>
  <c r="T11" i="25"/>
  <c r="U11" i="25"/>
  <c r="U11" i="27" s="1"/>
  <c r="V11" i="25"/>
  <c r="W11" i="25"/>
  <c r="X11" i="25"/>
  <c r="Y11" i="25"/>
  <c r="Z11" i="25"/>
  <c r="AA11" i="25"/>
  <c r="AA11" i="27" s="1"/>
  <c r="AB11" i="25"/>
  <c r="AB11" i="27" s="1"/>
  <c r="AC11" i="25"/>
  <c r="AD11" i="25"/>
  <c r="AE11" i="25"/>
  <c r="AF11" i="25"/>
  <c r="AG11" i="25"/>
  <c r="AH11" i="25"/>
  <c r="AI11" i="25"/>
  <c r="AJ11" i="25"/>
  <c r="AJ16" i="25" s="1"/>
  <c r="AK11" i="25"/>
  <c r="F12" i="25"/>
  <c r="H12" i="25"/>
  <c r="I12" i="25"/>
  <c r="I12" i="27" s="1"/>
  <c r="J12" i="25"/>
  <c r="J16" i="25" s="1"/>
  <c r="K12" i="25"/>
  <c r="K12" i="27" s="1"/>
  <c r="L12" i="25"/>
  <c r="L12" i="27" s="1"/>
  <c r="M12" i="25"/>
  <c r="N12" i="25"/>
  <c r="O12" i="25"/>
  <c r="P12" i="25"/>
  <c r="Q12" i="25"/>
  <c r="Q12" i="27" s="1"/>
  <c r="R12" i="25"/>
  <c r="S12" i="25"/>
  <c r="T12" i="25"/>
  <c r="T12" i="27" s="1"/>
  <c r="U12" i="25"/>
  <c r="V12" i="25"/>
  <c r="W12" i="25"/>
  <c r="X12" i="25"/>
  <c r="Y12" i="25"/>
  <c r="Y12" i="27" s="1"/>
  <c r="Z12" i="25"/>
  <c r="Z12" i="27" s="1"/>
  <c r="AA12" i="25"/>
  <c r="AA12" i="27" s="1"/>
  <c r="AB12" i="25"/>
  <c r="AB12" i="27" s="1"/>
  <c r="AC12" i="25"/>
  <c r="AD12" i="25"/>
  <c r="AE12" i="25"/>
  <c r="AF12" i="25"/>
  <c r="AG12" i="25"/>
  <c r="AH12" i="25"/>
  <c r="AI12" i="25"/>
  <c r="AJ12" i="25"/>
  <c r="AK12" i="25"/>
  <c r="F13" i="25"/>
  <c r="G13" i="25"/>
  <c r="H13" i="25"/>
  <c r="I13" i="25"/>
  <c r="J13" i="25"/>
  <c r="J13" i="27" s="1"/>
  <c r="K13" i="25"/>
  <c r="L13" i="25"/>
  <c r="M13" i="25"/>
  <c r="N13" i="25"/>
  <c r="O13" i="25"/>
  <c r="O13" i="27" s="1"/>
  <c r="P13" i="25"/>
  <c r="Q13" i="25"/>
  <c r="R13" i="25"/>
  <c r="R13" i="27" s="1"/>
  <c r="S13" i="25"/>
  <c r="T13" i="25"/>
  <c r="U13" i="25"/>
  <c r="V13" i="25"/>
  <c r="W13" i="25"/>
  <c r="W13" i="27" s="1"/>
  <c r="X13" i="25"/>
  <c r="Y13" i="25"/>
  <c r="Z13" i="25"/>
  <c r="Z13" i="27" s="1"/>
  <c r="AA13" i="25"/>
  <c r="AB13" i="25"/>
  <c r="AC13" i="25"/>
  <c r="AD13" i="25"/>
  <c r="AE13" i="25"/>
  <c r="AE13" i="27" s="1"/>
  <c r="AF13" i="25"/>
  <c r="AG13" i="25"/>
  <c r="AH13" i="25"/>
  <c r="AI13" i="25"/>
  <c r="AJ13" i="25"/>
  <c r="AK13" i="25"/>
  <c r="F14" i="25"/>
  <c r="G14" i="25"/>
  <c r="H14" i="25"/>
  <c r="H14" i="27" s="1"/>
  <c r="I14" i="25"/>
  <c r="I14" i="27" s="1"/>
  <c r="J14" i="25"/>
  <c r="K14" i="25"/>
  <c r="L14" i="25"/>
  <c r="M14" i="25"/>
  <c r="M14" i="27" s="1"/>
  <c r="N14" i="25"/>
  <c r="N14" i="27" s="1"/>
  <c r="O14" i="25"/>
  <c r="O14" i="27" s="1"/>
  <c r="P14" i="25"/>
  <c r="P14" i="27" s="1"/>
  <c r="Q14" i="25"/>
  <c r="Q14" i="27" s="1"/>
  <c r="R14" i="25"/>
  <c r="S14" i="25"/>
  <c r="T14" i="25"/>
  <c r="U14" i="25"/>
  <c r="U14" i="27" s="1"/>
  <c r="V14" i="25"/>
  <c r="V14" i="27" s="1"/>
  <c r="W14" i="25"/>
  <c r="W14" i="27" s="1"/>
  <c r="X14" i="25"/>
  <c r="X14" i="27" s="1"/>
  <c r="Y14" i="25"/>
  <c r="Y14" i="27" s="1"/>
  <c r="Z14" i="25"/>
  <c r="AA14" i="25"/>
  <c r="AB14" i="25"/>
  <c r="AC14" i="25"/>
  <c r="AC14" i="27" s="1"/>
  <c r="AD14" i="25"/>
  <c r="AD14" i="27" s="1"/>
  <c r="AE14" i="25"/>
  <c r="AE14" i="27" s="1"/>
  <c r="AF14" i="25"/>
  <c r="AG14" i="25"/>
  <c r="AH14" i="25"/>
  <c r="AI14" i="25"/>
  <c r="AJ14" i="25"/>
  <c r="AK14" i="25"/>
  <c r="F15" i="25"/>
  <c r="D15" i="25" s="1"/>
  <c r="G15" i="25"/>
  <c r="E15" i="25" s="1"/>
  <c r="G15" i="37" s="1"/>
  <c r="I15" i="37" s="1"/>
  <c r="H15" i="25"/>
  <c r="I15" i="25"/>
  <c r="J15" i="25"/>
  <c r="K15" i="25"/>
  <c r="K15" i="27" s="1"/>
  <c r="L15" i="25"/>
  <c r="L15" i="27" s="1"/>
  <c r="M15" i="25"/>
  <c r="M15" i="27" s="1"/>
  <c r="N15" i="25"/>
  <c r="N15" i="27" s="1"/>
  <c r="O15" i="25"/>
  <c r="P15" i="25"/>
  <c r="Q15" i="25"/>
  <c r="R15" i="25"/>
  <c r="S15" i="25"/>
  <c r="S15" i="27" s="1"/>
  <c r="T15" i="25"/>
  <c r="T15" i="27" s="1"/>
  <c r="U15" i="25"/>
  <c r="U15" i="27" s="1"/>
  <c r="V15" i="25"/>
  <c r="V15" i="27" s="1"/>
  <c r="W15" i="25"/>
  <c r="W15" i="27" s="1"/>
  <c r="X15" i="25"/>
  <c r="Y15" i="25"/>
  <c r="Z15" i="25"/>
  <c r="AA15" i="25"/>
  <c r="AA15" i="27" s="1"/>
  <c r="AB15" i="25"/>
  <c r="AB15" i="27" s="1"/>
  <c r="AC15" i="25"/>
  <c r="AC15" i="27" s="1"/>
  <c r="AD15" i="25"/>
  <c r="AD15" i="27" s="1"/>
  <c r="AE15" i="25"/>
  <c r="AE15" i="27" s="1"/>
  <c r="AF15" i="25"/>
  <c r="AG15" i="25"/>
  <c r="AH15" i="25"/>
  <c r="AI15" i="25"/>
  <c r="AJ15" i="25"/>
  <c r="AK15" i="25"/>
  <c r="K16" i="25"/>
  <c r="L16" i="25"/>
  <c r="L82" i="25" s="1"/>
  <c r="U16" i="25"/>
  <c r="AB16" i="25"/>
  <c r="AK16" i="25"/>
  <c r="F19" i="25"/>
  <c r="G19" i="25"/>
  <c r="H19" i="25"/>
  <c r="I19" i="25"/>
  <c r="J19" i="25"/>
  <c r="K19" i="25"/>
  <c r="K19" i="27" s="1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A19" i="27" s="1"/>
  <c r="AB19" i="25"/>
  <c r="AC19" i="25"/>
  <c r="AD19" i="25"/>
  <c r="AE19" i="25"/>
  <c r="AF19" i="25"/>
  <c r="AF24" i="25" s="1"/>
  <c r="AG19" i="25"/>
  <c r="AH19" i="25"/>
  <c r="AI19" i="25"/>
  <c r="AJ19" i="25"/>
  <c r="AK19" i="25"/>
  <c r="F20" i="25"/>
  <c r="G20" i="25"/>
  <c r="H20" i="25"/>
  <c r="H20" i="27" s="1"/>
  <c r="I20" i="25"/>
  <c r="J20" i="25"/>
  <c r="K20" i="25"/>
  <c r="L20" i="25"/>
  <c r="M20" i="25"/>
  <c r="N20" i="25"/>
  <c r="O20" i="25"/>
  <c r="P20" i="25"/>
  <c r="P20" i="27" s="1"/>
  <c r="Q20" i="25"/>
  <c r="Q20" i="27" s="1"/>
  <c r="R20" i="25"/>
  <c r="S20" i="25"/>
  <c r="T20" i="25"/>
  <c r="U20" i="25"/>
  <c r="V20" i="25"/>
  <c r="W20" i="25"/>
  <c r="X20" i="25"/>
  <c r="X20" i="27" s="1"/>
  <c r="Y20" i="25"/>
  <c r="Z20" i="25"/>
  <c r="AA20" i="25"/>
  <c r="AB20" i="25"/>
  <c r="AC20" i="25"/>
  <c r="AD20" i="25"/>
  <c r="AF20" i="25"/>
  <c r="AH20" i="25"/>
  <c r="AH24" i="25" s="1"/>
  <c r="AJ20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X21" i="27" s="1"/>
  <c r="Y21" i="25"/>
  <c r="Z21" i="25"/>
  <c r="AA21" i="25"/>
  <c r="AB21" i="25"/>
  <c r="AC21" i="25"/>
  <c r="AD21" i="25"/>
  <c r="AE21" i="25"/>
  <c r="AF21" i="25"/>
  <c r="AG21" i="25"/>
  <c r="AH21" i="25"/>
  <c r="AI21" i="25"/>
  <c r="AI24" i="25" s="1"/>
  <c r="AJ21" i="25"/>
  <c r="AK21" i="25"/>
  <c r="F22" i="25"/>
  <c r="G22" i="25"/>
  <c r="H22" i="25"/>
  <c r="I22" i="25"/>
  <c r="J22" i="25"/>
  <c r="K22" i="25"/>
  <c r="K22" i="27" s="1"/>
  <c r="L22" i="25"/>
  <c r="L22" i="27" s="1"/>
  <c r="M22" i="25"/>
  <c r="N22" i="25"/>
  <c r="N22" i="27" s="1"/>
  <c r="O22" i="25"/>
  <c r="P22" i="25"/>
  <c r="Q22" i="25"/>
  <c r="R22" i="25"/>
  <c r="S22" i="25"/>
  <c r="S22" i="27" s="1"/>
  <c r="T22" i="25"/>
  <c r="T22" i="27" s="1"/>
  <c r="U22" i="25"/>
  <c r="V22" i="25"/>
  <c r="W22" i="25"/>
  <c r="X22" i="25"/>
  <c r="Y22" i="25"/>
  <c r="Z22" i="25"/>
  <c r="AA22" i="25"/>
  <c r="AA22" i="27" s="1"/>
  <c r="AB22" i="25"/>
  <c r="AB22" i="27" s="1"/>
  <c r="AC22" i="25"/>
  <c r="AD22" i="25"/>
  <c r="AD22" i="27" s="1"/>
  <c r="AE22" i="25"/>
  <c r="AF22" i="25"/>
  <c r="AG22" i="25"/>
  <c r="AH22" i="25"/>
  <c r="AI22" i="25"/>
  <c r="AJ22" i="25"/>
  <c r="AK22" i="25"/>
  <c r="F23" i="25"/>
  <c r="G23" i="25"/>
  <c r="H23" i="25"/>
  <c r="I23" i="25"/>
  <c r="I23" i="27" s="1"/>
  <c r="J23" i="25"/>
  <c r="J23" i="27" s="1"/>
  <c r="K23" i="25"/>
  <c r="L23" i="25"/>
  <c r="D23" i="25" s="1"/>
  <c r="F23" i="37" s="1"/>
  <c r="M23" i="25"/>
  <c r="M24" i="25" s="1"/>
  <c r="N23" i="25"/>
  <c r="O23" i="25"/>
  <c r="P23" i="25"/>
  <c r="Q23" i="25"/>
  <c r="Q23" i="27" s="1"/>
  <c r="R23" i="25"/>
  <c r="R23" i="27" s="1"/>
  <c r="S23" i="25"/>
  <c r="T23" i="25"/>
  <c r="T23" i="27" s="1"/>
  <c r="U23" i="25"/>
  <c r="U23" i="27" s="1"/>
  <c r="V23" i="25"/>
  <c r="W23" i="25"/>
  <c r="X23" i="25"/>
  <c r="Y23" i="25"/>
  <c r="Y23" i="27" s="1"/>
  <c r="Z23" i="25"/>
  <c r="Z23" i="27" s="1"/>
  <c r="AA23" i="25"/>
  <c r="AB23" i="25"/>
  <c r="AC23" i="25"/>
  <c r="AC24" i="25" s="1"/>
  <c r="AD23" i="25"/>
  <c r="AE23" i="25"/>
  <c r="AF23" i="25"/>
  <c r="AG23" i="25"/>
  <c r="AH23" i="25"/>
  <c r="AI23" i="25"/>
  <c r="AJ23" i="25"/>
  <c r="AK23" i="25"/>
  <c r="L24" i="25"/>
  <c r="T24" i="25"/>
  <c r="U24" i="25"/>
  <c r="Z24" i="25"/>
  <c r="AA24" i="25"/>
  <c r="AB24" i="25"/>
  <c r="AJ24" i="25"/>
  <c r="AK24" i="25"/>
  <c r="F27" i="25"/>
  <c r="G27" i="25"/>
  <c r="H27" i="25"/>
  <c r="I27" i="25"/>
  <c r="J27" i="25"/>
  <c r="J29" i="25" s="1"/>
  <c r="K27" i="25"/>
  <c r="L27" i="25"/>
  <c r="M27" i="25"/>
  <c r="M27" i="27" s="1"/>
  <c r="M29" i="27" s="1"/>
  <c r="N27" i="25"/>
  <c r="N27" i="27" s="1"/>
  <c r="O27" i="25"/>
  <c r="P27" i="25"/>
  <c r="Q27" i="25"/>
  <c r="R27" i="25"/>
  <c r="R29" i="25" s="1"/>
  <c r="S27" i="25"/>
  <c r="T27" i="25"/>
  <c r="U27" i="25"/>
  <c r="U27" i="27" s="1"/>
  <c r="U29" i="27" s="1"/>
  <c r="V27" i="25"/>
  <c r="V27" i="27" s="1"/>
  <c r="W27" i="25"/>
  <c r="X27" i="25"/>
  <c r="Y27" i="25"/>
  <c r="Z27" i="25"/>
  <c r="Z29" i="25" s="1"/>
  <c r="AA27" i="25"/>
  <c r="AB27" i="25"/>
  <c r="AC27" i="25"/>
  <c r="AC27" i="27" s="1"/>
  <c r="AC29" i="27" s="1"/>
  <c r="AD27" i="25"/>
  <c r="AD27" i="27" s="1"/>
  <c r="AE27" i="25"/>
  <c r="AF27" i="25"/>
  <c r="AG27" i="25"/>
  <c r="AH27" i="25"/>
  <c r="AH29" i="25" s="1"/>
  <c r="AI27" i="25"/>
  <c r="AI29" i="25" s="1"/>
  <c r="AJ27" i="25"/>
  <c r="AK27" i="25"/>
  <c r="F28" i="25"/>
  <c r="G28" i="25"/>
  <c r="H28" i="25"/>
  <c r="H28" i="27" s="1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W29" i="25" s="1"/>
  <c r="X28" i="25"/>
  <c r="X28" i="27" s="1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F29" i="25"/>
  <c r="L29" i="25"/>
  <c r="M29" i="25"/>
  <c r="T29" i="25"/>
  <c r="U29" i="25"/>
  <c r="V29" i="25"/>
  <c r="AB29" i="25"/>
  <c r="AC29" i="25"/>
  <c r="AE29" i="25"/>
  <c r="AJ29" i="25"/>
  <c r="AK29" i="25"/>
  <c r="F32" i="25"/>
  <c r="G32" i="25"/>
  <c r="H32" i="25"/>
  <c r="I32" i="25"/>
  <c r="J32" i="25"/>
  <c r="D32" i="25" s="1"/>
  <c r="K32" i="25"/>
  <c r="L32" i="25"/>
  <c r="M32" i="25"/>
  <c r="N32" i="25"/>
  <c r="O32" i="25"/>
  <c r="P32" i="25"/>
  <c r="Q32" i="25"/>
  <c r="R32" i="25"/>
  <c r="S32" i="25"/>
  <c r="T32" i="25"/>
  <c r="T36" i="25" s="1"/>
  <c r="U32" i="25"/>
  <c r="V32" i="25"/>
  <c r="W32" i="25"/>
  <c r="X32" i="25"/>
  <c r="Y32" i="25"/>
  <c r="Z32" i="25"/>
  <c r="Z32" i="27" s="1"/>
  <c r="Z36" i="27" s="1"/>
  <c r="AA32" i="25"/>
  <c r="AA32" i="27" s="1"/>
  <c r="AB32" i="25"/>
  <c r="AC32" i="25"/>
  <c r="AD32" i="25"/>
  <c r="AE32" i="25"/>
  <c r="AF32" i="25"/>
  <c r="AG32" i="25"/>
  <c r="AH32" i="25"/>
  <c r="AH36" i="25" s="1"/>
  <c r="AI32" i="25"/>
  <c r="AJ32" i="25"/>
  <c r="AJ36" i="25" s="1"/>
  <c r="AK32" i="25"/>
  <c r="F33" i="25"/>
  <c r="G33" i="25"/>
  <c r="H33" i="25"/>
  <c r="I33" i="25"/>
  <c r="J33" i="25"/>
  <c r="J33" i="27" s="1"/>
  <c r="K33" i="25"/>
  <c r="K33" i="27" s="1"/>
  <c r="L33" i="25"/>
  <c r="M33" i="25"/>
  <c r="N33" i="25"/>
  <c r="O33" i="25"/>
  <c r="P33" i="25"/>
  <c r="Q33" i="25"/>
  <c r="R33" i="25"/>
  <c r="R33" i="27" s="1"/>
  <c r="S33" i="25"/>
  <c r="S33" i="27" s="1"/>
  <c r="T33" i="25"/>
  <c r="U33" i="25"/>
  <c r="V33" i="25"/>
  <c r="W33" i="25"/>
  <c r="X33" i="25"/>
  <c r="Y33" i="25"/>
  <c r="Z33" i="25"/>
  <c r="Z33" i="27" s="1"/>
  <c r="AA33" i="25"/>
  <c r="AA33" i="27" s="1"/>
  <c r="AB33" i="25"/>
  <c r="AC33" i="25"/>
  <c r="AD33" i="25"/>
  <c r="AE33" i="25"/>
  <c r="AF33" i="25"/>
  <c r="AG33" i="25"/>
  <c r="AH33" i="25"/>
  <c r="AI33" i="25"/>
  <c r="AJ33" i="25"/>
  <c r="AK33" i="25"/>
  <c r="F34" i="25"/>
  <c r="G34" i="25"/>
  <c r="H34" i="25"/>
  <c r="I34" i="25"/>
  <c r="I34" i="27" s="1"/>
  <c r="J34" i="25"/>
  <c r="J34" i="27" s="1"/>
  <c r="K34" i="25"/>
  <c r="K34" i="27" s="1"/>
  <c r="L34" i="25"/>
  <c r="L34" i="27" s="1"/>
  <c r="M34" i="25"/>
  <c r="N34" i="25"/>
  <c r="O34" i="25"/>
  <c r="P34" i="25"/>
  <c r="P34" i="27" s="1"/>
  <c r="Q34" i="25"/>
  <c r="Q34" i="27" s="1"/>
  <c r="R34" i="25"/>
  <c r="R34" i="27" s="1"/>
  <c r="S34" i="25"/>
  <c r="S34" i="27" s="1"/>
  <c r="T34" i="25"/>
  <c r="T34" i="27" s="1"/>
  <c r="U34" i="25"/>
  <c r="V34" i="25"/>
  <c r="W34" i="25"/>
  <c r="X34" i="25"/>
  <c r="Y34" i="25"/>
  <c r="Y34" i="27" s="1"/>
  <c r="Z34" i="25"/>
  <c r="Z34" i="27" s="1"/>
  <c r="AA34" i="25"/>
  <c r="AA34" i="27" s="1"/>
  <c r="AB34" i="25"/>
  <c r="AB34" i="27" s="1"/>
  <c r="AC34" i="25"/>
  <c r="AD34" i="25"/>
  <c r="AE34" i="25"/>
  <c r="AF34" i="25"/>
  <c r="AG34" i="25"/>
  <c r="AH34" i="25"/>
  <c r="AI34" i="25"/>
  <c r="AJ34" i="25"/>
  <c r="AK34" i="25"/>
  <c r="F35" i="25"/>
  <c r="G35" i="25"/>
  <c r="H35" i="25"/>
  <c r="I35" i="25"/>
  <c r="I35" i="27" s="1"/>
  <c r="J35" i="25"/>
  <c r="J35" i="27" s="1"/>
  <c r="K35" i="25"/>
  <c r="L35" i="25"/>
  <c r="D35" i="25" s="1"/>
  <c r="F35" i="37" s="1"/>
  <c r="H35" i="37" s="1"/>
  <c r="M35" i="25"/>
  <c r="M36" i="25" s="1"/>
  <c r="N35" i="25"/>
  <c r="O35" i="25"/>
  <c r="P35" i="25"/>
  <c r="Q35" i="25"/>
  <c r="Q35" i="27" s="1"/>
  <c r="R35" i="25"/>
  <c r="R35" i="27" s="1"/>
  <c r="S35" i="25"/>
  <c r="T35" i="25"/>
  <c r="T35" i="27" s="1"/>
  <c r="U35" i="25"/>
  <c r="V35" i="25"/>
  <c r="W35" i="25"/>
  <c r="X35" i="25"/>
  <c r="Y35" i="25"/>
  <c r="Y35" i="27" s="1"/>
  <c r="Z35" i="25"/>
  <c r="Z35" i="27" s="1"/>
  <c r="AA35" i="25"/>
  <c r="AB35" i="25"/>
  <c r="AC35" i="25"/>
  <c r="AC36" i="25" s="1"/>
  <c r="AD35" i="25"/>
  <c r="AE35" i="25"/>
  <c r="AF35" i="25"/>
  <c r="AG35" i="25"/>
  <c r="AH35" i="25"/>
  <c r="AI35" i="25"/>
  <c r="AJ35" i="25"/>
  <c r="AK35" i="25"/>
  <c r="L36" i="25"/>
  <c r="U36" i="25"/>
  <c r="Z36" i="25"/>
  <c r="AK36" i="25"/>
  <c r="F39" i="25"/>
  <c r="G39" i="25"/>
  <c r="H39" i="25"/>
  <c r="I39" i="25"/>
  <c r="J39" i="25"/>
  <c r="K39" i="25"/>
  <c r="L39" i="25"/>
  <c r="M39" i="25"/>
  <c r="M39" i="27" s="1"/>
  <c r="N39" i="25"/>
  <c r="N39" i="27" s="1"/>
  <c r="O39" i="25"/>
  <c r="P39" i="25"/>
  <c r="Q39" i="25"/>
  <c r="R39" i="25"/>
  <c r="R39" i="27" s="1"/>
  <c r="S39" i="25"/>
  <c r="T39" i="25"/>
  <c r="U39" i="25"/>
  <c r="U39" i="27" s="1"/>
  <c r="V39" i="25"/>
  <c r="V39" i="27" s="1"/>
  <c r="W39" i="25"/>
  <c r="X39" i="25"/>
  <c r="X39" i="27" s="1"/>
  <c r="Y39" i="25"/>
  <c r="Y39" i="27" s="1"/>
  <c r="Z39" i="25"/>
  <c r="AA39" i="25"/>
  <c r="AB39" i="25"/>
  <c r="AC39" i="25"/>
  <c r="AC39" i="27" s="1"/>
  <c r="AD39" i="25"/>
  <c r="AD39" i="27" s="1"/>
  <c r="AE39" i="25"/>
  <c r="AF39" i="25"/>
  <c r="AG39" i="25"/>
  <c r="AH39" i="25"/>
  <c r="AI39" i="25"/>
  <c r="AJ39" i="25"/>
  <c r="AK39" i="25"/>
  <c r="F40" i="25"/>
  <c r="G40" i="25"/>
  <c r="H40" i="25"/>
  <c r="H42" i="25" s="1"/>
  <c r="H43" i="25" s="1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W42" i="25" s="1"/>
  <c r="W43" i="25" s="1"/>
  <c r="X40" i="25"/>
  <c r="X42" i="25" s="1"/>
  <c r="X43" i="25" s="1"/>
  <c r="Y40" i="25"/>
  <c r="Z40" i="25"/>
  <c r="AA40" i="25"/>
  <c r="AB40" i="25"/>
  <c r="AC40" i="25"/>
  <c r="AD40" i="25"/>
  <c r="AE40" i="25"/>
  <c r="AF40" i="25"/>
  <c r="AF42" i="25" s="1"/>
  <c r="AF43" i="25" s="1"/>
  <c r="AG40" i="25"/>
  <c r="AG42" i="25" s="1"/>
  <c r="AH40" i="25"/>
  <c r="AI40" i="25"/>
  <c r="AJ40" i="25"/>
  <c r="AK40" i="25"/>
  <c r="F41" i="25"/>
  <c r="D41" i="25" s="1"/>
  <c r="F41" i="37" s="1"/>
  <c r="G41" i="25"/>
  <c r="H41" i="25"/>
  <c r="I41" i="25"/>
  <c r="J41" i="25"/>
  <c r="K41" i="25"/>
  <c r="L41" i="25"/>
  <c r="L42" i="25" s="1"/>
  <c r="L43" i="25" s="1"/>
  <c r="M41" i="25"/>
  <c r="M41" i="27" s="1"/>
  <c r="N41" i="25"/>
  <c r="O41" i="25"/>
  <c r="P41" i="25"/>
  <c r="Q41" i="25"/>
  <c r="R41" i="25"/>
  <c r="S41" i="25"/>
  <c r="T41" i="25"/>
  <c r="T41" i="27" s="1"/>
  <c r="U41" i="25"/>
  <c r="V41" i="25"/>
  <c r="W41" i="25"/>
  <c r="X41" i="25"/>
  <c r="Y41" i="25"/>
  <c r="Z41" i="25"/>
  <c r="AA41" i="25"/>
  <c r="AB41" i="25"/>
  <c r="AB42" i="25" s="1"/>
  <c r="AB43" i="25" s="1"/>
  <c r="AC41" i="25"/>
  <c r="AC41" i="27" s="1"/>
  <c r="AD41" i="25"/>
  <c r="AE41" i="25"/>
  <c r="AF41" i="25"/>
  <c r="AG41" i="25"/>
  <c r="AH41" i="25"/>
  <c r="AI41" i="25"/>
  <c r="AJ41" i="25"/>
  <c r="AJ42" i="25" s="1"/>
  <c r="AJ43" i="25" s="1"/>
  <c r="AK41" i="25"/>
  <c r="AK42" i="25" s="1"/>
  <c r="AK43" i="25" s="1"/>
  <c r="J42" i="25"/>
  <c r="K42" i="25"/>
  <c r="R42" i="25"/>
  <c r="S42" i="25"/>
  <c r="S43" i="25" s="1"/>
  <c r="T42" i="25"/>
  <c r="T43" i="25" s="1"/>
  <c r="Z42" i="25"/>
  <c r="AA42" i="25"/>
  <c r="AC42" i="25"/>
  <c r="AC43" i="25" s="1"/>
  <c r="AH42" i="25"/>
  <c r="AH43" i="25" s="1"/>
  <c r="AI42" i="25"/>
  <c r="AI43" i="25" s="1"/>
  <c r="J43" i="25"/>
  <c r="K43" i="25"/>
  <c r="R43" i="25"/>
  <c r="Z43" i="25"/>
  <c r="AA43" i="25"/>
  <c r="AG43" i="25"/>
  <c r="F45" i="25"/>
  <c r="G45" i="25"/>
  <c r="H45" i="25"/>
  <c r="H45" i="27" s="1"/>
  <c r="I45" i="25"/>
  <c r="I45" i="27" s="1"/>
  <c r="J45" i="25"/>
  <c r="K45" i="25"/>
  <c r="K45" i="27" s="1"/>
  <c r="L45" i="25"/>
  <c r="L45" i="27" s="1"/>
  <c r="M45" i="25"/>
  <c r="N45" i="25"/>
  <c r="O45" i="25"/>
  <c r="P45" i="25"/>
  <c r="Q45" i="25"/>
  <c r="Q45" i="27" s="1"/>
  <c r="R45" i="25"/>
  <c r="S45" i="25"/>
  <c r="S45" i="27" s="1"/>
  <c r="T45" i="25"/>
  <c r="T45" i="27" s="1"/>
  <c r="U45" i="25"/>
  <c r="V45" i="25"/>
  <c r="V45" i="27" s="1"/>
  <c r="W45" i="25"/>
  <c r="W45" i="27" s="1"/>
  <c r="X45" i="25"/>
  <c r="X45" i="27" s="1"/>
  <c r="Y45" i="25"/>
  <c r="Y45" i="27" s="1"/>
  <c r="Z45" i="25"/>
  <c r="AA45" i="25"/>
  <c r="AA45" i="27" s="1"/>
  <c r="AB45" i="25"/>
  <c r="AB45" i="27" s="1"/>
  <c r="AC45" i="25"/>
  <c r="AD45" i="25"/>
  <c r="AE45" i="25"/>
  <c r="AF45" i="25"/>
  <c r="AG45" i="25"/>
  <c r="AH45" i="25"/>
  <c r="AI45" i="25"/>
  <c r="AJ45" i="25"/>
  <c r="AK45" i="25"/>
  <c r="F47" i="25"/>
  <c r="G47" i="25"/>
  <c r="E47" i="25" s="1"/>
  <c r="G47" i="37" s="1"/>
  <c r="H47" i="25"/>
  <c r="H47" i="27" s="1"/>
  <c r="I47" i="25"/>
  <c r="I47" i="27" s="1"/>
  <c r="J47" i="25"/>
  <c r="J47" i="27" s="1"/>
  <c r="K47" i="25"/>
  <c r="L47" i="25"/>
  <c r="D47" i="25" s="1"/>
  <c r="F47" i="37" s="1"/>
  <c r="M47" i="25"/>
  <c r="N47" i="25"/>
  <c r="O47" i="25"/>
  <c r="O47" i="27" s="1"/>
  <c r="P47" i="25"/>
  <c r="P47" i="27" s="1"/>
  <c r="Q47" i="25"/>
  <c r="Q47" i="27" s="1"/>
  <c r="R47" i="25"/>
  <c r="R47" i="27" s="1"/>
  <c r="S47" i="25"/>
  <c r="T47" i="25"/>
  <c r="U47" i="25"/>
  <c r="V47" i="25"/>
  <c r="V47" i="27" s="1"/>
  <c r="W47" i="25"/>
  <c r="W47" i="27" s="1"/>
  <c r="X47" i="25"/>
  <c r="X47" i="27" s="1"/>
  <c r="Y47" i="25"/>
  <c r="Y47" i="27" s="1"/>
  <c r="Z47" i="25"/>
  <c r="Z47" i="27" s="1"/>
  <c r="AA47" i="25"/>
  <c r="AB47" i="25"/>
  <c r="AB47" i="27" s="1"/>
  <c r="AC47" i="25"/>
  <c r="AD47" i="25"/>
  <c r="AE47" i="25"/>
  <c r="AE47" i="27" s="1"/>
  <c r="AF47" i="25"/>
  <c r="AG47" i="25"/>
  <c r="AH47" i="25"/>
  <c r="AI47" i="25"/>
  <c r="AJ47" i="25"/>
  <c r="AK47" i="25"/>
  <c r="E49" i="25"/>
  <c r="G49" i="37" s="1"/>
  <c r="I49" i="37" s="1"/>
  <c r="F49" i="25"/>
  <c r="G49" i="25"/>
  <c r="H49" i="25"/>
  <c r="H49" i="27" s="1"/>
  <c r="I49" i="25"/>
  <c r="J49" i="25"/>
  <c r="D49" i="25" s="1"/>
  <c r="F49" i="37" s="1"/>
  <c r="K49" i="25"/>
  <c r="L49" i="25"/>
  <c r="M49" i="25"/>
  <c r="M49" i="27" s="1"/>
  <c r="N49" i="25"/>
  <c r="N49" i="27" s="1"/>
  <c r="O49" i="25"/>
  <c r="O49" i="27" s="1"/>
  <c r="P49" i="25"/>
  <c r="P49" i="27" s="1"/>
  <c r="Q49" i="25"/>
  <c r="R49" i="25"/>
  <c r="R49" i="27" s="1"/>
  <c r="S49" i="25"/>
  <c r="T49" i="25"/>
  <c r="U49" i="25"/>
  <c r="U49" i="27" s="1"/>
  <c r="V49" i="25"/>
  <c r="V49" i="27" s="1"/>
  <c r="W49" i="25"/>
  <c r="W49" i="27" s="1"/>
  <c r="X49" i="25"/>
  <c r="X49" i="27" s="1"/>
  <c r="Y49" i="25"/>
  <c r="Z49" i="25"/>
  <c r="AA49" i="25"/>
  <c r="AB49" i="25"/>
  <c r="AC49" i="25"/>
  <c r="AC49" i="27" s="1"/>
  <c r="AD49" i="25"/>
  <c r="AD49" i="27" s="1"/>
  <c r="AE49" i="25"/>
  <c r="AE49" i="27" s="1"/>
  <c r="AF49" i="25"/>
  <c r="AG49" i="25"/>
  <c r="AH49" i="25"/>
  <c r="AI49" i="25"/>
  <c r="AJ49" i="25"/>
  <c r="AK49" i="25"/>
  <c r="D50" i="25"/>
  <c r="E50" i="25"/>
  <c r="F51" i="25"/>
  <c r="D51" i="25" s="1"/>
  <c r="F51" i="37" s="1"/>
  <c r="G51" i="25"/>
  <c r="H51" i="25"/>
  <c r="I51" i="25"/>
  <c r="J51" i="25"/>
  <c r="K51" i="25"/>
  <c r="K51" i="27" s="1"/>
  <c r="L51" i="25"/>
  <c r="L51" i="27" s="1"/>
  <c r="M51" i="25"/>
  <c r="N51" i="25"/>
  <c r="N51" i="27" s="1"/>
  <c r="O51" i="25"/>
  <c r="P51" i="25"/>
  <c r="Q51" i="25"/>
  <c r="R51" i="25"/>
  <c r="S51" i="25"/>
  <c r="S51" i="27" s="1"/>
  <c r="T51" i="25"/>
  <c r="T51" i="27" s="1"/>
  <c r="U51" i="25"/>
  <c r="V51" i="25"/>
  <c r="V51" i="27" s="1"/>
  <c r="W51" i="25"/>
  <c r="X51" i="25"/>
  <c r="Y51" i="25"/>
  <c r="Z51" i="25"/>
  <c r="AA51" i="25"/>
  <c r="AA51" i="27" s="1"/>
  <c r="AB51" i="25"/>
  <c r="AB51" i="27" s="1"/>
  <c r="AC51" i="25"/>
  <c r="AD51" i="25"/>
  <c r="AD51" i="27" s="1"/>
  <c r="AE51" i="25"/>
  <c r="AF51" i="25"/>
  <c r="AG51" i="25"/>
  <c r="AH51" i="25"/>
  <c r="AI51" i="25"/>
  <c r="AJ51" i="25"/>
  <c r="AK51" i="25"/>
  <c r="D52" i="25"/>
  <c r="E52" i="25"/>
  <c r="F54" i="25"/>
  <c r="G54" i="25"/>
  <c r="H54" i="25"/>
  <c r="H54" i="27" s="1"/>
  <c r="I54" i="25"/>
  <c r="J54" i="25"/>
  <c r="K54" i="25"/>
  <c r="L54" i="25"/>
  <c r="L56" i="25" s="1"/>
  <c r="M54" i="25"/>
  <c r="N54" i="25"/>
  <c r="O54" i="25"/>
  <c r="O54" i="27" s="1"/>
  <c r="P54" i="25"/>
  <c r="P54" i="27" s="1"/>
  <c r="Q54" i="25"/>
  <c r="R54" i="25"/>
  <c r="S54" i="25"/>
  <c r="T54" i="25"/>
  <c r="T56" i="25" s="1"/>
  <c r="U54" i="25"/>
  <c r="V54" i="25"/>
  <c r="W54" i="25"/>
  <c r="W54" i="27" s="1"/>
  <c r="X54" i="25"/>
  <c r="X54" i="27" s="1"/>
  <c r="X56" i="27" s="1"/>
  <c r="Y54" i="25"/>
  <c r="Z54" i="25"/>
  <c r="AA54" i="25"/>
  <c r="AB54" i="25"/>
  <c r="AB56" i="25" s="1"/>
  <c r="AC54" i="25"/>
  <c r="AD54" i="25"/>
  <c r="AE54" i="25"/>
  <c r="AE54" i="27" s="1"/>
  <c r="AF54" i="25"/>
  <c r="AG54" i="25"/>
  <c r="AH54" i="25"/>
  <c r="AI54" i="25"/>
  <c r="AJ54" i="25"/>
  <c r="AJ56" i="25" s="1"/>
  <c r="AK54" i="25"/>
  <c r="AK56" i="25" s="1"/>
  <c r="F55" i="25"/>
  <c r="G55" i="25"/>
  <c r="H55" i="25"/>
  <c r="I55" i="25"/>
  <c r="J55" i="25"/>
  <c r="K55" i="25"/>
  <c r="L55" i="25"/>
  <c r="M55" i="25"/>
  <c r="N55" i="25"/>
  <c r="O55" i="25"/>
  <c r="P55" i="25"/>
  <c r="Q55" i="25"/>
  <c r="Q56" i="25" s="1"/>
  <c r="R55" i="25"/>
  <c r="S55" i="25"/>
  <c r="T55" i="25"/>
  <c r="U55" i="25"/>
  <c r="V55" i="25"/>
  <c r="W55" i="25"/>
  <c r="X55" i="25"/>
  <c r="X55" i="27" s="1"/>
  <c r="Y55" i="25"/>
  <c r="Z55" i="25"/>
  <c r="AA55" i="25"/>
  <c r="AB55" i="25"/>
  <c r="AC55" i="25"/>
  <c r="AD55" i="25"/>
  <c r="AE55" i="25"/>
  <c r="AF55" i="25"/>
  <c r="AF56" i="25" s="1"/>
  <c r="AG55" i="25"/>
  <c r="AG56" i="25" s="1"/>
  <c r="AH55" i="25"/>
  <c r="AI55" i="25"/>
  <c r="AJ55" i="25"/>
  <c r="AK55" i="25"/>
  <c r="F56" i="25"/>
  <c r="G56" i="25"/>
  <c r="H56" i="25"/>
  <c r="I56" i="25"/>
  <c r="N56" i="25"/>
  <c r="O56" i="25"/>
  <c r="V56" i="25"/>
  <c r="W56" i="25"/>
  <c r="AD56" i="25"/>
  <c r="AE56" i="25"/>
  <c r="F59" i="25"/>
  <c r="G59" i="25"/>
  <c r="G61" i="25" s="1"/>
  <c r="H59" i="25"/>
  <c r="I59" i="25"/>
  <c r="J59" i="25"/>
  <c r="K59" i="25"/>
  <c r="L59" i="25"/>
  <c r="L59" i="27" s="1"/>
  <c r="M59" i="25"/>
  <c r="N59" i="25"/>
  <c r="O59" i="25"/>
  <c r="P59" i="25"/>
  <c r="Q59" i="25"/>
  <c r="R59" i="25"/>
  <c r="S59" i="25"/>
  <c r="T59" i="25"/>
  <c r="U59" i="25"/>
  <c r="U59" i="27" s="1"/>
  <c r="U61" i="27" s="1"/>
  <c r="V59" i="25"/>
  <c r="V61" i="25" s="1"/>
  <c r="W59" i="25"/>
  <c r="X59" i="25"/>
  <c r="Y59" i="25"/>
  <c r="Z59" i="25"/>
  <c r="AA59" i="25"/>
  <c r="AB59" i="25"/>
  <c r="AB59" i="27" s="1"/>
  <c r="AC59" i="25"/>
  <c r="AD59" i="25"/>
  <c r="AE59" i="25"/>
  <c r="AF59" i="25"/>
  <c r="AG59" i="25"/>
  <c r="AH59" i="25"/>
  <c r="AI59" i="25"/>
  <c r="AJ59" i="25"/>
  <c r="AK59" i="25"/>
  <c r="D60" i="25"/>
  <c r="F60" i="25"/>
  <c r="G60" i="25"/>
  <c r="H60" i="25"/>
  <c r="I60" i="25"/>
  <c r="J60" i="25"/>
  <c r="K60" i="25"/>
  <c r="K61" i="25" s="1"/>
  <c r="L60" i="25"/>
  <c r="L60" i="27" s="1"/>
  <c r="M60" i="25"/>
  <c r="M60" i="27" s="1"/>
  <c r="N60" i="25"/>
  <c r="O60" i="25"/>
  <c r="P60" i="25"/>
  <c r="Q60" i="25"/>
  <c r="R60" i="25"/>
  <c r="R60" i="27" s="1"/>
  <c r="S60" i="25"/>
  <c r="S60" i="27" s="1"/>
  <c r="T60" i="25"/>
  <c r="T60" i="27" s="1"/>
  <c r="U60" i="25"/>
  <c r="U60" i="27" s="1"/>
  <c r="V60" i="25"/>
  <c r="W60" i="25"/>
  <c r="X60" i="25"/>
  <c r="Y60" i="25"/>
  <c r="Z60" i="25"/>
  <c r="AA60" i="25"/>
  <c r="AA61" i="25" s="1"/>
  <c r="AB60" i="25"/>
  <c r="AB60" i="27" s="1"/>
  <c r="AC60" i="25"/>
  <c r="AC60" i="27" s="1"/>
  <c r="AD60" i="25"/>
  <c r="AE60" i="25"/>
  <c r="AF60" i="25"/>
  <c r="AG60" i="25"/>
  <c r="AH60" i="25"/>
  <c r="AI60" i="25"/>
  <c r="AJ60" i="25"/>
  <c r="AK60" i="25"/>
  <c r="H61" i="25"/>
  <c r="I61" i="25"/>
  <c r="J61" i="25"/>
  <c r="P61" i="25"/>
  <c r="Q61" i="25"/>
  <c r="R61" i="25"/>
  <c r="S61" i="25"/>
  <c r="X61" i="25"/>
  <c r="Y61" i="25"/>
  <c r="Z61" i="25"/>
  <c r="AF61" i="25"/>
  <c r="AG61" i="25"/>
  <c r="AH61" i="25"/>
  <c r="AI61" i="25"/>
  <c r="F64" i="25"/>
  <c r="G64" i="25"/>
  <c r="H64" i="25"/>
  <c r="H66" i="25" s="1"/>
  <c r="I64" i="25"/>
  <c r="J64" i="25"/>
  <c r="K64" i="25"/>
  <c r="K64" i="27" s="1"/>
  <c r="K66" i="27" s="1"/>
  <c r="L64" i="25"/>
  <c r="L64" i="27" s="1"/>
  <c r="L66" i="27" s="1"/>
  <c r="M64" i="25"/>
  <c r="N64" i="25"/>
  <c r="O64" i="25"/>
  <c r="P64" i="25"/>
  <c r="P66" i="25" s="1"/>
  <c r="Q64" i="25"/>
  <c r="R64" i="25"/>
  <c r="S64" i="25"/>
  <c r="S64" i="27" s="1"/>
  <c r="T64" i="25"/>
  <c r="T64" i="27" s="1"/>
  <c r="U64" i="25"/>
  <c r="V64" i="25"/>
  <c r="V66" i="25" s="1"/>
  <c r="W64" i="25"/>
  <c r="X64" i="25"/>
  <c r="X66" i="25" s="1"/>
  <c r="Y64" i="25"/>
  <c r="Z64" i="25"/>
  <c r="AA64" i="25"/>
  <c r="AA64" i="27" s="1"/>
  <c r="AB64" i="25"/>
  <c r="AB64" i="27" s="1"/>
  <c r="AC64" i="25"/>
  <c r="AD64" i="25"/>
  <c r="AE64" i="25"/>
  <c r="AF64" i="25"/>
  <c r="AF66" i="25" s="1"/>
  <c r="AG64" i="25"/>
  <c r="AG66" i="25" s="1"/>
  <c r="AH64" i="25"/>
  <c r="AI64" i="25"/>
  <c r="AJ64" i="25"/>
  <c r="AK64" i="25"/>
  <c r="D65" i="25"/>
  <c r="F65" i="37" s="1"/>
  <c r="H65" i="37" s="1"/>
  <c r="F65" i="25"/>
  <c r="G65" i="25"/>
  <c r="E65" i="25" s="1"/>
  <c r="G65" i="37" s="1"/>
  <c r="H65" i="25"/>
  <c r="I65" i="25"/>
  <c r="I65" i="27" s="1"/>
  <c r="J65" i="25"/>
  <c r="J65" i="27" s="1"/>
  <c r="K65" i="25"/>
  <c r="L65" i="25"/>
  <c r="L65" i="27" s="1"/>
  <c r="M65" i="25"/>
  <c r="N65" i="25"/>
  <c r="N65" i="27" s="1"/>
  <c r="O65" i="25"/>
  <c r="P65" i="25"/>
  <c r="Q65" i="25"/>
  <c r="Q65" i="27" s="1"/>
  <c r="R65" i="25"/>
  <c r="R65" i="27" s="1"/>
  <c r="S65" i="25"/>
  <c r="T65" i="25"/>
  <c r="U65" i="25"/>
  <c r="V65" i="25"/>
  <c r="W65" i="25"/>
  <c r="X65" i="25"/>
  <c r="Y65" i="25"/>
  <c r="Y65" i="27" s="1"/>
  <c r="Z65" i="25"/>
  <c r="Z65" i="27" s="1"/>
  <c r="AA65" i="25"/>
  <c r="AB65" i="25"/>
  <c r="AB65" i="27" s="1"/>
  <c r="AC65" i="25"/>
  <c r="AD65" i="25"/>
  <c r="AD65" i="27" s="1"/>
  <c r="AE65" i="25"/>
  <c r="AF65" i="25"/>
  <c r="AG65" i="25"/>
  <c r="AH65" i="25"/>
  <c r="AI65" i="25"/>
  <c r="AJ65" i="25"/>
  <c r="AJ66" i="25" s="1"/>
  <c r="AK65" i="25"/>
  <c r="J66" i="25"/>
  <c r="K66" i="25"/>
  <c r="M66" i="25"/>
  <c r="R66" i="25"/>
  <c r="S66" i="25"/>
  <c r="U66" i="25"/>
  <c r="Z66" i="25"/>
  <c r="AA66" i="25"/>
  <c r="AC66" i="25"/>
  <c r="AH66" i="25"/>
  <c r="AI66" i="25"/>
  <c r="AK66" i="25"/>
  <c r="F70" i="25"/>
  <c r="G70" i="25"/>
  <c r="H70" i="25"/>
  <c r="I70" i="25"/>
  <c r="J70" i="25"/>
  <c r="J72" i="25" s="1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Z72" i="25" s="1"/>
  <c r="AA70" i="25"/>
  <c r="AB70" i="25"/>
  <c r="AC70" i="25"/>
  <c r="AD70" i="25"/>
  <c r="AE70" i="25"/>
  <c r="AF70" i="25"/>
  <c r="AG70" i="25"/>
  <c r="AH70" i="25"/>
  <c r="AH72" i="25" s="1"/>
  <c r="AI70" i="25"/>
  <c r="AI72" i="25" s="1"/>
  <c r="AJ70" i="25"/>
  <c r="AK70" i="25"/>
  <c r="F71" i="25"/>
  <c r="G71" i="25"/>
  <c r="H71" i="25"/>
  <c r="H71" i="27" s="1"/>
  <c r="I71" i="25"/>
  <c r="J71" i="25"/>
  <c r="K71" i="25"/>
  <c r="L71" i="25"/>
  <c r="M71" i="25"/>
  <c r="N71" i="25"/>
  <c r="N71" i="27" s="1"/>
  <c r="O71" i="25"/>
  <c r="P71" i="25"/>
  <c r="P71" i="27" s="1"/>
  <c r="Q71" i="25"/>
  <c r="R71" i="25"/>
  <c r="S71" i="25"/>
  <c r="T71" i="25"/>
  <c r="U71" i="25"/>
  <c r="V71" i="25"/>
  <c r="W71" i="25"/>
  <c r="W71" i="27" s="1"/>
  <c r="X71" i="25"/>
  <c r="X71" i="27" s="1"/>
  <c r="Y71" i="25"/>
  <c r="Z71" i="25"/>
  <c r="AA71" i="25"/>
  <c r="AB71" i="25"/>
  <c r="AC71" i="25"/>
  <c r="AD71" i="25"/>
  <c r="AD71" i="27" s="1"/>
  <c r="AE71" i="25"/>
  <c r="AF71" i="25"/>
  <c r="AG71" i="25"/>
  <c r="AH71" i="25"/>
  <c r="AI71" i="25"/>
  <c r="AJ71" i="25"/>
  <c r="AK71" i="25"/>
  <c r="F72" i="25"/>
  <c r="G72" i="25"/>
  <c r="L72" i="25"/>
  <c r="M72" i="25"/>
  <c r="N72" i="25"/>
  <c r="T72" i="25"/>
  <c r="U72" i="25"/>
  <c r="V72" i="25"/>
  <c r="W72" i="25"/>
  <c r="AB72" i="25"/>
  <c r="AC72" i="25"/>
  <c r="AD72" i="25"/>
  <c r="AJ72" i="25"/>
  <c r="AK72" i="25"/>
  <c r="D73" i="25"/>
  <c r="F73" i="37" s="1"/>
  <c r="H73" i="37" s="1"/>
  <c r="F73" i="25"/>
  <c r="G73" i="25"/>
  <c r="H73" i="25"/>
  <c r="I73" i="25"/>
  <c r="J73" i="25"/>
  <c r="J73" i="27" s="1"/>
  <c r="K73" i="25"/>
  <c r="L73" i="25"/>
  <c r="M73" i="25"/>
  <c r="N73" i="25"/>
  <c r="O73" i="25"/>
  <c r="P73" i="25"/>
  <c r="Q73" i="25"/>
  <c r="R73" i="25"/>
  <c r="S73" i="25"/>
  <c r="S73" i="27" s="1"/>
  <c r="T73" i="25"/>
  <c r="T73" i="27" s="1"/>
  <c r="U73" i="25"/>
  <c r="V73" i="25"/>
  <c r="W73" i="25"/>
  <c r="X73" i="25"/>
  <c r="Y73" i="25"/>
  <c r="Z73" i="25"/>
  <c r="Z73" i="27" s="1"/>
  <c r="AA73" i="25"/>
  <c r="AB73" i="25"/>
  <c r="AC73" i="25"/>
  <c r="AD73" i="25"/>
  <c r="AE73" i="25"/>
  <c r="AF73" i="25"/>
  <c r="AG73" i="25"/>
  <c r="AH73" i="25"/>
  <c r="AI73" i="25"/>
  <c r="AJ73" i="25"/>
  <c r="AK73" i="25"/>
  <c r="F74" i="25"/>
  <c r="H74" i="25"/>
  <c r="I74" i="25"/>
  <c r="J74" i="25"/>
  <c r="K74" i="25"/>
  <c r="L74" i="25"/>
  <c r="M74" i="25"/>
  <c r="M74" i="27" s="1"/>
  <c r="N74" i="25"/>
  <c r="N74" i="27" s="1"/>
  <c r="O74" i="25"/>
  <c r="P74" i="25"/>
  <c r="P74" i="27" s="1"/>
  <c r="Q74" i="25"/>
  <c r="R74" i="25"/>
  <c r="S74" i="25"/>
  <c r="T74" i="25"/>
  <c r="U74" i="25"/>
  <c r="U74" i="27" s="1"/>
  <c r="V74" i="25"/>
  <c r="V74" i="27" s="1"/>
  <c r="W74" i="25"/>
  <c r="X74" i="25"/>
  <c r="Y74" i="25"/>
  <c r="Z74" i="25"/>
  <c r="AA74" i="25"/>
  <c r="AB74" i="25"/>
  <c r="AC74" i="25"/>
  <c r="AC74" i="27" s="1"/>
  <c r="AD74" i="25"/>
  <c r="AD74" i="27" s="1"/>
  <c r="AE74" i="25"/>
  <c r="AF74" i="25"/>
  <c r="AG74" i="25"/>
  <c r="AH74" i="25"/>
  <c r="AI74" i="25"/>
  <c r="AJ74" i="25"/>
  <c r="AK74" i="25"/>
  <c r="F75" i="25"/>
  <c r="D75" i="25" s="1"/>
  <c r="F75" i="37" s="1"/>
  <c r="H75" i="37" s="1"/>
  <c r="G75" i="25"/>
  <c r="E75" i="25" s="1"/>
  <c r="G75" i="37" s="1"/>
  <c r="H75" i="25"/>
  <c r="H75" i="27" s="1"/>
  <c r="I75" i="25"/>
  <c r="J75" i="25"/>
  <c r="K75" i="25"/>
  <c r="L75" i="25"/>
  <c r="L75" i="27" s="1"/>
  <c r="M75" i="25"/>
  <c r="N75" i="25"/>
  <c r="N75" i="27" s="1"/>
  <c r="O75" i="25"/>
  <c r="O75" i="27" s="1"/>
  <c r="P75" i="25"/>
  <c r="Q75" i="25"/>
  <c r="R75" i="25"/>
  <c r="S75" i="25"/>
  <c r="T75" i="25"/>
  <c r="T75" i="27" s="1"/>
  <c r="U75" i="25"/>
  <c r="V75" i="25"/>
  <c r="V75" i="27" s="1"/>
  <c r="W75" i="25"/>
  <c r="W75" i="27" s="1"/>
  <c r="X75" i="25"/>
  <c r="X75" i="27" s="1"/>
  <c r="Y75" i="25"/>
  <c r="Z75" i="25"/>
  <c r="AA75" i="25"/>
  <c r="AB75" i="25"/>
  <c r="AB75" i="27" s="1"/>
  <c r="AC75" i="25"/>
  <c r="AD75" i="25"/>
  <c r="AD75" i="27" s="1"/>
  <c r="AE75" i="25"/>
  <c r="AE75" i="27" s="1"/>
  <c r="AF75" i="25"/>
  <c r="AG75" i="25"/>
  <c r="AH75" i="25"/>
  <c r="AI75" i="25"/>
  <c r="AJ75" i="25"/>
  <c r="AK75" i="25"/>
  <c r="E76" i="25"/>
  <c r="G76" i="37" s="1"/>
  <c r="I76" i="37" s="1"/>
  <c r="F76" i="25"/>
  <c r="G76" i="25"/>
  <c r="H76" i="25"/>
  <c r="I76" i="25"/>
  <c r="J76" i="25"/>
  <c r="J76" i="27" s="1"/>
  <c r="K76" i="25"/>
  <c r="L76" i="25"/>
  <c r="L76" i="27" s="1"/>
  <c r="M76" i="25"/>
  <c r="N76" i="25"/>
  <c r="N76" i="27" s="1"/>
  <c r="O76" i="25"/>
  <c r="P76" i="25"/>
  <c r="Q76" i="25"/>
  <c r="R76" i="25"/>
  <c r="R76" i="27" s="1"/>
  <c r="S76" i="25"/>
  <c r="T76" i="25"/>
  <c r="T76" i="27" s="1"/>
  <c r="U76" i="25"/>
  <c r="V76" i="25"/>
  <c r="W76" i="25"/>
  <c r="X76" i="25"/>
  <c r="Y76" i="25"/>
  <c r="Z76" i="25"/>
  <c r="Z76" i="27" s="1"/>
  <c r="AA76" i="25"/>
  <c r="AB76" i="25"/>
  <c r="AB76" i="27" s="1"/>
  <c r="AC76" i="25"/>
  <c r="AD76" i="25"/>
  <c r="AD76" i="27" s="1"/>
  <c r="AE76" i="25"/>
  <c r="AF76" i="25"/>
  <c r="AG76" i="25"/>
  <c r="AH76" i="25"/>
  <c r="AI76" i="25"/>
  <c r="AJ76" i="25"/>
  <c r="AK76" i="25"/>
  <c r="F77" i="25"/>
  <c r="G77" i="25"/>
  <c r="H77" i="25"/>
  <c r="H77" i="27" s="1"/>
  <c r="I77" i="25"/>
  <c r="J77" i="25"/>
  <c r="K77" i="25"/>
  <c r="E77" i="25" s="1"/>
  <c r="G77" i="37" s="1"/>
  <c r="I77" i="37" s="1"/>
  <c r="L77" i="25"/>
  <c r="M77" i="25"/>
  <c r="N77" i="25"/>
  <c r="O77" i="25"/>
  <c r="P77" i="25"/>
  <c r="P77" i="27" s="1"/>
  <c r="Q77" i="25"/>
  <c r="R77" i="25"/>
  <c r="R77" i="27" s="1"/>
  <c r="S77" i="25"/>
  <c r="T77" i="25"/>
  <c r="T77" i="27" s="1"/>
  <c r="U77" i="25"/>
  <c r="V77" i="25"/>
  <c r="W77" i="25"/>
  <c r="X77" i="25"/>
  <c r="X77" i="27" s="1"/>
  <c r="Y77" i="25"/>
  <c r="Z77" i="25"/>
  <c r="AA77" i="25"/>
  <c r="AA77" i="27" s="1"/>
  <c r="AB77" i="25"/>
  <c r="AC77" i="25"/>
  <c r="AD77" i="25"/>
  <c r="AE77" i="25"/>
  <c r="AF77" i="25"/>
  <c r="AG77" i="25"/>
  <c r="AH77" i="25"/>
  <c r="AI77" i="25"/>
  <c r="AJ77" i="25"/>
  <c r="AK77" i="25"/>
  <c r="F78" i="25"/>
  <c r="G78" i="25"/>
  <c r="H78" i="25"/>
  <c r="I78" i="25"/>
  <c r="J78" i="25"/>
  <c r="K78" i="25"/>
  <c r="K78" i="27" s="1"/>
  <c r="L78" i="25"/>
  <c r="M78" i="25"/>
  <c r="N78" i="25"/>
  <c r="O78" i="25"/>
  <c r="P78" i="25"/>
  <c r="P78" i="27" s="1"/>
  <c r="Q78" i="25"/>
  <c r="Q78" i="27" s="1"/>
  <c r="R78" i="25"/>
  <c r="R78" i="27" s="1"/>
  <c r="S78" i="25"/>
  <c r="S78" i="27" s="1"/>
  <c r="T78" i="25"/>
  <c r="U78" i="25"/>
  <c r="V78" i="25"/>
  <c r="W78" i="25"/>
  <c r="X78" i="25"/>
  <c r="X78" i="27" s="1"/>
  <c r="Y78" i="25"/>
  <c r="Z78" i="25"/>
  <c r="AA78" i="25"/>
  <c r="AA78" i="27" s="1"/>
  <c r="AB78" i="25"/>
  <c r="AC78" i="25"/>
  <c r="AD78" i="25"/>
  <c r="AE78" i="25"/>
  <c r="AF78" i="25"/>
  <c r="AG78" i="25"/>
  <c r="AH78" i="25"/>
  <c r="AI78" i="25"/>
  <c r="AJ78" i="25"/>
  <c r="AK78" i="25"/>
  <c r="F79" i="25"/>
  <c r="G79" i="25"/>
  <c r="H79" i="25"/>
  <c r="I79" i="25"/>
  <c r="J79" i="25"/>
  <c r="K79" i="25"/>
  <c r="K79" i="27" s="1"/>
  <c r="L79" i="25"/>
  <c r="M79" i="25"/>
  <c r="N79" i="25"/>
  <c r="O79" i="25"/>
  <c r="P79" i="25"/>
  <c r="Q79" i="25"/>
  <c r="R79" i="25"/>
  <c r="S79" i="25"/>
  <c r="S79" i="27" s="1"/>
  <c r="T79" i="25"/>
  <c r="U79" i="25"/>
  <c r="V79" i="25"/>
  <c r="V79" i="27" s="1"/>
  <c r="W79" i="25"/>
  <c r="X79" i="25"/>
  <c r="X79" i="27" s="1"/>
  <c r="Y79" i="25"/>
  <c r="Z79" i="25"/>
  <c r="AA79" i="25"/>
  <c r="AA79" i="27" s="1"/>
  <c r="AB79" i="25"/>
  <c r="AC79" i="25"/>
  <c r="AD79" i="25"/>
  <c r="AE79" i="25"/>
  <c r="AF79" i="25"/>
  <c r="AG79" i="25"/>
  <c r="AH79" i="25"/>
  <c r="AI79" i="25"/>
  <c r="AJ79" i="25"/>
  <c r="AK79" i="25"/>
  <c r="F80" i="25"/>
  <c r="D80" i="25" s="1"/>
  <c r="F80" i="37" s="1"/>
  <c r="H80" i="37" s="1"/>
  <c r="G80" i="25"/>
  <c r="H80" i="25"/>
  <c r="I80" i="25"/>
  <c r="I80" i="27" s="1"/>
  <c r="J80" i="25"/>
  <c r="K80" i="25"/>
  <c r="L80" i="25"/>
  <c r="M80" i="25"/>
  <c r="N80" i="25"/>
  <c r="N80" i="27" s="1"/>
  <c r="O80" i="25"/>
  <c r="P80" i="25"/>
  <c r="Q80" i="25"/>
  <c r="Q80" i="27" s="1"/>
  <c r="R80" i="25"/>
  <c r="S80" i="25"/>
  <c r="T80" i="25"/>
  <c r="T80" i="27" s="1"/>
  <c r="U80" i="25"/>
  <c r="U80" i="27" s="1"/>
  <c r="V80" i="25"/>
  <c r="V80" i="27" s="1"/>
  <c r="W80" i="25"/>
  <c r="X80" i="25"/>
  <c r="Y80" i="25"/>
  <c r="Y80" i="27" s="1"/>
  <c r="Z80" i="25"/>
  <c r="AA80" i="25"/>
  <c r="AB80" i="25"/>
  <c r="AC80" i="25"/>
  <c r="AD80" i="25"/>
  <c r="AD80" i="27" s="1"/>
  <c r="AE80" i="25"/>
  <c r="AF80" i="25"/>
  <c r="AG80" i="25"/>
  <c r="AH80" i="25"/>
  <c r="AI80" i="25"/>
  <c r="AJ80" i="25"/>
  <c r="AK80" i="25"/>
  <c r="D81" i="25"/>
  <c r="F81" i="37" s="1"/>
  <c r="F81" i="25"/>
  <c r="G81" i="25"/>
  <c r="H81" i="25"/>
  <c r="I81" i="25"/>
  <c r="J81" i="25"/>
  <c r="J81" i="27" s="1"/>
  <c r="K81" i="25"/>
  <c r="K81" i="27" s="1"/>
  <c r="L81" i="25"/>
  <c r="L81" i="27" s="1"/>
  <c r="M81" i="25"/>
  <c r="N81" i="25"/>
  <c r="O81" i="25"/>
  <c r="O81" i="27" s="1"/>
  <c r="P81" i="25"/>
  <c r="Q81" i="25"/>
  <c r="R81" i="25"/>
  <c r="S81" i="25"/>
  <c r="T81" i="25"/>
  <c r="T81" i="27" s="1"/>
  <c r="U81" i="25"/>
  <c r="V81" i="25"/>
  <c r="W81" i="25"/>
  <c r="W81" i="27" s="1"/>
  <c r="X81" i="25"/>
  <c r="Y81" i="25"/>
  <c r="Z81" i="25"/>
  <c r="Z81" i="27" s="1"/>
  <c r="AA81" i="25"/>
  <c r="AA81" i="27" s="1"/>
  <c r="AB81" i="25"/>
  <c r="AB81" i="27" s="1"/>
  <c r="AC81" i="25"/>
  <c r="AD81" i="25"/>
  <c r="AE81" i="25"/>
  <c r="AE81" i="27" s="1"/>
  <c r="AF81" i="25"/>
  <c r="AG81" i="25"/>
  <c r="AH81" i="25"/>
  <c r="AI81" i="25"/>
  <c r="AJ81" i="25"/>
  <c r="AK81" i="25"/>
  <c r="E86" i="25"/>
  <c r="F86" i="25"/>
  <c r="G86" i="25"/>
  <c r="D87" i="25"/>
  <c r="E87" i="25"/>
  <c r="F87" i="25"/>
  <c r="G87" i="25"/>
  <c r="F88" i="25"/>
  <c r="D88" i="25" s="1"/>
  <c r="F88" i="37" s="1"/>
  <c r="G88" i="25"/>
  <c r="E88" i="25" s="1"/>
  <c r="G88" i="37" s="1"/>
  <c r="I88" i="37" s="1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5" i="37"/>
  <c r="E13" i="37"/>
  <c r="E15" i="37"/>
  <c r="F15" i="37"/>
  <c r="D20" i="37"/>
  <c r="D27" i="37"/>
  <c r="D29" i="37" s="1"/>
  <c r="E27" i="37"/>
  <c r="E29" i="37" s="1"/>
  <c r="E49" i="37"/>
  <c r="E49" i="5" s="1"/>
  <c r="D59" i="37"/>
  <c r="D61" i="37" s="1"/>
  <c r="E59" i="37"/>
  <c r="F60" i="37"/>
  <c r="H60" i="37" s="1"/>
  <c r="D65" i="37"/>
  <c r="D71" i="37"/>
  <c r="E71" i="37"/>
  <c r="D75" i="37"/>
  <c r="E75" i="37"/>
  <c r="D76" i="37"/>
  <c r="E76" i="37"/>
  <c r="D79" i="37"/>
  <c r="D80" i="37"/>
  <c r="E80" i="37"/>
  <c r="D86" i="37"/>
  <c r="E86" i="37"/>
  <c r="F87" i="37"/>
  <c r="G87" i="37"/>
  <c r="A4" i="14"/>
  <c r="A5" i="14"/>
  <c r="F11" i="14"/>
  <c r="G11" i="14"/>
  <c r="G16" i="14" s="1"/>
  <c r="H11" i="14"/>
  <c r="L11" i="14" s="1"/>
  <c r="I11" i="14"/>
  <c r="K11" i="14"/>
  <c r="M11" i="14"/>
  <c r="F12" i="14"/>
  <c r="G12" i="14"/>
  <c r="H12" i="14"/>
  <c r="L12" i="14" s="1"/>
  <c r="I12" i="14"/>
  <c r="M12" i="14"/>
  <c r="G13" i="14"/>
  <c r="H13" i="14"/>
  <c r="I13" i="14"/>
  <c r="F14" i="14"/>
  <c r="H14" i="14"/>
  <c r="I14" i="14"/>
  <c r="G14" i="14" s="1"/>
  <c r="L14" i="14"/>
  <c r="M14" i="14"/>
  <c r="E14" i="38" s="1"/>
  <c r="F15" i="14"/>
  <c r="H15" i="14"/>
  <c r="L15" i="14" s="1"/>
  <c r="I15" i="14"/>
  <c r="G15" i="14" s="1"/>
  <c r="M15" i="14"/>
  <c r="J16" i="14"/>
  <c r="K16" i="14"/>
  <c r="H18" i="14"/>
  <c r="I18" i="14"/>
  <c r="F19" i="14"/>
  <c r="H19" i="14"/>
  <c r="L19" i="14" s="1"/>
  <c r="I19" i="14"/>
  <c r="G19" i="14" s="1"/>
  <c r="M19" i="14"/>
  <c r="E19" i="38" s="1"/>
  <c r="F20" i="14"/>
  <c r="G20" i="14"/>
  <c r="H20" i="14"/>
  <c r="L20" i="14" s="1"/>
  <c r="I20" i="14"/>
  <c r="M20" i="14" s="1"/>
  <c r="H21" i="14"/>
  <c r="F21" i="14" s="1"/>
  <c r="I21" i="14"/>
  <c r="F22" i="14"/>
  <c r="H22" i="14"/>
  <c r="I22" i="14"/>
  <c r="G22" i="14" s="1"/>
  <c r="L22" i="14"/>
  <c r="F23" i="14"/>
  <c r="G23" i="14"/>
  <c r="H23" i="14"/>
  <c r="L23" i="14" s="1"/>
  <c r="D23" i="38" s="1"/>
  <c r="I23" i="14"/>
  <c r="M23" i="14"/>
  <c r="J24" i="14"/>
  <c r="K24" i="14"/>
  <c r="F27" i="14"/>
  <c r="G27" i="14"/>
  <c r="H27" i="14"/>
  <c r="I27" i="14"/>
  <c r="M27" i="14" s="1"/>
  <c r="H28" i="14"/>
  <c r="I28" i="14"/>
  <c r="L28" i="14"/>
  <c r="D28" i="38" s="1"/>
  <c r="I29" i="14"/>
  <c r="J29" i="14"/>
  <c r="K29" i="14"/>
  <c r="F32" i="14"/>
  <c r="H32" i="14"/>
  <c r="I32" i="14"/>
  <c r="G32" i="14" s="1"/>
  <c r="L32" i="14"/>
  <c r="M32" i="14"/>
  <c r="F33" i="14"/>
  <c r="H33" i="14"/>
  <c r="L33" i="14" s="1"/>
  <c r="I33" i="14"/>
  <c r="G33" i="14" s="1"/>
  <c r="M33" i="14"/>
  <c r="G34" i="14"/>
  <c r="H34" i="14"/>
  <c r="F34" i="14" s="1"/>
  <c r="I34" i="14"/>
  <c r="M34" i="14"/>
  <c r="G35" i="14"/>
  <c r="H35" i="14"/>
  <c r="F35" i="14" s="1"/>
  <c r="I35" i="14"/>
  <c r="M35" i="14" s="1"/>
  <c r="L35" i="14"/>
  <c r="D35" i="38" s="1"/>
  <c r="I36" i="14"/>
  <c r="J36" i="14"/>
  <c r="J82" i="14" s="1"/>
  <c r="K36" i="14"/>
  <c r="L37" i="14"/>
  <c r="M37" i="14"/>
  <c r="H38" i="14"/>
  <c r="I38" i="14"/>
  <c r="G39" i="14"/>
  <c r="H39" i="14"/>
  <c r="F39" i="14" s="1"/>
  <c r="I39" i="14"/>
  <c r="M39" i="14"/>
  <c r="H40" i="14"/>
  <c r="H40" i="15" s="1"/>
  <c r="I40" i="14"/>
  <c r="L40" i="14"/>
  <c r="D40" i="38" s="1"/>
  <c r="D42" i="38" s="1"/>
  <c r="F41" i="14"/>
  <c r="H41" i="14"/>
  <c r="I41" i="14"/>
  <c r="G41" i="14" s="1"/>
  <c r="L41" i="14"/>
  <c r="M41" i="14"/>
  <c r="J42" i="14"/>
  <c r="K42" i="14"/>
  <c r="K43" i="14" s="1"/>
  <c r="J43" i="14"/>
  <c r="F45" i="14"/>
  <c r="H45" i="14"/>
  <c r="L45" i="14" s="1"/>
  <c r="D45" i="38" s="1"/>
  <c r="I45" i="14"/>
  <c r="G45" i="14" s="1"/>
  <c r="M45" i="14"/>
  <c r="F47" i="14"/>
  <c r="G47" i="14"/>
  <c r="H47" i="14"/>
  <c r="L47" i="14" s="1"/>
  <c r="I47" i="14"/>
  <c r="M47" i="14"/>
  <c r="G49" i="14"/>
  <c r="H49" i="14"/>
  <c r="I49" i="14"/>
  <c r="M49" i="14" s="1"/>
  <c r="F51" i="14"/>
  <c r="H51" i="14"/>
  <c r="I51" i="14"/>
  <c r="G51" i="14" s="1"/>
  <c r="L51" i="14"/>
  <c r="M51" i="14"/>
  <c r="F54" i="14"/>
  <c r="F56" i="14" s="1"/>
  <c r="H54" i="14"/>
  <c r="I54" i="14"/>
  <c r="G54" i="14" s="1"/>
  <c r="G56" i="14" s="1"/>
  <c r="K54" i="14"/>
  <c r="L54" i="14"/>
  <c r="L56" i="14" s="1"/>
  <c r="M54" i="14"/>
  <c r="M56" i="14" s="1"/>
  <c r="F55" i="14"/>
  <c r="G55" i="14"/>
  <c r="H55" i="14"/>
  <c r="I55" i="14"/>
  <c r="M55" i="14" s="1"/>
  <c r="L55" i="14"/>
  <c r="H56" i="14"/>
  <c r="I56" i="14"/>
  <c r="J56" i="14"/>
  <c r="K56" i="14"/>
  <c r="G59" i="14"/>
  <c r="H59" i="14"/>
  <c r="F59" i="14" s="1"/>
  <c r="I59" i="14"/>
  <c r="H60" i="14"/>
  <c r="F60" i="14" s="1"/>
  <c r="I60" i="14"/>
  <c r="J61" i="14"/>
  <c r="K61" i="14"/>
  <c r="H64" i="14"/>
  <c r="F64" i="14" s="1"/>
  <c r="I64" i="14"/>
  <c r="G64" i="14" s="1"/>
  <c r="L64" i="14"/>
  <c r="L66" i="14" s="1"/>
  <c r="M64" i="14"/>
  <c r="F65" i="14"/>
  <c r="G65" i="14"/>
  <c r="H65" i="14"/>
  <c r="I65" i="14"/>
  <c r="M65" i="14" s="1"/>
  <c r="L65" i="14"/>
  <c r="F66" i="14"/>
  <c r="G66" i="14"/>
  <c r="H66" i="14"/>
  <c r="I66" i="14"/>
  <c r="J66" i="14"/>
  <c r="K66" i="14"/>
  <c r="H70" i="14"/>
  <c r="I70" i="14"/>
  <c r="H71" i="14"/>
  <c r="I71" i="14"/>
  <c r="G71" i="14" s="1"/>
  <c r="M71" i="14"/>
  <c r="J72" i="14"/>
  <c r="K72" i="14"/>
  <c r="H73" i="14"/>
  <c r="F73" i="14" s="1"/>
  <c r="I73" i="14"/>
  <c r="G73" i="14" s="1"/>
  <c r="L73" i="14"/>
  <c r="M73" i="14"/>
  <c r="F74" i="14"/>
  <c r="G74" i="14"/>
  <c r="H74" i="14"/>
  <c r="I74" i="14"/>
  <c r="M74" i="14" s="1"/>
  <c r="E74" i="38" s="1"/>
  <c r="L74" i="14"/>
  <c r="G75" i="14"/>
  <c r="H75" i="14"/>
  <c r="L75" i="14" s="1"/>
  <c r="I75" i="14"/>
  <c r="M75" i="14" s="1"/>
  <c r="H76" i="14"/>
  <c r="F76" i="14" s="1"/>
  <c r="I76" i="14"/>
  <c r="G76" i="14" s="1"/>
  <c r="L76" i="14"/>
  <c r="M76" i="14"/>
  <c r="E76" i="38" s="1"/>
  <c r="G77" i="14"/>
  <c r="H77" i="14"/>
  <c r="F77" i="14" s="1"/>
  <c r="I77" i="14"/>
  <c r="L77" i="14"/>
  <c r="M77" i="14"/>
  <c r="F78" i="14"/>
  <c r="G78" i="14"/>
  <c r="H78" i="14"/>
  <c r="I78" i="14"/>
  <c r="M78" i="14" s="1"/>
  <c r="L78" i="14"/>
  <c r="H79" i="14"/>
  <c r="I79" i="14"/>
  <c r="H80" i="14"/>
  <c r="I80" i="14"/>
  <c r="H81" i="14"/>
  <c r="F81" i="14" s="1"/>
  <c r="I81" i="14"/>
  <c r="G81" i="14" s="1"/>
  <c r="L81" i="14"/>
  <c r="D81" i="38" s="1"/>
  <c r="M81" i="14"/>
  <c r="E81" i="38" s="1"/>
  <c r="D82" i="14"/>
  <c r="E82" i="14"/>
  <c r="E85" i="14" s="1"/>
  <c r="A5" i="26"/>
  <c r="H8" i="26"/>
  <c r="J8" i="26"/>
  <c r="L8" i="26"/>
  <c r="N8" i="26"/>
  <c r="P8" i="26"/>
  <c r="R8" i="26"/>
  <c r="T8" i="26"/>
  <c r="F11" i="26"/>
  <c r="G11" i="26"/>
  <c r="H11" i="26"/>
  <c r="H11" i="27" s="1"/>
  <c r="I11" i="26"/>
  <c r="I16" i="26" s="1"/>
  <c r="J11" i="26"/>
  <c r="K11" i="26"/>
  <c r="L11" i="26"/>
  <c r="M11" i="26"/>
  <c r="N11" i="26"/>
  <c r="O11" i="26"/>
  <c r="P11" i="26"/>
  <c r="P11" i="27" s="1"/>
  <c r="Q11" i="26"/>
  <c r="R11" i="26"/>
  <c r="S11" i="26"/>
  <c r="T11" i="26"/>
  <c r="U11" i="26"/>
  <c r="V11" i="26"/>
  <c r="W11" i="26"/>
  <c r="W11" i="27" s="1"/>
  <c r="W16" i="27" s="1"/>
  <c r="X11" i="26"/>
  <c r="Y11" i="26"/>
  <c r="Y16" i="26" s="1"/>
  <c r="Z11" i="26"/>
  <c r="AA11" i="26"/>
  <c r="AB11" i="26"/>
  <c r="AC11" i="26"/>
  <c r="AD11" i="26"/>
  <c r="AE11" i="26"/>
  <c r="AF11" i="26"/>
  <c r="AG11" i="26"/>
  <c r="AG16" i="26" s="1"/>
  <c r="AH11" i="26"/>
  <c r="AI11" i="26"/>
  <c r="AJ11" i="26"/>
  <c r="AK11" i="26"/>
  <c r="F12" i="26"/>
  <c r="G12" i="26"/>
  <c r="E12" i="26" s="1"/>
  <c r="G12" i="38" s="1"/>
  <c r="I12" i="38" s="1"/>
  <c r="H12" i="26"/>
  <c r="H12" i="27" s="1"/>
  <c r="I12" i="26"/>
  <c r="J12" i="26"/>
  <c r="K12" i="26"/>
  <c r="L12" i="26"/>
  <c r="M12" i="26"/>
  <c r="M12" i="27" s="1"/>
  <c r="N12" i="26"/>
  <c r="O12" i="26"/>
  <c r="P12" i="26"/>
  <c r="P12" i="27" s="1"/>
  <c r="Q12" i="26"/>
  <c r="R12" i="26"/>
  <c r="S12" i="26"/>
  <c r="T12" i="26"/>
  <c r="U12" i="26"/>
  <c r="V12" i="26"/>
  <c r="W12" i="26"/>
  <c r="W12" i="27" s="1"/>
  <c r="X12" i="26"/>
  <c r="X12" i="27" s="1"/>
  <c r="Y12" i="26"/>
  <c r="Z12" i="26"/>
  <c r="AA12" i="26"/>
  <c r="AB12" i="26"/>
  <c r="AC12" i="26"/>
  <c r="AC12" i="27" s="1"/>
  <c r="AD12" i="26"/>
  <c r="AD12" i="27" s="1"/>
  <c r="AE12" i="26"/>
  <c r="AE12" i="27" s="1"/>
  <c r="AF12" i="26"/>
  <c r="AG12" i="26"/>
  <c r="AH12" i="26"/>
  <c r="AI12" i="26"/>
  <c r="AJ12" i="26"/>
  <c r="AK12" i="26"/>
  <c r="F13" i="26"/>
  <c r="D13" i="26" s="1"/>
  <c r="F13" i="38" s="1"/>
  <c r="G13" i="26"/>
  <c r="H13" i="26"/>
  <c r="I13" i="26"/>
  <c r="J13" i="26"/>
  <c r="K13" i="26"/>
  <c r="L13" i="26"/>
  <c r="M13" i="26"/>
  <c r="M13" i="27" s="1"/>
  <c r="N13" i="26"/>
  <c r="N13" i="27" s="1"/>
  <c r="O13" i="26"/>
  <c r="P13" i="26"/>
  <c r="Q13" i="26"/>
  <c r="R13" i="26"/>
  <c r="S13" i="26"/>
  <c r="T13" i="26"/>
  <c r="U13" i="26"/>
  <c r="V13" i="26"/>
  <c r="V13" i="27" s="1"/>
  <c r="W13" i="26"/>
  <c r="X13" i="26"/>
  <c r="Y13" i="26"/>
  <c r="Z13" i="26"/>
  <c r="AA13" i="26"/>
  <c r="AB13" i="26"/>
  <c r="AC13" i="26"/>
  <c r="AC13" i="27" s="1"/>
  <c r="AD13" i="26"/>
  <c r="AD13" i="27" s="1"/>
  <c r="AE13" i="26"/>
  <c r="AF13" i="26"/>
  <c r="AG13" i="26"/>
  <c r="AH13" i="26"/>
  <c r="AI13" i="26"/>
  <c r="AJ13" i="26"/>
  <c r="AK13" i="26"/>
  <c r="D14" i="26"/>
  <c r="F14" i="38" s="1"/>
  <c r="F14" i="26"/>
  <c r="G14" i="26"/>
  <c r="H14" i="26"/>
  <c r="I14" i="26"/>
  <c r="J14" i="26"/>
  <c r="J14" i="27" s="1"/>
  <c r="K14" i="26"/>
  <c r="K14" i="27" s="1"/>
  <c r="L14" i="26"/>
  <c r="L14" i="27" s="1"/>
  <c r="M14" i="26"/>
  <c r="N14" i="26"/>
  <c r="O14" i="26"/>
  <c r="P14" i="26"/>
  <c r="Q14" i="26"/>
  <c r="R14" i="26"/>
  <c r="R14" i="27" s="1"/>
  <c r="S14" i="26"/>
  <c r="S14" i="27" s="1"/>
  <c r="T14" i="26"/>
  <c r="T14" i="27" s="1"/>
  <c r="U14" i="26"/>
  <c r="V14" i="26"/>
  <c r="W14" i="26"/>
  <c r="X14" i="26"/>
  <c r="Y14" i="26"/>
  <c r="Z14" i="26"/>
  <c r="AA14" i="26"/>
  <c r="AA14" i="27" s="1"/>
  <c r="AB14" i="26"/>
  <c r="AB14" i="27" s="1"/>
  <c r="AC14" i="26"/>
  <c r="AD14" i="26"/>
  <c r="AE14" i="26"/>
  <c r="AF14" i="26"/>
  <c r="AG14" i="26"/>
  <c r="AH14" i="26"/>
  <c r="AI14" i="26"/>
  <c r="AJ14" i="26"/>
  <c r="AK14" i="26"/>
  <c r="F15" i="26"/>
  <c r="G15" i="26"/>
  <c r="H15" i="26"/>
  <c r="I15" i="26"/>
  <c r="I15" i="27" s="1"/>
  <c r="J15" i="26"/>
  <c r="J15" i="27" s="1"/>
  <c r="K15" i="26"/>
  <c r="L15" i="26"/>
  <c r="M15" i="26"/>
  <c r="N15" i="26"/>
  <c r="O15" i="26"/>
  <c r="P15" i="26"/>
  <c r="Q15" i="26"/>
  <c r="R15" i="26"/>
  <c r="R15" i="27" s="1"/>
  <c r="S15" i="26"/>
  <c r="T15" i="26"/>
  <c r="U15" i="26"/>
  <c r="V15" i="26"/>
  <c r="W15" i="26"/>
  <c r="X15" i="26"/>
  <c r="X15" i="27" s="1"/>
  <c r="Y15" i="26"/>
  <c r="Y15" i="27" s="1"/>
  <c r="Z15" i="26"/>
  <c r="Z15" i="27" s="1"/>
  <c r="AA15" i="26"/>
  <c r="AB15" i="26"/>
  <c r="AC15" i="26"/>
  <c r="AD15" i="26"/>
  <c r="AE15" i="26"/>
  <c r="AF15" i="26"/>
  <c r="AG15" i="26"/>
  <c r="AH15" i="26"/>
  <c r="AI15" i="26"/>
  <c r="AJ15" i="26"/>
  <c r="AK15" i="26"/>
  <c r="M16" i="26"/>
  <c r="N16" i="26"/>
  <c r="O16" i="26"/>
  <c r="AE16" i="26"/>
  <c r="AF16" i="26"/>
  <c r="F19" i="26"/>
  <c r="G19" i="26"/>
  <c r="G24" i="26" s="1"/>
  <c r="H19" i="26"/>
  <c r="I19" i="26"/>
  <c r="J19" i="26"/>
  <c r="K19" i="26"/>
  <c r="L19" i="26"/>
  <c r="L19" i="27" s="1"/>
  <c r="M19" i="26"/>
  <c r="M19" i="27" s="1"/>
  <c r="N19" i="26"/>
  <c r="N19" i="27" s="1"/>
  <c r="O19" i="26"/>
  <c r="O24" i="26" s="1"/>
  <c r="P19" i="26"/>
  <c r="Q19" i="26"/>
  <c r="R19" i="26"/>
  <c r="S19" i="26"/>
  <c r="T19" i="26"/>
  <c r="U19" i="26"/>
  <c r="U19" i="27" s="1"/>
  <c r="V19" i="26"/>
  <c r="V19" i="27" s="1"/>
  <c r="W19" i="26"/>
  <c r="W24" i="26" s="1"/>
  <c r="X19" i="26"/>
  <c r="Y19" i="26"/>
  <c r="Z19" i="26"/>
  <c r="AA19" i="26"/>
  <c r="AB19" i="26"/>
  <c r="AB19" i="27" s="1"/>
  <c r="AC19" i="26"/>
  <c r="AC19" i="27" s="1"/>
  <c r="AD19" i="26"/>
  <c r="AD19" i="27" s="1"/>
  <c r="AE19" i="26"/>
  <c r="AE24" i="26" s="1"/>
  <c r="AF19" i="26"/>
  <c r="AG19" i="26"/>
  <c r="AH19" i="26"/>
  <c r="AI19" i="26"/>
  <c r="AJ19" i="26"/>
  <c r="AK19" i="26"/>
  <c r="AK24" i="26" s="1"/>
  <c r="E20" i="26"/>
  <c r="G20" i="38" s="1"/>
  <c r="I20" i="38" s="1"/>
  <c r="F20" i="26"/>
  <c r="G20" i="26"/>
  <c r="H20" i="26"/>
  <c r="I20" i="26"/>
  <c r="J20" i="26"/>
  <c r="K20" i="26"/>
  <c r="K20" i="27" s="1"/>
  <c r="L20" i="26"/>
  <c r="L20" i="27" s="1"/>
  <c r="M20" i="26"/>
  <c r="N20" i="26"/>
  <c r="O20" i="26"/>
  <c r="P20" i="26"/>
  <c r="Q20" i="26"/>
  <c r="R20" i="26"/>
  <c r="R20" i="27" s="1"/>
  <c r="S20" i="26"/>
  <c r="S20" i="27" s="1"/>
  <c r="T20" i="26"/>
  <c r="T24" i="26" s="1"/>
  <c r="U20" i="26"/>
  <c r="V20" i="26"/>
  <c r="W20" i="26"/>
  <c r="X20" i="26"/>
  <c r="Y20" i="26"/>
  <c r="Z20" i="26"/>
  <c r="AA20" i="26"/>
  <c r="AA20" i="27" s="1"/>
  <c r="AB20" i="26"/>
  <c r="AB20" i="27" s="1"/>
  <c r="AC20" i="26"/>
  <c r="AD20" i="26"/>
  <c r="AE20" i="26"/>
  <c r="AE20" i="27" s="1"/>
  <c r="AF20" i="26"/>
  <c r="AG20" i="26"/>
  <c r="AH20" i="26"/>
  <c r="AI20" i="26"/>
  <c r="AI24" i="26" s="1"/>
  <c r="AJ20" i="26"/>
  <c r="AJ24" i="26" s="1"/>
  <c r="AK20" i="26"/>
  <c r="F21" i="26"/>
  <c r="G21" i="26"/>
  <c r="H21" i="26"/>
  <c r="I21" i="26"/>
  <c r="J21" i="26"/>
  <c r="K21" i="26"/>
  <c r="K24" i="26" s="1"/>
  <c r="L21" i="26"/>
  <c r="L24" i="26" s="1"/>
  <c r="M21" i="26"/>
  <c r="N21" i="26"/>
  <c r="O21" i="26"/>
  <c r="P21" i="26"/>
  <c r="Q21" i="26"/>
  <c r="R21" i="26"/>
  <c r="S21" i="26"/>
  <c r="T21" i="26"/>
  <c r="U21" i="26"/>
  <c r="V21" i="26"/>
  <c r="W21" i="26"/>
  <c r="W21" i="27" s="1"/>
  <c r="X21" i="26"/>
  <c r="Y21" i="26"/>
  <c r="Z21" i="26"/>
  <c r="AA21" i="26"/>
  <c r="AA24" i="26" s="1"/>
  <c r="AB21" i="26"/>
  <c r="AB24" i="26" s="1"/>
  <c r="AC21" i="26"/>
  <c r="AD21" i="26"/>
  <c r="AE21" i="26"/>
  <c r="AF21" i="26"/>
  <c r="AG21" i="26"/>
  <c r="AH21" i="26"/>
  <c r="AI21" i="26"/>
  <c r="AJ21" i="26"/>
  <c r="AK21" i="26"/>
  <c r="F22" i="26"/>
  <c r="G22" i="26"/>
  <c r="H22" i="26"/>
  <c r="I22" i="26"/>
  <c r="J22" i="26"/>
  <c r="K22" i="26"/>
  <c r="L22" i="26"/>
  <c r="M22" i="26"/>
  <c r="M22" i="27" s="1"/>
  <c r="N22" i="26"/>
  <c r="O22" i="26"/>
  <c r="P22" i="26"/>
  <c r="Q22" i="26"/>
  <c r="R22" i="26"/>
  <c r="S22" i="26"/>
  <c r="T22" i="26"/>
  <c r="U22" i="26"/>
  <c r="V22" i="26"/>
  <c r="W22" i="26"/>
  <c r="W22" i="27" s="1"/>
  <c r="X22" i="26"/>
  <c r="X22" i="27" s="1"/>
  <c r="Y22" i="26"/>
  <c r="Z22" i="26"/>
  <c r="AA22" i="26"/>
  <c r="AB22" i="26"/>
  <c r="AC22" i="26"/>
  <c r="AC22" i="27" s="1"/>
  <c r="AD22" i="26"/>
  <c r="AE22" i="26"/>
  <c r="AF22" i="26"/>
  <c r="AG22" i="26"/>
  <c r="AH22" i="26"/>
  <c r="AI22" i="26"/>
  <c r="AJ22" i="26"/>
  <c r="AK22" i="26"/>
  <c r="F23" i="26"/>
  <c r="G23" i="26"/>
  <c r="E23" i="26" s="1"/>
  <c r="G23" i="38" s="1"/>
  <c r="I23" i="38" s="1"/>
  <c r="H23" i="26"/>
  <c r="I23" i="26"/>
  <c r="J23" i="26"/>
  <c r="K23" i="26"/>
  <c r="L23" i="26"/>
  <c r="M23" i="26"/>
  <c r="N23" i="26"/>
  <c r="O23" i="26"/>
  <c r="P23" i="26"/>
  <c r="Q23" i="26"/>
  <c r="R23" i="26"/>
  <c r="S23" i="26"/>
  <c r="S23" i="27" s="1"/>
  <c r="T23" i="26"/>
  <c r="U23" i="26"/>
  <c r="V23" i="26"/>
  <c r="V23" i="27" s="1"/>
  <c r="W23" i="26"/>
  <c r="X23" i="26"/>
  <c r="Y23" i="26"/>
  <c r="Z23" i="26"/>
  <c r="AA23" i="26"/>
  <c r="AB23" i="26"/>
  <c r="AC23" i="26"/>
  <c r="AC23" i="27" s="1"/>
  <c r="AD23" i="26"/>
  <c r="AE23" i="26"/>
  <c r="AF23" i="26"/>
  <c r="AG23" i="26"/>
  <c r="AH23" i="26"/>
  <c r="AI23" i="26"/>
  <c r="AJ23" i="26"/>
  <c r="AK23" i="26"/>
  <c r="M24" i="26"/>
  <c r="AC24" i="26"/>
  <c r="D27" i="26"/>
  <c r="F27" i="26"/>
  <c r="G27" i="26"/>
  <c r="E27" i="26" s="1"/>
  <c r="G27" i="38" s="1"/>
  <c r="I27" i="38" s="1"/>
  <c r="H27" i="26"/>
  <c r="I27" i="26"/>
  <c r="J27" i="26"/>
  <c r="K27" i="26"/>
  <c r="K29" i="26" s="1"/>
  <c r="L27" i="26"/>
  <c r="L29" i="26" s="1"/>
  <c r="M27" i="26"/>
  <c r="N27" i="26"/>
  <c r="O27" i="26"/>
  <c r="P27" i="26"/>
  <c r="Q27" i="26"/>
  <c r="R27" i="26"/>
  <c r="S27" i="26"/>
  <c r="S29" i="26" s="1"/>
  <c r="T27" i="26"/>
  <c r="T29" i="26" s="1"/>
  <c r="U27" i="26"/>
  <c r="V27" i="26"/>
  <c r="W27" i="26"/>
  <c r="W27" i="27" s="1"/>
  <c r="X27" i="26"/>
  <c r="Y27" i="26"/>
  <c r="Z27" i="26"/>
  <c r="AA27" i="26"/>
  <c r="AA29" i="26" s="1"/>
  <c r="AB27" i="26"/>
  <c r="AB29" i="26" s="1"/>
  <c r="AC27" i="26"/>
  <c r="AD27" i="26"/>
  <c r="AE27" i="26"/>
  <c r="AF27" i="26"/>
  <c r="AG27" i="26"/>
  <c r="AH27" i="26"/>
  <c r="AI27" i="26"/>
  <c r="AI29" i="26" s="1"/>
  <c r="AJ27" i="26"/>
  <c r="AJ29" i="26" s="1"/>
  <c r="AK27" i="26"/>
  <c r="F28" i="26"/>
  <c r="G28" i="26"/>
  <c r="H28" i="26"/>
  <c r="H29" i="26" s="1"/>
  <c r="I28" i="26"/>
  <c r="J28" i="26"/>
  <c r="K28" i="26"/>
  <c r="L28" i="26"/>
  <c r="M28" i="26"/>
  <c r="M28" i="27" s="1"/>
  <c r="N28" i="26"/>
  <c r="O28" i="26"/>
  <c r="O29" i="26" s="1"/>
  <c r="P28" i="26"/>
  <c r="P29" i="26" s="1"/>
  <c r="Q28" i="26"/>
  <c r="R28" i="26"/>
  <c r="S28" i="26"/>
  <c r="T28" i="26"/>
  <c r="U28" i="26"/>
  <c r="V28" i="26"/>
  <c r="W28" i="26"/>
  <c r="X28" i="26"/>
  <c r="X29" i="26" s="1"/>
  <c r="Y28" i="26"/>
  <c r="Z28" i="26"/>
  <c r="AA28" i="26"/>
  <c r="AB28" i="26"/>
  <c r="AC28" i="26"/>
  <c r="AC28" i="27" s="1"/>
  <c r="AD28" i="26"/>
  <c r="AE28" i="26"/>
  <c r="AE29" i="26" s="1"/>
  <c r="AF28" i="26"/>
  <c r="AF29" i="26" s="1"/>
  <c r="AG28" i="26"/>
  <c r="AH28" i="26"/>
  <c r="AI28" i="26"/>
  <c r="AJ28" i="26"/>
  <c r="AK28" i="26"/>
  <c r="F29" i="26"/>
  <c r="G29" i="26"/>
  <c r="M29" i="26"/>
  <c r="N29" i="26"/>
  <c r="U29" i="26"/>
  <c r="V29" i="26"/>
  <c r="W29" i="26"/>
  <c r="AC29" i="26"/>
  <c r="AD29" i="26"/>
  <c r="AK29" i="26"/>
  <c r="D32" i="26"/>
  <c r="F32" i="38" s="1"/>
  <c r="E32" i="26"/>
  <c r="G32" i="38" s="1"/>
  <c r="F32" i="26"/>
  <c r="G32" i="26"/>
  <c r="H32" i="26"/>
  <c r="I32" i="26"/>
  <c r="J32" i="26"/>
  <c r="K32" i="26"/>
  <c r="L32" i="26"/>
  <c r="M32" i="26"/>
  <c r="N32" i="26"/>
  <c r="O32" i="26"/>
  <c r="P32" i="26"/>
  <c r="Q32" i="26"/>
  <c r="Q32" i="27" s="1"/>
  <c r="R32" i="26"/>
  <c r="S32" i="26"/>
  <c r="S36" i="26" s="1"/>
  <c r="T32" i="26"/>
  <c r="T36" i="26" s="1"/>
  <c r="U32" i="26"/>
  <c r="U36" i="26" s="1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I36" i="26" s="1"/>
  <c r="AJ32" i="26"/>
  <c r="AJ36" i="26" s="1"/>
  <c r="AK32" i="26"/>
  <c r="AK36" i="26" s="1"/>
  <c r="F33" i="26"/>
  <c r="G33" i="26"/>
  <c r="H33" i="26"/>
  <c r="I33" i="26"/>
  <c r="J33" i="26"/>
  <c r="K33" i="26"/>
  <c r="K36" i="26" s="1"/>
  <c r="L33" i="26"/>
  <c r="L36" i="26" s="1"/>
  <c r="M33" i="26"/>
  <c r="N33" i="26"/>
  <c r="O33" i="26"/>
  <c r="P33" i="26"/>
  <c r="Q33" i="26"/>
  <c r="R33" i="26"/>
  <c r="S33" i="26"/>
  <c r="T33" i="26"/>
  <c r="U33" i="26"/>
  <c r="V33" i="26"/>
  <c r="W33" i="26"/>
  <c r="W33" i="27" s="1"/>
  <c r="X33" i="26"/>
  <c r="Y33" i="26"/>
  <c r="Z33" i="26"/>
  <c r="AA33" i="26"/>
  <c r="AA36" i="26" s="1"/>
  <c r="AB33" i="26"/>
  <c r="AB36" i="26" s="1"/>
  <c r="AC33" i="26"/>
  <c r="AD33" i="26"/>
  <c r="AE33" i="26"/>
  <c r="AF33" i="26"/>
  <c r="AG33" i="26"/>
  <c r="AH33" i="26"/>
  <c r="AI33" i="26"/>
  <c r="AJ33" i="26"/>
  <c r="AK33" i="26"/>
  <c r="F34" i="26"/>
  <c r="G34" i="26"/>
  <c r="H34" i="26"/>
  <c r="I34" i="26"/>
  <c r="J34" i="26"/>
  <c r="K34" i="26"/>
  <c r="L34" i="26"/>
  <c r="M34" i="26"/>
  <c r="M34" i="27" s="1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C34" i="27" s="1"/>
  <c r="AD34" i="26"/>
  <c r="AE34" i="26"/>
  <c r="AF34" i="26"/>
  <c r="AG34" i="26"/>
  <c r="AH34" i="26"/>
  <c r="AI34" i="26"/>
  <c r="AJ34" i="26"/>
  <c r="AK34" i="26"/>
  <c r="F35" i="26"/>
  <c r="G35" i="26"/>
  <c r="E35" i="26" s="1"/>
  <c r="G35" i="38" s="1"/>
  <c r="I35" i="38" s="1"/>
  <c r="H35" i="26"/>
  <c r="I35" i="26"/>
  <c r="J35" i="26"/>
  <c r="K35" i="26"/>
  <c r="L35" i="26"/>
  <c r="M35" i="26"/>
  <c r="M35" i="27" s="1"/>
  <c r="N35" i="26"/>
  <c r="N36" i="26" s="1"/>
  <c r="O35" i="26"/>
  <c r="P35" i="26"/>
  <c r="Q35" i="26"/>
  <c r="R35" i="26"/>
  <c r="S35" i="26"/>
  <c r="S35" i="27" s="1"/>
  <c r="T35" i="26"/>
  <c r="U35" i="26"/>
  <c r="V35" i="26"/>
  <c r="V35" i="27" s="1"/>
  <c r="W35" i="26"/>
  <c r="X35" i="26"/>
  <c r="Y35" i="26"/>
  <c r="Z35" i="26"/>
  <c r="AA35" i="26"/>
  <c r="AB35" i="26"/>
  <c r="AC35" i="26"/>
  <c r="AD35" i="26"/>
  <c r="AD36" i="26" s="1"/>
  <c r="AE35" i="26"/>
  <c r="AF35" i="26"/>
  <c r="AG35" i="26"/>
  <c r="AH35" i="26"/>
  <c r="AI35" i="26"/>
  <c r="AJ35" i="26"/>
  <c r="AK35" i="26"/>
  <c r="F36" i="26"/>
  <c r="M36" i="26"/>
  <c r="V36" i="26"/>
  <c r="AC36" i="26"/>
  <c r="D39" i="26"/>
  <c r="F39" i="26"/>
  <c r="G39" i="26"/>
  <c r="E39" i="26" s="1"/>
  <c r="G39" i="38" s="1"/>
  <c r="H39" i="26"/>
  <c r="I39" i="26"/>
  <c r="J39" i="26"/>
  <c r="J39" i="27" s="1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W39" i="27" s="1"/>
  <c r="X39" i="26"/>
  <c r="Y39" i="26"/>
  <c r="Z39" i="26"/>
  <c r="Z39" i="27" s="1"/>
  <c r="AA39" i="26"/>
  <c r="AB39" i="26"/>
  <c r="AC39" i="26"/>
  <c r="AD39" i="26"/>
  <c r="AE39" i="26"/>
  <c r="AF39" i="26"/>
  <c r="AG39" i="26"/>
  <c r="AH39" i="26"/>
  <c r="AI39" i="26"/>
  <c r="AJ39" i="26"/>
  <c r="AK39" i="26"/>
  <c r="F40" i="26"/>
  <c r="G40" i="26"/>
  <c r="H40" i="26"/>
  <c r="I40" i="26"/>
  <c r="I42" i="26" s="1"/>
  <c r="I43" i="26" s="1"/>
  <c r="J40" i="26"/>
  <c r="J42" i="26" s="1"/>
  <c r="K40" i="26"/>
  <c r="L40" i="26"/>
  <c r="M40" i="26"/>
  <c r="M40" i="27" s="1"/>
  <c r="N40" i="26"/>
  <c r="O40" i="26"/>
  <c r="P40" i="26"/>
  <c r="P42" i="26" s="1"/>
  <c r="P43" i="26" s="1"/>
  <c r="Q40" i="26"/>
  <c r="Q42" i="26" s="1"/>
  <c r="R40" i="26"/>
  <c r="R42" i="26" s="1"/>
  <c r="S40" i="26"/>
  <c r="T40" i="26"/>
  <c r="U40" i="26"/>
  <c r="V40" i="26"/>
  <c r="W40" i="26"/>
  <c r="X40" i="26"/>
  <c r="X42" i="26" s="1"/>
  <c r="X43" i="26" s="1"/>
  <c r="Y40" i="26"/>
  <c r="Y42" i="26" s="1"/>
  <c r="Y43" i="26" s="1"/>
  <c r="Z40" i="26"/>
  <c r="Z42" i="26" s="1"/>
  <c r="AA40" i="26"/>
  <c r="AB40" i="26"/>
  <c r="AC40" i="26"/>
  <c r="AC40" i="27" s="1"/>
  <c r="AD40" i="26"/>
  <c r="AE40" i="26"/>
  <c r="AF40" i="26"/>
  <c r="AF42" i="26" s="1"/>
  <c r="AF43" i="26" s="1"/>
  <c r="AG40" i="26"/>
  <c r="AG42" i="26" s="1"/>
  <c r="AH40" i="26"/>
  <c r="AH42" i="26" s="1"/>
  <c r="AI40" i="26"/>
  <c r="AJ40" i="26"/>
  <c r="AK40" i="26"/>
  <c r="F41" i="26"/>
  <c r="D41" i="26" s="1"/>
  <c r="F41" i="38" s="1"/>
  <c r="G41" i="26"/>
  <c r="E41" i="26" s="1"/>
  <c r="G41" i="38" s="1"/>
  <c r="I41" i="38" s="1"/>
  <c r="H41" i="26"/>
  <c r="I41" i="26"/>
  <c r="J41" i="26"/>
  <c r="K41" i="26"/>
  <c r="L41" i="26"/>
  <c r="M41" i="26"/>
  <c r="M42" i="26" s="1"/>
  <c r="M43" i="26" s="1"/>
  <c r="N41" i="26"/>
  <c r="N42" i="26" s="1"/>
  <c r="N43" i="26" s="1"/>
  <c r="O41" i="26"/>
  <c r="P41" i="26"/>
  <c r="Q41" i="26"/>
  <c r="R41" i="26"/>
  <c r="S41" i="26"/>
  <c r="S41" i="27" s="1"/>
  <c r="T41" i="26"/>
  <c r="U41" i="26"/>
  <c r="V41" i="26"/>
  <c r="V42" i="26" s="1"/>
  <c r="V43" i="26" s="1"/>
  <c r="W41" i="26"/>
  <c r="X41" i="26"/>
  <c r="Y41" i="26"/>
  <c r="Z41" i="26"/>
  <c r="AA41" i="26"/>
  <c r="AB41" i="26"/>
  <c r="AC41" i="26"/>
  <c r="AC42" i="26" s="1"/>
  <c r="AC43" i="26" s="1"/>
  <c r="AD41" i="26"/>
  <c r="AD42" i="26" s="1"/>
  <c r="AD43" i="26" s="1"/>
  <c r="AE41" i="26"/>
  <c r="AF41" i="26"/>
  <c r="AG41" i="26"/>
  <c r="AH41" i="26"/>
  <c r="AI41" i="26"/>
  <c r="AJ41" i="26"/>
  <c r="AK41" i="26"/>
  <c r="K42" i="26"/>
  <c r="L42" i="26"/>
  <c r="S42" i="26"/>
  <c r="T42" i="26"/>
  <c r="T43" i="26" s="1"/>
  <c r="U42" i="26"/>
  <c r="U43" i="26" s="1"/>
  <c r="AA42" i="26"/>
  <c r="AB42" i="26"/>
  <c r="AI42" i="26"/>
  <c r="AJ42" i="26"/>
  <c r="AJ43" i="26" s="1"/>
  <c r="AK42" i="26"/>
  <c r="AK43" i="26" s="1"/>
  <c r="J43" i="26"/>
  <c r="K43" i="26"/>
  <c r="L43" i="26"/>
  <c r="Q43" i="26"/>
  <c r="R43" i="26"/>
  <c r="S43" i="26"/>
  <c r="Z43" i="26"/>
  <c r="AA43" i="26"/>
  <c r="AB43" i="26"/>
  <c r="AG43" i="26"/>
  <c r="AH43" i="26"/>
  <c r="AI43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U45" i="27" s="1"/>
  <c r="V45" i="26"/>
  <c r="W45" i="26"/>
  <c r="X45" i="26"/>
  <c r="Y45" i="26"/>
  <c r="Z45" i="26"/>
  <c r="AA45" i="26"/>
  <c r="AB45" i="26"/>
  <c r="AC45" i="26"/>
  <c r="AD45" i="26"/>
  <c r="AE45" i="26"/>
  <c r="AE45" i="27" s="1"/>
  <c r="AF45" i="26"/>
  <c r="AG45" i="26"/>
  <c r="AH45" i="26"/>
  <c r="AI45" i="26"/>
  <c r="AJ45" i="26"/>
  <c r="AK45" i="26"/>
  <c r="F47" i="26"/>
  <c r="G47" i="26"/>
  <c r="E47" i="26" s="1"/>
  <c r="G47" i="38" s="1"/>
  <c r="I47" i="38" s="1"/>
  <c r="H47" i="26"/>
  <c r="I47" i="26"/>
  <c r="J47" i="26"/>
  <c r="K47" i="26"/>
  <c r="K47" i="27" s="1"/>
  <c r="L47" i="26"/>
  <c r="M47" i="26"/>
  <c r="N47" i="26"/>
  <c r="N47" i="27" s="1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A47" i="27" s="1"/>
  <c r="AB47" i="26"/>
  <c r="AC47" i="26"/>
  <c r="AD47" i="26"/>
  <c r="AD47" i="27" s="1"/>
  <c r="AE47" i="26"/>
  <c r="AF47" i="26"/>
  <c r="AG47" i="26"/>
  <c r="AH47" i="26"/>
  <c r="AI47" i="26"/>
  <c r="AJ47" i="26"/>
  <c r="AK47" i="26"/>
  <c r="F49" i="26"/>
  <c r="D49" i="26" s="1"/>
  <c r="F49" i="38" s="1"/>
  <c r="G49" i="26"/>
  <c r="H49" i="26"/>
  <c r="I49" i="26"/>
  <c r="J49" i="26"/>
  <c r="K49" i="26"/>
  <c r="L49" i="26"/>
  <c r="M49" i="26"/>
  <c r="E49" i="26" s="1"/>
  <c r="G49" i="38" s="1"/>
  <c r="I49" i="38" s="1"/>
  <c r="N49" i="26"/>
  <c r="O49" i="26"/>
  <c r="P49" i="26"/>
  <c r="Q49" i="26"/>
  <c r="Q49" i="27" s="1"/>
  <c r="R49" i="26"/>
  <c r="S49" i="26"/>
  <c r="S49" i="27" s="1"/>
  <c r="T49" i="26"/>
  <c r="T49" i="27" s="1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D50" i="26"/>
  <c r="E50" i="26"/>
  <c r="F51" i="26"/>
  <c r="G51" i="26"/>
  <c r="E51" i="26" s="1"/>
  <c r="G51" i="38" s="1"/>
  <c r="I51" i="38" s="1"/>
  <c r="H51" i="26"/>
  <c r="I51" i="26"/>
  <c r="J51" i="26"/>
  <c r="K51" i="26"/>
  <c r="L51" i="26"/>
  <c r="M51" i="26"/>
  <c r="N51" i="26"/>
  <c r="O51" i="26"/>
  <c r="O86" i="26" s="1"/>
  <c r="P51" i="26"/>
  <c r="Q51" i="26"/>
  <c r="R51" i="26"/>
  <c r="S51" i="26"/>
  <c r="T51" i="26"/>
  <c r="U51" i="26"/>
  <c r="U51" i="27" s="1"/>
  <c r="V51" i="26"/>
  <c r="W51" i="26"/>
  <c r="X51" i="26"/>
  <c r="X51" i="27" s="1"/>
  <c r="Y51" i="26"/>
  <c r="Z51" i="26"/>
  <c r="AA51" i="26"/>
  <c r="AB51" i="26"/>
  <c r="AC51" i="26"/>
  <c r="AD51" i="26"/>
  <c r="AE51" i="26"/>
  <c r="AE87" i="26" s="1"/>
  <c r="AE87" i="27" s="1"/>
  <c r="AF51" i="26"/>
  <c r="AG51" i="26"/>
  <c r="AH51" i="26"/>
  <c r="AI51" i="26"/>
  <c r="AJ51" i="26"/>
  <c r="AK51" i="26"/>
  <c r="D52" i="26"/>
  <c r="E52" i="26"/>
  <c r="F54" i="26"/>
  <c r="F56" i="26" s="1"/>
  <c r="G54" i="26"/>
  <c r="H54" i="26"/>
  <c r="I54" i="26"/>
  <c r="J54" i="26"/>
  <c r="K54" i="26"/>
  <c r="K56" i="26" s="1"/>
  <c r="L54" i="26"/>
  <c r="L56" i="26" s="1"/>
  <c r="M54" i="26"/>
  <c r="M56" i="26" s="1"/>
  <c r="N54" i="26"/>
  <c r="N56" i="26" s="1"/>
  <c r="O54" i="26"/>
  <c r="P54" i="26"/>
  <c r="Q54" i="26"/>
  <c r="Q54" i="27" s="1"/>
  <c r="R54" i="26"/>
  <c r="S54" i="26"/>
  <c r="T54" i="26"/>
  <c r="T56" i="26" s="1"/>
  <c r="U54" i="26"/>
  <c r="V54" i="26"/>
  <c r="V56" i="26" s="1"/>
  <c r="W54" i="26"/>
  <c r="X54" i="26"/>
  <c r="Y54" i="26"/>
  <c r="Z54" i="26"/>
  <c r="AA54" i="26"/>
  <c r="AA56" i="26" s="1"/>
  <c r="AB54" i="26"/>
  <c r="AB56" i="26" s="1"/>
  <c r="AC54" i="26"/>
  <c r="AC56" i="26" s="1"/>
  <c r="AD54" i="26"/>
  <c r="AD56" i="26" s="1"/>
  <c r="AE54" i="26"/>
  <c r="AF54" i="26"/>
  <c r="AG54" i="26"/>
  <c r="AH54" i="26"/>
  <c r="AI54" i="26"/>
  <c r="AJ54" i="26"/>
  <c r="AJ56" i="26" s="1"/>
  <c r="AK54" i="26"/>
  <c r="F55" i="26"/>
  <c r="G55" i="26"/>
  <c r="H55" i="26"/>
  <c r="I55" i="26"/>
  <c r="I91" i="26" s="1"/>
  <c r="J55" i="26"/>
  <c r="D55" i="26" s="1"/>
  <c r="F55" i="38" s="1"/>
  <c r="H55" i="38" s="1"/>
  <c r="K55" i="26"/>
  <c r="L55" i="26"/>
  <c r="M55" i="26"/>
  <c r="N55" i="26"/>
  <c r="O55" i="26"/>
  <c r="O55" i="27" s="1"/>
  <c r="P55" i="26"/>
  <c r="Q55" i="26"/>
  <c r="Q56" i="26" s="1"/>
  <c r="R55" i="26"/>
  <c r="R56" i="26" s="1"/>
  <c r="S55" i="26"/>
  <c r="S91" i="26" s="1"/>
  <c r="T55" i="26"/>
  <c r="U55" i="26"/>
  <c r="V55" i="26"/>
  <c r="W55" i="26"/>
  <c r="X55" i="26"/>
  <c r="Y55" i="26"/>
  <c r="Y91" i="26" s="1"/>
  <c r="Z55" i="26"/>
  <c r="Z56" i="26" s="1"/>
  <c r="AA55" i="26"/>
  <c r="AB55" i="26"/>
  <c r="AC55" i="26"/>
  <c r="AD55" i="26"/>
  <c r="AE55" i="26"/>
  <c r="AE55" i="27" s="1"/>
  <c r="AF55" i="26"/>
  <c r="AG55" i="26"/>
  <c r="AG56" i="26" s="1"/>
  <c r="AH55" i="26"/>
  <c r="AH56" i="26" s="1"/>
  <c r="AI55" i="26"/>
  <c r="AI91" i="26" s="1"/>
  <c r="AJ55" i="26"/>
  <c r="AK55" i="26"/>
  <c r="G56" i="26"/>
  <c r="H56" i="26"/>
  <c r="O56" i="26"/>
  <c r="P56" i="26"/>
  <c r="W56" i="26"/>
  <c r="X56" i="26"/>
  <c r="AE56" i="26"/>
  <c r="AF56" i="26"/>
  <c r="F59" i="26"/>
  <c r="G59" i="26"/>
  <c r="G61" i="26" s="1"/>
  <c r="H59" i="26"/>
  <c r="H61" i="26" s="1"/>
  <c r="I59" i="26"/>
  <c r="J59" i="26"/>
  <c r="K59" i="26"/>
  <c r="L59" i="26"/>
  <c r="M59" i="26"/>
  <c r="N59" i="26"/>
  <c r="O59" i="26"/>
  <c r="O61" i="26" s="1"/>
  <c r="P59" i="26"/>
  <c r="P61" i="26" s="1"/>
  <c r="Q59" i="26"/>
  <c r="R59" i="26"/>
  <c r="S59" i="26"/>
  <c r="S59" i="27" s="1"/>
  <c r="T59" i="26"/>
  <c r="U59" i="26"/>
  <c r="V59" i="26"/>
  <c r="W59" i="26"/>
  <c r="W61" i="26" s="1"/>
  <c r="X59" i="26"/>
  <c r="X61" i="26" s="1"/>
  <c r="Y59" i="26"/>
  <c r="Z59" i="26"/>
  <c r="AA59" i="26"/>
  <c r="AB59" i="26"/>
  <c r="AC59" i="26"/>
  <c r="AD59" i="26"/>
  <c r="AE59" i="26"/>
  <c r="AE61" i="26" s="1"/>
  <c r="AF59" i="26"/>
  <c r="AF61" i="26" s="1"/>
  <c r="AG59" i="26"/>
  <c r="AH59" i="26"/>
  <c r="AI59" i="26"/>
  <c r="AJ59" i="26"/>
  <c r="AK59" i="26"/>
  <c r="E60" i="26"/>
  <c r="F60" i="26"/>
  <c r="D60" i="26" s="1"/>
  <c r="F60" i="38" s="1"/>
  <c r="G60" i="26"/>
  <c r="H60" i="26"/>
  <c r="I60" i="26"/>
  <c r="J60" i="26"/>
  <c r="K60" i="26"/>
  <c r="K61" i="26" s="1"/>
  <c r="L60" i="26"/>
  <c r="L61" i="26" s="1"/>
  <c r="M60" i="26"/>
  <c r="N60" i="26"/>
  <c r="O60" i="26"/>
  <c r="P60" i="26"/>
  <c r="Q60" i="26"/>
  <c r="Q60" i="27" s="1"/>
  <c r="R60" i="26"/>
  <c r="S60" i="26"/>
  <c r="T60" i="26"/>
  <c r="U60" i="26"/>
  <c r="V60" i="26"/>
  <c r="W60" i="26"/>
  <c r="X60" i="26"/>
  <c r="Y60" i="26"/>
  <c r="Z60" i="26"/>
  <c r="AA60" i="26"/>
  <c r="AA61" i="26" s="1"/>
  <c r="AB60" i="26"/>
  <c r="AB61" i="26" s="1"/>
  <c r="AC60" i="26"/>
  <c r="AD60" i="26"/>
  <c r="AE60" i="26"/>
  <c r="AF60" i="26"/>
  <c r="AG60" i="26"/>
  <c r="AH60" i="26"/>
  <c r="AI60" i="26"/>
  <c r="AJ60" i="26"/>
  <c r="AK60" i="26"/>
  <c r="I61" i="26"/>
  <c r="J61" i="26"/>
  <c r="Q61" i="26"/>
  <c r="R61" i="26"/>
  <c r="S61" i="26"/>
  <c r="T61" i="26"/>
  <c r="Y61" i="26"/>
  <c r="Z61" i="26"/>
  <c r="AG61" i="26"/>
  <c r="AH61" i="26"/>
  <c r="AI61" i="26"/>
  <c r="AJ61" i="26"/>
  <c r="F64" i="26"/>
  <c r="G64" i="26"/>
  <c r="H64" i="26"/>
  <c r="I64" i="26"/>
  <c r="I66" i="26" s="1"/>
  <c r="J64" i="26"/>
  <c r="J66" i="26" s="1"/>
  <c r="K64" i="26"/>
  <c r="L64" i="26"/>
  <c r="M64" i="26"/>
  <c r="M64" i="27" s="1"/>
  <c r="N64" i="26"/>
  <c r="O64" i="26"/>
  <c r="P64" i="26"/>
  <c r="Q64" i="26"/>
  <c r="Q66" i="26" s="1"/>
  <c r="R64" i="26"/>
  <c r="R66" i="26" s="1"/>
  <c r="S64" i="26"/>
  <c r="T64" i="26"/>
  <c r="U64" i="26"/>
  <c r="V64" i="26"/>
  <c r="W64" i="26"/>
  <c r="W66" i="26" s="1"/>
  <c r="X64" i="26"/>
  <c r="Y64" i="26"/>
  <c r="Y66" i="26" s="1"/>
  <c r="Z64" i="26"/>
  <c r="Z66" i="26" s="1"/>
  <c r="AA64" i="26"/>
  <c r="AB64" i="26"/>
  <c r="AC64" i="26"/>
  <c r="AC64" i="27" s="1"/>
  <c r="AD64" i="26"/>
  <c r="AE64" i="26"/>
  <c r="AF64" i="26"/>
  <c r="AG64" i="26"/>
  <c r="AG66" i="26" s="1"/>
  <c r="AH64" i="26"/>
  <c r="AH66" i="26" s="1"/>
  <c r="AI64" i="26"/>
  <c r="AJ64" i="26"/>
  <c r="AK64" i="26"/>
  <c r="E65" i="26"/>
  <c r="G65" i="38" s="1"/>
  <c r="I65" i="38" s="1"/>
  <c r="F65" i="26"/>
  <c r="G65" i="26"/>
  <c r="H65" i="26"/>
  <c r="I65" i="26"/>
  <c r="J65" i="26"/>
  <c r="K65" i="26"/>
  <c r="L65" i="26"/>
  <c r="M65" i="26"/>
  <c r="M66" i="26" s="1"/>
  <c r="N65" i="26"/>
  <c r="O65" i="26"/>
  <c r="P65" i="26"/>
  <c r="Q65" i="26"/>
  <c r="R65" i="26"/>
  <c r="S65" i="26"/>
  <c r="S65" i="27" s="1"/>
  <c r="T65" i="26"/>
  <c r="U65" i="26"/>
  <c r="U66" i="26" s="1"/>
  <c r="V65" i="26"/>
  <c r="V65" i="27" s="1"/>
  <c r="W65" i="26"/>
  <c r="X65" i="26"/>
  <c r="Y65" i="26"/>
  <c r="Z65" i="26"/>
  <c r="AA65" i="26"/>
  <c r="AB65" i="26"/>
  <c r="AC65" i="26"/>
  <c r="AC66" i="26" s="1"/>
  <c r="AD65" i="26"/>
  <c r="AE65" i="26"/>
  <c r="AF65" i="26"/>
  <c r="AG65" i="26"/>
  <c r="AH65" i="26"/>
  <c r="AI65" i="26"/>
  <c r="AJ65" i="26"/>
  <c r="AK65" i="26"/>
  <c r="AK66" i="26" s="1"/>
  <c r="F66" i="26"/>
  <c r="K66" i="26"/>
  <c r="L66" i="26"/>
  <c r="N66" i="26"/>
  <c r="S66" i="26"/>
  <c r="T66" i="26"/>
  <c r="V66" i="26"/>
  <c r="AA66" i="26"/>
  <c r="AB66" i="26"/>
  <c r="AD66" i="26"/>
  <c r="AI66" i="26"/>
  <c r="AJ66" i="26"/>
  <c r="F70" i="26"/>
  <c r="G70" i="26"/>
  <c r="H70" i="26"/>
  <c r="I70" i="26"/>
  <c r="J70" i="26"/>
  <c r="K70" i="26"/>
  <c r="K72" i="26" s="1"/>
  <c r="L70" i="26"/>
  <c r="L72" i="26" s="1"/>
  <c r="M70" i="26"/>
  <c r="N70" i="26"/>
  <c r="O70" i="26"/>
  <c r="P70" i="26"/>
  <c r="Q70" i="26"/>
  <c r="R70" i="26"/>
  <c r="S70" i="26"/>
  <c r="S72" i="26" s="1"/>
  <c r="T70" i="26"/>
  <c r="T72" i="26" s="1"/>
  <c r="U70" i="26"/>
  <c r="V70" i="26"/>
  <c r="W70" i="26"/>
  <c r="W70" i="27" s="1"/>
  <c r="X70" i="26"/>
  <c r="Y70" i="26"/>
  <c r="Y70" i="27" s="1"/>
  <c r="Z70" i="26"/>
  <c r="Z70" i="27" s="1"/>
  <c r="AA70" i="26"/>
  <c r="AA72" i="26" s="1"/>
  <c r="AB70" i="26"/>
  <c r="AB72" i="26" s="1"/>
  <c r="AC70" i="26"/>
  <c r="AD70" i="26"/>
  <c r="AE70" i="26"/>
  <c r="AF70" i="26"/>
  <c r="AG70" i="26"/>
  <c r="AH70" i="26"/>
  <c r="AI70" i="26"/>
  <c r="AI72" i="26" s="1"/>
  <c r="AJ70" i="26"/>
  <c r="AJ72" i="26" s="1"/>
  <c r="AK70" i="26"/>
  <c r="F71" i="26"/>
  <c r="G71" i="26"/>
  <c r="H71" i="26"/>
  <c r="I71" i="26"/>
  <c r="J71" i="26"/>
  <c r="K71" i="26"/>
  <c r="L71" i="26"/>
  <c r="M71" i="26"/>
  <c r="M71" i="27" s="1"/>
  <c r="N71" i="26"/>
  <c r="O71" i="26"/>
  <c r="O72" i="26" s="1"/>
  <c r="P71" i="26"/>
  <c r="P72" i="26" s="1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C71" i="27" s="1"/>
  <c r="AD71" i="26"/>
  <c r="AE71" i="26"/>
  <c r="AE72" i="26" s="1"/>
  <c r="AF71" i="26"/>
  <c r="AF72" i="26" s="1"/>
  <c r="AG71" i="26"/>
  <c r="AH71" i="26"/>
  <c r="AI71" i="26"/>
  <c r="AJ71" i="26"/>
  <c r="AK71" i="26"/>
  <c r="F72" i="26"/>
  <c r="G72" i="26"/>
  <c r="H72" i="26"/>
  <c r="M72" i="26"/>
  <c r="N72" i="26"/>
  <c r="U72" i="26"/>
  <c r="V72" i="26"/>
  <c r="W72" i="26"/>
  <c r="X72" i="26"/>
  <c r="AC72" i="26"/>
  <c r="AD72" i="26"/>
  <c r="AK72" i="26"/>
  <c r="F73" i="26"/>
  <c r="D73" i="26" s="1"/>
  <c r="F73" i="38" s="1"/>
  <c r="H73" i="38" s="1"/>
  <c r="G73" i="26"/>
  <c r="H73" i="26"/>
  <c r="I73" i="26"/>
  <c r="I73" i="27" s="1"/>
  <c r="J73" i="26"/>
  <c r="K73" i="26"/>
  <c r="L73" i="26"/>
  <c r="M73" i="26"/>
  <c r="N73" i="26"/>
  <c r="O73" i="26"/>
  <c r="P73" i="26"/>
  <c r="Q73" i="26"/>
  <c r="R73" i="26"/>
  <c r="S73" i="26"/>
  <c r="T73" i="26"/>
  <c r="U73" i="26"/>
  <c r="E73" i="26" s="1"/>
  <c r="G73" i="38" s="1"/>
  <c r="I73" i="38" s="1"/>
  <c r="V73" i="26"/>
  <c r="W73" i="26"/>
  <c r="X73" i="26"/>
  <c r="Y73" i="26"/>
  <c r="Y73" i="27" s="1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D74" i="26"/>
  <c r="F74" i="38" s="1"/>
  <c r="H74" i="38" s="1"/>
  <c r="F74" i="26"/>
  <c r="G74" i="26"/>
  <c r="H74" i="26"/>
  <c r="I74" i="26"/>
  <c r="I74" i="27" s="1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W74" i="27" s="1"/>
  <c r="X74" i="26"/>
  <c r="Y74" i="26"/>
  <c r="Z74" i="26"/>
  <c r="Z74" i="27" s="1"/>
  <c r="AA74" i="26"/>
  <c r="AB74" i="26"/>
  <c r="AC74" i="26"/>
  <c r="AD74" i="26"/>
  <c r="AE74" i="26"/>
  <c r="AF74" i="26"/>
  <c r="AG74" i="26"/>
  <c r="AH74" i="26"/>
  <c r="AI74" i="26"/>
  <c r="AJ74" i="26"/>
  <c r="AK74" i="26"/>
  <c r="F75" i="26"/>
  <c r="G75" i="26"/>
  <c r="H75" i="26"/>
  <c r="I75" i="26"/>
  <c r="J75" i="26"/>
  <c r="K75" i="26"/>
  <c r="L75" i="26"/>
  <c r="M75" i="26"/>
  <c r="M75" i="27" s="1"/>
  <c r="N75" i="26"/>
  <c r="O75" i="26"/>
  <c r="P75" i="26"/>
  <c r="P75" i="27" s="1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C75" i="27" s="1"/>
  <c r="AD75" i="26"/>
  <c r="AE75" i="26"/>
  <c r="AF75" i="26"/>
  <c r="AG75" i="26"/>
  <c r="AH75" i="26"/>
  <c r="AI75" i="26"/>
  <c r="AJ75" i="26"/>
  <c r="AK75" i="26"/>
  <c r="E76" i="26"/>
  <c r="G76" i="38" s="1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S76" i="27" s="1"/>
  <c r="T76" i="26"/>
  <c r="U76" i="26"/>
  <c r="U76" i="27" s="1"/>
  <c r="V76" i="26"/>
  <c r="V76" i="27" s="1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F77" i="26"/>
  <c r="D77" i="26" s="1"/>
  <c r="F77" i="38" s="1"/>
  <c r="H77" i="38" s="1"/>
  <c r="G77" i="26"/>
  <c r="H77" i="26"/>
  <c r="I77" i="26"/>
  <c r="J77" i="26"/>
  <c r="K77" i="26"/>
  <c r="E77" i="26" s="1"/>
  <c r="G77" i="38" s="1"/>
  <c r="I77" i="38" s="1"/>
  <c r="L77" i="26"/>
  <c r="M77" i="26"/>
  <c r="N77" i="26"/>
  <c r="O77" i="26"/>
  <c r="P77" i="26"/>
  <c r="Q77" i="26"/>
  <c r="Q77" i="27" s="1"/>
  <c r="R77" i="26"/>
  <c r="S77" i="26"/>
  <c r="T77" i="26"/>
  <c r="U77" i="26"/>
  <c r="V77" i="26"/>
  <c r="W77" i="26"/>
  <c r="X77" i="26"/>
  <c r="Y77" i="26"/>
  <c r="Z77" i="26"/>
  <c r="AA77" i="26"/>
  <c r="AB77" i="26"/>
  <c r="AB77" i="27" s="1"/>
  <c r="AC77" i="26"/>
  <c r="AD77" i="26"/>
  <c r="AE77" i="26"/>
  <c r="AF77" i="26"/>
  <c r="AG77" i="26"/>
  <c r="AH77" i="26"/>
  <c r="AI77" i="26"/>
  <c r="AJ77" i="26"/>
  <c r="AK77" i="26"/>
  <c r="F78" i="26"/>
  <c r="G78" i="26"/>
  <c r="H78" i="26"/>
  <c r="I78" i="26"/>
  <c r="J78" i="26"/>
  <c r="D78" i="26" s="1"/>
  <c r="F78" i="38" s="1"/>
  <c r="H78" i="38" s="1"/>
  <c r="K78" i="26"/>
  <c r="L78" i="26"/>
  <c r="M78" i="26"/>
  <c r="N78" i="26"/>
  <c r="O78" i="26"/>
  <c r="O78" i="27" s="1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E78" i="27" s="1"/>
  <c r="AF78" i="26"/>
  <c r="AG78" i="26"/>
  <c r="AH78" i="26"/>
  <c r="AI78" i="26"/>
  <c r="AJ78" i="26"/>
  <c r="AK78" i="26"/>
  <c r="F79" i="26"/>
  <c r="G79" i="26"/>
  <c r="H79" i="26"/>
  <c r="H79" i="27" s="1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U79" i="27" s="1"/>
  <c r="V79" i="26"/>
  <c r="W79" i="26"/>
  <c r="W79" i="27" s="1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F80" i="26"/>
  <c r="G80" i="26"/>
  <c r="E80" i="26" s="1"/>
  <c r="G80" i="38" s="1"/>
  <c r="H80" i="26"/>
  <c r="I80" i="26"/>
  <c r="J80" i="26"/>
  <c r="K80" i="26"/>
  <c r="K80" i="27" s="1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A80" i="27" s="1"/>
  <c r="AB80" i="26"/>
  <c r="AC80" i="26"/>
  <c r="AC80" i="27" s="1"/>
  <c r="AD80" i="26"/>
  <c r="AE80" i="26"/>
  <c r="AF80" i="26"/>
  <c r="AG80" i="26"/>
  <c r="AH80" i="26"/>
  <c r="AI80" i="26"/>
  <c r="AJ80" i="26"/>
  <c r="AK80" i="26"/>
  <c r="F81" i="26"/>
  <c r="D81" i="26" s="1"/>
  <c r="F81" i="38" s="1"/>
  <c r="H81" i="38" s="1"/>
  <c r="G81" i="26"/>
  <c r="H81" i="26"/>
  <c r="I81" i="26"/>
  <c r="I81" i="27" s="1"/>
  <c r="J81" i="26"/>
  <c r="K81" i="26"/>
  <c r="L81" i="26"/>
  <c r="M81" i="26"/>
  <c r="N81" i="26"/>
  <c r="O81" i="26"/>
  <c r="P81" i="26"/>
  <c r="Q81" i="26"/>
  <c r="R81" i="26"/>
  <c r="S81" i="26"/>
  <c r="T81" i="26"/>
  <c r="U81" i="26"/>
  <c r="E81" i="26" s="1"/>
  <c r="G81" i="38" s="1"/>
  <c r="V81" i="26"/>
  <c r="W81" i="26"/>
  <c r="X81" i="26"/>
  <c r="Y81" i="26"/>
  <c r="Y81" i="27" s="1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E85" i="26"/>
  <c r="K86" i="26"/>
  <c r="K86" i="27" s="1"/>
  <c r="M86" i="26"/>
  <c r="M86" i="27" s="1"/>
  <c r="Q86" i="26"/>
  <c r="Q86" i="27" s="1"/>
  <c r="S86" i="26"/>
  <c r="S86" i="27" s="1"/>
  <c r="U86" i="26"/>
  <c r="AA86" i="26"/>
  <c r="AA86" i="27" s="1"/>
  <c r="AC86" i="26"/>
  <c r="AC86" i="27" s="1"/>
  <c r="AC89" i="27" s="1"/>
  <c r="AG86" i="26"/>
  <c r="AI86" i="26"/>
  <c r="AK86" i="26"/>
  <c r="K87" i="26"/>
  <c r="K87" i="27" s="1"/>
  <c r="M87" i="26"/>
  <c r="M87" i="27" s="1"/>
  <c r="Q87" i="26"/>
  <c r="Q87" i="27" s="1"/>
  <c r="S87" i="26"/>
  <c r="S87" i="27" s="1"/>
  <c r="U87" i="26"/>
  <c r="U87" i="27" s="1"/>
  <c r="AA87" i="26"/>
  <c r="AA87" i="27" s="1"/>
  <c r="AC87" i="26"/>
  <c r="AC87" i="27" s="1"/>
  <c r="AG87" i="26"/>
  <c r="AG88" i="26" s="1"/>
  <c r="AI87" i="26"/>
  <c r="AK87" i="26"/>
  <c r="S88" i="26"/>
  <c r="U88" i="26"/>
  <c r="U88" i="27" s="1"/>
  <c r="AA88" i="26"/>
  <c r="AA88" i="27" s="1"/>
  <c r="AC88" i="26"/>
  <c r="AC88" i="27" s="1"/>
  <c r="AI88" i="26"/>
  <c r="AK88" i="26"/>
  <c r="I90" i="26"/>
  <c r="M90" i="26"/>
  <c r="O90" i="26"/>
  <c r="Q90" i="26"/>
  <c r="W90" i="26"/>
  <c r="Y90" i="26"/>
  <c r="AC90" i="26"/>
  <c r="AE90" i="26"/>
  <c r="AG90" i="26"/>
  <c r="K91" i="26"/>
  <c r="M91" i="26"/>
  <c r="O91" i="26"/>
  <c r="U91" i="26"/>
  <c r="W91" i="26"/>
  <c r="AA91" i="26"/>
  <c r="AC91" i="26"/>
  <c r="AE91" i="26"/>
  <c r="AK91" i="26"/>
  <c r="A4" i="38"/>
  <c r="A5" i="38"/>
  <c r="D11" i="38"/>
  <c r="E11" i="38"/>
  <c r="D12" i="38"/>
  <c r="E12" i="38"/>
  <c r="D14" i="38"/>
  <c r="D15" i="38"/>
  <c r="E15" i="38"/>
  <c r="D20" i="38"/>
  <c r="E20" i="38"/>
  <c r="D22" i="38"/>
  <c r="E23" i="38"/>
  <c r="E27" i="38"/>
  <c r="F27" i="38"/>
  <c r="D32" i="38"/>
  <c r="D33" i="38"/>
  <c r="E33" i="38"/>
  <c r="E34" i="38"/>
  <c r="E35" i="38"/>
  <c r="E39" i="38"/>
  <c r="F39" i="38"/>
  <c r="D41" i="38"/>
  <c r="E41" i="38"/>
  <c r="H41" i="38"/>
  <c r="E45" i="38"/>
  <c r="D47" i="38"/>
  <c r="E47" i="38"/>
  <c r="E49" i="38"/>
  <c r="D51" i="38"/>
  <c r="E51" i="38"/>
  <c r="D54" i="38"/>
  <c r="E54" i="38"/>
  <c r="E56" i="38" s="1"/>
  <c r="D55" i="38"/>
  <c r="E55" i="38"/>
  <c r="D56" i="38"/>
  <c r="G60" i="38"/>
  <c r="D65" i="38"/>
  <c r="E65" i="38"/>
  <c r="E71" i="38"/>
  <c r="D73" i="38"/>
  <c r="E73" i="38"/>
  <c r="D74" i="38"/>
  <c r="D75" i="38"/>
  <c r="E75" i="38"/>
  <c r="D76" i="38"/>
  <c r="D77" i="38"/>
  <c r="E77" i="38"/>
  <c r="D78" i="38"/>
  <c r="E78" i="38"/>
  <c r="A4" i="16"/>
  <c r="A5" i="16"/>
  <c r="F11" i="16"/>
  <c r="H11" i="16"/>
  <c r="I11" i="16"/>
  <c r="M11" i="16" s="1"/>
  <c r="L11" i="16"/>
  <c r="F12" i="16"/>
  <c r="H12" i="16"/>
  <c r="L12" i="16" s="1"/>
  <c r="I12" i="16"/>
  <c r="G12" i="16" s="1"/>
  <c r="M12" i="16"/>
  <c r="E12" i="40" s="1"/>
  <c r="G13" i="16"/>
  <c r="H13" i="16"/>
  <c r="I13" i="16"/>
  <c r="M13" i="16"/>
  <c r="H14" i="16"/>
  <c r="F14" i="16" s="1"/>
  <c r="I14" i="16"/>
  <c r="M14" i="16" s="1"/>
  <c r="E14" i="40" s="1"/>
  <c r="L14" i="16"/>
  <c r="D14" i="40" s="1"/>
  <c r="F15" i="16"/>
  <c r="H15" i="16"/>
  <c r="I15" i="16"/>
  <c r="G15" i="16" s="1"/>
  <c r="L15" i="16"/>
  <c r="M15" i="16"/>
  <c r="E15" i="40" s="1"/>
  <c r="J16" i="16"/>
  <c r="K16" i="16"/>
  <c r="K82" i="16" s="1"/>
  <c r="H18" i="16"/>
  <c r="I18" i="16"/>
  <c r="H19" i="16"/>
  <c r="F19" i="16" s="1"/>
  <c r="I19" i="16"/>
  <c r="L19" i="16"/>
  <c r="D19" i="40" s="1"/>
  <c r="M19" i="16"/>
  <c r="M24" i="16" s="1"/>
  <c r="F20" i="16"/>
  <c r="H20" i="16"/>
  <c r="L20" i="16" s="1"/>
  <c r="D20" i="40" s="1"/>
  <c r="I20" i="16"/>
  <c r="G20" i="16" s="1"/>
  <c r="M20" i="16"/>
  <c r="E20" i="40" s="1"/>
  <c r="G21" i="16"/>
  <c r="H21" i="16"/>
  <c r="F21" i="16" s="1"/>
  <c r="F24" i="16" s="1"/>
  <c r="I21" i="16"/>
  <c r="M21" i="16"/>
  <c r="G22" i="16"/>
  <c r="H22" i="16"/>
  <c r="F22" i="16" s="1"/>
  <c r="I22" i="16"/>
  <c r="M22" i="16" s="1"/>
  <c r="L22" i="16"/>
  <c r="H23" i="16"/>
  <c r="F23" i="16" s="1"/>
  <c r="I23" i="16"/>
  <c r="G23" i="16" s="1"/>
  <c r="L23" i="16"/>
  <c r="D23" i="40" s="1"/>
  <c r="M23" i="16"/>
  <c r="E23" i="40" s="1"/>
  <c r="J24" i="16"/>
  <c r="K24" i="16"/>
  <c r="F27" i="16"/>
  <c r="H27" i="16"/>
  <c r="L27" i="16" s="1"/>
  <c r="L29" i="16" s="1"/>
  <c r="I27" i="16"/>
  <c r="G27" i="16" s="1"/>
  <c r="G29" i="16" s="1"/>
  <c r="M27" i="16"/>
  <c r="G28" i="16"/>
  <c r="H28" i="16"/>
  <c r="L28" i="16" s="1"/>
  <c r="I28" i="16"/>
  <c r="M28" i="16"/>
  <c r="H29" i="16"/>
  <c r="I29" i="16"/>
  <c r="J29" i="16"/>
  <c r="K29" i="16"/>
  <c r="H32" i="16"/>
  <c r="F32" i="16" s="1"/>
  <c r="I32" i="16"/>
  <c r="M32" i="16" s="1"/>
  <c r="L32" i="16"/>
  <c r="F33" i="16"/>
  <c r="H33" i="16"/>
  <c r="I33" i="16"/>
  <c r="G33" i="16" s="1"/>
  <c r="L33" i="16"/>
  <c r="M33" i="16"/>
  <c r="E33" i="40" s="1"/>
  <c r="F34" i="16"/>
  <c r="H34" i="16"/>
  <c r="L34" i="16" s="1"/>
  <c r="D34" i="40" s="1"/>
  <c r="I34" i="16"/>
  <c r="G34" i="16" s="1"/>
  <c r="M34" i="16"/>
  <c r="E34" i="40" s="1"/>
  <c r="F35" i="16"/>
  <c r="G35" i="16"/>
  <c r="H35" i="16"/>
  <c r="L35" i="16" s="1"/>
  <c r="D35" i="40" s="1"/>
  <c r="I35" i="16"/>
  <c r="M35" i="16"/>
  <c r="H36" i="16"/>
  <c r="I36" i="16"/>
  <c r="J36" i="16"/>
  <c r="K36" i="16"/>
  <c r="L37" i="16"/>
  <c r="M37" i="16"/>
  <c r="H38" i="16"/>
  <c r="I38" i="16"/>
  <c r="F39" i="16"/>
  <c r="H39" i="16"/>
  <c r="I39" i="16"/>
  <c r="G39" i="16" s="1"/>
  <c r="L39" i="16"/>
  <c r="M39" i="16"/>
  <c r="E39" i="40" s="1"/>
  <c r="G40" i="16"/>
  <c r="H40" i="16"/>
  <c r="I40" i="16"/>
  <c r="M40" i="16"/>
  <c r="M42" i="16" s="1"/>
  <c r="M43" i="16" s="1"/>
  <c r="G41" i="16"/>
  <c r="H41" i="16"/>
  <c r="F41" i="16" s="1"/>
  <c r="I41" i="16"/>
  <c r="M41" i="16" s="1"/>
  <c r="L41" i="16"/>
  <c r="D41" i="40" s="1"/>
  <c r="I42" i="16"/>
  <c r="J42" i="16"/>
  <c r="J43" i="16" s="1"/>
  <c r="J82" i="16" s="1"/>
  <c r="K42" i="16"/>
  <c r="K43" i="16" s="1"/>
  <c r="I43" i="16"/>
  <c r="H45" i="16"/>
  <c r="F45" i="16" s="1"/>
  <c r="I45" i="16"/>
  <c r="G45" i="16" s="1"/>
  <c r="L45" i="16"/>
  <c r="D45" i="40" s="1"/>
  <c r="M45" i="16"/>
  <c r="E45" i="40" s="1"/>
  <c r="F47" i="16"/>
  <c r="H47" i="16"/>
  <c r="I47" i="16"/>
  <c r="G47" i="16" s="1"/>
  <c r="L47" i="16"/>
  <c r="M47" i="16"/>
  <c r="G49" i="16"/>
  <c r="H49" i="16"/>
  <c r="L49" i="16" s="1"/>
  <c r="D49" i="40" s="1"/>
  <c r="I49" i="16"/>
  <c r="M49" i="16"/>
  <c r="H51" i="16"/>
  <c r="F51" i="16" s="1"/>
  <c r="I51" i="16"/>
  <c r="M51" i="16" s="1"/>
  <c r="E51" i="40" s="1"/>
  <c r="L51" i="16"/>
  <c r="H54" i="16"/>
  <c r="F54" i="16" s="1"/>
  <c r="I54" i="16"/>
  <c r="M54" i="16" s="1"/>
  <c r="L54" i="16"/>
  <c r="L56" i="16" s="1"/>
  <c r="F55" i="16"/>
  <c r="H55" i="16"/>
  <c r="I55" i="16"/>
  <c r="G55" i="16" s="1"/>
  <c r="L55" i="16"/>
  <c r="M55" i="16"/>
  <c r="E55" i="40" s="1"/>
  <c r="F56" i="16"/>
  <c r="H56" i="16"/>
  <c r="J56" i="16"/>
  <c r="K56" i="16"/>
  <c r="G59" i="16"/>
  <c r="H59" i="16"/>
  <c r="I59" i="16"/>
  <c r="M59" i="16"/>
  <c r="H60" i="16"/>
  <c r="F60" i="16" s="1"/>
  <c r="I60" i="16"/>
  <c r="M60" i="16" s="1"/>
  <c r="L60" i="16"/>
  <c r="I61" i="16"/>
  <c r="J61" i="16"/>
  <c r="K61" i="16"/>
  <c r="H64" i="16"/>
  <c r="F64" i="16" s="1"/>
  <c r="I64" i="16"/>
  <c r="L64" i="16"/>
  <c r="M64" i="16"/>
  <c r="E64" i="40" s="1"/>
  <c r="E66" i="40" s="1"/>
  <c r="F65" i="16"/>
  <c r="F66" i="16" s="1"/>
  <c r="H65" i="16"/>
  <c r="L65" i="16" s="1"/>
  <c r="I65" i="16"/>
  <c r="G65" i="16" s="1"/>
  <c r="M65" i="16"/>
  <c r="E65" i="40" s="1"/>
  <c r="H66" i="16"/>
  <c r="J66" i="16"/>
  <c r="K66" i="16"/>
  <c r="M66" i="16"/>
  <c r="F70" i="16"/>
  <c r="F72" i="16" s="1"/>
  <c r="G70" i="16"/>
  <c r="H70" i="16"/>
  <c r="I70" i="16"/>
  <c r="M70" i="16"/>
  <c r="H71" i="16"/>
  <c r="F71" i="16" s="1"/>
  <c r="I71" i="16"/>
  <c r="M71" i="16" s="1"/>
  <c r="E71" i="40" s="1"/>
  <c r="L71" i="16"/>
  <c r="D71" i="40" s="1"/>
  <c r="J72" i="16"/>
  <c r="K72" i="16"/>
  <c r="H73" i="16"/>
  <c r="F73" i="16" s="1"/>
  <c r="I73" i="16"/>
  <c r="G73" i="16" s="1"/>
  <c r="L73" i="16"/>
  <c r="D73" i="40" s="1"/>
  <c r="M73" i="16"/>
  <c r="E73" i="40" s="1"/>
  <c r="F74" i="16"/>
  <c r="H74" i="16"/>
  <c r="I74" i="16"/>
  <c r="G74" i="16" s="1"/>
  <c r="L74" i="16"/>
  <c r="M74" i="16"/>
  <c r="E74" i="40" s="1"/>
  <c r="G75" i="16"/>
  <c r="H75" i="16"/>
  <c r="L75" i="16" s="1"/>
  <c r="D75" i="40" s="1"/>
  <c r="I75" i="16"/>
  <c r="M75" i="16"/>
  <c r="H76" i="16"/>
  <c r="F76" i="16" s="1"/>
  <c r="I76" i="16"/>
  <c r="M76" i="16" s="1"/>
  <c r="E76" i="40" s="1"/>
  <c r="L76" i="16"/>
  <c r="D76" i="40" s="1"/>
  <c r="H77" i="16"/>
  <c r="F77" i="16" s="1"/>
  <c r="I77" i="16"/>
  <c r="G77" i="16" s="1"/>
  <c r="L77" i="16"/>
  <c r="F78" i="16"/>
  <c r="H78" i="16"/>
  <c r="I78" i="16"/>
  <c r="G78" i="16" s="1"/>
  <c r="L78" i="16"/>
  <c r="M78" i="16"/>
  <c r="F79" i="16"/>
  <c r="G79" i="16"/>
  <c r="H79" i="16"/>
  <c r="L79" i="16" s="1"/>
  <c r="D79" i="40" s="1"/>
  <c r="I79" i="16"/>
  <c r="M79" i="16"/>
  <c r="H80" i="16"/>
  <c r="F80" i="16" s="1"/>
  <c r="I80" i="16"/>
  <c r="M80" i="16" s="1"/>
  <c r="E80" i="40" s="1"/>
  <c r="L80" i="16"/>
  <c r="H81" i="16"/>
  <c r="F81" i="16" s="1"/>
  <c r="I81" i="16"/>
  <c r="G81" i="16" s="1"/>
  <c r="L81" i="16"/>
  <c r="M81" i="16"/>
  <c r="D82" i="16"/>
  <c r="E82" i="16"/>
  <c r="A5" i="28"/>
  <c r="H8" i="28"/>
  <c r="J8" i="28"/>
  <c r="L8" i="28"/>
  <c r="N8" i="28"/>
  <c r="P8" i="28"/>
  <c r="R8" i="28"/>
  <c r="T8" i="28"/>
  <c r="F11" i="28"/>
  <c r="G11" i="28"/>
  <c r="G16" i="28" s="1"/>
  <c r="H11" i="28"/>
  <c r="I11" i="28"/>
  <c r="I16" i="28" s="1"/>
  <c r="J11" i="28"/>
  <c r="J16" i="28" s="1"/>
  <c r="K11" i="28"/>
  <c r="L11" i="28"/>
  <c r="M11" i="28"/>
  <c r="N11" i="28"/>
  <c r="O11" i="28"/>
  <c r="P11" i="28"/>
  <c r="Q11" i="28"/>
  <c r="Q16" i="28" s="1"/>
  <c r="R11" i="28"/>
  <c r="R16" i="28" s="1"/>
  <c r="S11" i="28"/>
  <c r="T11" i="28"/>
  <c r="U11" i="28"/>
  <c r="V11" i="28"/>
  <c r="W11" i="28"/>
  <c r="W16" i="28" s="1"/>
  <c r="X11" i="28"/>
  <c r="X16" i="28" s="1"/>
  <c r="Y11" i="28"/>
  <c r="Y16" i="28" s="1"/>
  <c r="Z11" i="28"/>
  <c r="Z16" i="28" s="1"/>
  <c r="AA11" i="28"/>
  <c r="AB11" i="28"/>
  <c r="AC11" i="28"/>
  <c r="AD11" i="28"/>
  <c r="AE11" i="28"/>
  <c r="AF11" i="28"/>
  <c r="AG11" i="28"/>
  <c r="AG16" i="28" s="1"/>
  <c r="AH11" i="28"/>
  <c r="AH16" i="28" s="1"/>
  <c r="AI11" i="28"/>
  <c r="AJ11" i="28"/>
  <c r="AK11" i="28"/>
  <c r="F12" i="28"/>
  <c r="G12" i="28"/>
  <c r="E12" i="28" s="1"/>
  <c r="G12" i="40" s="1"/>
  <c r="I12" i="40" s="1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F13" i="28"/>
  <c r="D13" i="28" s="1"/>
  <c r="F13" i="40" s="1"/>
  <c r="G13" i="28"/>
  <c r="H13" i="28"/>
  <c r="I13" i="28"/>
  <c r="J13" i="28"/>
  <c r="K13" i="28"/>
  <c r="L13" i="28"/>
  <c r="M13" i="28"/>
  <c r="E13" i="28" s="1"/>
  <c r="G13" i="40" s="1"/>
  <c r="I13" i="40" s="1"/>
  <c r="N13" i="28"/>
  <c r="N16" i="28" s="1"/>
  <c r="N82" i="28" s="1"/>
  <c r="L651" i="44" s="1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C16" i="28" s="1"/>
  <c r="AD13" i="28"/>
  <c r="AD16" i="28" s="1"/>
  <c r="AD82" i="28" s="1"/>
  <c r="AB651" i="44" s="1"/>
  <c r="AE13" i="28"/>
  <c r="AF13" i="28"/>
  <c r="AG13" i="28"/>
  <c r="AH13" i="28"/>
  <c r="AI13" i="28"/>
  <c r="AJ13" i="28"/>
  <c r="AK13" i="28"/>
  <c r="D14" i="28"/>
  <c r="F14" i="40" s="1"/>
  <c r="H14" i="40" s="1"/>
  <c r="F14" i="28"/>
  <c r="G14" i="28"/>
  <c r="E14" i="28" s="1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F15" i="28"/>
  <c r="G15" i="28"/>
  <c r="E15" i="28" s="1"/>
  <c r="G15" i="40" s="1"/>
  <c r="I15" i="40" s="1"/>
  <c r="H15" i="28"/>
  <c r="I15" i="28"/>
  <c r="J15" i="28"/>
  <c r="K15" i="28"/>
  <c r="L15" i="28"/>
  <c r="M15" i="28"/>
  <c r="N15" i="28"/>
  <c r="O15" i="28"/>
  <c r="O16" i="28" s="1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E16" i="28" s="1"/>
  <c r="AF15" i="28"/>
  <c r="AG15" i="28"/>
  <c r="AH15" i="28"/>
  <c r="AI15" i="28"/>
  <c r="AJ15" i="28"/>
  <c r="AK15" i="28"/>
  <c r="F16" i="28"/>
  <c r="P16" i="28"/>
  <c r="U16" i="28"/>
  <c r="V16" i="28"/>
  <c r="AF16" i="28"/>
  <c r="AK16" i="28"/>
  <c r="F19" i="28"/>
  <c r="G19" i="28"/>
  <c r="H19" i="28"/>
  <c r="I19" i="28"/>
  <c r="J19" i="28"/>
  <c r="K19" i="28"/>
  <c r="E19" i="28" s="1"/>
  <c r="L19" i="28"/>
  <c r="M19" i="28"/>
  <c r="N19" i="28"/>
  <c r="O19" i="28"/>
  <c r="P19" i="28"/>
  <c r="Q19" i="28"/>
  <c r="R19" i="28"/>
  <c r="S19" i="28"/>
  <c r="T19" i="28"/>
  <c r="D19" i="28" s="1"/>
  <c r="U19" i="28"/>
  <c r="U24" i="28" s="1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K24" i="28" s="1"/>
  <c r="F20" i="28"/>
  <c r="G20" i="28"/>
  <c r="H20" i="28"/>
  <c r="I20" i="28"/>
  <c r="J20" i="28"/>
  <c r="J24" i="28" s="1"/>
  <c r="K20" i="28"/>
  <c r="L20" i="28"/>
  <c r="M20" i="28"/>
  <c r="N20" i="28"/>
  <c r="O20" i="28"/>
  <c r="P20" i="28"/>
  <c r="Q20" i="28"/>
  <c r="R20" i="28"/>
  <c r="R24" i="28" s="1"/>
  <c r="S20" i="28"/>
  <c r="T20" i="28"/>
  <c r="U20" i="28"/>
  <c r="V20" i="28"/>
  <c r="W20" i="28"/>
  <c r="X20" i="28"/>
  <c r="Y20" i="28"/>
  <c r="Z20" i="28"/>
  <c r="Z24" i="28" s="1"/>
  <c r="AA20" i="28"/>
  <c r="AB20" i="28"/>
  <c r="AC20" i="28"/>
  <c r="AD20" i="28"/>
  <c r="AF20" i="28"/>
  <c r="AH20" i="28"/>
  <c r="AJ20" i="28"/>
  <c r="D21" i="28"/>
  <c r="F21" i="40" s="1"/>
  <c r="E21" i="28"/>
  <c r="G21" i="40" s="1"/>
  <c r="I21" i="40" s="1"/>
  <c r="F21" i="28"/>
  <c r="G21" i="28"/>
  <c r="H21" i="28"/>
  <c r="I21" i="28"/>
  <c r="J21" i="28"/>
  <c r="K21" i="28"/>
  <c r="L21" i="28"/>
  <c r="M21" i="28"/>
  <c r="M24" i="28" s="1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C24" i="28" s="1"/>
  <c r="AD21" i="28"/>
  <c r="AE21" i="28"/>
  <c r="AF21" i="28"/>
  <c r="AG21" i="28"/>
  <c r="AH21" i="28"/>
  <c r="AI21" i="28"/>
  <c r="AJ21" i="28"/>
  <c r="AK21" i="28"/>
  <c r="F22" i="28"/>
  <c r="G22" i="28"/>
  <c r="H22" i="28"/>
  <c r="I22" i="28"/>
  <c r="J22" i="28"/>
  <c r="D22" i="28" s="1"/>
  <c r="F22" i="40" s="1"/>
  <c r="H22" i="40" s="1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H24" i="28" s="1"/>
  <c r="AI22" i="28"/>
  <c r="AJ22" i="28"/>
  <c r="AK22" i="28"/>
  <c r="F23" i="28"/>
  <c r="G23" i="28"/>
  <c r="H23" i="28"/>
  <c r="I23" i="28"/>
  <c r="J23" i="28"/>
  <c r="K23" i="28"/>
  <c r="L23" i="28"/>
  <c r="M23" i="28"/>
  <c r="N23" i="28"/>
  <c r="O23" i="28"/>
  <c r="P23" i="28"/>
  <c r="P24" i="28" s="1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F24" i="28" s="1"/>
  <c r="AG23" i="28"/>
  <c r="AH23" i="28"/>
  <c r="AI23" i="28"/>
  <c r="AJ23" i="28"/>
  <c r="AK23" i="28"/>
  <c r="F24" i="28"/>
  <c r="G24" i="28"/>
  <c r="H24" i="28"/>
  <c r="N24" i="28"/>
  <c r="O24" i="28"/>
  <c r="V24" i="28"/>
  <c r="W24" i="28"/>
  <c r="X24" i="28"/>
  <c r="AD24" i="28"/>
  <c r="AE24" i="28"/>
  <c r="F27" i="28"/>
  <c r="F29" i="28" s="1"/>
  <c r="G27" i="28"/>
  <c r="H27" i="28"/>
  <c r="I27" i="28"/>
  <c r="J27" i="28"/>
  <c r="K27" i="28"/>
  <c r="L27" i="28"/>
  <c r="M27" i="28"/>
  <c r="M29" i="28" s="1"/>
  <c r="N27" i="28"/>
  <c r="N29" i="28" s="1"/>
  <c r="O27" i="28"/>
  <c r="P27" i="28"/>
  <c r="Q27" i="28"/>
  <c r="R27" i="28"/>
  <c r="S27" i="28"/>
  <c r="T27" i="28"/>
  <c r="U27" i="28"/>
  <c r="U29" i="28" s="1"/>
  <c r="V27" i="28"/>
  <c r="V29" i="28" s="1"/>
  <c r="W27" i="28"/>
  <c r="X27" i="28"/>
  <c r="Y27" i="28"/>
  <c r="Z27" i="28"/>
  <c r="AA27" i="28"/>
  <c r="AB27" i="28"/>
  <c r="AC27" i="28"/>
  <c r="AC29" i="28" s="1"/>
  <c r="AD27" i="28"/>
  <c r="AD29" i="28" s="1"/>
  <c r="AE27" i="28"/>
  <c r="AF27" i="28"/>
  <c r="AG27" i="28"/>
  <c r="AH27" i="28"/>
  <c r="AI27" i="28"/>
  <c r="AJ27" i="28"/>
  <c r="AK27" i="28"/>
  <c r="AK29" i="28" s="1"/>
  <c r="D28" i="28"/>
  <c r="F28" i="28"/>
  <c r="G28" i="28"/>
  <c r="E28" i="28" s="1"/>
  <c r="G28" i="40" s="1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G29" i="28"/>
  <c r="H29" i="28"/>
  <c r="I29" i="28"/>
  <c r="J29" i="28"/>
  <c r="O29" i="28"/>
  <c r="P29" i="28"/>
  <c r="Q29" i="28"/>
  <c r="R29" i="28"/>
  <c r="W29" i="28"/>
  <c r="X29" i="28"/>
  <c r="Y29" i="28"/>
  <c r="Z29" i="28"/>
  <c r="AE29" i="28"/>
  <c r="AF29" i="28"/>
  <c r="AG29" i="28"/>
  <c r="AH29" i="28"/>
  <c r="F32" i="28"/>
  <c r="D32" i="28" s="1"/>
  <c r="G32" i="28"/>
  <c r="G36" i="28" s="1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U36" i="28" s="1"/>
  <c r="V32" i="28"/>
  <c r="V36" i="28" s="1"/>
  <c r="W32" i="28"/>
  <c r="W36" i="28" s="1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K36" i="28" s="1"/>
  <c r="E33" i="28"/>
  <c r="G33" i="40" s="1"/>
  <c r="I33" i="40" s="1"/>
  <c r="F33" i="28"/>
  <c r="G33" i="28"/>
  <c r="H33" i="28"/>
  <c r="I33" i="28"/>
  <c r="J33" i="28"/>
  <c r="K33" i="28"/>
  <c r="L33" i="28"/>
  <c r="M33" i="28"/>
  <c r="M36" i="28" s="1"/>
  <c r="N33" i="28"/>
  <c r="O33" i="28"/>
  <c r="P33" i="28"/>
  <c r="Q33" i="28"/>
  <c r="R33" i="28"/>
  <c r="S33" i="28"/>
  <c r="T33" i="28"/>
  <c r="D33" i="28" s="1"/>
  <c r="F33" i="40" s="1"/>
  <c r="H33" i="40" s="1"/>
  <c r="U33" i="28"/>
  <c r="V33" i="28"/>
  <c r="W33" i="28"/>
  <c r="X33" i="28"/>
  <c r="Y33" i="28"/>
  <c r="Z33" i="28"/>
  <c r="AA33" i="28"/>
  <c r="AB33" i="28"/>
  <c r="AC33" i="28"/>
  <c r="AC36" i="28" s="1"/>
  <c r="AD33" i="28"/>
  <c r="AE33" i="28"/>
  <c r="AF33" i="28"/>
  <c r="AG33" i="28"/>
  <c r="AH33" i="28"/>
  <c r="AI33" i="28"/>
  <c r="AJ33" i="28"/>
  <c r="AK33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F35" i="28"/>
  <c r="G35" i="28"/>
  <c r="H35" i="28"/>
  <c r="I35" i="28"/>
  <c r="J35" i="28"/>
  <c r="K35" i="28"/>
  <c r="L35" i="28"/>
  <c r="M35" i="28"/>
  <c r="N35" i="28"/>
  <c r="O35" i="28"/>
  <c r="P35" i="28"/>
  <c r="P36" i="28" s="1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F36" i="28" s="1"/>
  <c r="AG35" i="28"/>
  <c r="AH35" i="28"/>
  <c r="AI35" i="28"/>
  <c r="AJ35" i="28"/>
  <c r="AK35" i="28"/>
  <c r="H36" i="28"/>
  <c r="N36" i="28"/>
  <c r="O36" i="28"/>
  <c r="X36" i="28"/>
  <c r="AD36" i="28"/>
  <c r="AE36" i="28"/>
  <c r="F39" i="28"/>
  <c r="D39" i="28" s="1"/>
  <c r="F39" i="40" s="1"/>
  <c r="H39" i="40" s="1"/>
  <c r="G39" i="28"/>
  <c r="H39" i="28"/>
  <c r="I39" i="28"/>
  <c r="J39" i="28"/>
  <c r="K39" i="28"/>
  <c r="L39" i="28"/>
  <c r="M39" i="28"/>
  <c r="E39" i="28" s="1"/>
  <c r="G39" i="40" s="1"/>
  <c r="I39" i="40" s="1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D40" i="28"/>
  <c r="F40" i="28"/>
  <c r="G40" i="28"/>
  <c r="E40" i="28" s="1"/>
  <c r="G40" i="40" s="1"/>
  <c r="H40" i="28"/>
  <c r="I40" i="28"/>
  <c r="J40" i="28"/>
  <c r="K40" i="28"/>
  <c r="K42" i="28" s="1"/>
  <c r="K43" i="28" s="1"/>
  <c r="L40" i="28"/>
  <c r="L42" i="28" s="1"/>
  <c r="L43" i="28" s="1"/>
  <c r="M40" i="28"/>
  <c r="N40" i="28"/>
  <c r="O40" i="28"/>
  <c r="P40" i="28"/>
  <c r="Q40" i="28"/>
  <c r="R40" i="28"/>
  <c r="S40" i="28"/>
  <c r="S42" i="28" s="1"/>
  <c r="T40" i="28"/>
  <c r="T42" i="28" s="1"/>
  <c r="U40" i="28"/>
  <c r="V40" i="28"/>
  <c r="W40" i="28"/>
  <c r="X40" i="28"/>
  <c r="Y40" i="28"/>
  <c r="Z40" i="28"/>
  <c r="AA40" i="28"/>
  <c r="AA42" i="28" s="1"/>
  <c r="AA43" i="28" s="1"/>
  <c r="AB40" i="28"/>
  <c r="AB42" i="28" s="1"/>
  <c r="AB43" i="28" s="1"/>
  <c r="AC40" i="28"/>
  <c r="AD40" i="28"/>
  <c r="AE40" i="28"/>
  <c r="AF40" i="28"/>
  <c r="AG40" i="28"/>
  <c r="AH40" i="28"/>
  <c r="AI40" i="28"/>
  <c r="AI42" i="28" s="1"/>
  <c r="AJ40" i="28"/>
  <c r="AJ42" i="28" s="1"/>
  <c r="AK40" i="28"/>
  <c r="F41" i="28"/>
  <c r="G41" i="28"/>
  <c r="E41" i="28" s="1"/>
  <c r="G41" i="40" s="1"/>
  <c r="I41" i="40" s="1"/>
  <c r="H41" i="28"/>
  <c r="D41" i="28" s="1"/>
  <c r="F41" i="40" s="1"/>
  <c r="H41" i="40" s="1"/>
  <c r="I41" i="28"/>
  <c r="J41" i="28"/>
  <c r="K41" i="28"/>
  <c r="L41" i="28"/>
  <c r="M41" i="28"/>
  <c r="N41" i="28"/>
  <c r="O41" i="28"/>
  <c r="O42" i="28" s="1"/>
  <c r="O43" i="28" s="1"/>
  <c r="P41" i="28"/>
  <c r="P42" i="28" s="1"/>
  <c r="P43" i="28" s="1"/>
  <c r="Q41" i="28"/>
  <c r="R41" i="28"/>
  <c r="S41" i="28"/>
  <c r="T41" i="28"/>
  <c r="U41" i="28"/>
  <c r="V41" i="28"/>
  <c r="W41" i="28"/>
  <c r="X41" i="28"/>
  <c r="X42" i="28" s="1"/>
  <c r="X43" i="28" s="1"/>
  <c r="Y41" i="28"/>
  <c r="Z41" i="28"/>
  <c r="AA41" i="28"/>
  <c r="AB41" i="28"/>
  <c r="AC41" i="28"/>
  <c r="AD41" i="28"/>
  <c r="AE41" i="28"/>
  <c r="AE42" i="28" s="1"/>
  <c r="AE43" i="28" s="1"/>
  <c r="AF41" i="28"/>
  <c r="AF42" i="28" s="1"/>
  <c r="AF43" i="28" s="1"/>
  <c r="AG41" i="28"/>
  <c r="AH41" i="28"/>
  <c r="AI41" i="28"/>
  <c r="AJ41" i="28"/>
  <c r="AK41" i="28"/>
  <c r="F42" i="28"/>
  <c r="F43" i="28" s="1"/>
  <c r="G42" i="28"/>
  <c r="G43" i="28" s="1"/>
  <c r="M42" i="28"/>
  <c r="N42" i="28"/>
  <c r="U42" i="28"/>
  <c r="V42" i="28"/>
  <c r="V43" i="28" s="1"/>
  <c r="W42" i="28"/>
  <c r="W43" i="28" s="1"/>
  <c r="AC42" i="28"/>
  <c r="AD42" i="28"/>
  <c r="AK42" i="28"/>
  <c r="M43" i="28"/>
  <c r="N43" i="28"/>
  <c r="S43" i="28"/>
  <c r="T43" i="28"/>
  <c r="U43" i="28"/>
  <c r="AC43" i="28"/>
  <c r="AD43" i="28"/>
  <c r="AI43" i="28"/>
  <c r="AJ43" i="28"/>
  <c r="AK43" i="28"/>
  <c r="F45" i="28"/>
  <c r="G45" i="28"/>
  <c r="H45" i="28"/>
  <c r="I45" i="28"/>
  <c r="J45" i="28"/>
  <c r="D45" i="28" s="1"/>
  <c r="F45" i="40" s="1"/>
  <c r="H45" i="40" s="1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F49" i="28"/>
  <c r="G49" i="28"/>
  <c r="E49" i="28" s="1"/>
  <c r="G49" i="40" s="1"/>
  <c r="I49" i="40" s="1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D50" i="28"/>
  <c r="E50" i="28"/>
  <c r="D51" i="28"/>
  <c r="F51" i="40" s="1"/>
  <c r="F51" i="28"/>
  <c r="G51" i="28"/>
  <c r="E51" i="28" s="1"/>
  <c r="G51" i="40" s="1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D52" i="28"/>
  <c r="E52" i="28"/>
  <c r="E54" i="28"/>
  <c r="F54" i="28"/>
  <c r="G54" i="28"/>
  <c r="G56" i="28" s="1"/>
  <c r="H54" i="28"/>
  <c r="H56" i="28" s="1"/>
  <c r="I54" i="28"/>
  <c r="J54" i="28"/>
  <c r="K54" i="28"/>
  <c r="L54" i="28"/>
  <c r="M54" i="28"/>
  <c r="M56" i="28" s="1"/>
  <c r="N54" i="28"/>
  <c r="O54" i="28"/>
  <c r="O56" i="28" s="1"/>
  <c r="P54" i="28"/>
  <c r="P56" i="28" s="1"/>
  <c r="Q54" i="28"/>
  <c r="R54" i="28"/>
  <c r="S54" i="28"/>
  <c r="T54" i="28"/>
  <c r="U54" i="28"/>
  <c r="U56" i="28" s="1"/>
  <c r="V54" i="28"/>
  <c r="W54" i="28"/>
  <c r="W56" i="28" s="1"/>
  <c r="X54" i="28"/>
  <c r="X56" i="28" s="1"/>
  <c r="Y54" i="28"/>
  <c r="Z54" i="28"/>
  <c r="AA54" i="28"/>
  <c r="AB54" i="28"/>
  <c r="AC54" i="28"/>
  <c r="AC56" i="28" s="1"/>
  <c r="AD54" i="28"/>
  <c r="AE54" i="28"/>
  <c r="AE56" i="28" s="1"/>
  <c r="AF54" i="28"/>
  <c r="AF56" i="28" s="1"/>
  <c r="AG54" i="28"/>
  <c r="AH54" i="28"/>
  <c r="AI54" i="28"/>
  <c r="AJ54" i="28"/>
  <c r="AK54" i="28"/>
  <c r="AK56" i="28" s="1"/>
  <c r="F55" i="28"/>
  <c r="D55" i="28" s="1"/>
  <c r="F55" i="40" s="1"/>
  <c r="H55" i="40" s="1"/>
  <c r="G55" i="28"/>
  <c r="H55" i="28"/>
  <c r="I55" i="28"/>
  <c r="J55" i="28"/>
  <c r="K55" i="28"/>
  <c r="E55" i="28" s="1"/>
  <c r="G55" i="40" s="1"/>
  <c r="I55" i="40" s="1"/>
  <c r="L55" i="28"/>
  <c r="M55" i="28"/>
  <c r="N55" i="28"/>
  <c r="O55" i="28"/>
  <c r="P55" i="28"/>
  <c r="Q55" i="28"/>
  <c r="R55" i="28"/>
  <c r="S55" i="28"/>
  <c r="S56" i="28" s="1"/>
  <c r="T55" i="28"/>
  <c r="U55" i="28"/>
  <c r="V55" i="28"/>
  <c r="W55" i="28"/>
  <c r="X55" i="28"/>
  <c r="Y55" i="28"/>
  <c r="Z55" i="28"/>
  <c r="AA55" i="28"/>
  <c r="AA56" i="28" s="1"/>
  <c r="AB55" i="28"/>
  <c r="AC55" i="28"/>
  <c r="AD55" i="28"/>
  <c r="AE55" i="28"/>
  <c r="AF55" i="28"/>
  <c r="AG55" i="28"/>
  <c r="AH55" i="28"/>
  <c r="AI55" i="28"/>
  <c r="AI56" i="28" s="1"/>
  <c r="AJ55" i="28"/>
  <c r="AK55" i="28"/>
  <c r="I56" i="28"/>
  <c r="J56" i="28"/>
  <c r="L56" i="28"/>
  <c r="Q56" i="28"/>
  <c r="R56" i="28"/>
  <c r="T56" i="28"/>
  <c r="Y56" i="28"/>
  <c r="Z56" i="28"/>
  <c r="AB56" i="28"/>
  <c r="AG56" i="28"/>
  <c r="AH56" i="28"/>
  <c r="AJ56" i="28"/>
  <c r="F59" i="28"/>
  <c r="G59" i="28"/>
  <c r="H59" i="28"/>
  <c r="I59" i="28"/>
  <c r="I61" i="28" s="1"/>
  <c r="J59" i="28"/>
  <c r="J61" i="28" s="1"/>
  <c r="K59" i="28"/>
  <c r="L59" i="28"/>
  <c r="M59" i="28"/>
  <c r="N59" i="28"/>
  <c r="O59" i="28"/>
  <c r="P59" i="28"/>
  <c r="Q59" i="28"/>
  <c r="Q61" i="28" s="1"/>
  <c r="R59" i="28"/>
  <c r="R61" i="28" s="1"/>
  <c r="S59" i="28"/>
  <c r="T59" i="28"/>
  <c r="U59" i="28"/>
  <c r="V59" i="28"/>
  <c r="W59" i="28"/>
  <c r="X59" i="28"/>
  <c r="Y59" i="28"/>
  <c r="Y61" i="28" s="1"/>
  <c r="Z59" i="28"/>
  <c r="Z61" i="28" s="1"/>
  <c r="AA59" i="28"/>
  <c r="AB59" i="28"/>
  <c r="AC59" i="28"/>
  <c r="AD59" i="28"/>
  <c r="AE59" i="28"/>
  <c r="AF59" i="28"/>
  <c r="AG59" i="28"/>
  <c r="AG61" i="28" s="1"/>
  <c r="AH59" i="28"/>
  <c r="AH61" i="28" s="1"/>
  <c r="AI59" i="28"/>
  <c r="AJ59" i="28"/>
  <c r="AK59" i="28"/>
  <c r="F60" i="28"/>
  <c r="G60" i="28"/>
  <c r="E60" i="28" s="1"/>
  <c r="G60" i="40" s="1"/>
  <c r="I60" i="40" s="1"/>
  <c r="H60" i="28"/>
  <c r="I60" i="28"/>
  <c r="J60" i="28"/>
  <c r="K60" i="28"/>
  <c r="L60" i="28"/>
  <c r="M60" i="28"/>
  <c r="M61" i="28" s="1"/>
  <c r="N60" i="28"/>
  <c r="N61" i="28" s="1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C61" i="28" s="1"/>
  <c r="AD60" i="28"/>
  <c r="AD61" i="28" s="1"/>
  <c r="AE60" i="28"/>
  <c r="AF60" i="28"/>
  <c r="AG60" i="28"/>
  <c r="AH60" i="28"/>
  <c r="AI60" i="28"/>
  <c r="AJ60" i="28"/>
  <c r="AK60" i="28"/>
  <c r="F61" i="28"/>
  <c r="K61" i="28"/>
  <c r="L61" i="28"/>
  <c r="S61" i="28"/>
  <c r="T61" i="28"/>
  <c r="U61" i="28"/>
  <c r="V61" i="28"/>
  <c r="AA61" i="28"/>
  <c r="AB61" i="28"/>
  <c r="AI61" i="28"/>
  <c r="AJ61" i="28"/>
  <c r="AK61" i="28"/>
  <c r="D64" i="28"/>
  <c r="F64" i="28"/>
  <c r="G64" i="28"/>
  <c r="H64" i="28"/>
  <c r="I64" i="28"/>
  <c r="J64" i="28"/>
  <c r="K64" i="28"/>
  <c r="K66" i="28" s="1"/>
  <c r="L64" i="28"/>
  <c r="L66" i="28" s="1"/>
  <c r="M64" i="28"/>
  <c r="N64" i="28"/>
  <c r="O64" i="28"/>
  <c r="P64" i="28"/>
  <c r="Q64" i="28"/>
  <c r="R64" i="28"/>
  <c r="S64" i="28"/>
  <c r="S66" i="28" s="1"/>
  <c r="T64" i="28"/>
  <c r="T66" i="28" s="1"/>
  <c r="U64" i="28"/>
  <c r="V64" i="28"/>
  <c r="W64" i="28"/>
  <c r="X64" i="28"/>
  <c r="Y64" i="28"/>
  <c r="Z64" i="28"/>
  <c r="AA64" i="28"/>
  <c r="AA66" i="28" s="1"/>
  <c r="AB64" i="28"/>
  <c r="AB66" i="28" s="1"/>
  <c r="AC64" i="28"/>
  <c r="AD64" i="28"/>
  <c r="AE64" i="28"/>
  <c r="AF64" i="28"/>
  <c r="AG64" i="28"/>
  <c r="AH64" i="28"/>
  <c r="AI64" i="28"/>
  <c r="AI66" i="28" s="1"/>
  <c r="AJ64" i="28"/>
  <c r="AJ66" i="28" s="1"/>
  <c r="AK64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W66" i="28" s="1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F66" i="28"/>
  <c r="H66" i="28"/>
  <c r="M66" i="28"/>
  <c r="N66" i="28"/>
  <c r="O66" i="28"/>
  <c r="P66" i="28"/>
  <c r="U66" i="28"/>
  <c r="V66" i="28"/>
  <c r="X66" i="28"/>
  <c r="AC66" i="28"/>
  <c r="AD66" i="28"/>
  <c r="AE66" i="28"/>
  <c r="AF66" i="28"/>
  <c r="AK66" i="28"/>
  <c r="F70" i="28"/>
  <c r="F72" i="28" s="1"/>
  <c r="G70" i="28"/>
  <c r="H70" i="28"/>
  <c r="I70" i="28"/>
  <c r="J70" i="28"/>
  <c r="K70" i="28"/>
  <c r="E70" i="28" s="1"/>
  <c r="L70" i="28"/>
  <c r="L72" i="28" s="1"/>
  <c r="M70" i="28"/>
  <c r="N70" i="28"/>
  <c r="N72" i="28" s="1"/>
  <c r="P70" i="28"/>
  <c r="Q70" i="28"/>
  <c r="R70" i="28"/>
  <c r="S70" i="28"/>
  <c r="T70" i="28"/>
  <c r="T72" i="28" s="1"/>
  <c r="U70" i="28"/>
  <c r="V70" i="28"/>
  <c r="V72" i="28" s="1"/>
  <c r="W70" i="28"/>
  <c r="W72" i="28" s="1"/>
  <c r="X70" i="28"/>
  <c r="Y70" i="28"/>
  <c r="Z70" i="28"/>
  <c r="AA70" i="28"/>
  <c r="AB70" i="28"/>
  <c r="AB72" i="28" s="1"/>
  <c r="AC70" i="28"/>
  <c r="AD70" i="28"/>
  <c r="AD72" i="28" s="1"/>
  <c r="AE70" i="28"/>
  <c r="AE72" i="28" s="1"/>
  <c r="AF70" i="28"/>
  <c r="AG70" i="28"/>
  <c r="AH70" i="28"/>
  <c r="AI70" i="28"/>
  <c r="AJ70" i="28"/>
  <c r="AJ72" i="28" s="1"/>
  <c r="AK70" i="28"/>
  <c r="F71" i="28"/>
  <c r="G71" i="28"/>
  <c r="G72" i="28" s="1"/>
  <c r="H71" i="28"/>
  <c r="I71" i="28"/>
  <c r="J71" i="28"/>
  <c r="D71" i="28" s="1"/>
  <c r="F71" i="40" s="1"/>
  <c r="H71" i="40" s="1"/>
  <c r="K71" i="28"/>
  <c r="L71" i="28"/>
  <c r="M71" i="28"/>
  <c r="E71" i="28" s="1"/>
  <c r="G71" i="40" s="1"/>
  <c r="I71" i="40" s="1"/>
  <c r="N71" i="28"/>
  <c r="O71" i="28"/>
  <c r="O72" i="28" s="1"/>
  <c r="P71" i="28"/>
  <c r="Q71" i="28"/>
  <c r="R71" i="28"/>
  <c r="R72" i="28" s="1"/>
  <c r="S71" i="28"/>
  <c r="T71" i="28"/>
  <c r="U71" i="28"/>
  <c r="V71" i="28"/>
  <c r="W71" i="28"/>
  <c r="X71" i="28"/>
  <c r="Y71" i="28"/>
  <c r="Z71" i="28"/>
  <c r="Z72" i="28" s="1"/>
  <c r="AA71" i="28"/>
  <c r="AB71" i="28"/>
  <c r="AC71" i="28"/>
  <c r="AD71" i="28"/>
  <c r="AE71" i="28"/>
  <c r="AF71" i="28"/>
  <c r="AG71" i="28"/>
  <c r="AH71" i="28"/>
  <c r="AH72" i="28" s="1"/>
  <c r="AI71" i="28"/>
  <c r="AJ71" i="28"/>
  <c r="AK71" i="28"/>
  <c r="H72" i="28"/>
  <c r="I72" i="28"/>
  <c r="P72" i="28"/>
  <c r="Q72" i="28"/>
  <c r="S72" i="28"/>
  <c r="X72" i="28"/>
  <c r="Y72" i="28"/>
  <c r="AA72" i="28"/>
  <c r="AF72" i="28"/>
  <c r="AG72" i="28"/>
  <c r="AI72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F74" i="28"/>
  <c r="D74" i="28" s="1"/>
  <c r="F74" i="40" s="1"/>
  <c r="H74" i="40" s="1"/>
  <c r="G74" i="28"/>
  <c r="E74" i="28" s="1"/>
  <c r="G74" i="40" s="1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D75" i="28"/>
  <c r="F75" i="40" s="1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F76" i="28"/>
  <c r="D76" i="28" s="1"/>
  <c r="F76" i="40" s="1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F77" i="28"/>
  <c r="D77" i="28" s="1"/>
  <c r="F77" i="40" s="1"/>
  <c r="H77" i="40" s="1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F78" i="28"/>
  <c r="G78" i="28"/>
  <c r="E78" i="28" s="1"/>
  <c r="G78" i="40" s="1"/>
  <c r="I78" i="40" s="1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D78" i="28" s="1"/>
  <c r="F78" i="40" s="1"/>
  <c r="H78" i="40" s="1"/>
  <c r="AC78" i="28"/>
  <c r="AD78" i="28"/>
  <c r="AE78" i="28"/>
  <c r="AF78" i="28"/>
  <c r="AG78" i="28"/>
  <c r="AH78" i="28"/>
  <c r="AI78" i="28"/>
  <c r="AJ78" i="28"/>
  <c r="AK78" i="28"/>
  <c r="F79" i="28"/>
  <c r="G79" i="28"/>
  <c r="H79" i="28"/>
  <c r="I79" i="28"/>
  <c r="J79" i="28"/>
  <c r="D79" i="28" s="1"/>
  <c r="F79" i="40" s="1"/>
  <c r="H79" i="40" s="1"/>
  <c r="K79" i="28"/>
  <c r="L79" i="28"/>
  <c r="M79" i="28"/>
  <c r="N79" i="28"/>
  <c r="O79" i="28"/>
  <c r="P79" i="28"/>
  <c r="Q79" i="28"/>
  <c r="R79" i="28"/>
  <c r="S79" i="28"/>
  <c r="T79" i="28"/>
  <c r="U79" i="28"/>
  <c r="E79" i="28" s="1"/>
  <c r="G79" i="40" s="1"/>
  <c r="I79" i="40" s="1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5" i="40"/>
  <c r="D12" i="40"/>
  <c r="E13" i="40"/>
  <c r="G14" i="40"/>
  <c r="I14" i="40" s="1"/>
  <c r="D15" i="40"/>
  <c r="E19" i="40"/>
  <c r="E21" i="40"/>
  <c r="D22" i="40"/>
  <c r="E22" i="40"/>
  <c r="D28" i="40"/>
  <c r="E28" i="40"/>
  <c r="F28" i="40"/>
  <c r="H28" i="40" s="1"/>
  <c r="D33" i="40"/>
  <c r="E35" i="40"/>
  <c r="D39" i="40"/>
  <c r="E40" i="40"/>
  <c r="E42" i="40" s="1"/>
  <c r="E43" i="40" s="1"/>
  <c r="F40" i="40"/>
  <c r="E41" i="40"/>
  <c r="D47" i="40"/>
  <c r="E47" i="40"/>
  <c r="E49" i="40"/>
  <c r="D51" i="40"/>
  <c r="I51" i="40"/>
  <c r="D54" i="40"/>
  <c r="D56" i="40" s="1"/>
  <c r="D55" i="40"/>
  <c r="E59" i="40"/>
  <c r="D60" i="40"/>
  <c r="E60" i="40"/>
  <c r="E61" i="40" s="1"/>
  <c r="D65" i="40"/>
  <c r="E70" i="40"/>
  <c r="D74" i="40"/>
  <c r="E75" i="40"/>
  <c r="G75" i="40"/>
  <c r="I75" i="40" s="1"/>
  <c r="H75" i="40"/>
  <c r="D77" i="40"/>
  <c r="D78" i="40"/>
  <c r="E78" i="40"/>
  <c r="E79" i="40"/>
  <c r="D80" i="40"/>
  <c r="D81" i="40"/>
  <c r="E81" i="40"/>
  <c r="AC82" i="28" l="1"/>
  <c r="AA651" i="44" s="1"/>
  <c r="E72" i="28"/>
  <c r="G70" i="40"/>
  <c r="AK82" i="28"/>
  <c r="AI651" i="44" s="1"/>
  <c r="N29" i="27"/>
  <c r="U82" i="28"/>
  <c r="S651" i="44" s="1"/>
  <c r="AE82" i="28"/>
  <c r="AC651" i="44" s="1"/>
  <c r="O82" i="28"/>
  <c r="M651" i="44" s="1"/>
  <c r="X82" i="28"/>
  <c r="V651" i="44" s="1"/>
  <c r="H87" i="39"/>
  <c r="I81" i="38"/>
  <c r="M56" i="16"/>
  <c r="E54" i="40"/>
  <c r="E56" i="40" s="1"/>
  <c r="Z72" i="27"/>
  <c r="F19" i="40"/>
  <c r="L16" i="16"/>
  <c r="D36" i="38"/>
  <c r="H49" i="38"/>
  <c r="F32" i="37"/>
  <c r="F82" i="28"/>
  <c r="W82" i="28"/>
  <c r="U651" i="44" s="1"/>
  <c r="H13" i="40"/>
  <c r="O86" i="27"/>
  <c r="O88" i="26"/>
  <c r="O88" i="27" s="1"/>
  <c r="I74" i="40"/>
  <c r="G19" i="40"/>
  <c r="V82" i="28"/>
  <c r="T651" i="44" s="1"/>
  <c r="E11" i="40"/>
  <c r="E16" i="40" s="1"/>
  <c r="M16" i="16"/>
  <c r="H13" i="38"/>
  <c r="L87" i="15"/>
  <c r="D87" i="39" s="1"/>
  <c r="F87" i="15"/>
  <c r="F42" i="40"/>
  <c r="F43" i="40" s="1"/>
  <c r="E24" i="40"/>
  <c r="E56" i="28"/>
  <c r="G54" i="40"/>
  <c r="AB24" i="28"/>
  <c r="L24" i="28"/>
  <c r="L13" i="16"/>
  <c r="D13" i="40" s="1"/>
  <c r="H16" i="16"/>
  <c r="AH72" i="26"/>
  <c r="J72" i="26"/>
  <c r="AI56" i="26"/>
  <c r="AI90" i="26"/>
  <c r="W86" i="26"/>
  <c r="W87" i="26"/>
  <c r="W87" i="27" s="1"/>
  <c r="W51" i="27"/>
  <c r="D40" i="26"/>
  <c r="H42" i="26"/>
  <c r="H43" i="26" s="1"/>
  <c r="D70" i="25"/>
  <c r="H72" i="25"/>
  <c r="H70" i="27"/>
  <c r="H72" i="27" s="1"/>
  <c r="S36" i="25"/>
  <c r="S32" i="27"/>
  <c r="S36" i="27" s="1"/>
  <c r="M54" i="15"/>
  <c r="H77" i="42"/>
  <c r="G65" i="46"/>
  <c r="E65" i="23"/>
  <c r="G65" i="35" s="1"/>
  <c r="I65" i="35" s="1"/>
  <c r="W24" i="23"/>
  <c r="W82" i="23" s="1"/>
  <c r="U645" i="44" s="1"/>
  <c r="Q70" i="46"/>
  <c r="Q72" i="46" s="1"/>
  <c r="Q70" i="24"/>
  <c r="Q72" i="24" s="1"/>
  <c r="Q72" i="22"/>
  <c r="I70" i="24"/>
  <c r="I72" i="24" s="1"/>
  <c r="I72" i="22"/>
  <c r="E80" i="28"/>
  <c r="G80" i="40" s="1"/>
  <c r="I80" i="40" s="1"/>
  <c r="D66" i="28"/>
  <c r="F64" i="40"/>
  <c r="AJ36" i="28"/>
  <c r="AA24" i="28"/>
  <c r="AA89" i="27"/>
  <c r="Q72" i="26"/>
  <c r="I39" i="38"/>
  <c r="D20" i="26"/>
  <c r="F20" i="38" s="1"/>
  <c r="H20" i="38" s="1"/>
  <c r="D19" i="26"/>
  <c r="F71" i="14"/>
  <c r="L71" i="14"/>
  <c r="D71" i="38" s="1"/>
  <c r="I42" i="14"/>
  <c r="I43" i="14" s="1"/>
  <c r="M40" i="14"/>
  <c r="I40" i="15"/>
  <c r="G40" i="14"/>
  <c r="G42" i="14" s="1"/>
  <c r="G43" i="14" s="1"/>
  <c r="AE72" i="25"/>
  <c r="AE71" i="27"/>
  <c r="AE72" i="27" s="1"/>
  <c r="N66" i="25"/>
  <c r="N64" i="27"/>
  <c r="N66" i="27" s="1"/>
  <c r="N61" i="25"/>
  <c r="N59" i="27"/>
  <c r="L21" i="27"/>
  <c r="X19" i="27"/>
  <c r="X24" i="25"/>
  <c r="AG16" i="25"/>
  <c r="I79" i="42"/>
  <c r="AH42" i="23"/>
  <c r="AH43" i="23" s="1"/>
  <c r="H32" i="46"/>
  <c r="H36" i="23"/>
  <c r="H82" i="23" s="1"/>
  <c r="F645" i="44" s="1"/>
  <c r="E21" i="23"/>
  <c r="G21" i="35" s="1"/>
  <c r="I21" i="35" s="1"/>
  <c r="H74" i="45"/>
  <c r="L74" i="10"/>
  <c r="D74" i="34" s="1"/>
  <c r="H74" i="12"/>
  <c r="F74" i="10"/>
  <c r="L54" i="12"/>
  <c r="H56" i="12"/>
  <c r="F54" i="12"/>
  <c r="I39" i="45"/>
  <c r="I39" i="12"/>
  <c r="M39" i="10"/>
  <c r="E39" i="34" s="1"/>
  <c r="E39" i="5" s="1"/>
  <c r="G39" i="10"/>
  <c r="F64" i="8"/>
  <c r="F66" i="8" s="1"/>
  <c r="H66" i="8"/>
  <c r="L64" i="8"/>
  <c r="X61" i="28"/>
  <c r="AH36" i="28"/>
  <c r="AH82" i="28" s="1"/>
  <c r="AF651" i="44" s="1"/>
  <c r="J36" i="28"/>
  <c r="J82" i="28" s="1"/>
  <c r="H651" i="44" s="1"/>
  <c r="S36" i="28"/>
  <c r="AF82" i="28"/>
  <c r="AD651" i="44" s="1"/>
  <c r="K90" i="26"/>
  <c r="E90" i="26" s="1"/>
  <c r="E92" i="26" s="1"/>
  <c r="D71" i="26"/>
  <c r="F71" i="38" s="1"/>
  <c r="J36" i="26"/>
  <c r="J24" i="26"/>
  <c r="F13" i="14"/>
  <c r="F16" i="14" s="1"/>
  <c r="L13" i="14"/>
  <c r="D13" i="38" s="1"/>
  <c r="H13" i="15"/>
  <c r="M73" i="27"/>
  <c r="E59" i="25"/>
  <c r="J55" i="27"/>
  <c r="J56" i="27" s="1"/>
  <c r="I47" i="37"/>
  <c r="D39" i="25"/>
  <c r="F39" i="37" s="1"/>
  <c r="H39" i="37" s="1"/>
  <c r="H39" i="27"/>
  <c r="Q36" i="25"/>
  <c r="X29" i="25"/>
  <c r="X27" i="27"/>
  <c r="X29" i="27" s="1"/>
  <c r="AA21" i="27"/>
  <c r="W24" i="25"/>
  <c r="W20" i="27"/>
  <c r="G74" i="25"/>
  <c r="E74" i="25" s="1"/>
  <c r="G74" i="37" s="1"/>
  <c r="G74" i="27"/>
  <c r="I71" i="42"/>
  <c r="O82" i="30"/>
  <c r="M652" i="44" s="1"/>
  <c r="L14" i="18"/>
  <c r="D14" i="42" s="1"/>
  <c r="F14" i="18"/>
  <c r="V33" i="24"/>
  <c r="V36" i="23"/>
  <c r="V82" i="23" s="1"/>
  <c r="T645" i="44" s="1"/>
  <c r="M66" i="11"/>
  <c r="E64" i="35"/>
  <c r="E66" i="35" s="1"/>
  <c r="E72" i="40"/>
  <c r="E73" i="28"/>
  <c r="G73" i="40" s="1"/>
  <c r="I73" i="40" s="1"/>
  <c r="O61" i="28"/>
  <c r="AG24" i="28"/>
  <c r="Q24" i="28"/>
  <c r="Q82" i="28" s="1"/>
  <c r="O651" i="44" s="1"/>
  <c r="D80" i="26"/>
  <c r="F80" i="38" s="1"/>
  <c r="E78" i="26"/>
  <c r="G78" i="38" s="1"/>
  <c r="I78" i="38" s="1"/>
  <c r="F61" i="26"/>
  <c r="D59" i="26"/>
  <c r="E55" i="26"/>
  <c r="G55" i="38" s="1"/>
  <c r="I55" i="38" s="1"/>
  <c r="M42" i="27"/>
  <c r="M43" i="27" s="1"/>
  <c r="AG36" i="26"/>
  <c r="Q24" i="26"/>
  <c r="F61" i="14"/>
  <c r="L73" i="27"/>
  <c r="L61" i="27"/>
  <c r="Y55" i="27"/>
  <c r="U41" i="27"/>
  <c r="U42" i="25"/>
  <c r="U43" i="25" s="1"/>
  <c r="U82" i="25" s="1"/>
  <c r="G42" i="25"/>
  <c r="G43" i="25" s="1"/>
  <c r="E40" i="25"/>
  <c r="P35" i="27"/>
  <c r="O28" i="27"/>
  <c r="F66" i="27"/>
  <c r="W40" i="27"/>
  <c r="Q21" i="27"/>
  <c r="AC33" i="24"/>
  <c r="AC36" i="23"/>
  <c r="W80" i="46"/>
  <c r="W80" i="24"/>
  <c r="H35" i="34"/>
  <c r="N34" i="46"/>
  <c r="N34" i="24"/>
  <c r="V36" i="22"/>
  <c r="E77" i="28"/>
  <c r="G77" i="40" s="1"/>
  <c r="AK72" i="28"/>
  <c r="AC72" i="28"/>
  <c r="U72" i="28"/>
  <c r="D70" i="28"/>
  <c r="E65" i="28"/>
  <c r="G65" i="40" s="1"/>
  <c r="I65" i="40" s="1"/>
  <c r="E64" i="28"/>
  <c r="AD56" i="28"/>
  <c r="V56" i="28"/>
  <c r="N56" i="28"/>
  <c r="F56" i="28"/>
  <c r="D54" i="28"/>
  <c r="H42" i="28"/>
  <c r="H43" i="28" s="1"/>
  <c r="AG42" i="28"/>
  <c r="AG43" i="28" s="1"/>
  <c r="Y42" i="28"/>
  <c r="Y43" i="28" s="1"/>
  <c r="Q42" i="28"/>
  <c r="Q43" i="28" s="1"/>
  <c r="I42" i="28"/>
  <c r="I43" i="28" s="1"/>
  <c r="D34" i="28"/>
  <c r="F34" i="40" s="1"/>
  <c r="H34" i="40" s="1"/>
  <c r="D15" i="28"/>
  <c r="F15" i="40" s="1"/>
  <c r="H15" i="40" s="1"/>
  <c r="I72" i="16"/>
  <c r="M61" i="16"/>
  <c r="F28" i="16"/>
  <c r="F29" i="16" s="1"/>
  <c r="AG91" i="26"/>
  <c r="K88" i="26"/>
  <c r="K88" i="27" s="1"/>
  <c r="K89" i="27" s="1"/>
  <c r="AE86" i="26"/>
  <c r="D76" i="26"/>
  <c r="F76" i="38" s="1"/>
  <c r="H76" i="38" s="1"/>
  <c r="E75" i="26"/>
  <c r="G75" i="38" s="1"/>
  <c r="I75" i="38" s="1"/>
  <c r="E74" i="26"/>
  <c r="G74" i="38" s="1"/>
  <c r="I74" i="38" s="1"/>
  <c r="D65" i="26"/>
  <c r="F65" i="38" s="1"/>
  <c r="H65" i="38" s="1"/>
  <c r="AE64" i="27"/>
  <c r="AE66" i="27" s="1"/>
  <c r="AE66" i="26"/>
  <c r="O64" i="27"/>
  <c r="O66" i="26"/>
  <c r="E64" i="26"/>
  <c r="G66" i="26"/>
  <c r="D54" i="26"/>
  <c r="D51" i="26"/>
  <c r="F51" i="38" s="1"/>
  <c r="H51" i="38" s="1"/>
  <c r="F42" i="26"/>
  <c r="F43" i="26" s="1"/>
  <c r="D33" i="26"/>
  <c r="F33" i="38" s="1"/>
  <c r="H33" i="38" s="1"/>
  <c r="AG29" i="26"/>
  <c r="Y29" i="26"/>
  <c r="Q29" i="26"/>
  <c r="I29" i="26"/>
  <c r="AD24" i="26"/>
  <c r="N24" i="26"/>
  <c r="N82" i="26" s="1"/>
  <c r="L649" i="44" s="1"/>
  <c r="D21" i="26"/>
  <c r="F21" i="38" s="1"/>
  <c r="AF24" i="26"/>
  <c r="AF82" i="26" s="1"/>
  <c r="AD649" i="44" s="1"/>
  <c r="X24" i="26"/>
  <c r="P24" i="26"/>
  <c r="H24" i="26"/>
  <c r="P16" i="26"/>
  <c r="M79" i="14"/>
  <c r="E79" i="38" s="1"/>
  <c r="G79" i="14"/>
  <c r="L60" i="14"/>
  <c r="D60" i="38" s="1"/>
  <c r="H60" i="38" s="1"/>
  <c r="L21" i="14"/>
  <c r="D21" i="38" s="1"/>
  <c r="AC81" i="27"/>
  <c r="U81" i="27"/>
  <c r="M81" i="27"/>
  <c r="E81" i="25"/>
  <c r="G81" i="37" s="1"/>
  <c r="I81" i="37" s="1"/>
  <c r="AE80" i="27"/>
  <c r="W80" i="27"/>
  <c r="O80" i="27"/>
  <c r="E80" i="27" s="1"/>
  <c r="G80" i="39" s="1"/>
  <c r="E80" i="25"/>
  <c r="G80" i="37" s="1"/>
  <c r="I80" i="37" s="1"/>
  <c r="AE79" i="27"/>
  <c r="O79" i="27"/>
  <c r="Q74" i="27"/>
  <c r="Y71" i="27"/>
  <c r="Y72" i="27" s="1"/>
  <c r="Q71" i="27"/>
  <c r="I71" i="27"/>
  <c r="E71" i="27" s="1"/>
  <c r="G71" i="39" s="1"/>
  <c r="AG72" i="25"/>
  <c r="Y72" i="25"/>
  <c r="Q72" i="25"/>
  <c r="Q70" i="27"/>
  <c r="E70" i="25"/>
  <c r="I72" i="25"/>
  <c r="AB66" i="25"/>
  <c r="I65" i="37"/>
  <c r="AD60" i="27"/>
  <c r="V60" i="27"/>
  <c r="N60" i="27"/>
  <c r="X59" i="27"/>
  <c r="P59" i="27"/>
  <c r="P61" i="27" s="1"/>
  <c r="H59" i="27"/>
  <c r="H61" i="27" s="1"/>
  <c r="AE51" i="27"/>
  <c r="O51" i="27"/>
  <c r="E51" i="27" s="1"/>
  <c r="G51" i="39" s="1"/>
  <c r="Z45" i="27"/>
  <c r="D45" i="27" s="1"/>
  <c r="F45" i="39" s="1"/>
  <c r="R45" i="27"/>
  <c r="J45" i="27"/>
  <c r="M42" i="25"/>
  <c r="M43" i="25" s="1"/>
  <c r="AA36" i="25"/>
  <c r="AB33" i="27"/>
  <c r="T33" i="27"/>
  <c r="L33" i="27"/>
  <c r="AB32" i="27"/>
  <c r="AB36" i="27" s="1"/>
  <c r="L32" i="27"/>
  <c r="O29" i="25"/>
  <c r="AD23" i="27"/>
  <c r="N23" i="27"/>
  <c r="Z16" i="25"/>
  <c r="Z82" i="25" s="1"/>
  <c r="AA13" i="27"/>
  <c r="AA16" i="27" s="1"/>
  <c r="K13" i="27"/>
  <c r="K16" i="27" s="1"/>
  <c r="AI16" i="25"/>
  <c r="S12" i="27"/>
  <c r="E12" i="27" s="1"/>
  <c r="G12" i="39" s="1"/>
  <c r="I12" i="39" s="1"/>
  <c r="S16" i="25"/>
  <c r="L81" i="13"/>
  <c r="D81" i="37" s="1"/>
  <c r="H81" i="37" s="1"/>
  <c r="H81" i="15"/>
  <c r="F81" i="13"/>
  <c r="I66" i="13"/>
  <c r="I64" i="15"/>
  <c r="M64" i="13"/>
  <c r="G64" i="13"/>
  <c r="H56" i="13"/>
  <c r="F54" i="13"/>
  <c r="F56" i="13" s="1"/>
  <c r="L54" i="13"/>
  <c r="G19" i="13"/>
  <c r="I24" i="13"/>
  <c r="M19" i="13"/>
  <c r="H15" i="15"/>
  <c r="F15" i="13"/>
  <c r="V64" i="27"/>
  <c r="V66" i="27" s="1"/>
  <c r="K61" i="27"/>
  <c r="L54" i="27"/>
  <c r="G42" i="27"/>
  <c r="G43" i="27" s="1"/>
  <c r="O29" i="27"/>
  <c r="F24" i="27"/>
  <c r="G16" i="27"/>
  <c r="I76" i="15"/>
  <c r="I51" i="15"/>
  <c r="E70" i="20"/>
  <c r="G72" i="20"/>
  <c r="D29" i="7"/>
  <c r="R82" i="7"/>
  <c r="R91" i="7" s="1"/>
  <c r="E24" i="7"/>
  <c r="H78" i="42"/>
  <c r="D22" i="30"/>
  <c r="F22" i="42" s="1"/>
  <c r="F24" i="30"/>
  <c r="I13" i="42"/>
  <c r="M32" i="18"/>
  <c r="I36" i="18"/>
  <c r="G32" i="18"/>
  <c r="G36" i="18" s="1"/>
  <c r="T39" i="24"/>
  <c r="T43" i="23"/>
  <c r="L39" i="46"/>
  <c r="D39" i="23"/>
  <c r="F39" i="35" s="1"/>
  <c r="H39" i="35" s="1"/>
  <c r="Z28" i="24"/>
  <c r="Z29" i="23"/>
  <c r="J28" i="46"/>
  <c r="D28" i="23"/>
  <c r="F28" i="35" s="1"/>
  <c r="H28" i="35" s="1"/>
  <c r="J29" i="23"/>
  <c r="X24" i="23"/>
  <c r="X82" i="23" s="1"/>
  <c r="V645" i="44" s="1"/>
  <c r="P24" i="23"/>
  <c r="P82" i="23" s="1"/>
  <c r="N645" i="44" s="1"/>
  <c r="H19" i="46"/>
  <c r="H24" i="46" s="1"/>
  <c r="H19" i="24"/>
  <c r="H24" i="23"/>
  <c r="M21" i="11"/>
  <c r="E21" i="35" s="1"/>
  <c r="G21" i="11"/>
  <c r="E11" i="35"/>
  <c r="E16" i="35" s="1"/>
  <c r="M16" i="11"/>
  <c r="I34" i="45"/>
  <c r="I36" i="10"/>
  <c r="M34" i="10"/>
  <c r="G34" i="10"/>
  <c r="I34" i="12"/>
  <c r="I13" i="45"/>
  <c r="G13" i="10"/>
  <c r="I13" i="12"/>
  <c r="M13" i="10"/>
  <c r="E13" i="34" s="1"/>
  <c r="H11" i="45"/>
  <c r="H11" i="12"/>
  <c r="L11" i="10"/>
  <c r="F11" i="10"/>
  <c r="H16" i="10"/>
  <c r="H82" i="10" s="1"/>
  <c r="G88" i="19"/>
  <c r="I89" i="19"/>
  <c r="M88" i="19"/>
  <c r="E88" i="43" s="1"/>
  <c r="E88" i="5" s="1"/>
  <c r="G80" i="19"/>
  <c r="M80" i="19"/>
  <c r="E80" i="43" s="1"/>
  <c r="D65" i="5"/>
  <c r="L42" i="19"/>
  <c r="L43" i="19" s="1"/>
  <c r="D40" i="43"/>
  <c r="M29" i="16"/>
  <c r="E27" i="40"/>
  <c r="E29" i="40" s="1"/>
  <c r="Z72" i="26"/>
  <c r="L79" i="14"/>
  <c r="D79" i="38" s="1"/>
  <c r="D79" i="5" s="1"/>
  <c r="F79" i="14"/>
  <c r="G60" i="14"/>
  <c r="I60" i="15"/>
  <c r="L42" i="14"/>
  <c r="D19" i="38"/>
  <c r="X72" i="25"/>
  <c r="X70" i="27"/>
  <c r="X72" i="27" s="1"/>
  <c r="E60" i="25"/>
  <c r="G60" i="37" s="1"/>
  <c r="I60" i="37" s="1"/>
  <c r="O61" i="25"/>
  <c r="O59" i="27"/>
  <c r="O61" i="27" s="1"/>
  <c r="K32" i="27"/>
  <c r="K36" i="27" s="1"/>
  <c r="E32" i="25"/>
  <c r="R12" i="27"/>
  <c r="R16" i="25"/>
  <c r="F19" i="13"/>
  <c r="H24" i="13"/>
  <c r="H19" i="15"/>
  <c r="L19" i="13"/>
  <c r="N21" i="24"/>
  <c r="N24" i="23"/>
  <c r="Y71" i="46"/>
  <c r="Y71" i="24"/>
  <c r="Y70" i="46"/>
  <c r="Y72" i="46" s="1"/>
  <c r="Y70" i="24"/>
  <c r="Y72" i="22"/>
  <c r="O20" i="24"/>
  <c r="AD653" i="44"/>
  <c r="AF91" i="31"/>
  <c r="D36" i="28"/>
  <c r="F32" i="40"/>
  <c r="K24" i="28"/>
  <c r="L59" i="16"/>
  <c r="H61" i="16"/>
  <c r="G11" i="16"/>
  <c r="G16" i="16" s="1"/>
  <c r="I16" i="16"/>
  <c r="O87" i="26"/>
  <c r="O87" i="27" s="1"/>
  <c r="AG72" i="26"/>
  <c r="J56" i="26"/>
  <c r="E40" i="26"/>
  <c r="G42" i="26"/>
  <c r="G43" i="26" s="1"/>
  <c r="H32" i="38"/>
  <c r="H36" i="38" s="1"/>
  <c r="E28" i="26"/>
  <c r="G28" i="38" s="1"/>
  <c r="AC76" i="27"/>
  <c r="M76" i="27"/>
  <c r="AD73" i="27"/>
  <c r="AC65" i="27"/>
  <c r="AC66" i="27" s="1"/>
  <c r="AD66" i="25"/>
  <c r="AD64" i="27"/>
  <c r="AD66" i="27" s="1"/>
  <c r="F61" i="25"/>
  <c r="D59" i="25"/>
  <c r="R36" i="25"/>
  <c r="R32" i="27"/>
  <c r="R36" i="27" s="1"/>
  <c r="T21" i="27"/>
  <c r="T24" i="27" s="1"/>
  <c r="J648" i="44"/>
  <c r="L91" i="25"/>
  <c r="Q13" i="27"/>
  <c r="Q16" i="25"/>
  <c r="F88" i="13"/>
  <c r="L88" i="13"/>
  <c r="D88" i="37" s="1"/>
  <c r="D88" i="5" s="1"/>
  <c r="I74" i="15"/>
  <c r="M74" i="13"/>
  <c r="E74" i="37" s="1"/>
  <c r="E74" i="5" s="1"/>
  <c r="F42" i="13"/>
  <c r="F43" i="13" s="1"/>
  <c r="F61" i="27"/>
  <c r="H87" i="5"/>
  <c r="I12" i="42"/>
  <c r="Z42" i="23"/>
  <c r="Z43" i="23" s="1"/>
  <c r="Z82" i="23" s="1"/>
  <c r="X645" i="44" s="1"/>
  <c r="J40" i="46"/>
  <c r="J42" i="46" s="1"/>
  <c r="J43" i="46" s="1"/>
  <c r="J42" i="23"/>
  <c r="J43" i="23" s="1"/>
  <c r="D40" i="23"/>
  <c r="L33" i="8"/>
  <c r="D33" i="32" s="1"/>
  <c r="H36" i="8"/>
  <c r="F33" i="8"/>
  <c r="AF61" i="28"/>
  <c r="K56" i="28"/>
  <c r="AI36" i="28"/>
  <c r="E32" i="28"/>
  <c r="P82" i="28"/>
  <c r="N651" i="44" s="1"/>
  <c r="F75" i="16"/>
  <c r="G61" i="16"/>
  <c r="F13" i="16"/>
  <c r="F16" i="16" s="1"/>
  <c r="Q56" i="27"/>
  <c r="R36" i="26"/>
  <c r="E29" i="26"/>
  <c r="R24" i="26"/>
  <c r="E19" i="26"/>
  <c r="M70" i="14"/>
  <c r="I72" i="14"/>
  <c r="D76" i="25"/>
  <c r="F76" i="37" s="1"/>
  <c r="H76" i="37" s="1"/>
  <c r="E73" i="25"/>
  <c r="G73" i="37" s="1"/>
  <c r="I73" i="37" s="1"/>
  <c r="AC61" i="25"/>
  <c r="AC59" i="27"/>
  <c r="AC61" i="27" s="1"/>
  <c r="R56" i="25"/>
  <c r="R54" i="27"/>
  <c r="AD41" i="27"/>
  <c r="Y36" i="25"/>
  <c r="Y33" i="27"/>
  <c r="AF29" i="25"/>
  <c r="P29" i="25"/>
  <c r="K21" i="27"/>
  <c r="O24" i="25"/>
  <c r="O20" i="27"/>
  <c r="W19" i="27"/>
  <c r="G51" i="13"/>
  <c r="Y36" i="27"/>
  <c r="L77" i="15"/>
  <c r="D77" i="39" s="1"/>
  <c r="F77" i="15"/>
  <c r="H76" i="45"/>
  <c r="H76" i="12"/>
  <c r="F76" i="10"/>
  <c r="L76" i="10"/>
  <c r="D76" i="34" s="1"/>
  <c r="D76" i="5" s="1"/>
  <c r="W61" i="24"/>
  <c r="E81" i="28"/>
  <c r="G81" i="40" s="1"/>
  <c r="I81" i="40" s="1"/>
  <c r="AE61" i="28"/>
  <c r="E59" i="28"/>
  <c r="G61" i="28"/>
  <c r="G82" i="28" s="1"/>
  <c r="F19" i="4" s="1"/>
  <c r="Y24" i="28"/>
  <c r="Y82" i="28" s="1"/>
  <c r="W651" i="44" s="1"/>
  <c r="D11" i="28"/>
  <c r="G71" i="16"/>
  <c r="G72" i="16" s="1"/>
  <c r="L40" i="16"/>
  <c r="H42" i="16"/>
  <c r="H43" i="16" s="1"/>
  <c r="D16" i="38"/>
  <c r="W72" i="27"/>
  <c r="AD61" i="26"/>
  <c r="N61" i="26"/>
  <c r="AC42" i="27"/>
  <c r="AC43" i="27" s="1"/>
  <c r="I36" i="26"/>
  <c r="V24" i="26"/>
  <c r="Y24" i="26"/>
  <c r="Q16" i="26"/>
  <c r="Q11" i="27"/>
  <c r="Q16" i="27" s="1"/>
  <c r="S77" i="27"/>
  <c r="AB73" i="27"/>
  <c r="E41" i="25"/>
  <c r="G41" i="37" s="1"/>
  <c r="I41" i="37" s="1"/>
  <c r="O42" i="25"/>
  <c r="O43" i="25" s="1"/>
  <c r="O40" i="27"/>
  <c r="K36" i="25"/>
  <c r="E28" i="25"/>
  <c r="G28" i="37" s="1"/>
  <c r="I28" i="37" s="1"/>
  <c r="G29" i="25"/>
  <c r="Z22" i="27"/>
  <c r="Z21" i="27"/>
  <c r="AD20" i="27"/>
  <c r="AD24" i="27" s="1"/>
  <c r="AD24" i="25"/>
  <c r="D20" i="25"/>
  <c r="F20" i="37" s="1"/>
  <c r="H20" i="37" s="1"/>
  <c r="F24" i="25"/>
  <c r="L87" i="13"/>
  <c r="D87" i="37" s="1"/>
  <c r="D87" i="5" s="1"/>
  <c r="F87" i="13"/>
  <c r="F89" i="13" s="1"/>
  <c r="G74" i="13"/>
  <c r="I55" i="15"/>
  <c r="G55" i="13"/>
  <c r="M22" i="13"/>
  <c r="E22" i="37" s="1"/>
  <c r="I22" i="15"/>
  <c r="G61" i="18"/>
  <c r="U33" i="24"/>
  <c r="U36" i="23"/>
  <c r="M33" i="46"/>
  <c r="E33" i="46" s="1"/>
  <c r="G33" i="47" s="1"/>
  <c r="I33" i="47" s="1"/>
  <c r="M36" i="23"/>
  <c r="O80" i="46"/>
  <c r="O80" i="24"/>
  <c r="AD34" i="46"/>
  <c r="AD34" i="24"/>
  <c r="D27" i="40"/>
  <c r="D29" i="40" s="1"/>
  <c r="D80" i="28"/>
  <c r="F80" i="40" s="1"/>
  <c r="H80" i="40" s="1"/>
  <c r="D73" i="28"/>
  <c r="F73" i="40" s="1"/>
  <c r="H73" i="40" s="1"/>
  <c r="AH66" i="28"/>
  <c r="Z66" i="28"/>
  <c r="R66" i="28"/>
  <c r="J66" i="28"/>
  <c r="D47" i="28"/>
  <c r="F47" i="40" s="1"/>
  <c r="H47" i="40" s="1"/>
  <c r="D35" i="28"/>
  <c r="F35" i="40" s="1"/>
  <c r="H35" i="40" s="1"/>
  <c r="AG36" i="28"/>
  <c r="AG82" i="28" s="1"/>
  <c r="AE651" i="44" s="1"/>
  <c r="Y36" i="28"/>
  <c r="Q36" i="28"/>
  <c r="I36" i="28"/>
  <c r="E27" i="28"/>
  <c r="D23" i="28"/>
  <c r="F23" i="40" s="1"/>
  <c r="H23" i="40" s="1"/>
  <c r="E20" i="28"/>
  <c r="G20" i="40" s="1"/>
  <c r="I20" i="40" s="1"/>
  <c r="AJ16" i="28"/>
  <c r="AB16" i="28"/>
  <c r="T16" i="28"/>
  <c r="L16" i="28"/>
  <c r="L82" i="28" s="1"/>
  <c r="J651" i="44" s="1"/>
  <c r="D12" i="28"/>
  <c r="F12" i="40" s="1"/>
  <c r="H12" i="40" s="1"/>
  <c r="E11" i="28"/>
  <c r="M72" i="16"/>
  <c r="L66" i="16"/>
  <c r="D64" i="40"/>
  <c r="D66" i="40" s="1"/>
  <c r="G42" i="16"/>
  <c r="G43" i="16" s="1"/>
  <c r="F36" i="16"/>
  <c r="G19" i="16"/>
  <c r="G24" i="16" s="1"/>
  <c r="I24" i="16"/>
  <c r="D64" i="38"/>
  <c r="D66" i="38" s="1"/>
  <c r="G29" i="38"/>
  <c r="AA90" i="26"/>
  <c r="Q88" i="26"/>
  <c r="Q88" i="27" s="1"/>
  <c r="Q89" i="27"/>
  <c r="AK61" i="26"/>
  <c r="AC61" i="26"/>
  <c r="U61" i="26"/>
  <c r="M61" i="26"/>
  <c r="M82" i="26" s="1"/>
  <c r="K649" i="44" s="1"/>
  <c r="E59" i="26"/>
  <c r="D45" i="26"/>
  <c r="F45" i="38" s="1"/>
  <c r="H45" i="38" s="1"/>
  <c r="AF36" i="26"/>
  <c r="X36" i="26"/>
  <c r="P36" i="26"/>
  <c r="H36" i="26"/>
  <c r="Q36" i="27"/>
  <c r="U24" i="26"/>
  <c r="D22" i="26"/>
  <c r="F22" i="38" s="1"/>
  <c r="H22" i="38" s="1"/>
  <c r="E13" i="26"/>
  <c r="G13" i="38" s="1"/>
  <c r="X16" i="26"/>
  <c r="X82" i="26" s="1"/>
  <c r="V649" i="44" s="1"/>
  <c r="P16" i="27"/>
  <c r="D11" i="26"/>
  <c r="H16" i="26"/>
  <c r="H82" i="26" s="1"/>
  <c r="F649" i="44" s="1"/>
  <c r="G70" i="14"/>
  <c r="G72" i="14" s="1"/>
  <c r="K82" i="14"/>
  <c r="M36" i="14"/>
  <c r="E32" i="38"/>
  <c r="L16" i="14"/>
  <c r="Z79" i="27"/>
  <c r="R79" i="27"/>
  <c r="J79" i="27"/>
  <c r="D79" i="27" s="1"/>
  <c r="F79" i="39" s="1"/>
  <c r="Z78" i="27"/>
  <c r="J78" i="27"/>
  <c r="D77" i="25"/>
  <c r="F77" i="37" s="1"/>
  <c r="AB74" i="27"/>
  <c r="T74" i="27"/>
  <c r="L74" i="27"/>
  <c r="D74" i="27" s="1"/>
  <c r="F74" i="39" s="1"/>
  <c r="AA73" i="27"/>
  <c r="K73" i="27"/>
  <c r="E73" i="27" s="1"/>
  <c r="G73" i="39" s="1"/>
  <c r="I73" i="39" s="1"/>
  <c r="AA66" i="27"/>
  <c r="S66" i="27"/>
  <c r="P56" i="25"/>
  <c r="P55" i="27"/>
  <c r="D55" i="25"/>
  <c r="F55" i="37" s="1"/>
  <c r="H55" i="37" s="1"/>
  <c r="H55" i="27"/>
  <c r="H56" i="27" s="1"/>
  <c r="P56" i="27"/>
  <c r="AB49" i="27"/>
  <c r="L49" i="27"/>
  <c r="AC47" i="27"/>
  <c r="M47" i="27"/>
  <c r="E47" i="27" s="1"/>
  <c r="G47" i="39" s="1"/>
  <c r="I47" i="39" s="1"/>
  <c r="AD42" i="25"/>
  <c r="AD43" i="25" s="1"/>
  <c r="AD40" i="27"/>
  <c r="AD42" i="27" s="1"/>
  <c r="AD43" i="27" s="1"/>
  <c r="V42" i="25"/>
  <c r="V43" i="25" s="1"/>
  <c r="N42" i="25"/>
  <c r="N43" i="25" s="1"/>
  <c r="N40" i="27"/>
  <c r="D40" i="25"/>
  <c r="F42" i="25"/>
  <c r="F43" i="25" s="1"/>
  <c r="J36" i="25"/>
  <c r="AE35" i="27"/>
  <c r="W35" i="27"/>
  <c r="O35" i="27"/>
  <c r="E35" i="27" s="1"/>
  <c r="G35" i="39" s="1"/>
  <c r="E35" i="25"/>
  <c r="G35" i="37" s="1"/>
  <c r="I35" i="37" s="1"/>
  <c r="AD28" i="27"/>
  <c r="AD29" i="27" s="1"/>
  <c r="AD29" i="25"/>
  <c r="N28" i="27"/>
  <c r="N29" i="25"/>
  <c r="D28" i="25"/>
  <c r="F28" i="37" s="1"/>
  <c r="H28" i="37" s="1"/>
  <c r="V29" i="27"/>
  <c r="E23" i="27"/>
  <c r="G23" i="39" s="1"/>
  <c r="Y22" i="27"/>
  <c r="Q22" i="27"/>
  <c r="I22" i="27"/>
  <c r="Y21" i="27"/>
  <c r="E21" i="25"/>
  <c r="G21" i="37" s="1"/>
  <c r="I21" i="27"/>
  <c r="E21" i="27" s="1"/>
  <c r="G21" i="39" s="1"/>
  <c r="AC20" i="27"/>
  <c r="U20" i="27"/>
  <c r="U24" i="27" s="1"/>
  <c r="M20" i="27"/>
  <c r="E20" i="27" s="1"/>
  <c r="G20" i="39" s="1"/>
  <c r="I20" i="39" s="1"/>
  <c r="AC11" i="27"/>
  <c r="AC16" i="27" s="1"/>
  <c r="AC16" i="25"/>
  <c r="M11" i="27"/>
  <c r="M16" i="27" s="1"/>
  <c r="M16" i="25"/>
  <c r="E11" i="25"/>
  <c r="H89" i="13"/>
  <c r="G87" i="13"/>
  <c r="G65" i="13"/>
  <c r="M65" i="13"/>
  <c r="E65" i="37" s="1"/>
  <c r="I65" i="15"/>
  <c r="G45" i="13"/>
  <c r="M45" i="13"/>
  <c r="E45" i="37" s="1"/>
  <c r="I45" i="15"/>
  <c r="I41" i="15"/>
  <c r="M41" i="13"/>
  <c r="E41" i="37" s="1"/>
  <c r="G41" i="13"/>
  <c r="L22" i="13"/>
  <c r="D22" i="37" s="1"/>
  <c r="F22" i="13"/>
  <c r="H22" i="15"/>
  <c r="E11" i="37"/>
  <c r="M16" i="13"/>
  <c r="E81" i="27"/>
  <c r="G81" i="39" s="1"/>
  <c r="I81" i="39" s="1"/>
  <c r="J77" i="27"/>
  <c r="F72" i="27"/>
  <c r="I70" i="27"/>
  <c r="AA60" i="27"/>
  <c r="AA61" i="27" s="1"/>
  <c r="V59" i="27"/>
  <c r="V61" i="27" s="1"/>
  <c r="AA54" i="27"/>
  <c r="AA56" i="27" s="1"/>
  <c r="V40" i="27"/>
  <c r="V42" i="27" s="1"/>
  <c r="V43" i="27" s="1"/>
  <c r="H34" i="27"/>
  <c r="J32" i="27"/>
  <c r="J36" i="27" s="1"/>
  <c r="AE29" i="27"/>
  <c r="AF16" i="27"/>
  <c r="AF82" i="27" s="1"/>
  <c r="G86" i="15"/>
  <c r="M86" i="15"/>
  <c r="F40" i="42"/>
  <c r="D42" i="30"/>
  <c r="D43" i="30" s="1"/>
  <c r="H54" i="46"/>
  <c r="H56" i="46" s="1"/>
  <c r="H56" i="23"/>
  <c r="J51" i="46"/>
  <c r="D51" i="23"/>
  <c r="F51" i="35" s="1"/>
  <c r="H51" i="35" s="1"/>
  <c r="T42" i="24"/>
  <c r="T43" i="24" s="1"/>
  <c r="AJ24" i="28"/>
  <c r="R72" i="26"/>
  <c r="M21" i="14"/>
  <c r="I24" i="14"/>
  <c r="G21" i="14"/>
  <c r="G24" i="14" s="1"/>
  <c r="P72" i="25"/>
  <c r="P70" i="27"/>
  <c r="P72" i="27" s="1"/>
  <c r="W61" i="25"/>
  <c r="W59" i="27"/>
  <c r="AA36" i="27"/>
  <c r="AH16" i="25"/>
  <c r="AH82" i="25" s="1"/>
  <c r="J12" i="27"/>
  <c r="D12" i="27" s="1"/>
  <c r="F12" i="39" s="1"/>
  <c r="D12" i="25"/>
  <c r="F12" i="37" s="1"/>
  <c r="H12" i="37" s="1"/>
  <c r="G42" i="13"/>
  <c r="G43" i="13" s="1"/>
  <c r="K54" i="27"/>
  <c r="E14" i="27"/>
  <c r="G14" i="39" s="1"/>
  <c r="F51" i="15"/>
  <c r="L51" i="15"/>
  <c r="D51" i="39" s="1"/>
  <c r="T89" i="7"/>
  <c r="T91" i="7" s="1"/>
  <c r="L91" i="7"/>
  <c r="F21" i="46"/>
  <c r="D21" i="23"/>
  <c r="F21" i="35" s="1"/>
  <c r="H21" i="35" s="1"/>
  <c r="F24" i="23"/>
  <c r="G20" i="46"/>
  <c r="E20" i="23"/>
  <c r="G20" i="35" s="1"/>
  <c r="I20" i="35" s="1"/>
  <c r="F21" i="11"/>
  <c r="F24" i="11" s="1"/>
  <c r="H24" i="11"/>
  <c r="L21" i="11"/>
  <c r="D21" i="35" s="1"/>
  <c r="AG72" i="22"/>
  <c r="M45" i="12"/>
  <c r="E45" i="36" s="1"/>
  <c r="G45" i="12"/>
  <c r="G28" i="12"/>
  <c r="M28" i="12"/>
  <c r="E28" i="36" s="1"/>
  <c r="G65" i="19"/>
  <c r="M65" i="19"/>
  <c r="E65" i="43" s="1"/>
  <c r="K72" i="28"/>
  <c r="I40" i="40"/>
  <c r="I42" i="40" s="1"/>
  <c r="I43" i="40" s="1"/>
  <c r="AB36" i="28"/>
  <c r="L36" i="28"/>
  <c r="S24" i="28"/>
  <c r="G54" i="16"/>
  <c r="G56" i="16" s="1"/>
  <c r="I56" i="16"/>
  <c r="Y72" i="26"/>
  <c r="W42" i="26"/>
  <c r="W43" i="26" s="1"/>
  <c r="W29" i="27"/>
  <c r="E89" i="37"/>
  <c r="E86" i="5"/>
  <c r="E89" i="5" s="1"/>
  <c r="I75" i="37"/>
  <c r="N73" i="27"/>
  <c r="O71" i="27"/>
  <c r="O72" i="25"/>
  <c r="M65" i="27"/>
  <c r="M66" i="27" s="1"/>
  <c r="D64" i="25"/>
  <c r="F66" i="25"/>
  <c r="AB21" i="27"/>
  <c r="AB24" i="27" s="1"/>
  <c r="P19" i="27"/>
  <c r="P24" i="25"/>
  <c r="Y13" i="27"/>
  <c r="Y16" i="25"/>
  <c r="R55" i="27"/>
  <c r="I27" i="42"/>
  <c r="H20" i="42"/>
  <c r="AC21" i="24"/>
  <c r="AC24" i="23"/>
  <c r="M21" i="46"/>
  <c r="M21" i="24"/>
  <c r="M24" i="23"/>
  <c r="I76" i="45"/>
  <c r="G76" i="10"/>
  <c r="I76" i="12"/>
  <c r="M76" i="10"/>
  <c r="E76" i="34" s="1"/>
  <c r="J72" i="28"/>
  <c r="D59" i="28"/>
  <c r="H61" i="28"/>
  <c r="Z36" i="28"/>
  <c r="Z82" i="28" s="1"/>
  <c r="X651" i="44" s="1"/>
  <c r="AA36" i="28"/>
  <c r="L36" i="16"/>
  <c r="D32" i="40"/>
  <c r="D36" i="40" s="1"/>
  <c r="I56" i="26"/>
  <c r="Z36" i="26"/>
  <c r="AH24" i="26"/>
  <c r="M24" i="27"/>
  <c r="F49" i="14"/>
  <c r="L49" i="14"/>
  <c r="D49" i="38" s="1"/>
  <c r="U73" i="27"/>
  <c r="T66" i="25"/>
  <c r="T65" i="27"/>
  <c r="AK61" i="25"/>
  <c r="AK82" i="25" s="1"/>
  <c r="M61" i="25"/>
  <c r="M59" i="27"/>
  <c r="M61" i="27" s="1"/>
  <c r="Z56" i="25"/>
  <c r="V41" i="27"/>
  <c r="P42" i="25"/>
  <c r="P43" i="25" s="1"/>
  <c r="P40" i="27"/>
  <c r="P42" i="27" s="1"/>
  <c r="P43" i="27" s="1"/>
  <c r="E33" i="25"/>
  <c r="G33" i="37" s="1"/>
  <c r="I33" i="37" s="1"/>
  <c r="I36" i="25"/>
  <c r="I33" i="27"/>
  <c r="I36" i="27" s="1"/>
  <c r="P28" i="27"/>
  <c r="D28" i="27" s="1"/>
  <c r="F28" i="39" s="1"/>
  <c r="D27" i="25"/>
  <c r="H29" i="25"/>
  <c r="H27" i="27"/>
  <c r="H29" i="27" s="1"/>
  <c r="G24" i="25"/>
  <c r="E20" i="25"/>
  <c r="G20" i="37" s="1"/>
  <c r="I20" i="37" s="1"/>
  <c r="O19" i="27"/>
  <c r="F74" i="13"/>
  <c r="H74" i="15"/>
  <c r="L74" i="13"/>
  <c r="D74" i="37" s="1"/>
  <c r="F23" i="13"/>
  <c r="L23" i="13"/>
  <c r="D23" i="37" s="1"/>
  <c r="H23" i="37" s="1"/>
  <c r="H23" i="15"/>
  <c r="O72" i="27"/>
  <c r="Q55" i="27"/>
  <c r="X40" i="27"/>
  <c r="X42" i="27" s="1"/>
  <c r="X43" i="27" s="1"/>
  <c r="E22" i="27"/>
  <c r="G22" i="39" s="1"/>
  <c r="H79" i="42"/>
  <c r="F29" i="30"/>
  <c r="D27" i="30"/>
  <c r="D56" i="35"/>
  <c r="G42" i="40"/>
  <c r="G43" i="40" s="1"/>
  <c r="D60" i="28"/>
  <c r="F60" i="40" s="1"/>
  <c r="H60" i="40" s="1"/>
  <c r="H51" i="40"/>
  <c r="D42" i="28"/>
  <c r="D43" i="28" s="1"/>
  <c r="F59" i="16"/>
  <c r="F61" i="16" s="1"/>
  <c r="E70" i="26"/>
  <c r="Y36" i="26"/>
  <c r="F24" i="26"/>
  <c r="H14" i="38"/>
  <c r="T66" i="27"/>
  <c r="AB61" i="27"/>
  <c r="E55" i="25"/>
  <c r="G55" i="37" s="1"/>
  <c r="I55" i="37" s="1"/>
  <c r="I55" i="27"/>
  <c r="H35" i="27"/>
  <c r="D35" i="27" s="1"/>
  <c r="F35" i="39" s="1"/>
  <c r="AE28" i="27"/>
  <c r="J22" i="27"/>
  <c r="D22" i="27" s="1"/>
  <c r="F22" i="39" s="1"/>
  <c r="J21" i="27"/>
  <c r="N20" i="27"/>
  <c r="N24" i="27" s="1"/>
  <c r="N24" i="25"/>
  <c r="I89" i="13"/>
  <c r="K77" i="27"/>
  <c r="T32" i="27"/>
  <c r="D74" i="5"/>
  <c r="AE80" i="46"/>
  <c r="AE80" i="24"/>
  <c r="H34" i="34"/>
  <c r="N36" i="22"/>
  <c r="D81" i="28"/>
  <c r="F81" i="40" s="1"/>
  <c r="H81" i="40" s="1"/>
  <c r="AG66" i="28"/>
  <c r="Y66" i="28"/>
  <c r="I66" i="28"/>
  <c r="D49" i="28"/>
  <c r="F49" i="40" s="1"/>
  <c r="H49" i="40" s="1"/>
  <c r="E47" i="28"/>
  <c r="G47" i="40" s="1"/>
  <c r="I47" i="40" s="1"/>
  <c r="E45" i="28"/>
  <c r="G45" i="40" s="1"/>
  <c r="I45" i="40" s="1"/>
  <c r="F36" i="28"/>
  <c r="E35" i="28"/>
  <c r="G35" i="40" s="1"/>
  <c r="I35" i="40" s="1"/>
  <c r="E34" i="28"/>
  <c r="G34" i="40" s="1"/>
  <c r="I34" i="40" s="1"/>
  <c r="AJ29" i="28"/>
  <c r="AB29" i="28"/>
  <c r="T29" i="28"/>
  <c r="L29" i="28"/>
  <c r="D27" i="28"/>
  <c r="E23" i="28"/>
  <c r="G23" i="40" s="1"/>
  <c r="I23" i="40" s="1"/>
  <c r="E22" i="28"/>
  <c r="G22" i="40" s="1"/>
  <c r="I22" i="40" s="1"/>
  <c r="M16" i="28"/>
  <c r="M82" i="28" s="1"/>
  <c r="K651" i="44" s="1"/>
  <c r="AI16" i="28"/>
  <c r="AA16" i="28"/>
  <c r="AA82" i="28" s="1"/>
  <c r="Y651" i="44" s="1"/>
  <c r="S16" i="28"/>
  <c r="K16" i="28"/>
  <c r="G76" i="16"/>
  <c r="G64" i="16"/>
  <c r="G66" i="16" s="1"/>
  <c r="I66" i="16"/>
  <c r="F40" i="16"/>
  <c r="F42" i="16" s="1"/>
  <c r="F43" i="16" s="1"/>
  <c r="G32" i="16"/>
  <c r="G36" i="16" s="1"/>
  <c r="L24" i="16"/>
  <c r="G14" i="16"/>
  <c r="Q91" i="26"/>
  <c r="D70" i="26"/>
  <c r="D47" i="26"/>
  <c r="F47" i="38" s="1"/>
  <c r="H47" i="38" s="1"/>
  <c r="E45" i="26"/>
  <c r="G45" i="38" s="1"/>
  <c r="I45" i="38" s="1"/>
  <c r="D35" i="26"/>
  <c r="F35" i="38" s="1"/>
  <c r="H35" i="38" s="1"/>
  <c r="E34" i="26"/>
  <c r="G34" i="38" s="1"/>
  <c r="I34" i="38" s="1"/>
  <c r="AE36" i="26"/>
  <c r="AE82" i="26" s="1"/>
  <c r="AC649" i="44" s="1"/>
  <c r="O36" i="26"/>
  <c r="E33" i="26"/>
  <c r="G33" i="38" s="1"/>
  <c r="I33" i="38" s="1"/>
  <c r="D23" i="26"/>
  <c r="F23" i="38" s="1"/>
  <c r="H23" i="38" s="1"/>
  <c r="E22" i="26"/>
  <c r="G22" i="38" s="1"/>
  <c r="E21" i="26"/>
  <c r="G21" i="38" s="1"/>
  <c r="AD16" i="26"/>
  <c r="AD82" i="26" s="1"/>
  <c r="AB649" i="44" s="1"/>
  <c r="AJ16" i="26"/>
  <c r="AJ82" i="26" s="1"/>
  <c r="AH649" i="44" s="1"/>
  <c r="AB16" i="26"/>
  <c r="AB82" i="26" s="1"/>
  <c r="Z649" i="44" s="1"/>
  <c r="AB13" i="27"/>
  <c r="T16" i="26"/>
  <c r="T82" i="26" s="1"/>
  <c r="R649" i="44" s="1"/>
  <c r="L16" i="26"/>
  <c r="L82" i="26" s="1"/>
  <c r="J649" i="44" s="1"/>
  <c r="L13" i="27"/>
  <c r="L16" i="27" s="1"/>
  <c r="V12" i="27"/>
  <c r="V16" i="26"/>
  <c r="D12" i="26"/>
  <c r="F12" i="38" s="1"/>
  <c r="H12" i="38" s="1"/>
  <c r="F16" i="26"/>
  <c r="W16" i="26"/>
  <c r="E11" i="26"/>
  <c r="G16" i="26"/>
  <c r="G80" i="14"/>
  <c r="M80" i="14"/>
  <c r="E80" i="38" s="1"/>
  <c r="I80" i="38" s="1"/>
  <c r="I80" i="15"/>
  <c r="L39" i="14"/>
  <c r="D39" i="38" s="1"/>
  <c r="D43" i="38" s="1"/>
  <c r="H39" i="15"/>
  <c r="L34" i="14"/>
  <c r="D34" i="38" s="1"/>
  <c r="H36" i="14"/>
  <c r="H34" i="15"/>
  <c r="L36" i="14"/>
  <c r="M28" i="14"/>
  <c r="E28" i="38" s="1"/>
  <c r="E29" i="38" s="1"/>
  <c r="I28" i="15"/>
  <c r="G28" i="14"/>
  <c r="G29" i="14" s="1"/>
  <c r="F24" i="14"/>
  <c r="F89" i="25"/>
  <c r="D86" i="25"/>
  <c r="Y79" i="27"/>
  <c r="Q79" i="27"/>
  <c r="I79" i="27"/>
  <c r="E79" i="27" s="1"/>
  <c r="G79" i="39" s="1"/>
  <c r="Y78" i="27"/>
  <c r="E78" i="25"/>
  <c r="G78" i="37" s="1"/>
  <c r="I78" i="27"/>
  <c r="Y56" i="25"/>
  <c r="AE56" i="27"/>
  <c r="W56" i="27"/>
  <c r="O56" i="27"/>
  <c r="AA49" i="27"/>
  <c r="K49" i="27"/>
  <c r="E49" i="27" s="1"/>
  <c r="G49" i="39" s="1"/>
  <c r="H47" i="37"/>
  <c r="AD35" i="27"/>
  <c r="N35" i="27"/>
  <c r="K24" i="25"/>
  <c r="K82" i="25" s="1"/>
  <c r="X23" i="27"/>
  <c r="P23" i="27"/>
  <c r="D23" i="27" s="1"/>
  <c r="F23" i="39" s="1"/>
  <c r="H23" i="27"/>
  <c r="P22" i="27"/>
  <c r="U12" i="27"/>
  <c r="U16" i="27" s="1"/>
  <c r="AJ82" i="25"/>
  <c r="AB16" i="27"/>
  <c r="T11" i="27"/>
  <c r="T16" i="27" s="1"/>
  <c r="T16" i="25"/>
  <c r="T82" i="25" s="1"/>
  <c r="D11" i="25"/>
  <c r="F45" i="13"/>
  <c r="H45" i="15"/>
  <c r="L45" i="13"/>
  <c r="D45" i="37" s="1"/>
  <c r="H41" i="15"/>
  <c r="L41" i="13"/>
  <c r="D41" i="37" s="1"/>
  <c r="H41" i="37" s="1"/>
  <c r="F41" i="13"/>
  <c r="G22" i="13"/>
  <c r="L15" i="13"/>
  <c r="D15" i="37" s="1"/>
  <c r="H15" i="37" s="1"/>
  <c r="D11" i="37"/>
  <c r="U65" i="27"/>
  <c r="U66" i="27" s="1"/>
  <c r="Z54" i="27"/>
  <c r="Z56" i="27" s="1"/>
  <c r="AB41" i="27"/>
  <c r="F29" i="27"/>
  <c r="F82" i="27" s="1"/>
  <c r="F91" i="27" s="1"/>
  <c r="Q27" i="27"/>
  <c r="M20" i="15"/>
  <c r="E20" i="39" s="1"/>
  <c r="I19" i="15"/>
  <c r="K82" i="7"/>
  <c r="K91" i="7" s="1"/>
  <c r="U82" i="7"/>
  <c r="U91" i="7" s="1"/>
  <c r="F66" i="42"/>
  <c r="I14" i="42"/>
  <c r="F11" i="42"/>
  <c r="D16" i="30"/>
  <c r="D64" i="42"/>
  <c r="L66" i="18"/>
  <c r="D60" i="5"/>
  <c r="D28" i="5"/>
  <c r="H77" i="46"/>
  <c r="H77" i="24"/>
  <c r="E55" i="23"/>
  <c r="G55" i="35" s="1"/>
  <c r="I55" i="35" s="1"/>
  <c r="G54" i="46"/>
  <c r="G56" i="23"/>
  <c r="E54" i="23"/>
  <c r="L27" i="46"/>
  <c r="L29" i="46" s="1"/>
  <c r="L29" i="23"/>
  <c r="L27" i="24"/>
  <c r="D27" i="23"/>
  <c r="G72" i="24"/>
  <c r="AB39" i="24"/>
  <c r="H76" i="40"/>
  <c r="T24" i="28"/>
  <c r="I76" i="38"/>
  <c r="S56" i="26"/>
  <c r="S90" i="26"/>
  <c r="M66" i="14"/>
  <c r="E64" i="38"/>
  <c r="E66" i="38" s="1"/>
  <c r="AF72" i="25"/>
  <c r="AE61" i="25"/>
  <c r="AE59" i="27"/>
  <c r="D49" i="27"/>
  <c r="F49" i="39" s="1"/>
  <c r="AI36" i="25"/>
  <c r="F42" i="27"/>
  <c r="F43" i="27" s="1"/>
  <c r="F76" i="15"/>
  <c r="L76" i="15"/>
  <c r="D76" i="39" s="1"/>
  <c r="H80" i="42"/>
  <c r="D24" i="30"/>
  <c r="F19" i="42"/>
  <c r="G64" i="35"/>
  <c r="E66" i="23"/>
  <c r="S42" i="23"/>
  <c r="S43" i="23" s="1"/>
  <c r="S40" i="24"/>
  <c r="K40" i="46"/>
  <c r="K42" i="46" s="1"/>
  <c r="K42" i="23"/>
  <c r="K43" i="23" s="1"/>
  <c r="K39" i="46"/>
  <c r="E39" i="23"/>
  <c r="G39" i="35" s="1"/>
  <c r="I39" i="35" s="1"/>
  <c r="G24" i="23"/>
  <c r="M23" i="12"/>
  <c r="E23" i="36" s="1"/>
  <c r="G23" i="12"/>
  <c r="Q71" i="46"/>
  <c r="Q71" i="24"/>
  <c r="H15" i="34"/>
  <c r="F72" i="10"/>
  <c r="D11" i="40"/>
  <c r="D16" i="40" s="1"/>
  <c r="T36" i="28"/>
  <c r="I28" i="40"/>
  <c r="AI24" i="28"/>
  <c r="I72" i="26"/>
  <c r="E91" i="26"/>
  <c r="AE42" i="26"/>
  <c r="AE43" i="26" s="1"/>
  <c r="O42" i="26"/>
  <c r="O43" i="26" s="1"/>
  <c r="O82" i="26" s="1"/>
  <c r="M649" i="44" s="1"/>
  <c r="V73" i="27"/>
  <c r="E71" i="25"/>
  <c r="G71" i="37" s="1"/>
  <c r="I71" i="37" s="1"/>
  <c r="AD61" i="25"/>
  <c r="AD59" i="27"/>
  <c r="H19" i="27"/>
  <c r="H24" i="25"/>
  <c r="D19" i="25"/>
  <c r="E13" i="25"/>
  <c r="G13" i="37" s="1"/>
  <c r="I13" i="37" s="1"/>
  <c r="I13" i="27"/>
  <c r="I16" i="25"/>
  <c r="E70" i="37"/>
  <c r="E72" i="37" s="1"/>
  <c r="M72" i="13"/>
  <c r="L51" i="13"/>
  <c r="D51" i="37" s="1"/>
  <c r="H51" i="37" s="1"/>
  <c r="F51" i="13"/>
  <c r="H88" i="15"/>
  <c r="M77" i="15"/>
  <c r="E77" i="39" s="1"/>
  <c r="G77" i="15"/>
  <c r="L54" i="15"/>
  <c r="F54" i="15"/>
  <c r="R42" i="23"/>
  <c r="R43" i="23" s="1"/>
  <c r="AC653" i="44"/>
  <c r="AE91" i="31"/>
  <c r="P61" i="28"/>
  <c r="E42" i="28"/>
  <c r="E43" i="28" s="1"/>
  <c r="R36" i="28"/>
  <c r="R82" i="28" s="1"/>
  <c r="P651" i="44" s="1"/>
  <c r="K36" i="28"/>
  <c r="D79" i="26"/>
  <c r="F79" i="38" s="1"/>
  <c r="Y56" i="26"/>
  <c r="AH36" i="26"/>
  <c r="D28" i="26"/>
  <c r="F28" i="38" s="1"/>
  <c r="H28" i="38" s="1"/>
  <c r="Z24" i="26"/>
  <c r="AC24" i="27"/>
  <c r="L40" i="15"/>
  <c r="AC73" i="27"/>
  <c r="U61" i="25"/>
  <c r="Z55" i="27"/>
  <c r="AH56" i="25"/>
  <c r="J56" i="25"/>
  <c r="D54" i="25"/>
  <c r="N41" i="27"/>
  <c r="AG36" i="25"/>
  <c r="S21" i="27"/>
  <c r="S24" i="27" s="1"/>
  <c r="S24" i="25"/>
  <c r="AE19" i="27"/>
  <c r="AE24" i="27" s="1"/>
  <c r="D14" i="27"/>
  <c r="F14" i="39" s="1"/>
  <c r="Y16" i="27"/>
  <c r="G54" i="15"/>
  <c r="F33" i="46"/>
  <c r="D33" i="23"/>
  <c r="F33" i="35" s="1"/>
  <c r="H33" i="35" s="1"/>
  <c r="F36" i="23"/>
  <c r="G32" i="46"/>
  <c r="E32" i="23"/>
  <c r="G36" i="23"/>
  <c r="H49" i="45"/>
  <c r="H49" i="12"/>
  <c r="F49" i="10"/>
  <c r="L49" i="10"/>
  <c r="D49" i="34" s="1"/>
  <c r="D49" i="5" s="1"/>
  <c r="W61" i="28"/>
  <c r="I24" i="28"/>
  <c r="I82" i="28" s="1"/>
  <c r="G651" i="44" s="1"/>
  <c r="G80" i="16"/>
  <c r="F49" i="16"/>
  <c r="M36" i="16"/>
  <c r="E32" i="40"/>
  <c r="E36" i="40" s="1"/>
  <c r="L21" i="16"/>
  <c r="D21" i="40" s="1"/>
  <c r="H21" i="40" s="1"/>
  <c r="H24" i="16"/>
  <c r="E79" i="26"/>
  <c r="G79" i="38" s="1"/>
  <c r="E71" i="26"/>
  <c r="G71" i="38" s="1"/>
  <c r="I71" i="38" s="1"/>
  <c r="V61" i="26"/>
  <c r="Q36" i="26"/>
  <c r="AG24" i="26"/>
  <c r="AG82" i="26" s="1"/>
  <c r="AE649" i="44" s="1"/>
  <c r="I24" i="26"/>
  <c r="I82" i="26" s="1"/>
  <c r="G649" i="44" s="1"/>
  <c r="L24" i="27"/>
  <c r="H72" i="14"/>
  <c r="L70" i="14"/>
  <c r="F70" i="14"/>
  <c r="AE42" i="25"/>
  <c r="AE43" i="25" s="1"/>
  <c r="AE40" i="27"/>
  <c r="X35" i="27"/>
  <c r="R22" i="27"/>
  <c r="R24" i="25"/>
  <c r="R21" i="27"/>
  <c r="V20" i="27"/>
  <c r="V24" i="27" s="1"/>
  <c r="V24" i="25"/>
  <c r="F78" i="13"/>
  <c r="H78" i="15"/>
  <c r="L78" i="13"/>
  <c r="D78" i="37" s="1"/>
  <c r="D78" i="5" s="1"/>
  <c r="J89" i="27"/>
  <c r="D76" i="27"/>
  <c r="F76" i="39" s="1"/>
  <c r="H76" i="39" s="1"/>
  <c r="J70" i="27"/>
  <c r="G56" i="27"/>
  <c r="G74" i="21"/>
  <c r="E74" i="21" s="1"/>
  <c r="G74" i="33" s="1"/>
  <c r="I74" i="33" s="1"/>
  <c r="E74" i="7"/>
  <c r="L47" i="18"/>
  <c r="D47" i="42" s="1"/>
  <c r="D47" i="5" s="1"/>
  <c r="F47" i="18"/>
  <c r="L19" i="18"/>
  <c r="H24" i="18"/>
  <c r="F19" i="18"/>
  <c r="F24" i="18" s="1"/>
  <c r="E80" i="22"/>
  <c r="G80" i="34" s="1"/>
  <c r="I80" i="34" s="1"/>
  <c r="V34" i="46"/>
  <c r="V34" i="24"/>
  <c r="V36" i="24" s="1"/>
  <c r="AD33" i="24"/>
  <c r="E76" i="28"/>
  <c r="G76" i="40" s="1"/>
  <c r="I76" i="40" s="1"/>
  <c r="Q66" i="28"/>
  <c r="M72" i="28"/>
  <c r="G66" i="28"/>
  <c r="D65" i="28"/>
  <c r="F65" i="40" s="1"/>
  <c r="H65" i="40" s="1"/>
  <c r="AH42" i="28"/>
  <c r="AH43" i="28" s="1"/>
  <c r="Z42" i="28"/>
  <c r="Z43" i="28" s="1"/>
  <c r="R42" i="28"/>
  <c r="R43" i="28" s="1"/>
  <c r="J42" i="28"/>
  <c r="J43" i="28" s="1"/>
  <c r="AI29" i="28"/>
  <c r="AA29" i="28"/>
  <c r="S29" i="28"/>
  <c r="K29" i="28"/>
  <c r="D20" i="28"/>
  <c r="F20" i="40" s="1"/>
  <c r="H20" i="40" s="1"/>
  <c r="H16" i="28"/>
  <c r="H82" i="28" s="1"/>
  <c r="F651" i="44" s="1"/>
  <c r="M77" i="16"/>
  <c r="E77" i="40" s="1"/>
  <c r="L70" i="16"/>
  <c r="H72" i="16"/>
  <c r="G60" i="16"/>
  <c r="G51" i="16"/>
  <c r="M88" i="26"/>
  <c r="M88" i="27" s="1"/>
  <c r="M89" i="27"/>
  <c r="D75" i="26"/>
  <c r="F75" i="38" s="1"/>
  <c r="H75" i="38" s="1"/>
  <c r="AF66" i="26"/>
  <c r="X66" i="26"/>
  <c r="P66" i="26"/>
  <c r="D64" i="26"/>
  <c r="H66" i="26"/>
  <c r="S61" i="27"/>
  <c r="AK90" i="26"/>
  <c r="AK56" i="26"/>
  <c r="U90" i="26"/>
  <c r="U56" i="26"/>
  <c r="E54" i="26"/>
  <c r="Y86" i="26"/>
  <c r="Y87" i="26"/>
  <c r="Y87" i="27" s="1"/>
  <c r="I86" i="26"/>
  <c r="I87" i="26"/>
  <c r="D34" i="26"/>
  <c r="F34" i="38" s="1"/>
  <c r="H34" i="38" s="1"/>
  <c r="AH29" i="26"/>
  <c r="Z29" i="26"/>
  <c r="Z27" i="27"/>
  <c r="R29" i="26"/>
  <c r="J29" i="26"/>
  <c r="J27" i="27"/>
  <c r="S24" i="26"/>
  <c r="AC16" i="26"/>
  <c r="AC82" i="26" s="1"/>
  <c r="AA649" i="44" s="1"/>
  <c r="AI16" i="26"/>
  <c r="AI82" i="26" s="1"/>
  <c r="AG649" i="44" s="1"/>
  <c r="AA16" i="26"/>
  <c r="AA82" i="26" s="1"/>
  <c r="Y649" i="44" s="1"/>
  <c r="S16" i="26"/>
  <c r="K16" i="26"/>
  <c r="K82" i="26" s="1"/>
  <c r="I649" i="44" s="1"/>
  <c r="AK16" i="26"/>
  <c r="U16" i="26"/>
  <c r="F80" i="14"/>
  <c r="H80" i="15"/>
  <c r="L80" i="14"/>
  <c r="D80" i="38" s="1"/>
  <c r="M60" i="14"/>
  <c r="E60" i="38" s="1"/>
  <c r="I60" i="38" s="1"/>
  <c r="G36" i="14"/>
  <c r="F28" i="14"/>
  <c r="F29" i="14" s="1"/>
  <c r="H28" i="15"/>
  <c r="H16" i="14"/>
  <c r="H82" i="14" s="1"/>
  <c r="H87" i="37"/>
  <c r="H88" i="37"/>
  <c r="G86" i="37"/>
  <c r="E89" i="25"/>
  <c r="C18" i="4" s="1"/>
  <c r="AD81" i="27"/>
  <c r="V81" i="27"/>
  <c r="N81" i="27"/>
  <c r="X80" i="27"/>
  <c r="P80" i="27"/>
  <c r="H80" i="27"/>
  <c r="D80" i="27" s="1"/>
  <c r="F80" i="39" s="1"/>
  <c r="P79" i="27"/>
  <c r="D78" i="25"/>
  <c r="F78" i="37" s="1"/>
  <c r="H78" i="27"/>
  <c r="D78" i="27" s="1"/>
  <c r="F78" i="39" s="1"/>
  <c r="D77" i="27"/>
  <c r="F77" i="39" s="1"/>
  <c r="R74" i="27"/>
  <c r="Z71" i="27"/>
  <c r="R71" i="27"/>
  <c r="J71" i="27"/>
  <c r="D71" i="27" s="1"/>
  <c r="F71" i="39" s="1"/>
  <c r="R72" i="25"/>
  <c r="R70" i="27"/>
  <c r="L66" i="25"/>
  <c r="X56" i="25"/>
  <c r="P51" i="27"/>
  <c r="D51" i="27" s="1"/>
  <c r="F51" i="39" s="1"/>
  <c r="H51" i="39" s="1"/>
  <c r="H49" i="37"/>
  <c r="AB36" i="25"/>
  <c r="AB82" i="25" s="1"/>
  <c r="U35" i="27"/>
  <c r="J24" i="25"/>
  <c r="J82" i="25" s="1"/>
  <c r="AE23" i="27"/>
  <c r="W23" i="27"/>
  <c r="O23" i="27"/>
  <c r="E23" i="25"/>
  <c r="G23" i="37" s="1"/>
  <c r="I23" i="37" s="1"/>
  <c r="O22" i="27"/>
  <c r="AA24" i="27"/>
  <c r="K24" i="27"/>
  <c r="AA16" i="25"/>
  <c r="S16" i="27"/>
  <c r="L77" i="13"/>
  <c r="D77" i="37" s="1"/>
  <c r="F77" i="13"/>
  <c r="H71" i="15"/>
  <c r="D66" i="37"/>
  <c r="I15" i="15"/>
  <c r="G15" i="13"/>
  <c r="K82" i="13"/>
  <c r="K91" i="13" s="1"/>
  <c r="E45" i="27"/>
  <c r="G45" i="39" s="1"/>
  <c r="H40" i="27"/>
  <c r="H42" i="27" s="1"/>
  <c r="H43" i="27" s="1"/>
  <c r="D34" i="27"/>
  <c r="F34" i="39" s="1"/>
  <c r="Q33" i="27"/>
  <c r="P27" i="27"/>
  <c r="I11" i="27"/>
  <c r="I16" i="27" s="1"/>
  <c r="I87" i="15"/>
  <c r="F40" i="15"/>
  <c r="K29" i="15"/>
  <c r="I35" i="42"/>
  <c r="G19" i="42"/>
  <c r="E24" i="30"/>
  <c r="M64" i="18"/>
  <c r="G64" i="18"/>
  <c r="G66" i="18" s="1"/>
  <c r="L41" i="18"/>
  <c r="F41" i="18"/>
  <c r="H42" i="18"/>
  <c r="H43" i="18" s="1"/>
  <c r="L36" i="18"/>
  <c r="D32" i="42"/>
  <c r="F78" i="46"/>
  <c r="D78" i="23"/>
  <c r="F78" i="35" s="1"/>
  <c r="H78" i="35" s="1"/>
  <c r="I65" i="46"/>
  <c r="I65" i="24"/>
  <c r="AG66" i="23"/>
  <c r="Y66" i="23"/>
  <c r="Q66" i="23"/>
  <c r="I64" i="46"/>
  <c r="I66" i="46" s="1"/>
  <c r="I66" i="23"/>
  <c r="L55" i="46"/>
  <c r="L56" i="23"/>
  <c r="D55" i="23"/>
  <c r="F55" i="35" s="1"/>
  <c r="AD56" i="23"/>
  <c r="V56" i="23"/>
  <c r="N56" i="23"/>
  <c r="F54" i="46"/>
  <c r="F56" i="23"/>
  <c r="D54" i="23"/>
  <c r="AI29" i="23"/>
  <c r="AA29" i="23"/>
  <c r="S29" i="23"/>
  <c r="K27" i="46"/>
  <c r="K29" i="46" s="1"/>
  <c r="K29" i="23"/>
  <c r="E27" i="23"/>
  <c r="AE24" i="23"/>
  <c r="AE82" i="23" s="1"/>
  <c r="AC645" i="44" s="1"/>
  <c r="H15" i="46"/>
  <c r="D15" i="23"/>
  <c r="F15" i="35" s="1"/>
  <c r="H15" i="35" s="1"/>
  <c r="M79" i="11"/>
  <c r="E79" i="35" s="1"/>
  <c r="G79" i="11"/>
  <c r="E19" i="35"/>
  <c r="U42" i="27"/>
  <c r="U43" i="27" s="1"/>
  <c r="E66" i="7"/>
  <c r="I49" i="42"/>
  <c r="AC82" i="30"/>
  <c r="AA652" i="44" s="1"/>
  <c r="D42" i="35"/>
  <c r="D43" i="35" s="1"/>
  <c r="M78" i="46"/>
  <c r="E78" i="46" s="1"/>
  <c r="G78" i="47" s="1"/>
  <c r="I78" i="47" s="1"/>
  <c r="M78" i="24"/>
  <c r="W77" i="46"/>
  <c r="W77" i="24"/>
  <c r="AK56" i="23"/>
  <c r="AG42" i="23"/>
  <c r="AG43" i="23" s="1"/>
  <c r="H13" i="35"/>
  <c r="AB35" i="46"/>
  <c r="AB35" i="24"/>
  <c r="M32" i="24"/>
  <c r="M36" i="22"/>
  <c r="V22" i="46"/>
  <c r="V22" i="24"/>
  <c r="F72" i="24"/>
  <c r="L77" i="12"/>
  <c r="D77" i="36" s="1"/>
  <c r="F77" i="12"/>
  <c r="S89" i="27"/>
  <c r="W36" i="26"/>
  <c r="G36" i="26"/>
  <c r="AH16" i="26"/>
  <c r="Z16" i="26"/>
  <c r="Z82" i="26" s="1"/>
  <c r="X649" i="44" s="1"/>
  <c r="R16" i="26"/>
  <c r="R82" i="26" s="1"/>
  <c r="P649" i="44" s="1"/>
  <c r="J16" i="26"/>
  <c r="F75" i="14"/>
  <c r="F36" i="14"/>
  <c r="M13" i="14"/>
  <c r="I16" i="14"/>
  <c r="I87" i="37"/>
  <c r="G89" i="25"/>
  <c r="X81" i="27"/>
  <c r="P81" i="27"/>
  <c r="H81" i="27"/>
  <c r="Z80" i="27"/>
  <c r="R80" i="27"/>
  <c r="J80" i="27"/>
  <c r="AB79" i="27"/>
  <c r="T79" i="27"/>
  <c r="L79" i="27"/>
  <c r="AB78" i="27"/>
  <c r="T78" i="27"/>
  <c r="L78" i="27"/>
  <c r="D74" i="25"/>
  <c r="F74" i="37" s="1"/>
  <c r="H74" i="37" s="1"/>
  <c r="AE73" i="27"/>
  <c r="W73" i="27"/>
  <c r="O73" i="27"/>
  <c r="AA71" i="27"/>
  <c r="S71" i="27"/>
  <c r="K71" i="27"/>
  <c r="AA72" i="25"/>
  <c r="AA70" i="27"/>
  <c r="AA72" i="27" s="1"/>
  <c r="S72" i="25"/>
  <c r="S70" i="27"/>
  <c r="S72" i="27" s="1"/>
  <c r="K72" i="25"/>
  <c r="K70" i="27"/>
  <c r="AE66" i="25"/>
  <c r="W66" i="25"/>
  <c r="O66" i="25"/>
  <c r="G66" i="25"/>
  <c r="E64" i="25"/>
  <c r="AE60" i="27"/>
  <c r="W60" i="27"/>
  <c r="E60" i="27" s="1"/>
  <c r="G60" i="39" s="1"/>
  <c r="O60" i="27"/>
  <c r="Y59" i="27"/>
  <c r="Y61" i="27" s="1"/>
  <c r="Q59" i="27"/>
  <c r="Q61" i="27" s="1"/>
  <c r="I59" i="27"/>
  <c r="AA55" i="27"/>
  <c r="S55" i="27"/>
  <c r="K55" i="27"/>
  <c r="E55" i="27" s="1"/>
  <c r="G55" i="39" s="1"/>
  <c r="AI56" i="25"/>
  <c r="AA56" i="25"/>
  <c r="S56" i="25"/>
  <c r="K56" i="25"/>
  <c r="E51" i="25"/>
  <c r="G51" i="37" s="1"/>
  <c r="I51" i="37" s="1"/>
  <c r="AE41" i="27"/>
  <c r="W41" i="27"/>
  <c r="O41" i="27"/>
  <c r="Y42" i="25"/>
  <c r="Y43" i="25" s="1"/>
  <c r="Y40" i="27"/>
  <c r="Q42" i="25"/>
  <c r="Q43" i="25" s="1"/>
  <c r="Q40" i="27"/>
  <c r="I42" i="25"/>
  <c r="I43" i="25" s="1"/>
  <c r="I40" i="27"/>
  <c r="E39" i="25"/>
  <c r="G39" i="37" s="1"/>
  <c r="I39" i="37" s="1"/>
  <c r="AC33" i="27"/>
  <c r="U33" i="27"/>
  <c r="M33" i="27"/>
  <c r="AC32" i="27"/>
  <c r="U32" i="27"/>
  <c r="M32" i="27"/>
  <c r="M36" i="27" s="1"/>
  <c r="Y28" i="27"/>
  <c r="Q28" i="27"/>
  <c r="I28" i="27"/>
  <c r="E28" i="27" s="1"/>
  <c r="G28" i="39" s="1"/>
  <c r="AG29" i="25"/>
  <c r="Y29" i="25"/>
  <c r="Q29" i="25"/>
  <c r="E27" i="25"/>
  <c r="I29" i="25"/>
  <c r="AC21" i="27"/>
  <c r="U21" i="27"/>
  <c r="M21" i="27"/>
  <c r="AG24" i="25"/>
  <c r="Y19" i="27"/>
  <c r="Y24" i="25"/>
  <c r="Q19" i="27"/>
  <c r="Q24" i="25"/>
  <c r="E19" i="25"/>
  <c r="I19" i="27"/>
  <c r="I24" i="25"/>
  <c r="AD11" i="27"/>
  <c r="AD16" i="27" s="1"/>
  <c r="AD16" i="25"/>
  <c r="V11" i="27"/>
  <c r="V16" i="25"/>
  <c r="N11" i="27"/>
  <c r="N16" i="27" s="1"/>
  <c r="N16" i="25"/>
  <c r="F16" i="25"/>
  <c r="F82" i="25" s="1"/>
  <c r="F91" i="25" s="1"/>
  <c r="G88" i="13"/>
  <c r="G89" i="13" s="1"/>
  <c r="I88" i="15"/>
  <c r="I89" i="15" s="1"/>
  <c r="I78" i="15"/>
  <c r="M78" i="13"/>
  <c r="E78" i="37" s="1"/>
  <c r="I71" i="15"/>
  <c r="M61" i="13"/>
  <c r="I56" i="13"/>
  <c r="G54" i="13"/>
  <c r="G56" i="13" s="1"/>
  <c r="M54" i="13"/>
  <c r="H49" i="15"/>
  <c r="D40" i="37"/>
  <c r="H32" i="15"/>
  <c r="L32" i="13"/>
  <c r="H27" i="15"/>
  <c r="J82" i="13"/>
  <c r="J91" i="13" s="1"/>
  <c r="AB89" i="27"/>
  <c r="AF72" i="27"/>
  <c r="W64" i="27"/>
  <c r="AK42" i="27"/>
  <c r="AK43" i="27" s="1"/>
  <c r="R27" i="27"/>
  <c r="R29" i="27" s="1"/>
  <c r="AI16" i="27"/>
  <c r="AI82" i="27" s="1"/>
  <c r="Z11" i="27"/>
  <c r="Z16" i="27" s="1"/>
  <c r="J11" i="27"/>
  <c r="G81" i="15"/>
  <c r="G73" i="15"/>
  <c r="F88" i="5"/>
  <c r="H88" i="5" s="1"/>
  <c r="E43" i="7"/>
  <c r="E36" i="7"/>
  <c r="G20" i="20"/>
  <c r="E20" i="20" s="1"/>
  <c r="G20" i="32" s="1"/>
  <c r="I20" i="32" s="1"/>
  <c r="G24" i="7"/>
  <c r="G82" i="7" s="1"/>
  <c r="G91" i="7" s="1"/>
  <c r="V82" i="7"/>
  <c r="V91" i="7" s="1"/>
  <c r="D35" i="5"/>
  <c r="I80" i="42"/>
  <c r="H74" i="42"/>
  <c r="I65" i="42"/>
  <c r="E55" i="30"/>
  <c r="G56" i="30"/>
  <c r="F47" i="5"/>
  <c r="H47" i="5" s="1"/>
  <c r="H23" i="42"/>
  <c r="E11" i="30"/>
  <c r="G16" i="30"/>
  <c r="F79" i="18"/>
  <c r="L75" i="18"/>
  <c r="D75" i="42" s="1"/>
  <c r="F75" i="18"/>
  <c r="L59" i="18"/>
  <c r="F59" i="18"/>
  <c r="F61" i="18" s="1"/>
  <c r="L27" i="18"/>
  <c r="H29" i="18"/>
  <c r="Z71" i="24"/>
  <c r="Z72" i="23"/>
  <c r="J71" i="46"/>
  <c r="D71" i="46" s="1"/>
  <c r="F71" i="47" s="1"/>
  <c r="H71" i="47" s="1"/>
  <c r="J72" i="23"/>
  <c r="J71" i="24"/>
  <c r="AI72" i="23"/>
  <c r="AA72" i="23"/>
  <c r="S72" i="23"/>
  <c r="K70" i="46"/>
  <c r="K72" i="23"/>
  <c r="J59" i="46"/>
  <c r="J61" i="46" s="1"/>
  <c r="J61" i="23"/>
  <c r="F49" i="46"/>
  <c r="D49" i="23"/>
  <c r="F49" i="35" s="1"/>
  <c r="H49" i="35" s="1"/>
  <c r="G47" i="46"/>
  <c r="E47" i="23"/>
  <c r="G47" i="35" s="1"/>
  <c r="I47" i="35" s="1"/>
  <c r="G35" i="46"/>
  <c r="E35" i="23"/>
  <c r="G35" i="35" s="1"/>
  <c r="I35" i="35" s="1"/>
  <c r="G23" i="46"/>
  <c r="E23" i="23"/>
  <c r="G23" i="35" s="1"/>
  <c r="I23" i="35" s="1"/>
  <c r="Q24" i="23"/>
  <c r="Q82" i="23" s="1"/>
  <c r="O645" i="44" s="1"/>
  <c r="Q19" i="24"/>
  <c r="I19" i="46"/>
  <c r="I24" i="23"/>
  <c r="I82" i="23" s="1"/>
  <c r="Y16" i="23"/>
  <c r="Y82" i="23" s="1"/>
  <c r="W645" i="44" s="1"/>
  <c r="I14" i="46"/>
  <c r="E14" i="46" s="1"/>
  <c r="G14" i="47" s="1"/>
  <c r="I14" i="47" s="1"/>
  <c r="E14" i="23"/>
  <c r="G14" i="35" s="1"/>
  <c r="I14" i="35" s="1"/>
  <c r="H42" i="11"/>
  <c r="H43" i="11" s="1"/>
  <c r="F40" i="11"/>
  <c r="F42" i="11" s="1"/>
  <c r="F43" i="11" s="1"/>
  <c r="AD66" i="22"/>
  <c r="V66" i="22"/>
  <c r="N66" i="22"/>
  <c r="D64" i="22"/>
  <c r="F66" i="22"/>
  <c r="Z55" i="46"/>
  <c r="Z55" i="24"/>
  <c r="AH56" i="22"/>
  <c r="Z54" i="46"/>
  <c r="Z54" i="24"/>
  <c r="Z56" i="22"/>
  <c r="R54" i="46"/>
  <c r="R56" i="46" s="1"/>
  <c r="R56" i="22"/>
  <c r="R54" i="24"/>
  <c r="R56" i="24" s="1"/>
  <c r="J54" i="24"/>
  <c r="J56" i="24" s="1"/>
  <c r="J56" i="22"/>
  <c r="Y40" i="46"/>
  <c r="Y40" i="24"/>
  <c r="Y42" i="22"/>
  <c r="Y43" i="22" s="1"/>
  <c r="Q40" i="46"/>
  <c r="Q40" i="24"/>
  <c r="Q42" i="24" s="1"/>
  <c r="Q43" i="24" s="1"/>
  <c r="Q42" i="22"/>
  <c r="Q43" i="22" s="1"/>
  <c r="I40" i="24"/>
  <c r="I42" i="24" s="1"/>
  <c r="I43" i="24" s="1"/>
  <c r="I42" i="22"/>
  <c r="I43" i="22" s="1"/>
  <c r="Y39" i="46"/>
  <c r="Y39" i="24"/>
  <c r="Q39" i="46"/>
  <c r="Q39" i="24"/>
  <c r="AK61" i="24"/>
  <c r="AB61" i="24"/>
  <c r="G64" i="33"/>
  <c r="AH16" i="27"/>
  <c r="AH82" i="27" s="1"/>
  <c r="H71" i="42"/>
  <c r="F71" i="5"/>
  <c r="D70" i="42"/>
  <c r="L72" i="18"/>
  <c r="F32" i="18"/>
  <c r="H36" i="18"/>
  <c r="H82" i="18" s="1"/>
  <c r="E82" i="18"/>
  <c r="AC56" i="23"/>
  <c r="M54" i="46"/>
  <c r="M56" i="46" s="1"/>
  <c r="M56" i="23"/>
  <c r="M54" i="24"/>
  <c r="Y42" i="23"/>
  <c r="Y43" i="23" s="1"/>
  <c r="F12" i="46"/>
  <c r="D12" i="23"/>
  <c r="F12" i="35" s="1"/>
  <c r="H12" i="35" s="1"/>
  <c r="F16" i="23"/>
  <c r="G11" i="46"/>
  <c r="E11" i="23"/>
  <c r="G16" i="23"/>
  <c r="G71" i="11"/>
  <c r="M71" i="11"/>
  <c r="E71" i="35" s="1"/>
  <c r="G32" i="34"/>
  <c r="E14" i="26"/>
  <c r="G14" i="38" s="1"/>
  <c r="I14" i="38" s="1"/>
  <c r="M59" i="14"/>
  <c r="I61" i="14"/>
  <c r="H42" i="14"/>
  <c r="H43" i="14" s="1"/>
  <c r="F40" i="14"/>
  <c r="F42" i="14" s="1"/>
  <c r="F43" i="14" s="1"/>
  <c r="H24" i="14"/>
  <c r="M22" i="14"/>
  <c r="E22" i="38" s="1"/>
  <c r="E79" i="25"/>
  <c r="G79" i="37" s="1"/>
  <c r="I79" i="37" s="1"/>
  <c r="AE77" i="27"/>
  <c r="W77" i="27"/>
  <c r="O77" i="27"/>
  <c r="Y76" i="27"/>
  <c r="Q76" i="27"/>
  <c r="I76" i="27"/>
  <c r="E76" i="27" s="1"/>
  <c r="G76" i="39" s="1"/>
  <c r="AA75" i="27"/>
  <c r="S75" i="27"/>
  <c r="K75" i="27"/>
  <c r="AA74" i="27"/>
  <c r="S74" i="27"/>
  <c r="K74" i="27"/>
  <c r="D71" i="25"/>
  <c r="F71" i="37" s="1"/>
  <c r="H71" i="37" s="1"/>
  <c r="AD70" i="27"/>
  <c r="AD72" i="27" s="1"/>
  <c r="V70" i="27"/>
  <c r="V72" i="27" s="1"/>
  <c r="N70" i="27"/>
  <c r="N72" i="27" s="1"/>
  <c r="X65" i="27"/>
  <c r="P65" i="27"/>
  <c r="P66" i="27" s="1"/>
  <c r="H65" i="27"/>
  <c r="D65" i="27" s="1"/>
  <c r="F65" i="39" s="1"/>
  <c r="H65" i="39" s="1"/>
  <c r="Z64" i="27"/>
  <c r="Z66" i="27" s="1"/>
  <c r="R64" i="27"/>
  <c r="R66" i="27" s="1"/>
  <c r="J64" i="27"/>
  <c r="J66" i="27" s="1"/>
  <c r="AJ61" i="25"/>
  <c r="AB61" i="25"/>
  <c r="T61" i="25"/>
  <c r="L61" i="25"/>
  <c r="AD55" i="27"/>
  <c r="V55" i="27"/>
  <c r="N55" i="27"/>
  <c r="AD54" i="27"/>
  <c r="AD56" i="27" s="1"/>
  <c r="V54" i="27"/>
  <c r="V56" i="27" s="1"/>
  <c r="N54" i="27"/>
  <c r="N56" i="27" s="1"/>
  <c r="Z51" i="27"/>
  <c r="R51" i="27"/>
  <c r="J51" i="27"/>
  <c r="Z41" i="27"/>
  <c r="R41" i="27"/>
  <c r="J41" i="27"/>
  <c r="AB40" i="27"/>
  <c r="AB42" i="27" s="1"/>
  <c r="T40" i="27"/>
  <c r="T42" i="27" s="1"/>
  <c r="T43" i="27" s="1"/>
  <c r="L40" i="27"/>
  <c r="L42" i="27" s="1"/>
  <c r="L43" i="27" s="1"/>
  <c r="AB39" i="27"/>
  <c r="D39" i="27" s="1"/>
  <c r="F39" i="39" s="1"/>
  <c r="T39" i="27"/>
  <c r="L39" i="27"/>
  <c r="AF36" i="25"/>
  <c r="X36" i="25"/>
  <c r="P36" i="25"/>
  <c r="H36" i="25"/>
  <c r="D33" i="25"/>
  <c r="F33" i="37" s="1"/>
  <c r="H33" i="37" s="1"/>
  <c r="X32" i="27"/>
  <c r="X36" i="27" s="1"/>
  <c r="P32" i="27"/>
  <c r="H32" i="27"/>
  <c r="AB28" i="27"/>
  <c r="T28" i="27"/>
  <c r="L28" i="27"/>
  <c r="AB27" i="27"/>
  <c r="AB29" i="27" s="1"/>
  <c r="T27" i="27"/>
  <c r="T29" i="27" s="1"/>
  <c r="L27" i="27"/>
  <c r="L29" i="27" s="1"/>
  <c r="D21" i="25"/>
  <c r="F21" i="37" s="1"/>
  <c r="AF16" i="25"/>
  <c r="X13" i="27"/>
  <c r="X16" i="27" s="1"/>
  <c r="X16" i="25"/>
  <c r="P13" i="27"/>
  <c r="P16" i="25"/>
  <c r="H13" i="27"/>
  <c r="H16" i="27" s="1"/>
  <c r="H16" i="25"/>
  <c r="H82" i="25" s="1"/>
  <c r="D13" i="25"/>
  <c r="F13" i="37" s="1"/>
  <c r="H13" i="37" s="1"/>
  <c r="G79" i="13"/>
  <c r="I79" i="15"/>
  <c r="L72" i="13"/>
  <c r="D70" i="37"/>
  <c r="D72" i="37" s="1"/>
  <c r="H66" i="13"/>
  <c r="H64" i="15"/>
  <c r="F64" i="13"/>
  <c r="F66" i="13" s="1"/>
  <c r="I33" i="15"/>
  <c r="G33" i="13"/>
  <c r="G36" i="13" s="1"/>
  <c r="M29" i="13"/>
  <c r="H20" i="15"/>
  <c r="I14" i="15"/>
  <c r="M14" i="13"/>
  <c r="E14" i="37" s="1"/>
  <c r="D86" i="27"/>
  <c r="F89" i="27"/>
  <c r="G72" i="27"/>
  <c r="T54" i="27"/>
  <c r="E54" i="27"/>
  <c r="I39" i="27"/>
  <c r="AK36" i="27"/>
  <c r="Y27" i="27"/>
  <c r="Y29" i="27" s="1"/>
  <c r="I27" i="27"/>
  <c r="AG16" i="27"/>
  <c r="D72" i="15"/>
  <c r="F65" i="15"/>
  <c r="L65" i="15"/>
  <c r="D65" i="39" s="1"/>
  <c r="I35" i="15"/>
  <c r="M34" i="15"/>
  <c r="E34" i="39" s="1"/>
  <c r="G34" i="15"/>
  <c r="K24" i="15"/>
  <c r="K82" i="15" s="1"/>
  <c r="K91" i="15" s="1"/>
  <c r="I13" i="15"/>
  <c r="M12" i="15"/>
  <c r="E12" i="39" s="1"/>
  <c r="G12" i="15"/>
  <c r="E16" i="15"/>
  <c r="E82" i="15" s="1"/>
  <c r="E91" i="15" s="1"/>
  <c r="P82" i="7"/>
  <c r="P91" i="7" s="1"/>
  <c r="H82" i="7"/>
  <c r="H91" i="7" s="1"/>
  <c r="O82" i="7"/>
  <c r="O91" i="7" s="1"/>
  <c r="I75" i="42"/>
  <c r="H49" i="42"/>
  <c r="H54" i="42"/>
  <c r="F56" i="42"/>
  <c r="M70" i="18"/>
  <c r="G70" i="18"/>
  <c r="G72" i="18" s="1"/>
  <c r="F77" i="46"/>
  <c r="D77" i="23"/>
  <c r="F77" i="35" s="1"/>
  <c r="H77" i="35" s="1"/>
  <c r="G76" i="46"/>
  <c r="E76" i="23"/>
  <c r="G76" i="35" s="1"/>
  <c r="I76" i="35" s="1"/>
  <c r="E75" i="23"/>
  <c r="G75" i="35" s="1"/>
  <c r="I75" i="35" s="1"/>
  <c r="V70" i="24"/>
  <c r="V72" i="23"/>
  <c r="F70" i="46"/>
  <c r="F72" i="23"/>
  <c r="I29" i="23"/>
  <c r="L13" i="46"/>
  <c r="L16" i="46" s="1"/>
  <c r="L16" i="23"/>
  <c r="AK82" i="23"/>
  <c r="AI645" i="44" s="1"/>
  <c r="U82" i="23"/>
  <c r="S645" i="44" s="1"/>
  <c r="M12" i="46"/>
  <c r="M16" i="46" s="1"/>
  <c r="M16" i="23"/>
  <c r="E12" i="23"/>
  <c r="G12" i="35" s="1"/>
  <c r="I12" i="35" s="1"/>
  <c r="M35" i="11"/>
  <c r="E35" i="35" s="1"/>
  <c r="G35" i="11"/>
  <c r="I35" i="12"/>
  <c r="I36" i="11"/>
  <c r="AD76" i="46"/>
  <c r="AD76" i="24"/>
  <c r="D76" i="24" s="1"/>
  <c r="F76" i="36" s="1"/>
  <c r="V76" i="46"/>
  <c r="V76" i="24"/>
  <c r="N76" i="46"/>
  <c r="N76" i="24"/>
  <c r="D76" i="22"/>
  <c r="F76" i="34" s="1"/>
  <c r="AE75" i="46"/>
  <c r="AE75" i="24"/>
  <c r="W75" i="46"/>
  <c r="W75" i="24"/>
  <c r="O75" i="46"/>
  <c r="O75" i="24"/>
  <c r="E75" i="22"/>
  <c r="G75" i="34" s="1"/>
  <c r="D56" i="22"/>
  <c r="F54" i="34"/>
  <c r="X51" i="46"/>
  <c r="X51" i="24"/>
  <c r="P51" i="46"/>
  <c r="P51" i="24"/>
  <c r="R49" i="46"/>
  <c r="R49" i="24"/>
  <c r="D49" i="22"/>
  <c r="F49" i="34" s="1"/>
  <c r="J49" i="24"/>
  <c r="L34" i="24"/>
  <c r="AJ36" i="22"/>
  <c r="AB32" i="46"/>
  <c r="AB32" i="24"/>
  <c r="T32" i="46"/>
  <c r="T36" i="22"/>
  <c r="T32" i="24"/>
  <c r="L32" i="24"/>
  <c r="L36" i="22"/>
  <c r="D32" i="22"/>
  <c r="R12" i="46"/>
  <c r="R12" i="24"/>
  <c r="AH16" i="22"/>
  <c r="AH82" i="22" s="1"/>
  <c r="AF646" i="44" s="1"/>
  <c r="Z11" i="24"/>
  <c r="Z11" i="46"/>
  <c r="Z16" i="22"/>
  <c r="Z82" i="22" s="1"/>
  <c r="X646" i="44" s="1"/>
  <c r="R11" i="46"/>
  <c r="R11" i="24"/>
  <c r="R16" i="24" s="1"/>
  <c r="R16" i="22"/>
  <c r="J11" i="24"/>
  <c r="J16" i="22"/>
  <c r="D16" i="43"/>
  <c r="E27" i="33"/>
  <c r="M29" i="9"/>
  <c r="I56" i="27"/>
  <c r="E36" i="30"/>
  <c r="G32" i="42"/>
  <c r="M82" i="30"/>
  <c r="K652" i="44" s="1"/>
  <c r="F64" i="18"/>
  <c r="F66" i="18" s="1"/>
  <c r="H66" i="18"/>
  <c r="G51" i="18"/>
  <c r="M51" i="18"/>
  <c r="E51" i="42" s="1"/>
  <c r="I78" i="35"/>
  <c r="I40" i="46"/>
  <c r="I42" i="46" s="1"/>
  <c r="I43" i="46" s="1"/>
  <c r="I42" i="23"/>
  <c r="I43" i="23" s="1"/>
  <c r="K82" i="11"/>
  <c r="P75" i="46"/>
  <c r="P75" i="24"/>
  <c r="D75" i="24" s="1"/>
  <c r="F75" i="36" s="1"/>
  <c r="X74" i="46"/>
  <c r="X74" i="24"/>
  <c r="T35" i="46"/>
  <c r="T35" i="24"/>
  <c r="U32" i="46"/>
  <c r="U36" i="22"/>
  <c r="U32" i="24"/>
  <c r="U36" i="24" s="1"/>
  <c r="N22" i="46"/>
  <c r="N22" i="24"/>
  <c r="AB653" i="44"/>
  <c r="AD91" i="31"/>
  <c r="I40" i="43"/>
  <c r="I42" i="43" s="1"/>
  <c r="I43" i="43" s="1"/>
  <c r="G42" i="43"/>
  <c r="G43" i="43" s="1"/>
  <c r="D20" i="31"/>
  <c r="F24" i="31"/>
  <c r="D15" i="26"/>
  <c r="F15" i="38" s="1"/>
  <c r="H15" i="38" s="1"/>
  <c r="H61" i="14"/>
  <c r="L59" i="14"/>
  <c r="E61" i="37"/>
  <c r="D79" i="25"/>
  <c r="F79" i="37" s="1"/>
  <c r="H79" i="37" s="1"/>
  <c r="AD78" i="27"/>
  <c r="V78" i="27"/>
  <c r="N78" i="27"/>
  <c r="AD77" i="27"/>
  <c r="V77" i="27"/>
  <c r="N77" i="27"/>
  <c r="X76" i="27"/>
  <c r="P76" i="27"/>
  <c r="H76" i="27"/>
  <c r="Z75" i="27"/>
  <c r="R75" i="27"/>
  <c r="D75" i="27" s="1"/>
  <c r="F75" i="39" s="1"/>
  <c r="J75" i="27"/>
  <c r="AC70" i="27"/>
  <c r="AC72" i="27" s="1"/>
  <c r="U70" i="27"/>
  <c r="U72" i="27" s="1"/>
  <c r="M70" i="27"/>
  <c r="M72" i="27" s="1"/>
  <c r="AE65" i="27"/>
  <c r="W65" i="27"/>
  <c r="O65" i="27"/>
  <c r="E65" i="27" s="1"/>
  <c r="G65" i="39" s="1"/>
  <c r="Y66" i="25"/>
  <c r="Y64" i="27"/>
  <c r="Y66" i="27" s="1"/>
  <c r="Q66" i="25"/>
  <c r="Q64" i="27"/>
  <c r="Q66" i="27" s="1"/>
  <c r="I66" i="25"/>
  <c r="I64" i="27"/>
  <c r="AC55" i="27"/>
  <c r="U55" i="27"/>
  <c r="M55" i="27"/>
  <c r="AC56" i="25"/>
  <c r="AC54" i="27"/>
  <c r="U56" i="25"/>
  <c r="U54" i="27"/>
  <c r="M56" i="25"/>
  <c r="M54" i="27"/>
  <c r="E54" i="25"/>
  <c r="Y51" i="27"/>
  <c r="Q51" i="27"/>
  <c r="I51" i="27"/>
  <c r="E45" i="25"/>
  <c r="G45" i="37" s="1"/>
  <c r="Y41" i="27"/>
  <c r="Q41" i="27"/>
  <c r="I41" i="27"/>
  <c r="AA40" i="27"/>
  <c r="AA42" i="27" s="1"/>
  <c r="AA43" i="27" s="1"/>
  <c r="S40" i="27"/>
  <c r="S42" i="27" s="1"/>
  <c r="S43" i="27" s="1"/>
  <c r="K40" i="27"/>
  <c r="K42" i="27" s="1"/>
  <c r="AA39" i="27"/>
  <c r="S39" i="27"/>
  <c r="K39" i="27"/>
  <c r="E39" i="27" s="1"/>
  <c r="G39" i="39" s="1"/>
  <c r="I39" i="39" s="1"/>
  <c r="AE36" i="25"/>
  <c r="W36" i="25"/>
  <c r="O36" i="25"/>
  <c r="G36" i="25"/>
  <c r="E34" i="25"/>
  <c r="G34" i="37" s="1"/>
  <c r="I34" i="37" s="1"/>
  <c r="AE32" i="27"/>
  <c r="W32" i="27"/>
  <c r="O32" i="27"/>
  <c r="AA28" i="27"/>
  <c r="S28" i="27"/>
  <c r="K28" i="27"/>
  <c r="AA29" i="25"/>
  <c r="AA27" i="27"/>
  <c r="S29" i="25"/>
  <c r="S27" i="27"/>
  <c r="K29" i="25"/>
  <c r="K27" i="27"/>
  <c r="AE24" i="25"/>
  <c r="E22" i="25"/>
  <c r="G22" i="37" s="1"/>
  <c r="G22" i="5" s="1"/>
  <c r="I22" i="5" s="1"/>
  <c r="E14" i="25"/>
  <c r="G14" i="37" s="1"/>
  <c r="I14" i="37" s="1"/>
  <c r="M89" i="13"/>
  <c r="B18" i="4" s="1"/>
  <c r="G75" i="13"/>
  <c r="I75" i="15"/>
  <c r="I70" i="15"/>
  <c r="G70" i="13"/>
  <c r="G72" i="13" s="1"/>
  <c r="I72" i="13"/>
  <c r="H47" i="15"/>
  <c r="I36" i="13"/>
  <c r="H33" i="15"/>
  <c r="F33" i="13"/>
  <c r="F36" i="13" s="1"/>
  <c r="L29" i="13"/>
  <c r="I21" i="15"/>
  <c r="H16" i="13"/>
  <c r="H14" i="15"/>
  <c r="L14" i="13"/>
  <c r="D14" i="37" s="1"/>
  <c r="G11" i="13"/>
  <c r="G16" i="13" s="1"/>
  <c r="I11" i="15"/>
  <c r="I16" i="13"/>
  <c r="T89" i="27"/>
  <c r="AH56" i="27"/>
  <c r="S54" i="27"/>
  <c r="S56" i="27" s="1"/>
  <c r="L47" i="27"/>
  <c r="D47" i="27" s="1"/>
  <c r="F47" i="39" s="1"/>
  <c r="AE34" i="27"/>
  <c r="O34" i="27"/>
  <c r="E34" i="27" s="1"/>
  <c r="G34" i="39" s="1"/>
  <c r="I34" i="39" s="1"/>
  <c r="X33" i="27"/>
  <c r="H33" i="27"/>
  <c r="D33" i="27" s="1"/>
  <c r="F33" i="39" s="1"/>
  <c r="AE22" i="27"/>
  <c r="H21" i="27"/>
  <c r="AK24" i="27"/>
  <c r="AK82" i="27" s="1"/>
  <c r="H15" i="27"/>
  <c r="D15" i="27" s="1"/>
  <c r="F15" i="39" s="1"/>
  <c r="I59" i="15"/>
  <c r="H35" i="15"/>
  <c r="J24" i="15"/>
  <c r="J82" i="15" s="1"/>
  <c r="J91" i="15" s="1"/>
  <c r="H12" i="15"/>
  <c r="D16" i="15"/>
  <c r="D82" i="15" s="1"/>
  <c r="D91" i="15" s="1"/>
  <c r="D86" i="5"/>
  <c r="D89" i="5" s="1"/>
  <c r="X82" i="7"/>
  <c r="X91" i="7" s="1"/>
  <c r="G12" i="25"/>
  <c r="E12" i="25" s="1"/>
  <c r="G12" i="37" s="1"/>
  <c r="I12" i="37" s="1"/>
  <c r="S16" i="7"/>
  <c r="S82" i="7" s="1"/>
  <c r="S91" i="7" s="1"/>
  <c r="D55" i="5"/>
  <c r="D61" i="30"/>
  <c r="E41" i="30"/>
  <c r="G41" i="42" s="1"/>
  <c r="G42" i="42" s="1"/>
  <c r="G43" i="42" s="1"/>
  <c r="G42" i="30"/>
  <c r="G43" i="30" s="1"/>
  <c r="L82" i="30"/>
  <c r="J652" i="44" s="1"/>
  <c r="AA82" i="30"/>
  <c r="Y652" i="44" s="1"/>
  <c r="K82" i="30"/>
  <c r="I652" i="44" s="1"/>
  <c r="H12" i="42"/>
  <c r="D81" i="5"/>
  <c r="E77" i="5"/>
  <c r="F70" i="18"/>
  <c r="F72" i="18" s="1"/>
  <c r="H72" i="18"/>
  <c r="E54" i="42"/>
  <c r="M56" i="18"/>
  <c r="J80" i="46"/>
  <c r="J80" i="24"/>
  <c r="D80" i="24" s="1"/>
  <c r="F80" i="36" s="1"/>
  <c r="E77" i="23"/>
  <c r="G77" i="35" s="1"/>
  <c r="I77" i="35" s="1"/>
  <c r="L71" i="46"/>
  <c r="L71" i="24"/>
  <c r="L72" i="24" s="1"/>
  <c r="U72" i="23"/>
  <c r="U70" i="24"/>
  <c r="U72" i="24" s="1"/>
  <c r="M70" i="46"/>
  <c r="M72" i="46" s="1"/>
  <c r="M72" i="23"/>
  <c r="E70" i="23"/>
  <c r="D66" i="23"/>
  <c r="F64" i="35"/>
  <c r="AI16" i="23"/>
  <c r="K13" i="46"/>
  <c r="E13" i="23"/>
  <c r="G13" i="35" s="1"/>
  <c r="I13" i="35" s="1"/>
  <c r="F79" i="11"/>
  <c r="AB79" i="24"/>
  <c r="L79" i="24"/>
  <c r="L78" i="24"/>
  <c r="AB77" i="46"/>
  <c r="AB77" i="24"/>
  <c r="T77" i="46"/>
  <c r="T77" i="24"/>
  <c r="L77" i="24"/>
  <c r="L77" i="46"/>
  <c r="AC76" i="46"/>
  <c r="AC76" i="24"/>
  <c r="U76" i="46"/>
  <c r="U76" i="24"/>
  <c r="M76" i="24"/>
  <c r="M76" i="46"/>
  <c r="E76" i="22"/>
  <c r="G76" i="34" s="1"/>
  <c r="I76" i="34" s="1"/>
  <c r="H66" i="22"/>
  <c r="H64" i="24"/>
  <c r="H66" i="24" s="1"/>
  <c r="AE59" i="46"/>
  <c r="AE61" i="22"/>
  <c r="AE59" i="24"/>
  <c r="W59" i="46"/>
  <c r="W61" i="22"/>
  <c r="O59" i="46"/>
  <c r="O61" i="22"/>
  <c r="O59" i="24"/>
  <c r="O61" i="24" s="1"/>
  <c r="G61" i="22"/>
  <c r="E59" i="22"/>
  <c r="AB54" i="46"/>
  <c r="AB56" i="22"/>
  <c r="AB54" i="24"/>
  <c r="AB56" i="24" s="1"/>
  <c r="T54" i="46"/>
  <c r="T56" i="46" s="1"/>
  <c r="T54" i="24"/>
  <c r="T56" i="24" s="1"/>
  <c r="T56" i="22"/>
  <c r="L56" i="22"/>
  <c r="L54" i="24"/>
  <c r="W51" i="46"/>
  <c r="W51" i="24"/>
  <c r="O51" i="46"/>
  <c r="O51" i="24"/>
  <c r="E51" i="22"/>
  <c r="G51" i="34" s="1"/>
  <c r="AB36" i="22"/>
  <c r="AB82" i="22" s="1"/>
  <c r="Z646" i="44" s="1"/>
  <c r="M24" i="24"/>
  <c r="Y12" i="46"/>
  <c r="Y12" i="24"/>
  <c r="Q12" i="46"/>
  <c r="Q12" i="24"/>
  <c r="AG16" i="22"/>
  <c r="Y11" i="46"/>
  <c r="Y16" i="46" s="1"/>
  <c r="Y11" i="24"/>
  <c r="Y16" i="24" s="1"/>
  <c r="Y16" i="22"/>
  <c r="Q11" i="46"/>
  <c r="Q11" i="24"/>
  <c r="Q16" i="22"/>
  <c r="D27" i="33"/>
  <c r="D29" i="33" s="1"/>
  <c r="L29" i="9"/>
  <c r="T61" i="27"/>
  <c r="Y56" i="27"/>
  <c r="R16" i="27"/>
  <c r="H55" i="42"/>
  <c r="E23" i="5"/>
  <c r="H35" i="42"/>
  <c r="H13" i="42"/>
  <c r="G21" i="18"/>
  <c r="M21" i="18"/>
  <c r="E21" i="42" s="1"/>
  <c r="I21" i="42" s="1"/>
  <c r="K55" i="46"/>
  <c r="E55" i="46" s="1"/>
  <c r="G55" i="47" s="1"/>
  <c r="I55" i="47" s="1"/>
  <c r="K56" i="23"/>
  <c r="U56" i="23"/>
  <c r="Q42" i="23"/>
  <c r="Q43" i="23" s="1"/>
  <c r="AH82" i="23"/>
  <c r="AF645" i="44" s="1"/>
  <c r="G24" i="11"/>
  <c r="AC81" i="46"/>
  <c r="AC81" i="24"/>
  <c r="U81" i="46"/>
  <c r="U81" i="24"/>
  <c r="X75" i="46"/>
  <c r="X75" i="24"/>
  <c r="P74" i="46"/>
  <c r="P74" i="24"/>
  <c r="M33" i="24"/>
  <c r="AC32" i="46"/>
  <c r="AC32" i="24"/>
  <c r="AD22" i="46"/>
  <c r="AD22" i="24"/>
  <c r="D22" i="22"/>
  <c r="F22" i="34" s="1"/>
  <c r="H22" i="34" s="1"/>
  <c r="I23" i="43"/>
  <c r="E15" i="26"/>
  <c r="G15" i="38" s="1"/>
  <c r="I15" i="38" s="1"/>
  <c r="G61" i="14"/>
  <c r="L27" i="14"/>
  <c r="H29" i="14"/>
  <c r="AC78" i="27"/>
  <c r="U78" i="27"/>
  <c r="E78" i="27" s="1"/>
  <c r="G78" i="39" s="1"/>
  <c r="M78" i="27"/>
  <c r="AC77" i="27"/>
  <c r="U77" i="27"/>
  <c r="M77" i="27"/>
  <c r="E77" i="27" s="1"/>
  <c r="G77" i="39" s="1"/>
  <c r="I77" i="39" s="1"/>
  <c r="AE76" i="27"/>
  <c r="W76" i="27"/>
  <c r="O76" i="27"/>
  <c r="Y75" i="27"/>
  <c r="Q75" i="27"/>
  <c r="I75" i="27"/>
  <c r="X73" i="27"/>
  <c r="P73" i="27"/>
  <c r="H73" i="27"/>
  <c r="AB71" i="27"/>
  <c r="T71" i="27"/>
  <c r="L71" i="27"/>
  <c r="AB70" i="27"/>
  <c r="AB72" i="27" s="1"/>
  <c r="T70" i="27"/>
  <c r="T72" i="27" s="1"/>
  <c r="L70" i="27"/>
  <c r="L72" i="27" s="1"/>
  <c r="X60" i="27"/>
  <c r="P60" i="27"/>
  <c r="H60" i="27"/>
  <c r="Z59" i="27"/>
  <c r="Z61" i="27" s="1"/>
  <c r="R59" i="27"/>
  <c r="R61" i="27" s="1"/>
  <c r="J59" i="27"/>
  <c r="J61" i="27" s="1"/>
  <c r="AB55" i="27"/>
  <c r="AB56" i="27" s="1"/>
  <c r="T55" i="27"/>
  <c r="L55" i="27"/>
  <c r="D45" i="25"/>
  <c r="F45" i="37" s="1"/>
  <c r="X41" i="27"/>
  <c r="P41" i="27"/>
  <c r="H41" i="27"/>
  <c r="D41" i="27" s="1"/>
  <c r="F41" i="39" s="1"/>
  <c r="Z40" i="27"/>
  <c r="Z42" i="27" s="1"/>
  <c r="Z43" i="27" s="1"/>
  <c r="R40" i="27"/>
  <c r="R42" i="27" s="1"/>
  <c r="R43" i="27" s="1"/>
  <c r="J40" i="27"/>
  <c r="J42" i="27" s="1"/>
  <c r="J43" i="27" s="1"/>
  <c r="AD36" i="25"/>
  <c r="V36" i="25"/>
  <c r="N36" i="25"/>
  <c r="D34" i="25"/>
  <c r="F34" i="37" s="1"/>
  <c r="H34" i="37" s="1"/>
  <c r="F36" i="25"/>
  <c r="AD33" i="27"/>
  <c r="V33" i="27"/>
  <c r="N33" i="27"/>
  <c r="AD32" i="27"/>
  <c r="AD36" i="27" s="1"/>
  <c r="V32" i="27"/>
  <c r="N32" i="27"/>
  <c r="Z28" i="27"/>
  <c r="R28" i="27"/>
  <c r="J28" i="27"/>
  <c r="D22" i="25"/>
  <c r="F22" i="37" s="1"/>
  <c r="H22" i="37" s="1"/>
  <c r="AD21" i="27"/>
  <c r="V21" i="27"/>
  <c r="D21" i="27" s="1"/>
  <c r="F21" i="39" s="1"/>
  <c r="N21" i="27"/>
  <c r="Z19" i="27"/>
  <c r="R19" i="27"/>
  <c r="J19" i="27"/>
  <c r="D14" i="25"/>
  <c r="F14" i="37" s="1"/>
  <c r="AE16" i="25"/>
  <c r="AE82" i="25" s="1"/>
  <c r="W16" i="25"/>
  <c r="W82" i="25" s="1"/>
  <c r="O16" i="25"/>
  <c r="O82" i="25" s="1"/>
  <c r="F73" i="13"/>
  <c r="F60" i="13"/>
  <c r="F61" i="13" s="1"/>
  <c r="I49" i="15"/>
  <c r="M42" i="13"/>
  <c r="M43" i="13" s="1"/>
  <c r="E40" i="37"/>
  <c r="E42" i="37" s="1"/>
  <c r="E43" i="37" s="1"/>
  <c r="H36" i="13"/>
  <c r="I32" i="15"/>
  <c r="M32" i="13"/>
  <c r="H21" i="15"/>
  <c r="G14" i="13"/>
  <c r="F16" i="13"/>
  <c r="N89" i="27"/>
  <c r="X64" i="27"/>
  <c r="H64" i="27"/>
  <c r="H66" i="27" s="1"/>
  <c r="AG56" i="27"/>
  <c r="AD34" i="27"/>
  <c r="N34" i="27"/>
  <c r="G36" i="27"/>
  <c r="E27" i="27"/>
  <c r="G29" i="27"/>
  <c r="G24" i="27"/>
  <c r="E15" i="27"/>
  <c r="G15" i="39" s="1"/>
  <c r="AJ16" i="27"/>
  <c r="AJ82" i="27" s="1"/>
  <c r="AE11" i="27"/>
  <c r="AE16" i="27" s="1"/>
  <c r="O11" i="27"/>
  <c r="O16" i="27" s="1"/>
  <c r="H73" i="15"/>
  <c r="H60" i="15"/>
  <c r="H59" i="15"/>
  <c r="M39" i="15"/>
  <c r="E39" i="39" s="1"/>
  <c r="G39" i="15"/>
  <c r="I23" i="15"/>
  <c r="E89" i="7"/>
  <c r="E20" i="21"/>
  <c r="G20" i="33" s="1"/>
  <c r="I20" i="33" s="1"/>
  <c r="G24" i="21"/>
  <c r="W82" i="7"/>
  <c r="W91" i="7" s="1"/>
  <c r="M82" i="7"/>
  <c r="M91" i="7" s="1"/>
  <c r="D77" i="5"/>
  <c r="F59" i="42"/>
  <c r="I54" i="42"/>
  <c r="D22" i="5"/>
  <c r="I74" i="42"/>
  <c r="D56" i="30"/>
  <c r="G81" i="18"/>
  <c r="M81" i="18"/>
  <c r="E81" i="42" s="1"/>
  <c r="E81" i="5" s="1"/>
  <c r="E73" i="5"/>
  <c r="F42" i="18"/>
  <c r="F43" i="18" s="1"/>
  <c r="M20" i="18"/>
  <c r="I24" i="18"/>
  <c r="G20" i="18"/>
  <c r="G24" i="18" s="1"/>
  <c r="F11" i="18"/>
  <c r="F16" i="18" s="1"/>
  <c r="L11" i="18"/>
  <c r="K71" i="46"/>
  <c r="E71" i="46" s="1"/>
  <c r="G71" i="47" s="1"/>
  <c r="I71" i="47" s="1"/>
  <c r="K71" i="24"/>
  <c r="AJ72" i="23"/>
  <c r="AB72" i="23"/>
  <c r="AB70" i="24"/>
  <c r="AB72" i="24" s="1"/>
  <c r="T72" i="23"/>
  <c r="L70" i="46"/>
  <c r="L72" i="46" s="1"/>
  <c r="L72" i="23"/>
  <c r="D70" i="23"/>
  <c r="X42" i="23"/>
  <c r="X43" i="23" s="1"/>
  <c r="J19" i="46"/>
  <c r="J24" i="46" s="1"/>
  <c r="J24" i="23"/>
  <c r="R16" i="23"/>
  <c r="R82" i="23" s="1"/>
  <c r="P645" i="44" s="1"/>
  <c r="J14" i="46"/>
  <c r="D14" i="23"/>
  <c r="F14" i="35" s="1"/>
  <c r="H14" i="35" s="1"/>
  <c r="T16" i="23"/>
  <c r="T82" i="23" s="1"/>
  <c r="R645" i="44" s="1"/>
  <c r="I42" i="11"/>
  <c r="I43" i="11" s="1"/>
  <c r="M40" i="11"/>
  <c r="G40" i="11"/>
  <c r="G42" i="11" s="1"/>
  <c r="G43" i="11" s="1"/>
  <c r="M28" i="11"/>
  <c r="E28" i="35" s="1"/>
  <c r="E29" i="35" s="1"/>
  <c r="I29" i="11"/>
  <c r="G28" i="11"/>
  <c r="G29" i="11" s="1"/>
  <c r="E65" i="22"/>
  <c r="G65" i="34" s="1"/>
  <c r="G66" i="22"/>
  <c r="E64" i="22"/>
  <c r="U60" i="46"/>
  <c r="U60" i="24"/>
  <c r="E60" i="22"/>
  <c r="G60" i="34" s="1"/>
  <c r="I60" i="34" s="1"/>
  <c r="AA55" i="46"/>
  <c r="AA55" i="24"/>
  <c r="AA56" i="24" s="1"/>
  <c r="S55" i="46"/>
  <c r="K55" i="24"/>
  <c r="E55" i="24" s="1"/>
  <c r="G55" i="36" s="1"/>
  <c r="AI56" i="22"/>
  <c r="AA54" i="46"/>
  <c r="AA56" i="22"/>
  <c r="S54" i="46"/>
  <c r="S56" i="22"/>
  <c r="S54" i="24"/>
  <c r="S56" i="24" s="1"/>
  <c r="K56" i="22"/>
  <c r="K54" i="24"/>
  <c r="K56" i="24" s="1"/>
  <c r="E54" i="22"/>
  <c r="V51" i="46"/>
  <c r="V51" i="24"/>
  <c r="N51" i="46"/>
  <c r="N51" i="24"/>
  <c r="D51" i="22"/>
  <c r="F51" i="34" s="1"/>
  <c r="H51" i="34" s="1"/>
  <c r="J40" i="24"/>
  <c r="J42" i="24" s="1"/>
  <c r="J43" i="24" s="1"/>
  <c r="Z39" i="46"/>
  <c r="Z39" i="24"/>
  <c r="R39" i="46"/>
  <c r="R39" i="24"/>
  <c r="R43" i="22"/>
  <c r="Y28" i="24"/>
  <c r="I28" i="24"/>
  <c r="L24" i="24"/>
  <c r="U82" i="22"/>
  <c r="S646" i="44" s="1"/>
  <c r="E40" i="34"/>
  <c r="E42" i="34" s="1"/>
  <c r="E43" i="34" s="1"/>
  <c r="M42" i="10"/>
  <c r="M43" i="10" s="1"/>
  <c r="R55" i="24"/>
  <c r="G22" i="12"/>
  <c r="M22" i="12"/>
  <c r="E22" i="36" s="1"/>
  <c r="L14" i="12"/>
  <c r="D14" i="36" s="1"/>
  <c r="F14" i="12"/>
  <c r="I29" i="9"/>
  <c r="G27" i="9"/>
  <c r="G29" i="9" s="1"/>
  <c r="F47" i="13"/>
  <c r="H70" i="15"/>
  <c r="H55" i="15"/>
  <c r="H56" i="15" s="1"/>
  <c r="E70" i="21"/>
  <c r="G72" i="21"/>
  <c r="D70" i="30"/>
  <c r="F66" i="30"/>
  <c r="F36" i="30"/>
  <c r="D33" i="30"/>
  <c r="F33" i="42" s="1"/>
  <c r="I61" i="18"/>
  <c r="G60" i="18"/>
  <c r="I16" i="18"/>
  <c r="G15" i="18"/>
  <c r="G16" i="18" s="1"/>
  <c r="M16" i="18"/>
  <c r="E11" i="42"/>
  <c r="D24" i="35"/>
  <c r="E81" i="23"/>
  <c r="G81" i="35" s="1"/>
  <c r="I81" i="35" s="1"/>
  <c r="E73" i="23"/>
  <c r="G73" i="35" s="1"/>
  <c r="I73" i="35" s="1"/>
  <c r="AH66" i="23"/>
  <c r="Z66" i="23"/>
  <c r="R66" i="23"/>
  <c r="J64" i="46"/>
  <c r="J66" i="46" s="1"/>
  <c r="J66" i="23"/>
  <c r="M60" i="46"/>
  <c r="E60" i="46" s="1"/>
  <c r="G60" i="47" s="1"/>
  <c r="I60" i="47" s="1"/>
  <c r="E60" i="23"/>
  <c r="G60" i="35" s="1"/>
  <c r="I60" i="35" s="1"/>
  <c r="L40" i="46"/>
  <c r="L40" i="24"/>
  <c r="L42" i="24" s="1"/>
  <c r="L42" i="23"/>
  <c r="L43" i="23" s="1"/>
  <c r="H35" i="46"/>
  <c r="H35" i="24"/>
  <c r="D35" i="24" s="1"/>
  <c r="F35" i="36" s="1"/>
  <c r="AG36" i="23"/>
  <c r="AG82" i="23" s="1"/>
  <c r="AE645" i="44" s="1"/>
  <c r="Y36" i="23"/>
  <c r="Q36" i="23"/>
  <c r="AF16" i="23"/>
  <c r="AF82" i="23" s="1"/>
  <c r="AD645" i="44" s="1"/>
  <c r="H11" i="46"/>
  <c r="D11" i="23"/>
  <c r="F76" i="11"/>
  <c r="L76" i="11"/>
  <c r="D76" i="35" s="1"/>
  <c r="L47" i="11"/>
  <c r="D47" i="35" s="1"/>
  <c r="F47" i="11"/>
  <c r="W81" i="24"/>
  <c r="Z70" i="46"/>
  <c r="Z72" i="46" s="1"/>
  <c r="Z70" i="24"/>
  <c r="Z72" i="22"/>
  <c r="R70" i="46"/>
  <c r="R70" i="24"/>
  <c r="R72" i="24" s="1"/>
  <c r="R72" i="22"/>
  <c r="J70" i="24"/>
  <c r="J72" i="22"/>
  <c r="I51" i="24"/>
  <c r="E51" i="24" s="1"/>
  <c r="G51" i="36" s="1"/>
  <c r="K36" i="22"/>
  <c r="O35" i="24"/>
  <c r="AE28" i="46"/>
  <c r="AE28" i="24"/>
  <c r="AE29" i="22"/>
  <c r="W28" i="46"/>
  <c r="W28" i="24"/>
  <c r="O28" i="46"/>
  <c r="O28" i="24"/>
  <c r="O29" i="22"/>
  <c r="E28" i="22"/>
  <c r="G28" i="34" s="1"/>
  <c r="I28" i="34" s="1"/>
  <c r="E27" i="22"/>
  <c r="M24" i="22"/>
  <c r="AI24" i="22"/>
  <c r="S24" i="22"/>
  <c r="H65" i="45"/>
  <c r="H65" i="12"/>
  <c r="H66" i="10"/>
  <c r="L65" i="10"/>
  <c r="D65" i="34" s="1"/>
  <c r="H65" i="34" s="1"/>
  <c r="F65" i="10"/>
  <c r="H20" i="45"/>
  <c r="F20" i="10"/>
  <c r="H20" i="12"/>
  <c r="L20" i="10"/>
  <c r="D20" i="34" s="1"/>
  <c r="H20" i="34" s="1"/>
  <c r="AC61" i="24"/>
  <c r="F42" i="24"/>
  <c r="F43" i="24" s="1"/>
  <c r="M27" i="24"/>
  <c r="M29" i="24" s="1"/>
  <c r="G35" i="19"/>
  <c r="M35" i="19"/>
  <c r="E35" i="43" s="1"/>
  <c r="I35" i="43" s="1"/>
  <c r="D59" i="21"/>
  <c r="M21" i="13"/>
  <c r="E21" i="37" s="1"/>
  <c r="H86" i="15"/>
  <c r="I27" i="15"/>
  <c r="G12" i="21"/>
  <c r="E12" i="21" s="1"/>
  <c r="G12" i="33" s="1"/>
  <c r="I16" i="7"/>
  <c r="I82" i="7" s="1"/>
  <c r="I91" i="7" s="1"/>
  <c r="E81" i="30"/>
  <c r="G81" i="42" s="1"/>
  <c r="G72" i="30"/>
  <c r="E66" i="30"/>
  <c r="I47" i="42"/>
  <c r="AH82" i="30"/>
  <c r="AF652" i="44" s="1"/>
  <c r="Z82" i="30"/>
  <c r="X652" i="44" s="1"/>
  <c r="J82" i="30"/>
  <c r="H652" i="44" s="1"/>
  <c r="I23" i="42"/>
  <c r="M29" i="18"/>
  <c r="E28" i="42"/>
  <c r="I80" i="46"/>
  <c r="I80" i="24"/>
  <c r="E80" i="24" s="1"/>
  <c r="G80" i="36" s="1"/>
  <c r="I80" i="36" s="1"/>
  <c r="I71" i="46"/>
  <c r="M65" i="46"/>
  <c r="I59" i="46"/>
  <c r="I61" i="46" s="1"/>
  <c r="I61" i="23"/>
  <c r="E51" i="23"/>
  <c r="G51" i="35" s="1"/>
  <c r="I51" i="35" s="1"/>
  <c r="G41" i="46"/>
  <c r="E41" i="23"/>
  <c r="G41" i="35" s="1"/>
  <c r="I41" i="35" s="1"/>
  <c r="E40" i="23"/>
  <c r="AJ36" i="23"/>
  <c r="AB33" i="24"/>
  <c r="AB36" i="23"/>
  <c r="T36" i="23"/>
  <c r="L33" i="46"/>
  <c r="L36" i="23"/>
  <c r="F32" i="46"/>
  <c r="D32" i="23"/>
  <c r="E28" i="23"/>
  <c r="G28" i="35" s="1"/>
  <c r="AJ24" i="23"/>
  <c r="AJ82" i="23" s="1"/>
  <c r="AH645" i="44" s="1"/>
  <c r="AB24" i="23"/>
  <c r="AB82" i="23" s="1"/>
  <c r="Z645" i="44" s="1"/>
  <c r="T24" i="23"/>
  <c r="L21" i="46"/>
  <c r="L24" i="23"/>
  <c r="F20" i="46"/>
  <c r="D20" i="46" s="1"/>
  <c r="F20" i="47" s="1"/>
  <c r="H20" i="47" s="1"/>
  <c r="D20" i="23"/>
  <c r="F20" i="35" s="1"/>
  <c r="H20" i="35" s="1"/>
  <c r="G19" i="46"/>
  <c r="E19" i="23"/>
  <c r="J16" i="23"/>
  <c r="J82" i="23" s="1"/>
  <c r="H645" i="44" s="1"/>
  <c r="F56" i="11"/>
  <c r="L34" i="11"/>
  <c r="D34" i="35" s="1"/>
  <c r="H34" i="35" s="1"/>
  <c r="H36" i="11"/>
  <c r="H82" i="11" s="1"/>
  <c r="M36" i="11"/>
  <c r="E32" i="35"/>
  <c r="E36" i="35" s="1"/>
  <c r="AA79" i="24"/>
  <c r="K79" i="24"/>
  <c r="AA78" i="46"/>
  <c r="AA78" i="24"/>
  <c r="S78" i="46"/>
  <c r="S78" i="24"/>
  <c r="K78" i="24"/>
  <c r="AA77" i="46"/>
  <c r="AA77" i="24"/>
  <c r="S77" i="46"/>
  <c r="S77" i="24"/>
  <c r="K77" i="24"/>
  <c r="E77" i="24" s="1"/>
  <c r="G77" i="36" s="1"/>
  <c r="E77" i="22"/>
  <c r="G77" i="34" s="1"/>
  <c r="AB76" i="46"/>
  <c r="AB76" i="24"/>
  <c r="T76" i="46"/>
  <c r="T76" i="24"/>
  <c r="AD75" i="46"/>
  <c r="AD75" i="24"/>
  <c r="V75" i="46"/>
  <c r="V75" i="24"/>
  <c r="N75" i="46"/>
  <c r="N75" i="24"/>
  <c r="D75" i="22"/>
  <c r="F75" i="34" s="1"/>
  <c r="H75" i="34" s="1"/>
  <c r="D74" i="22"/>
  <c r="F74" i="34" s="1"/>
  <c r="H74" i="34" s="1"/>
  <c r="Y55" i="46"/>
  <c r="Y55" i="24"/>
  <c r="Q55" i="46"/>
  <c r="Q55" i="24"/>
  <c r="Q56" i="22"/>
  <c r="AE41" i="46"/>
  <c r="AE41" i="24"/>
  <c r="AE42" i="24" s="1"/>
  <c r="AE43" i="24" s="1"/>
  <c r="W41" i="46"/>
  <c r="W41" i="24"/>
  <c r="O41" i="46"/>
  <c r="O41" i="24"/>
  <c r="X40" i="46"/>
  <c r="X42" i="46" s="1"/>
  <c r="X40" i="24"/>
  <c r="X42" i="24" s="1"/>
  <c r="X42" i="22"/>
  <c r="X43" i="22" s="1"/>
  <c r="P40" i="46"/>
  <c r="P40" i="24"/>
  <c r="P42" i="22"/>
  <c r="P43" i="22" s="1"/>
  <c r="H40" i="24"/>
  <c r="H42" i="22"/>
  <c r="H43" i="22" s="1"/>
  <c r="X39" i="46"/>
  <c r="X39" i="24"/>
  <c r="P39" i="46"/>
  <c r="P39" i="24"/>
  <c r="AA33" i="46"/>
  <c r="AA33" i="24"/>
  <c r="S33" i="46"/>
  <c r="S33" i="24"/>
  <c r="AI36" i="22"/>
  <c r="AA32" i="46"/>
  <c r="AA32" i="24"/>
  <c r="S32" i="46"/>
  <c r="S32" i="24"/>
  <c r="S36" i="22"/>
  <c r="Z27" i="46"/>
  <c r="Z27" i="24"/>
  <c r="Z29" i="24" s="1"/>
  <c r="Z29" i="22"/>
  <c r="R27" i="46"/>
  <c r="R27" i="24"/>
  <c r="R29" i="22"/>
  <c r="J27" i="24"/>
  <c r="J29" i="24" s="1"/>
  <c r="J29" i="22"/>
  <c r="AB23" i="46"/>
  <c r="AB23" i="24"/>
  <c r="T23" i="46"/>
  <c r="T23" i="24"/>
  <c r="AD19" i="46"/>
  <c r="AD19" i="24"/>
  <c r="AD24" i="22"/>
  <c r="V19" i="46"/>
  <c r="V19" i="24"/>
  <c r="V24" i="22"/>
  <c r="V82" i="22" s="1"/>
  <c r="T646" i="44" s="1"/>
  <c r="N19" i="46"/>
  <c r="N19" i="24"/>
  <c r="N24" i="22"/>
  <c r="F24" i="22"/>
  <c r="V15" i="46"/>
  <c r="V15" i="24"/>
  <c r="N15" i="46"/>
  <c r="N15" i="24"/>
  <c r="P13" i="46"/>
  <c r="P13" i="24"/>
  <c r="X12" i="46"/>
  <c r="X12" i="24"/>
  <c r="X16" i="22"/>
  <c r="X82" i="22" s="1"/>
  <c r="V646" i="44" s="1"/>
  <c r="P12" i="24"/>
  <c r="P12" i="46"/>
  <c r="P16" i="22"/>
  <c r="H12" i="24"/>
  <c r="D12" i="22"/>
  <c r="F12" i="34" s="1"/>
  <c r="H16" i="22"/>
  <c r="AF16" i="22"/>
  <c r="D11" i="22"/>
  <c r="M60" i="12"/>
  <c r="E60" i="36" s="1"/>
  <c r="G60" i="12"/>
  <c r="G80" i="12"/>
  <c r="M80" i="12"/>
  <c r="E80" i="36" s="1"/>
  <c r="I73" i="43"/>
  <c r="G42" i="21"/>
  <c r="G43" i="21" s="1"/>
  <c r="E40" i="21"/>
  <c r="E39" i="21"/>
  <c r="G39" i="33" s="1"/>
  <c r="I39" i="33" s="1"/>
  <c r="AF644" i="44"/>
  <c r="AH91" i="21"/>
  <c r="L49" i="13"/>
  <c r="D49" i="37" s="1"/>
  <c r="L21" i="13"/>
  <c r="D21" i="37" s="1"/>
  <c r="H79" i="15"/>
  <c r="H75" i="15"/>
  <c r="H11" i="15"/>
  <c r="D66" i="30"/>
  <c r="F61" i="30"/>
  <c r="D60" i="30"/>
  <c r="F60" i="42" s="1"/>
  <c r="AG82" i="30"/>
  <c r="AE652" i="44" s="1"/>
  <c r="Y82" i="30"/>
  <c r="W652" i="44" s="1"/>
  <c r="Q82" i="30"/>
  <c r="O652" i="44" s="1"/>
  <c r="I82" i="30"/>
  <c r="G652" i="44" s="1"/>
  <c r="H34" i="42"/>
  <c r="E28" i="30"/>
  <c r="G28" i="42" s="1"/>
  <c r="G29" i="42" s="1"/>
  <c r="G29" i="30"/>
  <c r="M61" i="18"/>
  <c r="E60" i="42"/>
  <c r="L75" i="46"/>
  <c r="L75" i="24"/>
  <c r="E74" i="23"/>
  <c r="G74" i="35" s="1"/>
  <c r="I74" i="35" s="1"/>
  <c r="L64" i="46"/>
  <c r="L66" i="23"/>
  <c r="AF61" i="23"/>
  <c r="X61" i="23"/>
  <c r="P61" i="23"/>
  <c r="H59" i="46"/>
  <c r="H61" i="46" s="1"/>
  <c r="H61" i="23"/>
  <c r="AH36" i="23"/>
  <c r="Z36" i="23"/>
  <c r="R36" i="23"/>
  <c r="J34" i="46"/>
  <c r="J36" i="23"/>
  <c r="AI36" i="23"/>
  <c r="AA36" i="23"/>
  <c r="S36" i="23"/>
  <c r="K33" i="46"/>
  <c r="K36" i="23"/>
  <c r="M32" i="46"/>
  <c r="AI24" i="23"/>
  <c r="AA24" i="23"/>
  <c r="S24" i="23"/>
  <c r="K21" i="46"/>
  <c r="E21" i="46" s="1"/>
  <c r="G21" i="47" s="1"/>
  <c r="I21" i="47" s="1"/>
  <c r="K24" i="23"/>
  <c r="E84" i="45"/>
  <c r="E85" i="12"/>
  <c r="L55" i="11"/>
  <c r="D55" i="35" s="1"/>
  <c r="H56" i="11"/>
  <c r="D32" i="35"/>
  <c r="F13" i="11"/>
  <c r="F16" i="11" s="1"/>
  <c r="H13" i="12"/>
  <c r="L13" i="11"/>
  <c r="D13" i="35" s="1"/>
  <c r="D16" i="35" s="1"/>
  <c r="D43" i="34"/>
  <c r="R80" i="24"/>
  <c r="Z79" i="24"/>
  <c r="J79" i="24"/>
  <c r="Z78" i="46"/>
  <c r="Z78" i="24"/>
  <c r="R78" i="46"/>
  <c r="R78" i="24"/>
  <c r="Z77" i="46"/>
  <c r="Z77" i="24"/>
  <c r="R77" i="46"/>
  <c r="R77" i="24"/>
  <c r="AC74" i="24"/>
  <c r="M74" i="24"/>
  <c r="AC73" i="46"/>
  <c r="AC73" i="24"/>
  <c r="U73" i="46"/>
  <c r="U73" i="24"/>
  <c r="M73" i="24"/>
  <c r="E73" i="22"/>
  <c r="G73" i="34" s="1"/>
  <c r="T71" i="24"/>
  <c r="AB70" i="46"/>
  <c r="Y56" i="22"/>
  <c r="U49" i="24"/>
  <c r="AD45" i="46"/>
  <c r="AD45" i="24"/>
  <c r="V45" i="46"/>
  <c r="V45" i="24"/>
  <c r="N45" i="46"/>
  <c r="N45" i="24"/>
  <c r="D45" i="22"/>
  <c r="F45" i="34" s="1"/>
  <c r="Z43" i="22"/>
  <c r="AD41" i="46"/>
  <c r="AD41" i="24"/>
  <c r="V41" i="46"/>
  <c r="V41" i="24"/>
  <c r="N41" i="46"/>
  <c r="N41" i="24"/>
  <c r="D41" i="22"/>
  <c r="F41" i="34" s="1"/>
  <c r="H41" i="34" s="1"/>
  <c r="AE40" i="46"/>
  <c r="AE42" i="46" s="1"/>
  <c r="AE42" i="22"/>
  <c r="AE43" i="22" s="1"/>
  <c r="W40" i="46"/>
  <c r="W40" i="24"/>
  <c r="W42" i="24" s="1"/>
  <c r="W43" i="24" s="1"/>
  <c r="W42" i="22"/>
  <c r="W43" i="22" s="1"/>
  <c r="O40" i="46"/>
  <c r="O42" i="46" s="1"/>
  <c r="O43" i="46" s="1"/>
  <c r="O40" i="24"/>
  <c r="O42" i="22"/>
  <c r="O43" i="22" s="1"/>
  <c r="G42" i="22"/>
  <c r="G43" i="22" s="1"/>
  <c r="E40" i="22"/>
  <c r="E39" i="22"/>
  <c r="G39" i="34" s="1"/>
  <c r="I39" i="34" s="1"/>
  <c r="Y35" i="24"/>
  <c r="Q35" i="24"/>
  <c r="Y28" i="46"/>
  <c r="Q28" i="46"/>
  <c r="Q28" i="24"/>
  <c r="AG29" i="22"/>
  <c r="Y27" i="46"/>
  <c r="Y29" i="22"/>
  <c r="Y27" i="24"/>
  <c r="Y29" i="24" s="1"/>
  <c r="Q27" i="46"/>
  <c r="Q29" i="46" s="1"/>
  <c r="Q27" i="24"/>
  <c r="Q29" i="24" s="1"/>
  <c r="Q29" i="22"/>
  <c r="I27" i="24"/>
  <c r="I29" i="22"/>
  <c r="AB20" i="46"/>
  <c r="AB20" i="24"/>
  <c r="T20" i="46"/>
  <c r="T20" i="24"/>
  <c r="AC19" i="24"/>
  <c r="AC19" i="46"/>
  <c r="U19" i="46"/>
  <c r="U19" i="24"/>
  <c r="U24" i="22"/>
  <c r="E19" i="22"/>
  <c r="AD14" i="46"/>
  <c r="AD14" i="24"/>
  <c r="V14" i="46"/>
  <c r="V14" i="24"/>
  <c r="N14" i="46"/>
  <c r="N14" i="24"/>
  <c r="D14" i="22"/>
  <c r="F14" i="34" s="1"/>
  <c r="H14" i="34" s="1"/>
  <c r="AE13" i="46"/>
  <c r="AE13" i="24"/>
  <c r="AE16" i="22"/>
  <c r="AE82" i="22" s="1"/>
  <c r="AC646" i="44" s="1"/>
  <c r="W13" i="46"/>
  <c r="W13" i="24"/>
  <c r="O13" i="46"/>
  <c r="O13" i="24"/>
  <c r="O16" i="22"/>
  <c r="G16" i="22"/>
  <c r="E13" i="22"/>
  <c r="G13" i="34" s="1"/>
  <c r="I13" i="34" s="1"/>
  <c r="W16" i="22"/>
  <c r="F66" i="10"/>
  <c r="L60" i="12"/>
  <c r="D60" i="36" s="1"/>
  <c r="F60" i="12"/>
  <c r="I47" i="45"/>
  <c r="I47" i="12"/>
  <c r="M47" i="10"/>
  <c r="E47" i="34" s="1"/>
  <c r="E47" i="5" s="1"/>
  <c r="G47" i="10"/>
  <c r="H27" i="45"/>
  <c r="H27" i="12"/>
  <c r="H29" i="10"/>
  <c r="F27" i="10"/>
  <c r="L27" i="10"/>
  <c r="X28" i="24"/>
  <c r="M20" i="24"/>
  <c r="X13" i="24"/>
  <c r="L78" i="12"/>
  <c r="D78" i="36" s="1"/>
  <c r="F78" i="12"/>
  <c r="F42" i="21"/>
  <c r="F43" i="21" s="1"/>
  <c r="D40" i="21"/>
  <c r="G47" i="13"/>
  <c r="G20" i="13"/>
  <c r="F36" i="27"/>
  <c r="D24" i="7"/>
  <c r="D82" i="7" s="1"/>
  <c r="D91" i="7" s="1"/>
  <c r="E12" i="7"/>
  <c r="E70" i="30"/>
  <c r="G66" i="30"/>
  <c r="E60" i="30"/>
  <c r="G60" i="42" s="1"/>
  <c r="G61" i="42" s="1"/>
  <c r="F42" i="30"/>
  <c r="F43" i="30" s="1"/>
  <c r="F82" i="30" s="1"/>
  <c r="G36" i="30"/>
  <c r="H28" i="42"/>
  <c r="G80" i="18"/>
  <c r="G49" i="18"/>
  <c r="F35" i="18"/>
  <c r="I29" i="18"/>
  <c r="G28" i="18"/>
  <c r="G29" i="18" s="1"/>
  <c r="F81" i="46"/>
  <c r="D81" i="23"/>
  <c r="F81" i="35" s="1"/>
  <c r="H81" i="35" s="1"/>
  <c r="G80" i="46"/>
  <c r="E80" i="23"/>
  <c r="G80" i="35" s="1"/>
  <c r="I80" i="35" s="1"/>
  <c r="K75" i="46"/>
  <c r="K75" i="24"/>
  <c r="L74" i="46"/>
  <c r="L74" i="24"/>
  <c r="D74" i="23"/>
  <c r="F74" i="35" s="1"/>
  <c r="H74" i="35" s="1"/>
  <c r="F73" i="46"/>
  <c r="D73" i="23"/>
  <c r="F73" i="35" s="1"/>
  <c r="H73" i="35" s="1"/>
  <c r="K64" i="46"/>
  <c r="K66" i="46" s="1"/>
  <c r="K66" i="23"/>
  <c r="F60" i="46"/>
  <c r="D60" i="23"/>
  <c r="F60" i="35" s="1"/>
  <c r="H60" i="35" s="1"/>
  <c r="AE61" i="23"/>
  <c r="W61" i="23"/>
  <c r="O61" i="23"/>
  <c r="O82" i="23" s="1"/>
  <c r="M645" i="44" s="1"/>
  <c r="G59" i="46"/>
  <c r="E59" i="23"/>
  <c r="G61" i="23"/>
  <c r="AD27" i="24"/>
  <c r="AD29" i="23"/>
  <c r="AD82" i="23" s="1"/>
  <c r="AB645" i="44" s="1"/>
  <c r="N29" i="23"/>
  <c r="N27" i="24"/>
  <c r="N29" i="24" s="1"/>
  <c r="F27" i="46"/>
  <c r="F29" i="23"/>
  <c r="I23" i="46"/>
  <c r="I23" i="24"/>
  <c r="E23" i="24" s="1"/>
  <c r="G23" i="36" s="1"/>
  <c r="I23" i="36" s="1"/>
  <c r="I11" i="46"/>
  <c r="I72" i="11"/>
  <c r="M70" i="11"/>
  <c r="G70" i="11"/>
  <c r="G72" i="11" s="1"/>
  <c r="H61" i="11"/>
  <c r="F59" i="11"/>
  <c r="F61" i="11" s="1"/>
  <c r="L59" i="11"/>
  <c r="F34" i="11"/>
  <c r="F36" i="11" s="1"/>
  <c r="G36" i="11"/>
  <c r="G13" i="11"/>
  <c r="G16" i="11" s="1"/>
  <c r="G82" i="11" s="1"/>
  <c r="H81" i="24"/>
  <c r="D81" i="24" s="1"/>
  <c r="F81" i="36" s="1"/>
  <c r="Q80" i="24"/>
  <c r="Y79" i="46"/>
  <c r="Y79" i="24"/>
  <c r="Q79" i="46"/>
  <c r="E79" i="46" s="1"/>
  <c r="G79" i="47" s="1"/>
  <c r="I79" i="47" s="1"/>
  <c r="Q79" i="24"/>
  <c r="I79" i="24"/>
  <c r="Y78" i="46"/>
  <c r="Y78" i="24"/>
  <c r="Q78" i="46"/>
  <c r="Q78" i="24"/>
  <c r="S71" i="24"/>
  <c r="AA70" i="46"/>
  <c r="AA72" i="46" s="1"/>
  <c r="AA70" i="24"/>
  <c r="AA72" i="24" s="1"/>
  <c r="AA72" i="22"/>
  <c r="S70" i="46"/>
  <c r="S72" i="46" s="1"/>
  <c r="S70" i="24"/>
  <c r="S72" i="24" s="1"/>
  <c r="S72" i="22"/>
  <c r="K70" i="24"/>
  <c r="K72" i="24" s="1"/>
  <c r="K72" i="22"/>
  <c r="T47" i="46"/>
  <c r="T47" i="24"/>
  <c r="AC41" i="46"/>
  <c r="AC41" i="24"/>
  <c r="AC42" i="22"/>
  <c r="AC43" i="22" s="1"/>
  <c r="U41" i="46"/>
  <c r="U41" i="24"/>
  <c r="M41" i="24"/>
  <c r="M42" i="22"/>
  <c r="M43" i="22" s="1"/>
  <c r="P28" i="46"/>
  <c r="D28" i="46" s="1"/>
  <c r="F28" i="47" s="1"/>
  <c r="H28" i="47" s="1"/>
  <c r="P28" i="24"/>
  <c r="AF29" i="22"/>
  <c r="X27" i="46"/>
  <c r="X29" i="46" s="1"/>
  <c r="X27" i="24"/>
  <c r="X29" i="22"/>
  <c r="P27" i="46"/>
  <c r="P27" i="24"/>
  <c r="P29" i="22"/>
  <c r="H27" i="24"/>
  <c r="H29" i="24" s="1"/>
  <c r="H29" i="22"/>
  <c r="J23" i="24"/>
  <c r="D23" i="24" s="1"/>
  <c r="F23" i="36" s="1"/>
  <c r="AA21" i="46"/>
  <c r="AA21" i="24"/>
  <c r="S21" i="46"/>
  <c r="S21" i="24"/>
  <c r="K21" i="24"/>
  <c r="AA20" i="46"/>
  <c r="AA20" i="24"/>
  <c r="E20" i="24" s="1"/>
  <c r="G20" i="36" s="1"/>
  <c r="S20" i="46"/>
  <c r="S20" i="24"/>
  <c r="AJ24" i="22"/>
  <c r="AB19" i="46"/>
  <c r="AB19" i="24"/>
  <c r="T19" i="46"/>
  <c r="T19" i="24"/>
  <c r="T24" i="22"/>
  <c r="T82" i="22" s="1"/>
  <c r="R646" i="44" s="1"/>
  <c r="D19" i="22"/>
  <c r="AB15" i="46"/>
  <c r="AB15" i="24"/>
  <c r="T15" i="46"/>
  <c r="T15" i="24"/>
  <c r="AC14" i="46"/>
  <c r="AC14" i="24"/>
  <c r="AC16" i="22"/>
  <c r="U14" i="46"/>
  <c r="U14" i="24"/>
  <c r="M14" i="24"/>
  <c r="M16" i="22"/>
  <c r="M82" i="22" s="1"/>
  <c r="K646" i="44" s="1"/>
  <c r="E14" i="22"/>
  <c r="G14" i="34" s="1"/>
  <c r="I14" i="34" s="1"/>
  <c r="I65" i="45"/>
  <c r="M65" i="10"/>
  <c r="E65" i="34" s="1"/>
  <c r="E66" i="34" s="1"/>
  <c r="I66" i="10"/>
  <c r="I65" i="12"/>
  <c r="H55" i="45"/>
  <c r="L55" i="10"/>
  <c r="D55" i="34" s="1"/>
  <c r="H55" i="12"/>
  <c r="H56" i="10"/>
  <c r="F55" i="10"/>
  <c r="I20" i="45"/>
  <c r="I20" i="12"/>
  <c r="M20" i="10"/>
  <c r="I24" i="10"/>
  <c r="G20" i="10"/>
  <c r="G24" i="10" s="1"/>
  <c r="J75" i="24"/>
  <c r="G16" i="24"/>
  <c r="E59" i="21"/>
  <c r="I56" i="18"/>
  <c r="I42" i="18"/>
  <c r="I43" i="18" s="1"/>
  <c r="E79" i="23"/>
  <c r="G79" i="35" s="1"/>
  <c r="G74" i="46"/>
  <c r="E74" i="46" s="1"/>
  <c r="G74" i="47" s="1"/>
  <c r="I74" i="47" s="1"/>
  <c r="E71" i="23"/>
  <c r="G71" i="35" s="1"/>
  <c r="I71" i="35" s="1"/>
  <c r="G70" i="46"/>
  <c r="M64" i="46"/>
  <c r="M66" i="46" s="1"/>
  <c r="K61" i="46"/>
  <c r="M51" i="46"/>
  <c r="I49" i="46"/>
  <c r="E49" i="46" s="1"/>
  <c r="G49" i="47" s="1"/>
  <c r="I49" i="47" s="1"/>
  <c r="E45" i="23"/>
  <c r="G45" i="35" s="1"/>
  <c r="I45" i="35" s="1"/>
  <c r="G39" i="46"/>
  <c r="I36" i="23"/>
  <c r="E34" i="23"/>
  <c r="G34" i="35" s="1"/>
  <c r="I34" i="35" s="1"/>
  <c r="I36" i="46"/>
  <c r="G29" i="46"/>
  <c r="E22" i="23"/>
  <c r="G22" i="35" s="1"/>
  <c r="I22" i="35" s="1"/>
  <c r="L15" i="46"/>
  <c r="M14" i="46"/>
  <c r="G13" i="46"/>
  <c r="I12" i="46"/>
  <c r="J11" i="46"/>
  <c r="J16" i="46" s="1"/>
  <c r="F65" i="11"/>
  <c r="I61" i="11"/>
  <c r="M59" i="11"/>
  <c r="F12" i="11"/>
  <c r="I81" i="24"/>
  <c r="E81" i="24" s="1"/>
  <c r="G81" i="36" s="1"/>
  <c r="AA80" i="46"/>
  <c r="K80" i="24"/>
  <c r="U79" i="24"/>
  <c r="U78" i="24"/>
  <c r="AC77" i="46"/>
  <c r="AC77" i="24"/>
  <c r="U77" i="46"/>
  <c r="U77" i="24"/>
  <c r="M77" i="24"/>
  <c r="AE76" i="46"/>
  <c r="AE76" i="24"/>
  <c r="W76" i="46"/>
  <c r="W76" i="24"/>
  <c r="O76" i="46"/>
  <c r="O76" i="24"/>
  <c r="Y75" i="46"/>
  <c r="Y75" i="24"/>
  <c r="Q75" i="46"/>
  <c r="Q75" i="24"/>
  <c r="I75" i="24"/>
  <c r="Y74" i="46"/>
  <c r="Y74" i="24"/>
  <c r="Q74" i="46"/>
  <c r="Q74" i="24"/>
  <c r="I74" i="24"/>
  <c r="I73" i="24"/>
  <c r="E73" i="24" s="1"/>
  <c r="G73" i="36" s="1"/>
  <c r="I73" i="36" s="1"/>
  <c r="AC71" i="24"/>
  <c r="M71" i="24"/>
  <c r="E71" i="24" s="1"/>
  <c r="G71" i="36" s="1"/>
  <c r="AC70" i="24"/>
  <c r="AC72" i="24" s="1"/>
  <c r="M70" i="24"/>
  <c r="M72" i="24" s="1"/>
  <c r="I66" i="22"/>
  <c r="I64" i="24"/>
  <c r="I66" i="24" s="1"/>
  <c r="K61" i="22"/>
  <c r="AC54" i="46"/>
  <c r="AC56" i="46" s="1"/>
  <c r="AC56" i="22"/>
  <c r="U54" i="46"/>
  <c r="U54" i="24"/>
  <c r="U56" i="22"/>
  <c r="Y51" i="46"/>
  <c r="Q51" i="46"/>
  <c r="Q51" i="24"/>
  <c r="AA49" i="46"/>
  <c r="S49" i="46"/>
  <c r="S49" i="24"/>
  <c r="AC47" i="46"/>
  <c r="AC47" i="24"/>
  <c r="U47" i="46"/>
  <c r="M47" i="24"/>
  <c r="W45" i="46"/>
  <c r="W45" i="24"/>
  <c r="O45" i="46"/>
  <c r="E45" i="22"/>
  <c r="G45" i="34" s="1"/>
  <c r="K40" i="24"/>
  <c r="AA39" i="46"/>
  <c r="S39" i="46"/>
  <c r="S39" i="24"/>
  <c r="K39" i="24"/>
  <c r="E39" i="24" s="1"/>
  <c r="G39" i="36" s="1"/>
  <c r="AC35" i="46"/>
  <c r="AC35" i="24"/>
  <c r="U35" i="46"/>
  <c r="U35" i="24"/>
  <c r="M35" i="24"/>
  <c r="AE34" i="46"/>
  <c r="AE36" i="22"/>
  <c r="AE34" i="24"/>
  <c r="W34" i="46"/>
  <c r="W36" i="22"/>
  <c r="O34" i="46"/>
  <c r="O36" i="22"/>
  <c r="G36" i="22"/>
  <c r="E34" i="22"/>
  <c r="G34" i="34" s="1"/>
  <c r="E33" i="22"/>
  <c r="G33" i="34" s="1"/>
  <c r="I33" i="34" s="1"/>
  <c r="AE32" i="24"/>
  <c r="AA27" i="46"/>
  <c r="AA29" i="46" s="1"/>
  <c r="AA27" i="24"/>
  <c r="AA29" i="24" s="1"/>
  <c r="AA29" i="22"/>
  <c r="S27" i="46"/>
  <c r="S27" i="24"/>
  <c r="S29" i="22"/>
  <c r="K27" i="24"/>
  <c r="K29" i="22"/>
  <c r="AC23" i="46"/>
  <c r="AC23" i="24"/>
  <c r="U23" i="46"/>
  <c r="AE22" i="46"/>
  <c r="AE22" i="24"/>
  <c r="AE24" i="22"/>
  <c r="W22" i="46"/>
  <c r="W22" i="24"/>
  <c r="W24" i="22"/>
  <c r="O22" i="46"/>
  <c r="O22" i="24"/>
  <c r="O24" i="22"/>
  <c r="G24" i="22"/>
  <c r="E22" i="22"/>
  <c r="G22" i="34" s="1"/>
  <c r="I22" i="34" s="1"/>
  <c r="X19" i="24"/>
  <c r="AI16" i="22"/>
  <c r="AA11" i="46"/>
  <c r="AA16" i="46" s="1"/>
  <c r="AA16" i="22"/>
  <c r="S11" i="46"/>
  <c r="S11" i="24"/>
  <c r="S16" i="22"/>
  <c r="K16" i="22"/>
  <c r="K11" i="24"/>
  <c r="E11" i="24" s="1"/>
  <c r="L73" i="12"/>
  <c r="D73" i="36" s="1"/>
  <c r="F73" i="12"/>
  <c r="H71" i="45"/>
  <c r="H71" i="12"/>
  <c r="F71" i="10"/>
  <c r="H45" i="45"/>
  <c r="L45" i="10"/>
  <c r="D45" i="34" s="1"/>
  <c r="H45" i="12"/>
  <c r="I27" i="45"/>
  <c r="I27" i="12"/>
  <c r="I29" i="10"/>
  <c r="M27" i="10"/>
  <c r="H23" i="45"/>
  <c r="L23" i="10"/>
  <c r="D23" i="34" s="1"/>
  <c r="D23" i="5" s="1"/>
  <c r="H23" i="12"/>
  <c r="F23" i="10"/>
  <c r="H15" i="45"/>
  <c r="H15" i="12"/>
  <c r="L15" i="10"/>
  <c r="D15" i="34" s="1"/>
  <c r="AJ72" i="24"/>
  <c r="G61" i="24"/>
  <c r="D55" i="24"/>
  <c r="F55" i="36" s="1"/>
  <c r="W34" i="24"/>
  <c r="H14" i="24"/>
  <c r="K16" i="12"/>
  <c r="D82" i="12"/>
  <c r="F42" i="43"/>
  <c r="F43" i="43" s="1"/>
  <c r="H40" i="43"/>
  <c r="H42" i="43" s="1"/>
  <c r="H43" i="43" s="1"/>
  <c r="D72" i="31"/>
  <c r="I65" i="43"/>
  <c r="E41" i="31"/>
  <c r="G41" i="43" s="1"/>
  <c r="I41" i="43" s="1"/>
  <c r="D36" i="31"/>
  <c r="F32" i="43"/>
  <c r="G29" i="31"/>
  <c r="E28" i="31"/>
  <c r="G28" i="43" s="1"/>
  <c r="I28" i="43" s="1"/>
  <c r="M81" i="46"/>
  <c r="E81" i="46" s="1"/>
  <c r="G81" i="47" s="1"/>
  <c r="I81" i="47" s="1"/>
  <c r="D80" i="46"/>
  <c r="F80" i="47" s="1"/>
  <c r="H80" i="47" s="1"/>
  <c r="J78" i="46"/>
  <c r="F76" i="46"/>
  <c r="H75" i="46"/>
  <c r="J70" i="46"/>
  <c r="F65" i="46"/>
  <c r="H64" i="46"/>
  <c r="H66" i="46" s="1"/>
  <c r="F61" i="46"/>
  <c r="J55" i="46"/>
  <c r="L54" i="46"/>
  <c r="L56" i="46" s="1"/>
  <c r="H51" i="46"/>
  <c r="F41" i="46"/>
  <c r="H40" i="46"/>
  <c r="H42" i="46" s="1"/>
  <c r="H43" i="46" s="1"/>
  <c r="J39" i="46"/>
  <c r="D35" i="46"/>
  <c r="F35" i="47" s="1"/>
  <c r="H35" i="47" s="1"/>
  <c r="L32" i="46"/>
  <c r="H28" i="46"/>
  <c r="J27" i="46"/>
  <c r="J29" i="46" s="1"/>
  <c r="L20" i="46"/>
  <c r="F19" i="46"/>
  <c r="G15" i="46"/>
  <c r="E15" i="23"/>
  <c r="G15" i="35" s="1"/>
  <c r="I15" i="35" s="1"/>
  <c r="H72" i="11"/>
  <c r="F70" i="11"/>
  <c r="F72" i="11" s="1"/>
  <c r="F66" i="11"/>
  <c r="M29" i="11"/>
  <c r="AB81" i="46"/>
  <c r="AB81" i="24"/>
  <c r="T81" i="46"/>
  <c r="T81" i="24"/>
  <c r="L81" i="24"/>
  <c r="D81" i="22"/>
  <c r="F81" i="34" s="1"/>
  <c r="H81" i="34" s="1"/>
  <c r="AD80" i="46"/>
  <c r="AD80" i="24"/>
  <c r="V80" i="46"/>
  <c r="V80" i="24"/>
  <c r="N80" i="46"/>
  <c r="N80" i="24"/>
  <c r="X79" i="46"/>
  <c r="X79" i="24"/>
  <c r="P79" i="24"/>
  <c r="H79" i="24"/>
  <c r="X78" i="46"/>
  <c r="X78" i="24"/>
  <c r="P78" i="46"/>
  <c r="P78" i="24"/>
  <c r="H78" i="24"/>
  <c r="Z76" i="24"/>
  <c r="J76" i="24"/>
  <c r="T75" i="24"/>
  <c r="AB73" i="46"/>
  <c r="AB73" i="24"/>
  <c r="T73" i="46"/>
  <c r="T73" i="24"/>
  <c r="L73" i="24"/>
  <c r="D73" i="22"/>
  <c r="F73" i="34" s="1"/>
  <c r="X71" i="46"/>
  <c r="X71" i="24"/>
  <c r="P71" i="46"/>
  <c r="P71" i="24"/>
  <c r="H71" i="24"/>
  <c r="AF72" i="22"/>
  <c r="X70" i="46"/>
  <c r="X72" i="46" s="1"/>
  <c r="X70" i="24"/>
  <c r="X72" i="22"/>
  <c r="P70" i="46"/>
  <c r="P72" i="46" s="1"/>
  <c r="P70" i="24"/>
  <c r="P72" i="22"/>
  <c r="H70" i="24"/>
  <c r="H72" i="24" s="1"/>
  <c r="H72" i="22"/>
  <c r="AB60" i="46"/>
  <c r="T60" i="46"/>
  <c r="T60" i="24"/>
  <c r="D60" i="22"/>
  <c r="F60" i="34" s="1"/>
  <c r="H60" i="34" s="1"/>
  <c r="AD59" i="46"/>
  <c r="AD61" i="22"/>
  <c r="V59" i="46"/>
  <c r="V61" i="22"/>
  <c r="V59" i="24"/>
  <c r="N59" i="46"/>
  <c r="N61" i="22"/>
  <c r="X55" i="46"/>
  <c r="P55" i="46"/>
  <c r="P55" i="24"/>
  <c r="AB41" i="46"/>
  <c r="AB41" i="24"/>
  <c r="T41" i="46"/>
  <c r="T41" i="24"/>
  <c r="AD40" i="46"/>
  <c r="AD40" i="24"/>
  <c r="AD42" i="24" s="1"/>
  <c r="AD42" i="22"/>
  <c r="AD43" i="22" s="1"/>
  <c r="V40" i="46"/>
  <c r="V42" i="46" s="1"/>
  <c r="V43" i="46" s="1"/>
  <c r="V40" i="24"/>
  <c r="V42" i="24" s="1"/>
  <c r="V43" i="24" s="1"/>
  <c r="V42" i="22"/>
  <c r="V43" i="22" s="1"/>
  <c r="N40" i="46"/>
  <c r="N42" i="22"/>
  <c r="N43" i="22" s="1"/>
  <c r="D40" i="22"/>
  <c r="F42" i="22"/>
  <c r="F43" i="22" s="1"/>
  <c r="D39" i="22"/>
  <c r="F39" i="34" s="1"/>
  <c r="H39" i="34" s="1"/>
  <c r="Z33" i="46"/>
  <c r="Z33" i="24"/>
  <c r="R33" i="46"/>
  <c r="R33" i="24"/>
  <c r="Z32" i="46"/>
  <c r="Z32" i="24"/>
  <c r="R32" i="46"/>
  <c r="R32" i="24"/>
  <c r="J32" i="24"/>
  <c r="AD28" i="46"/>
  <c r="AD28" i="24"/>
  <c r="V28" i="46"/>
  <c r="V28" i="24"/>
  <c r="N28" i="46"/>
  <c r="N28" i="24"/>
  <c r="D28" i="22"/>
  <c r="F28" i="34" s="1"/>
  <c r="H28" i="34" s="1"/>
  <c r="D27" i="22"/>
  <c r="Z21" i="46"/>
  <c r="Z21" i="24"/>
  <c r="R21" i="46"/>
  <c r="R21" i="24"/>
  <c r="J21" i="24"/>
  <c r="Z20" i="46"/>
  <c r="Z20" i="24"/>
  <c r="R20" i="46"/>
  <c r="R20" i="24"/>
  <c r="J20" i="24"/>
  <c r="AA19" i="46"/>
  <c r="AA19" i="24"/>
  <c r="S19" i="24"/>
  <c r="K19" i="24"/>
  <c r="AA15" i="46"/>
  <c r="AA15" i="24"/>
  <c r="S15" i="46"/>
  <c r="S15" i="24"/>
  <c r="K15" i="24"/>
  <c r="AB14" i="46"/>
  <c r="AB14" i="24"/>
  <c r="T14" i="46"/>
  <c r="T14" i="24"/>
  <c r="L14" i="24"/>
  <c r="D14" i="24" s="1"/>
  <c r="F14" i="36" s="1"/>
  <c r="H14" i="36" s="1"/>
  <c r="AD13" i="46"/>
  <c r="AD13" i="24"/>
  <c r="V13" i="24"/>
  <c r="V13" i="46"/>
  <c r="N13" i="46"/>
  <c r="N13" i="24"/>
  <c r="F16" i="22"/>
  <c r="D13" i="22"/>
  <c r="F13" i="34" s="1"/>
  <c r="H13" i="34" s="1"/>
  <c r="N16" i="22"/>
  <c r="N82" i="22" s="1"/>
  <c r="L646" i="44" s="1"/>
  <c r="I79" i="45"/>
  <c r="I79" i="12"/>
  <c r="M79" i="10"/>
  <c r="E79" i="34" s="1"/>
  <c r="I51" i="12"/>
  <c r="H47" i="45"/>
  <c r="H47" i="12"/>
  <c r="F47" i="10"/>
  <c r="H39" i="45"/>
  <c r="H39" i="12"/>
  <c r="F39" i="10"/>
  <c r="H43" i="10"/>
  <c r="H34" i="45"/>
  <c r="H34" i="12"/>
  <c r="F34" i="10"/>
  <c r="G12" i="12"/>
  <c r="M12" i="12"/>
  <c r="E12" i="36" s="1"/>
  <c r="N59" i="24"/>
  <c r="N61" i="24" s="1"/>
  <c r="I70" i="43"/>
  <c r="I72" i="43" s="1"/>
  <c r="M653" i="44"/>
  <c r="O91" i="31"/>
  <c r="V653" i="44"/>
  <c r="X91" i="31"/>
  <c r="AI653" i="44"/>
  <c r="AK91" i="31"/>
  <c r="S653" i="44"/>
  <c r="U91" i="31"/>
  <c r="L88" i="45"/>
  <c r="F88" i="45"/>
  <c r="F27" i="9"/>
  <c r="F29" i="9" s="1"/>
  <c r="H29" i="9"/>
  <c r="J82" i="9"/>
  <c r="J91" i="9" s="1"/>
  <c r="L66" i="21"/>
  <c r="D64" i="21"/>
  <c r="AG56" i="21"/>
  <c r="Y56" i="21"/>
  <c r="Q56" i="21"/>
  <c r="I56" i="21"/>
  <c r="E49" i="21"/>
  <c r="G49" i="33" s="1"/>
  <c r="I49" i="33" s="1"/>
  <c r="I78" i="46"/>
  <c r="K77" i="46"/>
  <c r="G75" i="46"/>
  <c r="I70" i="46"/>
  <c r="I72" i="46" s="1"/>
  <c r="G64" i="46"/>
  <c r="M59" i="46"/>
  <c r="I55" i="46"/>
  <c r="I56" i="46" s="1"/>
  <c r="K54" i="46"/>
  <c r="G51" i="46"/>
  <c r="M41" i="46"/>
  <c r="M42" i="46" s="1"/>
  <c r="M43" i="46" s="1"/>
  <c r="G40" i="46"/>
  <c r="I39" i="46"/>
  <c r="K32" i="46"/>
  <c r="K36" i="46" s="1"/>
  <c r="G28" i="46"/>
  <c r="I27" i="46"/>
  <c r="I29" i="46" s="1"/>
  <c r="K20" i="46"/>
  <c r="K24" i="46" s="1"/>
  <c r="M19" i="46"/>
  <c r="M24" i="46" s="1"/>
  <c r="F15" i="46"/>
  <c r="L56" i="11"/>
  <c r="L16" i="11"/>
  <c r="AA81" i="46"/>
  <c r="AA81" i="24"/>
  <c r="S81" i="46"/>
  <c r="S81" i="24"/>
  <c r="AC80" i="24"/>
  <c r="AC80" i="46"/>
  <c r="U80" i="46"/>
  <c r="U80" i="24"/>
  <c r="M80" i="24"/>
  <c r="AE79" i="46"/>
  <c r="AE79" i="24"/>
  <c r="W79" i="46"/>
  <c r="W79" i="24"/>
  <c r="O79" i="24"/>
  <c r="E79" i="22"/>
  <c r="G79" i="34" s="1"/>
  <c r="E78" i="22"/>
  <c r="G78" i="34" s="1"/>
  <c r="I78" i="34" s="1"/>
  <c r="AE77" i="24"/>
  <c r="O77" i="24"/>
  <c r="Y76" i="24"/>
  <c r="I76" i="24"/>
  <c r="E76" i="24" s="1"/>
  <c r="G76" i="36" s="1"/>
  <c r="S75" i="24"/>
  <c r="AA74" i="46"/>
  <c r="AA74" i="24"/>
  <c r="S74" i="46"/>
  <c r="S74" i="24"/>
  <c r="K74" i="24"/>
  <c r="AA73" i="46"/>
  <c r="AA73" i="24"/>
  <c r="S73" i="46"/>
  <c r="S73" i="24"/>
  <c r="K73" i="24"/>
  <c r="AE71" i="46"/>
  <c r="AE71" i="24"/>
  <c r="W71" i="46"/>
  <c r="W71" i="24"/>
  <c r="W72" i="24" s="1"/>
  <c r="O71" i="46"/>
  <c r="O71" i="24"/>
  <c r="E71" i="22"/>
  <c r="G71" i="34" s="1"/>
  <c r="E70" i="22"/>
  <c r="AA60" i="46"/>
  <c r="S60" i="46"/>
  <c r="S60" i="24"/>
  <c r="AK61" i="22"/>
  <c r="AK82" i="22" s="1"/>
  <c r="AI646" i="44" s="1"/>
  <c r="AC61" i="22"/>
  <c r="AC59" i="46"/>
  <c r="AC61" i="46" s="1"/>
  <c r="U59" i="46"/>
  <c r="U61" i="46" s="1"/>
  <c r="U61" i="22"/>
  <c r="U59" i="24"/>
  <c r="U61" i="24" s="1"/>
  <c r="M61" i="22"/>
  <c r="E55" i="22"/>
  <c r="G55" i="34" s="1"/>
  <c r="I55" i="34" s="1"/>
  <c r="AC49" i="46"/>
  <c r="AC49" i="24"/>
  <c r="U49" i="46"/>
  <c r="M49" i="24"/>
  <c r="E49" i="22"/>
  <c r="G49" i="34" s="1"/>
  <c r="I49" i="34" s="1"/>
  <c r="AE47" i="46"/>
  <c r="AE47" i="24"/>
  <c r="W47" i="46"/>
  <c r="O47" i="46"/>
  <c r="O47" i="24"/>
  <c r="Y45" i="46"/>
  <c r="Y45" i="24"/>
  <c r="Q45" i="46"/>
  <c r="I45" i="24"/>
  <c r="AC40" i="46"/>
  <c r="AC39" i="24"/>
  <c r="AE35" i="46"/>
  <c r="AE35" i="24"/>
  <c r="W35" i="46"/>
  <c r="W35" i="24"/>
  <c r="O35" i="46"/>
  <c r="Y34" i="46"/>
  <c r="Y34" i="24"/>
  <c r="Q34" i="46"/>
  <c r="E34" i="46" s="1"/>
  <c r="G34" i="47" s="1"/>
  <c r="I34" i="47" s="1"/>
  <c r="Q34" i="24"/>
  <c r="I34" i="24"/>
  <c r="E34" i="24" s="1"/>
  <c r="G34" i="36" s="1"/>
  <c r="AG36" i="22"/>
  <c r="Y33" i="24"/>
  <c r="Y36" i="22"/>
  <c r="Q33" i="46"/>
  <c r="Q33" i="24"/>
  <c r="Q36" i="22"/>
  <c r="I33" i="24"/>
  <c r="I36" i="22"/>
  <c r="AE23" i="46"/>
  <c r="W23" i="46"/>
  <c r="W23" i="24"/>
  <c r="O23" i="24"/>
  <c r="O23" i="46"/>
  <c r="Y22" i="46"/>
  <c r="Y22" i="24"/>
  <c r="Q22" i="46"/>
  <c r="E22" i="46" s="1"/>
  <c r="G22" i="47" s="1"/>
  <c r="I22" i="47" s="1"/>
  <c r="Q22" i="24"/>
  <c r="Y21" i="46"/>
  <c r="Y21" i="24"/>
  <c r="Q21" i="46"/>
  <c r="Q21" i="24"/>
  <c r="I21" i="24"/>
  <c r="AG24" i="22"/>
  <c r="Y20" i="46"/>
  <c r="Y20" i="24"/>
  <c r="Y24" i="22"/>
  <c r="Q20" i="46"/>
  <c r="Q20" i="24"/>
  <c r="Q24" i="22"/>
  <c r="I20" i="24"/>
  <c r="I24" i="22"/>
  <c r="I82" i="22" s="1"/>
  <c r="G646" i="44" s="1"/>
  <c r="E20" i="22"/>
  <c r="G20" i="34" s="1"/>
  <c r="R19" i="24"/>
  <c r="H79" i="45"/>
  <c r="H79" i="12"/>
  <c r="F79" i="10"/>
  <c r="H59" i="45"/>
  <c r="H59" i="12"/>
  <c r="F59" i="10"/>
  <c r="F61" i="10" s="1"/>
  <c r="L59" i="10"/>
  <c r="H61" i="10"/>
  <c r="M59" i="24"/>
  <c r="M61" i="24" s="1"/>
  <c r="N40" i="24"/>
  <c r="N42" i="24" s="1"/>
  <c r="N43" i="24" s="1"/>
  <c r="G24" i="24"/>
  <c r="AH82" i="24"/>
  <c r="AF647" i="44" s="1"/>
  <c r="H35" i="12"/>
  <c r="L19" i="12"/>
  <c r="F19" i="12"/>
  <c r="I88" i="43"/>
  <c r="K653" i="44"/>
  <c r="M91" i="31"/>
  <c r="H76" i="43"/>
  <c r="F72" i="43"/>
  <c r="H70" i="43"/>
  <c r="H72" i="43" s="1"/>
  <c r="W82" i="31"/>
  <c r="L32" i="19"/>
  <c r="F32" i="19"/>
  <c r="F36" i="19" s="1"/>
  <c r="H36" i="19"/>
  <c r="K82" i="19"/>
  <c r="K91" i="19" s="1"/>
  <c r="I80" i="33"/>
  <c r="H45" i="33"/>
  <c r="AI29" i="21"/>
  <c r="AI82" i="21" s="1"/>
  <c r="AA29" i="21"/>
  <c r="AA82" i="21" s="1"/>
  <c r="S29" i="21"/>
  <c r="K29" i="21"/>
  <c r="E27" i="21"/>
  <c r="AE45" i="46"/>
  <c r="S19" i="46"/>
  <c r="D80" i="23"/>
  <c r="F80" i="35" s="1"/>
  <c r="H80" i="35" s="1"/>
  <c r="J77" i="46"/>
  <c r="L76" i="46"/>
  <c r="D76" i="23"/>
  <c r="F76" i="35" s="1"/>
  <c r="F75" i="46"/>
  <c r="H74" i="46"/>
  <c r="D74" i="46" s="1"/>
  <c r="F74" i="47" s="1"/>
  <c r="H74" i="47" s="1"/>
  <c r="H72" i="46"/>
  <c r="L65" i="46"/>
  <c r="D65" i="23"/>
  <c r="F65" i="35" s="1"/>
  <c r="H65" i="35" s="1"/>
  <c r="F64" i="46"/>
  <c r="L59" i="46"/>
  <c r="L61" i="46" s="1"/>
  <c r="D59" i="23"/>
  <c r="J54" i="46"/>
  <c r="J56" i="46" s="1"/>
  <c r="F51" i="46"/>
  <c r="J49" i="46"/>
  <c r="L47" i="46"/>
  <c r="D47" i="46" s="1"/>
  <c r="F47" i="47" s="1"/>
  <c r="H47" i="47" s="1"/>
  <c r="D47" i="23"/>
  <c r="F47" i="35" s="1"/>
  <c r="H47" i="35" s="1"/>
  <c r="F45" i="46"/>
  <c r="D45" i="46" s="1"/>
  <c r="F45" i="47" s="1"/>
  <c r="H45" i="47" s="1"/>
  <c r="L41" i="46"/>
  <c r="D41" i="23"/>
  <c r="F41" i="35" s="1"/>
  <c r="H41" i="35" s="1"/>
  <c r="F40" i="46"/>
  <c r="H39" i="46"/>
  <c r="D39" i="46" s="1"/>
  <c r="F39" i="47" s="1"/>
  <c r="H39" i="47" s="1"/>
  <c r="L35" i="46"/>
  <c r="D35" i="23"/>
  <c r="F35" i="35" s="1"/>
  <c r="H35" i="35" s="1"/>
  <c r="F34" i="46"/>
  <c r="J36" i="46"/>
  <c r="H27" i="46"/>
  <c r="H29" i="46" s="1"/>
  <c r="L23" i="46"/>
  <c r="D23" i="23"/>
  <c r="F23" i="35" s="1"/>
  <c r="H23" i="35" s="1"/>
  <c r="F22" i="46"/>
  <c r="L19" i="46"/>
  <c r="L24" i="46" s="1"/>
  <c r="D19" i="23"/>
  <c r="F14" i="46"/>
  <c r="D14" i="46" s="1"/>
  <c r="F14" i="47" s="1"/>
  <c r="H14" i="47" s="1"/>
  <c r="H13" i="46"/>
  <c r="J12" i="46"/>
  <c r="AA16" i="23"/>
  <c r="S16" i="23"/>
  <c r="K11" i="46"/>
  <c r="K16" i="46" s="1"/>
  <c r="K16" i="23"/>
  <c r="G75" i="11"/>
  <c r="M73" i="12"/>
  <c r="E73" i="36" s="1"/>
  <c r="G73" i="12"/>
  <c r="L27" i="11"/>
  <c r="H29" i="11"/>
  <c r="L24" i="11"/>
  <c r="Z81" i="46"/>
  <c r="Z81" i="24"/>
  <c r="R81" i="46"/>
  <c r="R81" i="24"/>
  <c r="J81" i="24"/>
  <c r="AB80" i="46"/>
  <c r="AB80" i="24"/>
  <c r="T80" i="46"/>
  <c r="T80" i="24"/>
  <c r="L80" i="24"/>
  <c r="AD79" i="46"/>
  <c r="AD79" i="24"/>
  <c r="V79" i="46"/>
  <c r="V79" i="24"/>
  <c r="N79" i="46"/>
  <c r="N79" i="24"/>
  <c r="D79" i="22"/>
  <c r="F79" i="34" s="1"/>
  <c r="H79" i="34" s="1"/>
  <c r="V78" i="24"/>
  <c r="D78" i="22"/>
  <c r="F78" i="34" s="1"/>
  <c r="H78" i="34" s="1"/>
  <c r="V77" i="24"/>
  <c r="H76" i="24"/>
  <c r="Z74" i="46"/>
  <c r="Z74" i="24"/>
  <c r="R74" i="46"/>
  <c r="R74" i="24"/>
  <c r="J74" i="24"/>
  <c r="D74" i="24" s="1"/>
  <c r="F74" i="36" s="1"/>
  <c r="Z73" i="46"/>
  <c r="Z73" i="24"/>
  <c r="R73" i="46"/>
  <c r="R73" i="24"/>
  <c r="J73" i="24"/>
  <c r="AD71" i="46"/>
  <c r="AD71" i="24"/>
  <c r="V71" i="46"/>
  <c r="V71" i="24"/>
  <c r="N71" i="46"/>
  <c r="N71" i="24"/>
  <c r="D71" i="22"/>
  <c r="F71" i="34" s="1"/>
  <c r="H71" i="34" s="1"/>
  <c r="D70" i="22"/>
  <c r="H65" i="24"/>
  <c r="D65" i="24" s="1"/>
  <c r="F65" i="36" s="1"/>
  <c r="Z60" i="46"/>
  <c r="Z60" i="24"/>
  <c r="R60" i="46"/>
  <c r="J60" i="24"/>
  <c r="AJ61" i="22"/>
  <c r="AB59" i="46"/>
  <c r="AB61" i="46" s="1"/>
  <c r="AB61" i="22"/>
  <c r="T59" i="46"/>
  <c r="T61" i="46" s="1"/>
  <c r="T59" i="24"/>
  <c r="T61" i="24" s="1"/>
  <c r="T61" i="22"/>
  <c r="L61" i="22"/>
  <c r="D59" i="22"/>
  <c r="D55" i="22"/>
  <c r="F55" i="34" s="1"/>
  <c r="H55" i="34" s="1"/>
  <c r="AB49" i="46"/>
  <c r="T49" i="46"/>
  <c r="T49" i="24"/>
  <c r="AD47" i="46"/>
  <c r="AD47" i="24"/>
  <c r="V47" i="46"/>
  <c r="N47" i="46"/>
  <c r="N47" i="24"/>
  <c r="X45" i="46"/>
  <c r="X45" i="24"/>
  <c r="P45" i="46"/>
  <c r="H45" i="24"/>
  <c r="D45" i="24" s="1"/>
  <c r="F45" i="36" s="1"/>
  <c r="AB42" i="22"/>
  <c r="AB43" i="22" s="1"/>
  <c r="AD35" i="46"/>
  <c r="AD35" i="24"/>
  <c r="V35" i="46"/>
  <c r="V35" i="24"/>
  <c r="N35" i="46"/>
  <c r="X34" i="46"/>
  <c r="X34" i="24"/>
  <c r="P34" i="46"/>
  <c r="H34" i="24"/>
  <c r="AF36" i="22"/>
  <c r="X33" i="46"/>
  <c r="X33" i="24"/>
  <c r="X36" i="22"/>
  <c r="P33" i="46"/>
  <c r="P33" i="24"/>
  <c r="P36" i="22"/>
  <c r="H33" i="24"/>
  <c r="H36" i="22"/>
  <c r="AD29" i="22"/>
  <c r="N29" i="22"/>
  <c r="AD23" i="46"/>
  <c r="AD23" i="24"/>
  <c r="V23" i="46"/>
  <c r="V23" i="24"/>
  <c r="N23" i="46"/>
  <c r="D23" i="46" s="1"/>
  <c r="F23" i="47" s="1"/>
  <c r="H23" i="47" s="1"/>
  <c r="N23" i="24"/>
  <c r="X22" i="46"/>
  <c r="X22" i="24"/>
  <c r="P22" i="46"/>
  <c r="P22" i="24"/>
  <c r="H22" i="24"/>
  <c r="AF24" i="22"/>
  <c r="X21" i="46"/>
  <c r="X21" i="24"/>
  <c r="X24" i="22"/>
  <c r="P21" i="46"/>
  <c r="P21" i="24"/>
  <c r="P24" i="22"/>
  <c r="H21" i="24"/>
  <c r="D21" i="22"/>
  <c r="F21" i="34" s="1"/>
  <c r="H21" i="34" s="1"/>
  <c r="H24" i="22"/>
  <c r="H20" i="24"/>
  <c r="D20" i="24" s="1"/>
  <c r="F20" i="36" s="1"/>
  <c r="AD16" i="22"/>
  <c r="L16" i="22"/>
  <c r="AJ16" i="22"/>
  <c r="AB11" i="46"/>
  <c r="AB11" i="24"/>
  <c r="T11" i="46"/>
  <c r="T11" i="24"/>
  <c r="G79" i="10"/>
  <c r="I71" i="45"/>
  <c r="I71" i="12"/>
  <c r="G71" i="10"/>
  <c r="M71" i="10"/>
  <c r="E71" i="34" s="1"/>
  <c r="E71" i="5" s="1"/>
  <c r="M56" i="10"/>
  <c r="F36" i="10"/>
  <c r="G16" i="10"/>
  <c r="D64" i="24"/>
  <c r="L59" i="24"/>
  <c r="L61" i="24" s="1"/>
  <c r="AC54" i="24"/>
  <c r="AK43" i="24"/>
  <c r="D19" i="24"/>
  <c r="H79" i="43"/>
  <c r="I76" i="43"/>
  <c r="H73" i="43"/>
  <c r="E72" i="31"/>
  <c r="E66" i="31"/>
  <c r="D60" i="31"/>
  <c r="F60" i="43" s="1"/>
  <c r="H60" i="43" s="1"/>
  <c r="F42" i="31"/>
  <c r="F43" i="31" s="1"/>
  <c r="D41" i="31"/>
  <c r="F41" i="43" s="1"/>
  <c r="H41" i="43" s="1"/>
  <c r="E32" i="31"/>
  <c r="G36" i="31"/>
  <c r="G59" i="19"/>
  <c r="G61" i="19" s="1"/>
  <c r="I61" i="19"/>
  <c r="M59" i="19"/>
  <c r="F55" i="19"/>
  <c r="L55" i="19"/>
  <c r="D55" i="43" s="1"/>
  <c r="L51" i="19"/>
  <c r="D51" i="43" s="1"/>
  <c r="F51" i="19"/>
  <c r="M36" i="19"/>
  <c r="E33" i="43"/>
  <c r="E36" i="43" s="1"/>
  <c r="F22" i="19"/>
  <c r="F24" i="19" s="1"/>
  <c r="Z82" i="21"/>
  <c r="P644" i="44"/>
  <c r="R91" i="21"/>
  <c r="D28" i="21"/>
  <c r="F28" i="33" s="1"/>
  <c r="H28" i="33" s="1"/>
  <c r="J29" i="21"/>
  <c r="J82" i="21" s="1"/>
  <c r="Y33" i="46"/>
  <c r="G73" i="11"/>
  <c r="I24" i="11"/>
  <c r="G23" i="11"/>
  <c r="I16" i="11"/>
  <c r="AD81" i="46"/>
  <c r="V81" i="46"/>
  <c r="N81" i="46"/>
  <c r="X80" i="46"/>
  <c r="P80" i="46"/>
  <c r="R79" i="46"/>
  <c r="AB78" i="46"/>
  <c r="T78" i="46"/>
  <c r="AD77" i="46"/>
  <c r="N77" i="46"/>
  <c r="X76" i="46"/>
  <c r="P76" i="46"/>
  <c r="Z75" i="46"/>
  <c r="R75" i="46"/>
  <c r="AB74" i="46"/>
  <c r="T74" i="46"/>
  <c r="AD73" i="46"/>
  <c r="V73" i="46"/>
  <c r="N73" i="46"/>
  <c r="Z71" i="46"/>
  <c r="R71" i="46"/>
  <c r="T70" i="46"/>
  <c r="J64" i="24"/>
  <c r="AD60" i="46"/>
  <c r="AD60" i="24"/>
  <c r="AD61" i="24" s="1"/>
  <c r="V60" i="46"/>
  <c r="V60" i="24"/>
  <c r="N60" i="46"/>
  <c r="N60" i="24"/>
  <c r="X59" i="46"/>
  <c r="X59" i="24"/>
  <c r="X61" i="24" s="1"/>
  <c r="P59" i="46"/>
  <c r="P61" i="46" s="1"/>
  <c r="P59" i="24"/>
  <c r="P61" i="24" s="1"/>
  <c r="H59" i="24"/>
  <c r="AB55" i="46"/>
  <c r="AB55" i="24"/>
  <c r="T55" i="46"/>
  <c r="T55" i="24"/>
  <c r="L55" i="24"/>
  <c r="AD54" i="46"/>
  <c r="AD56" i="46" s="1"/>
  <c r="AD54" i="24"/>
  <c r="AD56" i="24" s="1"/>
  <c r="V54" i="46"/>
  <c r="V56" i="46" s="1"/>
  <c r="V54" i="24"/>
  <c r="N54" i="46"/>
  <c r="N54" i="24"/>
  <c r="Z51" i="24"/>
  <c r="R51" i="46"/>
  <c r="R51" i="24"/>
  <c r="J51" i="24"/>
  <c r="AD49" i="46"/>
  <c r="AD49" i="24"/>
  <c r="V49" i="24"/>
  <c r="N49" i="46"/>
  <c r="N49" i="24"/>
  <c r="X47" i="46"/>
  <c r="X47" i="24"/>
  <c r="P47" i="24"/>
  <c r="H47" i="24"/>
  <c r="D47" i="24" s="1"/>
  <c r="F47" i="36" s="1"/>
  <c r="Z45" i="46"/>
  <c r="Z45" i="24"/>
  <c r="R45" i="46"/>
  <c r="R45" i="24"/>
  <c r="J45" i="24"/>
  <c r="X41" i="46"/>
  <c r="P41" i="46"/>
  <c r="P41" i="24"/>
  <c r="H41" i="24"/>
  <c r="D41" i="24" s="1"/>
  <c r="F41" i="36" s="1"/>
  <c r="Z40" i="46"/>
  <c r="Z40" i="24"/>
  <c r="R40" i="46"/>
  <c r="R42" i="46" s="1"/>
  <c r="R43" i="46" s="1"/>
  <c r="R40" i="24"/>
  <c r="R42" i="24" s="1"/>
  <c r="R43" i="24" s="1"/>
  <c r="AB39" i="46"/>
  <c r="T39" i="46"/>
  <c r="L39" i="24"/>
  <c r="D39" i="24" s="1"/>
  <c r="F39" i="36" s="1"/>
  <c r="AD36" i="22"/>
  <c r="F36" i="22"/>
  <c r="X35" i="46"/>
  <c r="P35" i="46"/>
  <c r="Z34" i="46"/>
  <c r="Z34" i="24"/>
  <c r="R34" i="46"/>
  <c r="R34" i="24"/>
  <c r="J34" i="24"/>
  <c r="AB33" i="46"/>
  <c r="T33" i="46"/>
  <c r="AD32" i="46"/>
  <c r="V32" i="46"/>
  <c r="N32" i="46"/>
  <c r="N32" i="24"/>
  <c r="Z28" i="46"/>
  <c r="R28" i="46"/>
  <c r="J28" i="24"/>
  <c r="AB27" i="46"/>
  <c r="AB27" i="24"/>
  <c r="T27" i="46"/>
  <c r="T27" i="24"/>
  <c r="T29" i="24" s="1"/>
  <c r="X23" i="46"/>
  <c r="X23" i="24"/>
  <c r="P23" i="46"/>
  <c r="P23" i="24"/>
  <c r="H23" i="24"/>
  <c r="Z22" i="46"/>
  <c r="Z22" i="24"/>
  <c r="R22" i="46"/>
  <c r="J22" i="24"/>
  <c r="AB21" i="46"/>
  <c r="AB21" i="24"/>
  <c r="T21" i="46"/>
  <c r="L21" i="24"/>
  <c r="AC20" i="46"/>
  <c r="U20" i="46"/>
  <c r="U20" i="24"/>
  <c r="AE19" i="46"/>
  <c r="AE19" i="24"/>
  <c r="AE24" i="24" s="1"/>
  <c r="W19" i="46"/>
  <c r="O19" i="46"/>
  <c r="O19" i="24"/>
  <c r="AE15" i="46"/>
  <c r="AE15" i="24"/>
  <c r="W15" i="46"/>
  <c r="W15" i="24"/>
  <c r="O15" i="46"/>
  <c r="O15" i="24"/>
  <c r="E15" i="22"/>
  <c r="G15" i="34" s="1"/>
  <c r="X14" i="46"/>
  <c r="P14" i="46"/>
  <c r="P14" i="24"/>
  <c r="Z13" i="46"/>
  <c r="Z13" i="24"/>
  <c r="R13" i="46"/>
  <c r="J13" i="24"/>
  <c r="D13" i="24" s="1"/>
  <c r="F13" i="36" s="1"/>
  <c r="AB12" i="46"/>
  <c r="T12" i="46"/>
  <c r="T12" i="24"/>
  <c r="M11" i="24"/>
  <c r="H80" i="45"/>
  <c r="H80" i="12"/>
  <c r="F80" i="10"/>
  <c r="H78" i="45"/>
  <c r="L78" i="10"/>
  <c r="D78" i="34" s="1"/>
  <c r="G66" i="10"/>
  <c r="I59" i="45"/>
  <c r="G59" i="10"/>
  <c r="I59" i="12"/>
  <c r="I61" i="10"/>
  <c r="I55" i="45"/>
  <c r="I55" i="12"/>
  <c r="M55" i="10"/>
  <c r="E55" i="34" s="1"/>
  <c r="F54" i="10"/>
  <c r="I49" i="45"/>
  <c r="I49" i="12"/>
  <c r="G49" i="10"/>
  <c r="I35" i="45"/>
  <c r="G35" i="10"/>
  <c r="G36" i="10" s="1"/>
  <c r="H33" i="45"/>
  <c r="H33" i="12"/>
  <c r="L33" i="10"/>
  <c r="H36" i="10"/>
  <c r="H24" i="10"/>
  <c r="H12" i="45"/>
  <c r="H12" i="12"/>
  <c r="F12" i="10"/>
  <c r="AA80" i="24"/>
  <c r="AK72" i="24"/>
  <c r="AF82" i="24"/>
  <c r="AD647" i="44" s="1"/>
  <c r="T21" i="24"/>
  <c r="AK24" i="24"/>
  <c r="AC20" i="24"/>
  <c r="D36" i="12"/>
  <c r="I66" i="6"/>
  <c r="I82" i="6" s="1"/>
  <c r="D16" i="6"/>
  <c r="H77" i="43"/>
  <c r="D56" i="31"/>
  <c r="F54" i="43"/>
  <c r="H27" i="43"/>
  <c r="T653" i="44"/>
  <c r="V91" i="31"/>
  <c r="AH82" i="31"/>
  <c r="Z82" i="31"/>
  <c r="R82" i="31"/>
  <c r="J82" i="31"/>
  <c r="L86" i="19"/>
  <c r="L89" i="19" s="1"/>
  <c r="H89" i="19"/>
  <c r="F86" i="19"/>
  <c r="F89" i="19" s="1"/>
  <c r="G11" i="19"/>
  <c r="G16" i="19" s="1"/>
  <c r="I16" i="19"/>
  <c r="D86" i="21"/>
  <c r="F89" i="21"/>
  <c r="F86" i="46"/>
  <c r="AJ29" i="21"/>
  <c r="AB29" i="21"/>
  <c r="T29" i="21"/>
  <c r="L29" i="21"/>
  <c r="D27" i="21"/>
  <c r="AJ82" i="21"/>
  <c r="AB82" i="21"/>
  <c r="D14" i="21"/>
  <c r="F14" i="33" s="1"/>
  <c r="H14" i="33" s="1"/>
  <c r="D13" i="21"/>
  <c r="F13" i="33" s="1"/>
  <c r="H13" i="33" s="1"/>
  <c r="AE16" i="21"/>
  <c r="W16" i="21"/>
  <c r="W82" i="21" s="1"/>
  <c r="O16" i="21"/>
  <c r="O82" i="21" s="1"/>
  <c r="G16" i="21"/>
  <c r="E11" i="21"/>
  <c r="Z79" i="46"/>
  <c r="Y81" i="46"/>
  <c r="Q81" i="46"/>
  <c r="S80" i="46"/>
  <c r="AC79" i="46"/>
  <c r="U79" i="46"/>
  <c r="AE78" i="46"/>
  <c r="W78" i="46"/>
  <c r="O78" i="46"/>
  <c r="Y77" i="46"/>
  <c r="Q77" i="46"/>
  <c r="AA76" i="46"/>
  <c r="S76" i="46"/>
  <c r="AC75" i="46"/>
  <c r="U75" i="46"/>
  <c r="AE74" i="46"/>
  <c r="W74" i="46"/>
  <c r="O74" i="46"/>
  <c r="Y73" i="46"/>
  <c r="Q73" i="46"/>
  <c r="AC71" i="46"/>
  <c r="U71" i="46"/>
  <c r="AE70" i="46"/>
  <c r="AE72" i="46" s="1"/>
  <c r="W70" i="46"/>
  <c r="O70" i="46"/>
  <c r="K65" i="24"/>
  <c r="Y60" i="46"/>
  <c r="Y60" i="24"/>
  <c r="Q60" i="46"/>
  <c r="Q60" i="24"/>
  <c r="I60" i="24"/>
  <c r="E60" i="24" s="1"/>
  <c r="G60" i="36" s="1"/>
  <c r="I60" i="36" s="1"/>
  <c r="AA59" i="46"/>
  <c r="AA59" i="24"/>
  <c r="AA61" i="24" s="1"/>
  <c r="S59" i="46"/>
  <c r="S59" i="24"/>
  <c r="K59" i="24"/>
  <c r="K61" i="24" s="1"/>
  <c r="AE55" i="46"/>
  <c r="AE55" i="24"/>
  <c r="W55" i="46"/>
  <c r="W55" i="24"/>
  <c r="O55" i="46"/>
  <c r="O55" i="24"/>
  <c r="Y54" i="46"/>
  <c r="Y56" i="46" s="1"/>
  <c r="Y54" i="24"/>
  <c r="Q54" i="46"/>
  <c r="Q54" i="24"/>
  <c r="I54" i="24"/>
  <c r="AC51" i="46"/>
  <c r="AC51" i="24"/>
  <c r="U51" i="46"/>
  <c r="U51" i="24"/>
  <c r="M51" i="24"/>
  <c r="Y49" i="46"/>
  <c r="Y49" i="24"/>
  <c r="Q49" i="46"/>
  <c r="Q49" i="24"/>
  <c r="I49" i="24"/>
  <c r="AA47" i="46"/>
  <c r="AA47" i="24"/>
  <c r="S47" i="46"/>
  <c r="S47" i="24"/>
  <c r="K47" i="24"/>
  <c r="E47" i="24" s="1"/>
  <c r="G47" i="36" s="1"/>
  <c r="AC45" i="46"/>
  <c r="AC45" i="24"/>
  <c r="U45" i="46"/>
  <c r="U45" i="24"/>
  <c r="M45" i="24"/>
  <c r="AA41" i="46"/>
  <c r="AA41" i="24"/>
  <c r="S41" i="46"/>
  <c r="S41" i="24"/>
  <c r="K41" i="24"/>
  <c r="AC40" i="24"/>
  <c r="U40" i="46"/>
  <c r="U42" i="46" s="1"/>
  <c r="U40" i="24"/>
  <c r="U42" i="24" s="1"/>
  <c r="M40" i="24"/>
  <c r="M42" i="24" s="1"/>
  <c r="AE39" i="46"/>
  <c r="AE39" i="24"/>
  <c r="W39" i="46"/>
  <c r="W39" i="24"/>
  <c r="O39" i="24"/>
  <c r="O39" i="46"/>
  <c r="AA35" i="46"/>
  <c r="AA35" i="24"/>
  <c r="S35" i="46"/>
  <c r="S35" i="24"/>
  <c r="K35" i="24"/>
  <c r="K36" i="24" s="1"/>
  <c r="AC34" i="46"/>
  <c r="AC34" i="24"/>
  <c r="U34" i="24"/>
  <c r="M34" i="24"/>
  <c r="AE33" i="46"/>
  <c r="AE33" i="24"/>
  <c r="W33" i="46"/>
  <c r="W33" i="24"/>
  <c r="O33" i="24"/>
  <c r="Y32" i="46"/>
  <c r="Y32" i="24"/>
  <c r="Q32" i="46"/>
  <c r="Q32" i="24"/>
  <c r="I32" i="24"/>
  <c r="E32" i="24" s="1"/>
  <c r="AC28" i="46"/>
  <c r="AC28" i="24"/>
  <c r="U28" i="46"/>
  <c r="U28" i="24"/>
  <c r="M28" i="24"/>
  <c r="AE27" i="46"/>
  <c r="AE29" i="46" s="1"/>
  <c r="AE27" i="24"/>
  <c r="W27" i="46"/>
  <c r="W29" i="46" s="1"/>
  <c r="W27" i="24"/>
  <c r="W29" i="24" s="1"/>
  <c r="O27" i="46"/>
  <c r="O29" i="46" s="1"/>
  <c r="O27" i="24"/>
  <c r="O29" i="24" s="1"/>
  <c r="AA23" i="46"/>
  <c r="AA23" i="24"/>
  <c r="S23" i="46"/>
  <c r="S23" i="24"/>
  <c r="K23" i="24"/>
  <c r="AC22" i="46"/>
  <c r="AC22" i="24"/>
  <c r="U22" i="46"/>
  <c r="U22" i="24"/>
  <c r="M22" i="24"/>
  <c r="AE21" i="46"/>
  <c r="AE21" i="24"/>
  <c r="W21" i="46"/>
  <c r="W21" i="24"/>
  <c r="O21" i="46"/>
  <c r="O21" i="24"/>
  <c r="E21" i="22"/>
  <c r="G21" i="34" s="1"/>
  <c r="I21" i="34" s="1"/>
  <c r="X20" i="46"/>
  <c r="P20" i="46"/>
  <c r="P20" i="24"/>
  <c r="Z19" i="46"/>
  <c r="Z19" i="24"/>
  <c r="R19" i="46"/>
  <c r="J19" i="24"/>
  <c r="Z15" i="46"/>
  <c r="Z15" i="24"/>
  <c r="R15" i="46"/>
  <c r="R15" i="24"/>
  <c r="J15" i="24"/>
  <c r="AA14" i="46"/>
  <c r="AA14" i="24"/>
  <c r="E14" i="24" s="1"/>
  <c r="G14" i="36" s="1"/>
  <c r="S14" i="46"/>
  <c r="S14" i="24"/>
  <c r="K14" i="24"/>
  <c r="AC13" i="46"/>
  <c r="AC13" i="24"/>
  <c r="U13" i="46"/>
  <c r="U13" i="24"/>
  <c r="M13" i="24"/>
  <c r="E13" i="24" s="1"/>
  <c r="G13" i="36" s="1"/>
  <c r="AE12" i="46"/>
  <c r="AE12" i="24"/>
  <c r="W12" i="46"/>
  <c r="W12" i="24"/>
  <c r="O12" i="24"/>
  <c r="O12" i="46"/>
  <c r="E12" i="22"/>
  <c r="G12" i="34" s="1"/>
  <c r="X11" i="46"/>
  <c r="X16" i="46" s="1"/>
  <c r="X11" i="24"/>
  <c r="P11" i="46"/>
  <c r="P11" i="24"/>
  <c r="H11" i="24"/>
  <c r="H16" i="24" s="1"/>
  <c r="I77" i="12"/>
  <c r="I75" i="45"/>
  <c r="I75" i="12"/>
  <c r="M75" i="10"/>
  <c r="E75" i="34" s="1"/>
  <c r="E75" i="5" s="1"/>
  <c r="I70" i="45"/>
  <c r="I70" i="12"/>
  <c r="I72" i="10"/>
  <c r="M70" i="10"/>
  <c r="I16" i="10"/>
  <c r="AD81" i="24"/>
  <c r="N81" i="24"/>
  <c r="AB78" i="24"/>
  <c r="T74" i="24"/>
  <c r="AD73" i="24"/>
  <c r="N73" i="24"/>
  <c r="D73" i="24" s="1"/>
  <c r="F73" i="36" s="1"/>
  <c r="H73" i="36" s="1"/>
  <c r="T70" i="24"/>
  <c r="T72" i="24" s="1"/>
  <c r="T33" i="24"/>
  <c r="R28" i="24"/>
  <c r="F29" i="24"/>
  <c r="G74" i="20"/>
  <c r="E74" i="20" s="1"/>
  <c r="G74" i="32" s="1"/>
  <c r="I74" i="32" s="1"/>
  <c r="E74" i="6"/>
  <c r="E65" i="21"/>
  <c r="G65" i="33" s="1"/>
  <c r="I65" i="33" s="1"/>
  <c r="E87" i="31"/>
  <c r="G87" i="43" s="1"/>
  <c r="G89" i="31"/>
  <c r="E42" i="31"/>
  <c r="E43" i="31" s="1"/>
  <c r="H12" i="43"/>
  <c r="G56" i="19"/>
  <c r="G45" i="19"/>
  <c r="M45" i="19"/>
  <c r="E45" i="43" s="1"/>
  <c r="E45" i="5" s="1"/>
  <c r="G43" i="19"/>
  <c r="G24" i="19"/>
  <c r="M71" i="9"/>
  <c r="E71" i="33" s="1"/>
  <c r="E72" i="33" s="1"/>
  <c r="I72" i="9"/>
  <c r="G72" i="9"/>
  <c r="E54" i="33"/>
  <c r="E56" i="33" s="1"/>
  <c r="M56" i="9"/>
  <c r="I77" i="33"/>
  <c r="AK42" i="21"/>
  <c r="AK43" i="21" s="1"/>
  <c r="AC42" i="21"/>
  <c r="AC43" i="21" s="1"/>
  <c r="U42" i="21"/>
  <c r="U43" i="21" s="1"/>
  <c r="M42" i="21"/>
  <c r="M43" i="21" s="1"/>
  <c r="U34" i="46"/>
  <c r="O33" i="46"/>
  <c r="X81" i="46"/>
  <c r="P81" i="46"/>
  <c r="Z80" i="46"/>
  <c r="R80" i="46"/>
  <c r="AB79" i="46"/>
  <c r="T79" i="46"/>
  <c r="D79" i="46" s="1"/>
  <c r="F79" i="47" s="1"/>
  <c r="H79" i="47" s="1"/>
  <c r="AD78" i="46"/>
  <c r="N78" i="46"/>
  <c r="X77" i="46"/>
  <c r="P77" i="46"/>
  <c r="Z76" i="46"/>
  <c r="R76" i="46"/>
  <c r="AB75" i="46"/>
  <c r="AD74" i="46"/>
  <c r="V74" i="46"/>
  <c r="N74" i="46"/>
  <c r="X73" i="46"/>
  <c r="P73" i="46"/>
  <c r="AB71" i="46"/>
  <c r="T71" i="46"/>
  <c r="AD70" i="46"/>
  <c r="V70" i="46"/>
  <c r="V72" i="46" s="1"/>
  <c r="N70" i="46"/>
  <c r="J65" i="24"/>
  <c r="X60" i="24"/>
  <c r="P60" i="46"/>
  <c r="P60" i="24"/>
  <c r="H60" i="24"/>
  <c r="Z59" i="46"/>
  <c r="Z61" i="46" s="1"/>
  <c r="Z59" i="24"/>
  <c r="Z61" i="24" s="1"/>
  <c r="R59" i="46"/>
  <c r="R61" i="46" s="1"/>
  <c r="R59" i="24"/>
  <c r="R61" i="24" s="1"/>
  <c r="J59" i="24"/>
  <c r="AD55" i="46"/>
  <c r="AD55" i="24"/>
  <c r="V55" i="46"/>
  <c r="V55" i="24"/>
  <c r="N55" i="46"/>
  <c r="D55" i="46" s="1"/>
  <c r="F55" i="47" s="1"/>
  <c r="H55" i="47" s="1"/>
  <c r="N55" i="24"/>
  <c r="X54" i="46"/>
  <c r="X56" i="46" s="1"/>
  <c r="X54" i="24"/>
  <c r="X56" i="24" s="1"/>
  <c r="P54" i="46"/>
  <c r="P54" i="24"/>
  <c r="H54" i="24"/>
  <c r="AB51" i="46"/>
  <c r="AB51" i="24"/>
  <c r="T51" i="46"/>
  <c r="T51" i="24"/>
  <c r="D51" i="24" s="1"/>
  <c r="F51" i="36" s="1"/>
  <c r="L51" i="24"/>
  <c r="X49" i="24"/>
  <c r="P49" i="46"/>
  <c r="P49" i="24"/>
  <c r="H49" i="24"/>
  <c r="Z47" i="46"/>
  <c r="Z47" i="24"/>
  <c r="R47" i="46"/>
  <c r="R47" i="24"/>
  <c r="J47" i="24"/>
  <c r="AB45" i="46"/>
  <c r="AB45" i="24"/>
  <c r="T45" i="46"/>
  <c r="T45" i="24"/>
  <c r="L45" i="24"/>
  <c r="Z41" i="46"/>
  <c r="Z41" i="24"/>
  <c r="R41" i="46"/>
  <c r="R41" i="24"/>
  <c r="J41" i="24"/>
  <c r="AB40" i="46"/>
  <c r="T40" i="46"/>
  <c r="T42" i="46" s="1"/>
  <c r="AD39" i="46"/>
  <c r="AD39" i="24"/>
  <c r="V39" i="46"/>
  <c r="V39" i="24"/>
  <c r="N39" i="46"/>
  <c r="N39" i="24"/>
  <c r="Z35" i="46"/>
  <c r="R35" i="46"/>
  <c r="R35" i="24"/>
  <c r="J35" i="24"/>
  <c r="AB34" i="46"/>
  <c r="AB34" i="24"/>
  <c r="T34" i="46"/>
  <c r="T34" i="24"/>
  <c r="AD33" i="46"/>
  <c r="V33" i="46"/>
  <c r="N33" i="46"/>
  <c r="N33" i="24"/>
  <c r="X32" i="46"/>
  <c r="X32" i="24"/>
  <c r="P32" i="46"/>
  <c r="P32" i="24"/>
  <c r="P36" i="24" s="1"/>
  <c r="H32" i="24"/>
  <c r="AB28" i="46"/>
  <c r="AB28" i="24"/>
  <c r="D28" i="24" s="1"/>
  <c r="F28" i="36" s="1"/>
  <c r="T28" i="46"/>
  <c r="T28" i="24"/>
  <c r="L28" i="24"/>
  <c r="AD27" i="46"/>
  <c r="V27" i="46"/>
  <c r="V29" i="46" s="1"/>
  <c r="N27" i="46"/>
  <c r="N29" i="46" s="1"/>
  <c r="Z23" i="46"/>
  <c r="Z23" i="24"/>
  <c r="R23" i="46"/>
  <c r="AB22" i="46"/>
  <c r="AB22" i="24"/>
  <c r="T22" i="46"/>
  <c r="L22" i="24"/>
  <c r="AD21" i="46"/>
  <c r="V21" i="46"/>
  <c r="V21" i="24"/>
  <c r="N21" i="46"/>
  <c r="I19" i="24"/>
  <c r="Y15" i="46"/>
  <c r="Y15" i="24"/>
  <c r="Q15" i="46"/>
  <c r="Q15" i="24"/>
  <c r="I15" i="24"/>
  <c r="Z14" i="46"/>
  <c r="Z14" i="24"/>
  <c r="R14" i="46"/>
  <c r="R14" i="24"/>
  <c r="J14" i="24"/>
  <c r="AB13" i="46"/>
  <c r="AB13" i="24"/>
  <c r="T13" i="46"/>
  <c r="T13" i="24"/>
  <c r="L13" i="24"/>
  <c r="L16" i="24" s="1"/>
  <c r="AD12" i="46"/>
  <c r="AD12" i="24"/>
  <c r="V12" i="46"/>
  <c r="V12" i="24"/>
  <c r="V16" i="24" s="1"/>
  <c r="N12" i="46"/>
  <c r="N12" i="24"/>
  <c r="E11" i="22"/>
  <c r="H75" i="45"/>
  <c r="H75" i="12"/>
  <c r="H70" i="45"/>
  <c r="H72" i="10"/>
  <c r="H70" i="12"/>
  <c r="H54" i="45"/>
  <c r="L54" i="10"/>
  <c r="L43" i="10"/>
  <c r="I21" i="45"/>
  <c r="I21" i="12"/>
  <c r="G21" i="10"/>
  <c r="H19" i="45"/>
  <c r="L19" i="10"/>
  <c r="Y81" i="24"/>
  <c r="W78" i="24"/>
  <c r="E78" i="24" s="1"/>
  <c r="G78" i="36" s="1"/>
  <c r="Q77" i="24"/>
  <c r="AE74" i="24"/>
  <c r="O74" i="24"/>
  <c r="Y73" i="24"/>
  <c r="AE70" i="24"/>
  <c r="O70" i="24"/>
  <c r="O72" i="24" s="1"/>
  <c r="E65" i="24"/>
  <c r="G65" i="36" s="1"/>
  <c r="AI56" i="24"/>
  <c r="AB40" i="24"/>
  <c r="AB42" i="24" s="1"/>
  <c r="AB43" i="24" s="1"/>
  <c r="X35" i="24"/>
  <c r="AD32" i="24"/>
  <c r="V27" i="24"/>
  <c r="V29" i="24" s="1"/>
  <c r="AD21" i="24"/>
  <c r="R13" i="24"/>
  <c r="K12" i="24"/>
  <c r="E12" i="24" s="1"/>
  <c r="G12" i="36" s="1"/>
  <c r="I12" i="36" s="1"/>
  <c r="K24" i="12"/>
  <c r="I54" i="43"/>
  <c r="N653" i="44"/>
  <c r="P91" i="31"/>
  <c r="I80" i="43"/>
  <c r="I77" i="43"/>
  <c r="H75" i="43"/>
  <c r="I21" i="43"/>
  <c r="AJ82" i="31"/>
  <c r="AB82" i="31"/>
  <c r="T82" i="31"/>
  <c r="L82" i="31"/>
  <c r="G16" i="31"/>
  <c r="G82" i="31" s="1"/>
  <c r="E11" i="31"/>
  <c r="M89" i="19"/>
  <c r="B22" i="4" s="1"/>
  <c r="M64" i="19"/>
  <c r="I66" i="19"/>
  <c r="G64" i="19"/>
  <c r="F45" i="19"/>
  <c r="L45" i="19"/>
  <c r="D45" i="43" s="1"/>
  <c r="H45" i="43" s="1"/>
  <c r="L71" i="9"/>
  <c r="D71" i="33" s="1"/>
  <c r="H72" i="9"/>
  <c r="F72" i="9"/>
  <c r="L56" i="9"/>
  <c r="D54" i="33"/>
  <c r="D56" i="33" s="1"/>
  <c r="H82" i="9"/>
  <c r="H77" i="33"/>
  <c r="AF16" i="21"/>
  <c r="AF82" i="21" s="1"/>
  <c r="X16" i="21"/>
  <c r="X82" i="21" s="1"/>
  <c r="P16" i="21"/>
  <c r="P82" i="21" s="1"/>
  <c r="H16" i="21"/>
  <c r="H82" i="21" s="1"/>
  <c r="X60" i="46"/>
  <c r="AE81" i="46"/>
  <c r="W81" i="46"/>
  <c r="O81" i="46"/>
  <c r="Y80" i="46"/>
  <c r="Q80" i="46"/>
  <c r="AA79" i="46"/>
  <c r="S79" i="46"/>
  <c r="AC78" i="46"/>
  <c r="U78" i="46"/>
  <c r="AE77" i="46"/>
  <c r="E77" i="46" s="1"/>
  <c r="G77" i="47" s="1"/>
  <c r="I77" i="47" s="1"/>
  <c r="O77" i="46"/>
  <c r="Y76" i="46"/>
  <c r="Q76" i="46"/>
  <c r="AA75" i="46"/>
  <c r="S75" i="46"/>
  <c r="AC74" i="46"/>
  <c r="U74" i="46"/>
  <c r="AE73" i="46"/>
  <c r="E73" i="46" s="1"/>
  <c r="G73" i="47" s="1"/>
  <c r="I73" i="47" s="1"/>
  <c r="W73" i="46"/>
  <c r="O73" i="46"/>
  <c r="AA71" i="46"/>
  <c r="S71" i="46"/>
  <c r="AC70" i="46"/>
  <c r="U70" i="46"/>
  <c r="K64" i="24"/>
  <c r="K66" i="24" s="1"/>
  <c r="AE60" i="46"/>
  <c r="AE60" i="24"/>
  <c r="W60" i="46"/>
  <c r="W60" i="24"/>
  <c r="O60" i="46"/>
  <c r="O60" i="24"/>
  <c r="Y59" i="46"/>
  <c r="Y61" i="46" s="1"/>
  <c r="Y59" i="24"/>
  <c r="Y61" i="24" s="1"/>
  <c r="Q59" i="46"/>
  <c r="Q61" i="46" s="1"/>
  <c r="Q59" i="24"/>
  <c r="I59" i="24"/>
  <c r="AC55" i="46"/>
  <c r="AC55" i="24"/>
  <c r="U55" i="46"/>
  <c r="U55" i="24"/>
  <c r="M55" i="24"/>
  <c r="AE54" i="46"/>
  <c r="AE56" i="46" s="1"/>
  <c r="AE54" i="24"/>
  <c r="W54" i="46"/>
  <c r="W54" i="24"/>
  <c r="W56" i="24" s="1"/>
  <c r="O54" i="46"/>
  <c r="O56" i="46" s="1"/>
  <c r="O54" i="24"/>
  <c r="O56" i="24" s="1"/>
  <c r="AA51" i="24"/>
  <c r="AA51" i="46"/>
  <c r="S51" i="46"/>
  <c r="S51" i="24"/>
  <c r="K51" i="24"/>
  <c r="AE49" i="46"/>
  <c r="AE49" i="24"/>
  <c r="W49" i="46"/>
  <c r="W49" i="24"/>
  <c r="O49" i="46"/>
  <c r="O49" i="24"/>
  <c r="Y47" i="46"/>
  <c r="Y47" i="24"/>
  <c r="Q47" i="24"/>
  <c r="I47" i="24"/>
  <c r="AA45" i="46"/>
  <c r="AA45" i="24"/>
  <c r="S45" i="46"/>
  <c r="E45" i="46" s="1"/>
  <c r="G45" i="47" s="1"/>
  <c r="I45" i="47" s="1"/>
  <c r="S45" i="24"/>
  <c r="E45" i="24" s="1"/>
  <c r="G45" i="36" s="1"/>
  <c r="I45" i="36" s="1"/>
  <c r="K45" i="24"/>
  <c r="Y41" i="46"/>
  <c r="Y41" i="24"/>
  <c r="Q41" i="46"/>
  <c r="Q41" i="24"/>
  <c r="I41" i="24"/>
  <c r="AA40" i="46"/>
  <c r="AA42" i="46" s="1"/>
  <c r="AA43" i="46" s="1"/>
  <c r="AA40" i="24"/>
  <c r="AA42" i="24" s="1"/>
  <c r="AA43" i="24" s="1"/>
  <c r="S40" i="46"/>
  <c r="AC39" i="46"/>
  <c r="U39" i="46"/>
  <c r="U39" i="24"/>
  <c r="M39" i="24"/>
  <c r="Y35" i="46"/>
  <c r="Q35" i="46"/>
  <c r="I35" i="24"/>
  <c r="E35" i="24" s="1"/>
  <c r="G35" i="36" s="1"/>
  <c r="AA34" i="46"/>
  <c r="AA34" i="24"/>
  <c r="S34" i="46"/>
  <c r="S34" i="24"/>
  <c r="K34" i="24"/>
  <c r="AC33" i="46"/>
  <c r="U33" i="46"/>
  <c r="AE32" i="46"/>
  <c r="AE36" i="46" s="1"/>
  <c r="W32" i="46"/>
  <c r="W32" i="24"/>
  <c r="O32" i="46"/>
  <c r="O32" i="24"/>
  <c r="O36" i="24" s="1"/>
  <c r="AA28" i="46"/>
  <c r="S28" i="46"/>
  <c r="S28" i="24"/>
  <c r="K28" i="24"/>
  <c r="E28" i="24" s="1"/>
  <c r="G28" i="36" s="1"/>
  <c r="I28" i="36" s="1"/>
  <c r="AC27" i="46"/>
  <c r="AC27" i="24"/>
  <c r="U27" i="46"/>
  <c r="U29" i="46" s="1"/>
  <c r="Y23" i="46"/>
  <c r="K22" i="24"/>
  <c r="E22" i="24" s="1"/>
  <c r="G22" i="36" s="1"/>
  <c r="I22" i="36" s="1"/>
  <c r="AD20" i="46"/>
  <c r="V20" i="46"/>
  <c r="V20" i="24"/>
  <c r="N20" i="46"/>
  <c r="X19" i="46"/>
  <c r="P19" i="46"/>
  <c r="P19" i="24"/>
  <c r="P24" i="24" s="1"/>
  <c r="X15" i="46"/>
  <c r="X15" i="24"/>
  <c r="P15" i="46"/>
  <c r="P15" i="24"/>
  <c r="H15" i="24"/>
  <c r="Y14" i="46"/>
  <c r="Y14" i="24"/>
  <c r="Q14" i="46"/>
  <c r="Q14" i="24"/>
  <c r="I14" i="24"/>
  <c r="I16" i="24" s="1"/>
  <c r="AA13" i="46"/>
  <c r="AA13" i="24"/>
  <c r="AA16" i="24" s="1"/>
  <c r="S13" i="46"/>
  <c r="S13" i="24"/>
  <c r="K13" i="24"/>
  <c r="AC12" i="46"/>
  <c r="AC12" i="24"/>
  <c r="U12" i="46"/>
  <c r="U12" i="24"/>
  <c r="U16" i="24" s="1"/>
  <c r="M12" i="24"/>
  <c r="AD11" i="46"/>
  <c r="AD11" i="24"/>
  <c r="I80" i="45"/>
  <c r="G80" i="10"/>
  <c r="G72" i="10"/>
  <c r="H64" i="45"/>
  <c r="H64" i="12"/>
  <c r="L64" i="10"/>
  <c r="G56" i="10"/>
  <c r="I40" i="45"/>
  <c r="I40" i="12"/>
  <c r="G40" i="10"/>
  <c r="G42" i="10" s="1"/>
  <c r="G43" i="10" s="1"/>
  <c r="I42" i="10"/>
  <c r="I43" i="10" s="1"/>
  <c r="I28" i="45"/>
  <c r="G28" i="10"/>
  <c r="G29" i="10" s="1"/>
  <c r="I12" i="45"/>
  <c r="M12" i="10"/>
  <c r="X81" i="24"/>
  <c r="P80" i="24"/>
  <c r="P77" i="24"/>
  <c r="D77" i="24" s="1"/>
  <c r="F77" i="36" s="1"/>
  <c r="H77" i="36" s="1"/>
  <c r="X76" i="24"/>
  <c r="R75" i="24"/>
  <c r="AD74" i="24"/>
  <c r="N74" i="24"/>
  <c r="X73" i="24"/>
  <c r="R71" i="24"/>
  <c r="AD70" i="24"/>
  <c r="N70" i="24"/>
  <c r="N72" i="24" s="1"/>
  <c r="AH56" i="24"/>
  <c r="AJ43" i="24"/>
  <c r="AJ82" i="24" s="1"/>
  <c r="AH647" i="44" s="1"/>
  <c r="AF36" i="24"/>
  <c r="U27" i="24"/>
  <c r="AD20" i="24"/>
  <c r="W19" i="24"/>
  <c r="X14" i="24"/>
  <c r="F16" i="24"/>
  <c r="F82" i="24" s="1"/>
  <c r="E72" i="12"/>
  <c r="E82" i="12" s="1"/>
  <c r="K66" i="12"/>
  <c r="S82" i="6"/>
  <c r="D42" i="31"/>
  <c r="D43" i="31" s="1"/>
  <c r="H21" i="43"/>
  <c r="AI82" i="31"/>
  <c r="AA82" i="31"/>
  <c r="S82" i="31"/>
  <c r="K82" i="31"/>
  <c r="L16" i="19"/>
  <c r="G71" i="9"/>
  <c r="G89" i="21"/>
  <c r="E86" i="21"/>
  <c r="G86" i="46"/>
  <c r="E14" i="21"/>
  <c r="G14" i="33" s="1"/>
  <c r="I14" i="33" s="1"/>
  <c r="I13" i="33"/>
  <c r="Q23" i="46"/>
  <c r="AA22" i="46"/>
  <c r="S22" i="46"/>
  <c r="AC21" i="46"/>
  <c r="U21" i="46"/>
  <c r="AE20" i="46"/>
  <c r="W20" i="46"/>
  <c r="O20" i="46"/>
  <c r="Y19" i="46"/>
  <c r="Q19" i="46"/>
  <c r="AC15" i="46"/>
  <c r="U15" i="46"/>
  <c r="AE14" i="46"/>
  <c r="W14" i="46"/>
  <c r="O14" i="46"/>
  <c r="Y13" i="46"/>
  <c r="Q13" i="46"/>
  <c r="AA12" i="46"/>
  <c r="S12" i="46"/>
  <c r="AC11" i="46"/>
  <c r="AC16" i="46" s="1"/>
  <c r="U11" i="46"/>
  <c r="U16" i="46" s="1"/>
  <c r="I78" i="45"/>
  <c r="I78" i="12"/>
  <c r="G77" i="10"/>
  <c r="I74" i="45"/>
  <c r="I74" i="12"/>
  <c r="I64" i="45"/>
  <c r="I64" i="12"/>
  <c r="G60" i="10"/>
  <c r="I54" i="45"/>
  <c r="G51" i="10"/>
  <c r="I45" i="45"/>
  <c r="I33" i="45"/>
  <c r="I33" i="12"/>
  <c r="I23" i="45"/>
  <c r="I19" i="45"/>
  <c r="I15" i="45"/>
  <c r="I15" i="12"/>
  <c r="I11" i="45"/>
  <c r="I11" i="12"/>
  <c r="AG42" i="24"/>
  <c r="AG43" i="24" s="1"/>
  <c r="AG36" i="24"/>
  <c r="AG82" i="24" s="1"/>
  <c r="AE647" i="44" s="1"/>
  <c r="AI29" i="24"/>
  <c r="AI82" i="24" s="1"/>
  <c r="AG647" i="44" s="1"/>
  <c r="U21" i="24"/>
  <c r="Y19" i="24"/>
  <c r="Y24" i="24" s="1"/>
  <c r="U15" i="24"/>
  <c r="Y13" i="24"/>
  <c r="AC11" i="24"/>
  <c r="I54" i="12"/>
  <c r="K29" i="12"/>
  <c r="I19" i="12"/>
  <c r="D42" i="6"/>
  <c r="D43" i="6" s="1"/>
  <c r="D89" i="43"/>
  <c r="F64" i="43"/>
  <c r="D66" i="31"/>
  <c r="G61" i="31"/>
  <c r="E55" i="31"/>
  <c r="G55" i="43" s="1"/>
  <c r="I55" i="43" s="1"/>
  <c r="H39" i="43"/>
  <c r="F36" i="31"/>
  <c r="G87" i="19"/>
  <c r="G89" i="19" s="1"/>
  <c r="F75" i="19"/>
  <c r="L75" i="19"/>
  <c r="D75" i="43" s="1"/>
  <c r="L73" i="19"/>
  <c r="D73" i="43" s="1"/>
  <c r="D73" i="5" s="1"/>
  <c r="F73" i="19"/>
  <c r="F56" i="19"/>
  <c r="F34" i="19"/>
  <c r="L34" i="19"/>
  <c r="D34" i="43" s="1"/>
  <c r="D34" i="5" s="1"/>
  <c r="G32" i="19"/>
  <c r="G36" i="19" s="1"/>
  <c r="I36" i="19"/>
  <c r="L76" i="9"/>
  <c r="D76" i="33" s="1"/>
  <c r="H76" i="33" s="1"/>
  <c r="F76" i="9"/>
  <c r="L19" i="9"/>
  <c r="F19" i="9"/>
  <c r="H24" i="9"/>
  <c r="D75" i="21"/>
  <c r="F75" i="33" s="1"/>
  <c r="H75" i="33" s="1"/>
  <c r="D71" i="21"/>
  <c r="F71" i="33" s="1"/>
  <c r="H71" i="33" s="1"/>
  <c r="F72" i="21"/>
  <c r="I23" i="33"/>
  <c r="E21" i="21"/>
  <c r="G21" i="33" s="1"/>
  <c r="I21" i="33" s="1"/>
  <c r="E72" i="45"/>
  <c r="E70" i="47"/>
  <c r="E72" i="47" s="1"/>
  <c r="H40" i="45"/>
  <c r="H35" i="45"/>
  <c r="H28" i="45"/>
  <c r="H28" i="12"/>
  <c r="H21" i="45"/>
  <c r="H21" i="12"/>
  <c r="H13" i="45"/>
  <c r="Q23" i="24"/>
  <c r="W20" i="24"/>
  <c r="W14" i="24"/>
  <c r="G66" i="21"/>
  <c r="E56" i="6"/>
  <c r="X82" i="6"/>
  <c r="P82" i="6"/>
  <c r="H82" i="6"/>
  <c r="E29" i="43"/>
  <c r="E71" i="31"/>
  <c r="G71" i="43" s="1"/>
  <c r="I71" i="43" s="1"/>
  <c r="G72" i="31"/>
  <c r="G59" i="43"/>
  <c r="E61" i="31"/>
  <c r="F29" i="31"/>
  <c r="D28" i="31"/>
  <c r="AG82" i="31"/>
  <c r="Y82" i="31"/>
  <c r="Q82" i="31"/>
  <c r="I82" i="31"/>
  <c r="F16" i="31"/>
  <c r="F82" i="31" s="1"/>
  <c r="F91" i="31" s="1"/>
  <c r="D11" i="31"/>
  <c r="M72" i="19"/>
  <c r="E70" i="43"/>
  <c r="E72" i="43" s="1"/>
  <c r="H66" i="19"/>
  <c r="L64" i="19"/>
  <c r="J82" i="19"/>
  <c r="J91" i="19" s="1"/>
  <c r="F16" i="19"/>
  <c r="G77" i="9"/>
  <c r="M77" i="9"/>
  <c r="E77" i="33" s="1"/>
  <c r="I56" i="9"/>
  <c r="G54" i="9"/>
  <c r="G56" i="9" s="1"/>
  <c r="G20" i="9"/>
  <c r="M20" i="9"/>
  <c r="E20" i="33" s="1"/>
  <c r="J66" i="21"/>
  <c r="D65" i="21"/>
  <c r="F65" i="33" s="1"/>
  <c r="H65" i="33" s="1"/>
  <c r="AF56" i="21"/>
  <c r="X56" i="21"/>
  <c r="P56" i="21"/>
  <c r="H56" i="21"/>
  <c r="D49" i="21"/>
  <c r="F49" i="33" s="1"/>
  <c r="H49" i="33" s="1"/>
  <c r="AJ42" i="21"/>
  <c r="AJ43" i="21" s="1"/>
  <c r="AB42" i="21"/>
  <c r="AB43" i="21" s="1"/>
  <c r="T42" i="21"/>
  <c r="T43" i="21" s="1"/>
  <c r="L42" i="21"/>
  <c r="L43" i="21" s="1"/>
  <c r="D39" i="21"/>
  <c r="F39" i="33" s="1"/>
  <c r="H39" i="33" s="1"/>
  <c r="H34" i="33"/>
  <c r="E28" i="21"/>
  <c r="G28" i="33" s="1"/>
  <c r="I28" i="33" s="1"/>
  <c r="I29" i="21"/>
  <c r="AC16" i="21"/>
  <c r="M16" i="21"/>
  <c r="H12" i="33"/>
  <c r="AD16" i="21"/>
  <c r="AD82" i="21" s="1"/>
  <c r="V16" i="21"/>
  <c r="V82" i="21" s="1"/>
  <c r="N16" i="21"/>
  <c r="N82" i="21" s="1"/>
  <c r="F16" i="21"/>
  <c r="D11" i="21"/>
  <c r="D36" i="45"/>
  <c r="D33" i="47"/>
  <c r="D36" i="47" s="1"/>
  <c r="AE11" i="46"/>
  <c r="AE16" i="46" s="1"/>
  <c r="AE11" i="24"/>
  <c r="W11" i="46"/>
  <c r="W11" i="24"/>
  <c r="O11" i="46"/>
  <c r="O11" i="24"/>
  <c r="O16" i="24" s="1"/>
  <c r="I81" i="45"/>
  <c r="I77" i="45"/>
  <c r="I73" i="45"/>
  <c r="I60" i="45"/>
  <c r="I51" i="45"/>
  <c r="I41" i="45"/>
  <c r="I41" i="12"/>
  <c r="I32" i="45"/>
  <c r="I32" i="12"/>
  <c r="I22" i="45"/>
  <c r="I14" i="45"/>
  <c r="I14" i="12"/>
  <c r="Y23" i="24"/>
  <c r="I81" i="12"/>
  <c r="D56" i="6"/>
  <c r="W82" i="6"/>
  <c r="O82" i="6"/>
  <c r="G82" i="6"/>
  <c r="D29" i="43"/>
  <c r="E89" i="31"/>
  <c r="C22" i="4" s="1"/>
  <c r="D22" i="4" s="1"/>
  <c r="G86" i="43"/>
  <c r="H65" i="43"/>
  <c r="D61" i="31"/>
  <c r="F59" i="43"/>
  <c r="I51" i="43"/>
  <c r="M77" i="19"/>
  <c r="E77" i="43" s="1"/>
  <c r="L56" i="19"/>
  <c r="M19" i="19"/>
  <c r="I24" i="19"/>
  <c r="M14" i="19"/>
  <c r="E14" i="43" s="1"/>
  <c r="G14" i="19"/>
  <c r="F77" i="9"/>
  <c r="L77" i="9"/>
  <c r="D77" i="33" s="1"/>
  <c r="F54" i="9"/>
  <c r="F56" i="9" s="1"/>
  <c r="H56" i="9"/>
  <c r="F20" i="9"/>
  <c r="L20" i="9"/>
  <c r="D20" i="33" s="1"/>
  <c r="S82" i="21"/>
  <c r="V11" i="46"/>
  <c r="N11" i="46"/>
  <c r="H81" i="45"/>
  <c r="H77" i="45"/>
  <c r="H73" i="45"/>
  <c r="H60" i="45"/>
  <c r="H51" i="45"/>
  <c r="H51" i="12"/>
  <c r="H41" i="45"/>
  <c r="F40" i="10"/>
  <c r="F42" i="10" s="1"/>
  <c r="F43" i="10" s="1"/>
  <c r="F35" i="10"/>
  <c r="H32" i="45"/>
  <c r="F28" i="10"/>
  <c r="H22" i="45"/>
  <c r="H22" i="12"/>
  <c r="F21" i="10"/>
  <c r="F24" i="10" s="1"/>
  <c r="H14" i="45"/>
  <c r="F13" i="10"/>
  <c r="AA22" i="24"/>
  <c r="S12" i="24"/>
  <c r="N11" i="24"/>
  <c r="H81" i="12"/>
  <c r="H41" i="12"/>
  <c r="H40" i="12"/>
  <c r="H32" i="12"/>
  <c r="J24" i="12"/>
  <c r="J82" i="12" s="1"/>
  <c r="E42" i="6"/>
  <c r="E43" i="6" s="1"/>
  <c r="V82" i="6"/>
  <c r="N82" i="6"/>
  <c r="F82" i="6"/>
  <c r="E89" i="43"/>
  <c r="D56" i="43"/>
  <c r="D86" i="31"/>
  <c r="F56" i="31"/>
  <c r="D55" i="31"/>
  <c r="F55" i="43" s="1"/>
  <c r="H55" i="43" s="1"/>
  <c r="H51" i="43"/>
  <c r="G27" i="43"/>
  <c r="E29" i="31"/>
  <c r="E19" i="31"/>
  <c r="G24" i="31"/>
  <c r="G79" i="19"/>
  <c r="F64" i="19"/>
  <c r="F66" i="19" s="1"/>
  <c r="G29" i="19"/>
  <c r="H24" i="19"/>
  <c r="L19" i="19"/>
  <c r="H16" i="19"/>
  <c r="L14" i="19"/>
  <c r="D14" i="43" s="1"/>
  <c r="H14" i="43" s="1"/>
  <c r="F14" i="19"/>
  <c r="M76" i="9"/>
  <c r="E76" i="33" s="1"/>
  <c r="I76" i="33" s="1"/>
  <c r="G76" i="9"/>
  <c r="M19" i="9"/>
  <c r="I24" i="9"/>
  <c r="I82" i="9" s="1"/>
  <c r="I91" i="9" s="1"/>
  <c r="G19" i="9"/>
  <c r="G24" i="9" s="1"/>
  <c r="E75" i="21"/>
  <c r="G75" i="33" s="1"/>
  <c r="I75" i="33" s="1"/>
  <c r="D74" i="21"/>
  <c r="F74" i="33" s="1"/>
  <c r="H74" i="33" s="1"/>
  <c r="AJ82" i="46"/>
  <c r="AJ91" i="46" s="1"/>
  <c r="F60" i="19"/>
  <c r="F61" i="19" s="1"/>
  <c r="D72" i="33"/>
  <c r="F64" i="9"/>
  <c r="F66" i="9" s="1"/>
  <c r="H66" i="9"/>
  <c r="F60" i="9"/>
  <c r="F51" i="9"/>
  <c r="F42" i="9"/>
  <c r="F43" i="9" s="1"/>
  <c r="F15" i="9"/>
  <c r="F16" i="9" s="1"/>
  <c r="D11" i="33"/>
  <c r="D16" i="33" s="1"/>
  <c r="L16" i="9"/>
  <c r="D79" i="21"/>
  <c r="F79" i="33" s="1"/>
  <c r="H79" i="33" s="1"/>
  <c r="D78" i="21"/>
  <c r="F78" i="33" s="1"/>
  <c r="H78" i="33" s="1"/>
  <c r="E71" i="21"/>
  <c r="G71" i="33" s="1"/>
  <c r="I71" i="33" s="1"/>
  <c r="AK36" i="21"/>
  <c r="AC36" i="21"/>
  <c r="U36" i="21"/>
  <c r="M36" i="21"/>
  <c r="D32" i="21"/>
  <c r="AF42" i="46"/>
  <c r="AF43" i="46" s="1"/>
  <c r="AF82" i="46" s="1"/>
  <c r="AF91" i="46" s="1"/>
  <c r="D61" i="45"/>
  <c r="D59" i="47"/>
  <c r="D61" i="47" s="1"/>
  <c r="E19" i="20"/>
  <c r="G24" i="20"/>
  <c r="E66" i="33"/>
  <c r="I86" i="45"/>
  <c r="I89" i="9"/>
  <c r="G86" i="9"/>
  <c r="G89" i="9" s="1"/>
  <c r="M72" i="9"/>
  <c r="G61" i="9"/>
  <c r="M33" i="9"/>
  <c r="I36" i="9"/>
  <c r="G88" i="46"/>
  <c r="E88" i="46" s="1"/>
  <c r="G88" i="47" s="1"/>
  <c r="I88" i="47" s="1"/>
  <c r="E88" i="21"/>
  <c r="G88" i="33" s="1"/>
  <c r="AI61" i="21"/>
  <c r="AA61" i="21"/>
  <c r="S61" i="21"/>
  <c r="K61" i="21"/>
  <c r="E55" i="21"/>
  <c r="G55" i="33" s="1"/>
  <c r="I55" i="33" s="1"/>
  <c r="E54" i="21"/>
  <c r="AK16" i="21"/>
  <c r="U16" i="21"/>
  <c r="U82" i="21" s="1"/>
  <c r="D80" i="20"/>
  <c r="F80" i="32" s="1"/>
  <c r="H80" i="32" s="1"/>
  <c r="E78" i="20"/>
  <c r="G78" i="32" s="1"/>
  <c r="G78" i="5" s="1"/>
  <c r="I78" i="5" s="1"/>
  <c r="E54" i="20"/>
  <c r="I56" i="20"/>
  <c r="I15" i="32"/>
  <c r="H56" i="19"/>
  <c r="H86" i="45"/>
  <c r="F86" i="9"/>
  <c r="F89" i="9" s="1"/>
  <c r="H89" i="9"/>
  <c r="L72" i="9"/>
  <c r="F61" i="9"/>
  <c r="L33" i="9"/>
  <c r="H36" i="9"/>
  <c r="F88" i="46"/>
  <c r="D88" i="46" s="1"/>
  <c r="F88" i="47" s="1"/>
  <c r="H88" i="47" s="1"/>
  <c r="D88" i="21"/>
  <c r="F88" i="33" s="1"/>
  <c r="H88" i="33" s="1"/>
  <c r="AG72" i="21"/>
  <c r="Y72" i="21"/>
  <c r="Q72" i="21"/>
  <c r="AH61" i="21"/>
  <c r="Z61" i="21"/>
  <c r="R61" i="21"/>
  <c r="J61" i="21"/>
  <c r="D55" i="21"/>
  <c r="F55" i="33" s="1"/>
  <c r="H55" i="33" s="1"/>
  <c r="D54" i="21"/>
  <c r="H22" i="33"/>
  <c r="E64" i="6"/>
  <c r="E66" i="6" s="1"/>
  <c r="E15" i="6"/>
  <c r="E16" i="6" s="1"/>
  <c r="E82" i="6" s="1"/>
  <c r="F77" i="19"/>
  <c r="I66" i="9"/>
  <c r="G64" i="9"/>
  <c r="G66" i="9" s="1"/>
  <c r="G60" i="9"/>
  <c r="G51" i="9"/>
  <c r="G42" i="9"/>
  <c r="G43" i="9" s="1"/>
  <c r="G33" i="9"/>
  <c r="G36" i="9" s="1"/>
  <c r="G15" i="9"/>
  <c r="G16" i="9" s="1"/>
  <c r="G82" i="9" s="1"/>
  <c r="G91" i="9" s="1"/>
  <c r="M16" i="9"/>
  <c r="E11" i="33"/>
  <c r="E16" i="33" s="1"/>
  <c r="K81" i="46"/>
  <c r="E79" i="21"/>
  <c r="G79" i="33" s="1"/>
  <c r="I79" i="33" s="1"/>
  <c r="E78" i="21"/>
  <c r="G78" i="33" s="1"/>
  <c r="I78" i="33" s="1"/>
  <c r="AF72" i="21"/>
  <c r="X72" i="21"/>
  <c r="P72" i="21"/>
  <c r="D70" i="21"/>
  <c r="F36" i="21"/>
  <c r="D33" i="21"/>
  <c r="F33" i="33" s="1"/>
  <c r="AE36" i="21"/>
  <c r="W36" i="21"/>
  <c r="O36" i="21"/>
  <c r="E32" i="21"/>
  <c r="G36" i="21"/>
  <c r="AD89" i="46"/>
  <c r="V89" i="46"/>
  <c r="N89" i="46"/>
  <c r="G88" i="45"/>
  <c r="M88" i="45"/>
  <c r="E61" i="45"/>
  <c r="E59" i="47"/>
  <c r="E61" i="47" s="1"/>
  <c r="E82" i="47" s="1"/>
  <c r="E91" i="47" s="1"/>
  <c r="F73" i="8"/>
  <c r="L73" i="8"/>
  <c r="D73" i="32" s="1"/>
  <c r="D76" i="20"/>
  <c r="F76" i="32" s="1"/>
  <c r="I73" i="32"/>
  <c r="AD61" i="20"/>
  <c r="V61" i="20"/>
  <c r="N61" i="20"/>
  <c r="F61" i="20"/>
  <c r="D59" i="20"/>
  <c r="E40" i="33"/>
  <c r="F87" i="9"/>
  <c r="D35" i="21"/>
  <c r="F35" i="33" s="1"/>
  <c r="H35" i="33" s="1"/>
  <c r="AG16" i="21"/>
  <c r="AG82" i="21" s="1"/>
  <c r="Y16" i="21"/>
  <c r="Q16" i="21"/>
  <c r="I16" i="21"/>
  <c r="AG36" i="46"/>
  <c r="AG82" i="46" s="1"/>
  <c r="AG91" i="46" s="1"/>
  <c r="L75" i="8"/>
  <c r="D75" i="32" s="1"/>
  <c r="F75" i="8"/>
  <c r="L71" i="8"/>
  <c r="D71" i="32" s="1"/>
  <c r="F71" i="8"/>
  <c r="M87" i="45"/>
  <c r="G87" i="45"/>
  <c r="E89" i="47"/>
  <c r="D29" i="47"/>
  <c r="D24" i="47"/>
  <c r="AK89" i="46"/>
  <c r="AC89" i="46"/>
  <c r="U89" i="46"/>
  <c r="M89" i="46"/>
  <c r="AK72" i="46"/>
  <c r="M47" i="17"/>
  <c r="G47" i="17"/>
  <c r="F87" i="45"/>
  <c r="L87" i="45"/>
  <c r="AK24" i="21"/>
  <c r="AC24" i="21"/>
  <c r="U24" i="21"/>
  <c r="M24" i="21"/>
  <c r="E19" i="21"/>
  <c r="D89" i="47"/>
  <c r="E36" i="47"/>
  <c r="AJ72" i="46"/>
  <c r="G87" i="9"/>
  <c r="AJ24" i="21"/>
  <c r="AB24" i="21"/>
  <c r="T24" i="21"/>
  <c r="T82" i="21" s="1"/>
  <c r="L24" i="21"/>
  <c r="L82" i="21" s="1"/>
  <c r="D20" i="21"/>
  <c r="F20" i="33" s="1"/>
  <c r="H20" i="33" s="1"/>
  <c r="D19" i="21"/>
  <c r="AI89" i="46"/>
  <c r="AA89" i="46"/>
  <c r="S89" i="46"/>
  <c r="K89" i="46"/>
  <c r="D16" i="45"/>
  <c r="D82" i="45" s="1"/>
  <c r="D91" i="45" s="1"/>
  <c r="D13" i="47"/>
  <c r="D16" i="47" s="1"/>
  <c r="D82" i="47" s="1"/>
  <c r="D91" i="47" s="1"/>
  <c r="L54" i="8"/>
  <c r="H56" i="8"/>
  <c r="F54" i="8"/>
  <c r="F56" i="8" s="1"/>
  <c r="E80" i="20"/>
  <c r="G80" i="32" s="1"/>
  <c r="E39" i="20"/>
  <c r="G39" i="32" s="1"/>
  <c r="E23" i="20"/>
  <c r="G23" i="32" s="1"/>
  <c r="I23" i="32" s="1"/>
  <c r="AI82" i="20"/>
  <c r="AG643" i="44" s="1"/>
  <c r="AK82" i="20"/>
  <c r="AI643" i="44" s="1"/>
  <c r="U82" i="20"/>
  <c r="S643" i="44" s="1"/>
  <c r="J82" i="45"/>
  <c r="J91" i="45" s="1"/>
  <c r="M80" i="8"/>
  <c r="E80" i="32" s="1"/>
  <c r="G80" i="8"/>
  <c r="G78" i="8"/>
  <c r="M78" i="8"/>
  <c r="E78" i="32" s="1"/>
  <c r="E78" i="5" s="1"/>
  <c r="M76" i="8"/>
  <c r="E76" i="32" s="1"/>
  <c r="G76" i="8"/>
  <c r="D36" i="32"/>
  <c r="L12" i="8"/>
  <c r="F12" i="8"/>
  <c r="F16" i="8" s="1"/>
  <c r="F82" i="8" s="1"/>
  <c r="E13" i="20"/>
  <c r="G13" i="32" s="1"/>
  <c r="G54" i="41"/>
  <c r="M20" i="17"/>
  <c r="M24" i="17" s="1"/>
  <c r="I24" i="17"/>
  <c r="G20" i="17"/>
  <c r="G24" i="17" s="1"/>
  <c r="AK36" i="46"/>
  <c r="AK82" i="46" s="1"/>
  <c r="AK91" i="46" s="1"/>
  <c r="AI16" i="46"/>
  <c r="AI82" i="46" s="1"/>
  <c r="AI91" i="46" s="1"/>
  <c r="K72" i="45"/>
  <c r="AH42" i="46"/>
  <c r="AH43" i="46" s="1"/>
  <c r="J89" i="45"/>
  <c r="H28" i="32"/>
  <c r="F72" i="8"/>
  <c r="E64" i="32"/>
  <c r="E66" i="32" s="1"/>
  <c r="M66" i="8"/>
  <c r="E47" i="20"/>
  <c r="G47" i="32" s="1"/>
  <c r="J36" i="20"/>
  <c r="D32" i="20"/>
  <c r="E21" i="20"/>
  <c r="G21" i="32" s="1"/>
  <c r="I21" i="32" s="1"/>
  <c r="E70" i="29"/>
  <c r="G72" i="29"/>
  <c r="AH16" i="46"/>
  <c r="M41" i="8"/>
  <c r="G41" i="8"/>
  <c r="I42" i="8"/>
  <c r="I43" i="8" s="1"/>
  <c r="M24" i="8"/>
  <c r="E19" i="32"/>
  <c r="E24" i="32" s="1"/>
  <c r="K82" i="8"/>
  <c r="I43" i="20"/>
  <c r="AC82" i="29"/>
  <c r="AA642" i="44" s="1"/>
  <c r="M29" i="29"/>
  <c r="M27" i="46"/>
  <c r="M29" i="46" s="1"/>
  <c r="E27" i="29"/>
  <c r="D24" i="45"/>
  <c r="H42" i="8"/>
  <c r="H43" i="8" s="1"/>
  <c r="F41" i="8"/>
  <c r="F42" i="8" s="1"/>
  <c r="F43" i="8" s="1"/>
  <c r="F36" i="8"/>
  <c r="D19" i="32"/>
  <c r="L24" i="8"/>
  <c r="M13" i="8"/>
  <c r="E13" i="32" s="1"/>
  <c r="E16" i="32" s="1"/>
  <c r="G13" i="8"/>
  <c r="AH72" i="20"/>
  <c r="Z72" i="20"/>
  <c r="R72" i="20"/>
  <c r="J72" i="20"/>
  <c r="H65" i="32"/>
  <c r="D64" i="20"/>
  <c r="F66" i="20"/>
  <c r="F42" i="20"/>
  <c r="F43" i="20" s="1"/>
  <c r="D40" i="20"/>
  <c r="D75" i="29"/>
  <c r="F75" i="41" s="1"/>
  <c r="H75" i="41" s="1"/>
  <c r="E73" i="29"/>
  <c r="G73" i="41" s="1"/>
  <c r="I73" i="41" s="1"/>
  <c r="AH72" i="29"/>
  <c r="Z72" i="29"/>
  <c r="R72" i="29"/>
  <c r="J42" i="45"/>
  <c r="J43" i="45" s="1"/>
  <c r="I77" i="32"/>
  <c r="L47" i="8"/>
  <c r="D47" i="32" s="1"/>
  <c r="F47" i="8"/>
  <c r="D42" i="32"/>
  <c r="L27" i="8"/>
  <c r="H29" i="8"/>
  <c r="G15" i="8"/>
  <c r="M15" i="8"/>
  <c r="E15" i="32" s="1"/>
  <c r="E15" i="5" s="1"/>
  <c r="AI36" i="20"/>
  <c r="AA36" i="20"/>
  <c r="S36" i="20"/>
  <c r="K36" i="20"/>
  <c r="E56" i="45"/>
  <c r="E82" i="45" s="1"/>
  <c r="E91" i="45" s="1"/>
  <c r="G54" i="8"/>
  <c r="G56" i="8" s="1"/>
  <c r="M54" i="8"/>
  <c r="M28" i="8"/>
  <c r="E28" i="32" s="1"/>
  <c r="E29" i="32" s="1"/>
  <c r="G28" i="8"/>
  <c r="G29" i="8" s="1"/>
  <c r="G19" i="8"/>
  <c r="G24" i="8" s="1"/>
  <c r="I24" i="8"/>
  <c r="E76" i="20"/>
  <c r="G76" i="32" s="1"/>
  <c r="D74" i="20"/>
  <c r="F74" i="32" s="1"/>
  <c r="H74" i="32" s="1"/>
  <c r="AF72" i="20"/>
  <c r="X72" i="20"/>
  <c r="P72" i="20"/>
  <c r="D70" i="20"/>
  <c r="H72" i="20"/>
  <c r="E55" i="20"/>
  <c r="G55" i="32" s="1"/>
  <c r="I55" i="32" s="1"/>
  <c r="H49" i="32"/>
  <c r="E35" i="20"/>
  <c r="G35" i="32" s="1"/>
  <c r="Y36" i="20"/>
  <c r="Q36" i="20"/>
  <c r="I36" i="20"/>
  <c r="E33" i="20"/>
  <c r="G33" i="32" s="1"/>
  <c r="I33" i="32" s="1"/>
  <c r="AI24" i="20"/>
  <c r="AA24" i="20"/>
  <c r="AA82" i="20" s="1"/>
  <c r="Y643" i="44" s="1"/>
  <c r="S24" i="20"/>
  <c r="K24" i="20"/>
  <c r="K82" i="20" s="1"/>
  <c r="I643" i="44" s="1"/>
  <c r="E81" i="29"/>
  <c r="G81" i="41" s="1"/>
  <c r="I81" i="41" s="1"/>
  <c r="L61" i="29"/>
  <c r="K24" i="45"/>
  <c r="K16" i="45"/>
  <c r="L72" i="8"/>
  <c r="D70" i="32"/>
  <c r="D72" i="32" s="1"/>
  <c r="M22" i="8"/>
  <c r="E22" i="32" s="1"/>
  <c r="E22" i="5" s="1"/>
  <c r="G22" i="8"/>
  <c r="D75" i="20"/>
  <c r="F75" i="32" s="1"/>
  <c r="H75" i="32" s="1"/>
  <c r="E34" i="20"/>
  <c r="G34" i="32" s="1"/>
  <c r="G36" i="20"/>
  <c r="G29" i="20"/>
  <c r="E27" i="20"/>
  <c r="E79" i="29"/>
  <c r="G79" i="41" s="1"/>
  <c r="I79" i="41" s="1"/>
  <c r="E78" i="29"/>
  <c r="G78" i="41" s="1"/>
  <c r="I78" i="41" s="1"/>
  <c r="AG42" i="29"/>
  <c r="AG43" i="29" s="1"/>
  <c r="Y42" i="29"/>
  <c r="Y43" i="29" s="1"/>
  <c r="Q42" i="29"/>
  <c r="Q43" i="29" s="1"/>
  <c r="I42" i="29"/>
  <c r="I43" i="29" s="1"/>
  <c r="M34" i="17"/>
  <c r="M36" i="17" s="1"/>
  <c r="G34" i="17"/>
  <c r="B124" i="4"/>
  <c r="M59" i="8"/>
  <c r="G59" i="8"/>
  <c r="G61" i="8" s="1"/>
  <c r="F15" i="8"/>
  <c r="D78" i="20"/>
  <c r="F78" i="32" s="1"/>
  <c r="H78" i="32" s="1"/>
  <c r="E49" i="20"/>
  <c r="G49" i="32" s="1"/>
  <c r="I49" i="32" s="1"/>
  <c r="R43" i="20"/>
  <c r="T42" i="20"/>
  <c r="T43" i="20" s="1"/>
  <c r="T82" i="20" s="1"/>
  <c r="R643" i="44" s="1"/>
  <c r="E28" i="20"/>
  <c r="G28" i="32" s="1"/>
  <c r="I28" i="32" s="1"/>
  <c r="E22" i="20"/>
  <c r="G22" i="32" s="1"/>
  <c r="I22" i="32" s="1"/>
  <c r="I24" i="20"/>
  <c r="H49" i="41"/>
  <c r="E60" i="29"/>
  <c r="G60" i="41" s="1"/>
  <c r="I60" i="41" s="1"/>
  <c r="G61" i="29"/>
  <c r="E59" i="29"/>
  <c r="AE82" i="29"/>
  <c r="AC642" i="44" s="1"/>
  <c r="H36" i="17"/>
  <c r="L34" i="17"/>
  <c r="L36" i="17" s="1"/>
  <c r="F34" i="17"/>
  <c r="H73" i="32"/>
  <c r="H72" i="8"/>
  <c r="G42" i="8"/>
  <c r="G43" i="8" s="1"/>
  <c r="M35" i="8"/>
  <c r="E35" i="32" s="1"/>
  <c r="G35" i="8"/>
  <c r="G33" i="8"/>
  <c r="G36" i="8" s="1"/>
  <c r="M33" i="8"/>
  <c r="E33" i="32" s="1"/>
  <c r="D79" i="20"/>
  <c r="F79" i="32" s="1"/>
  <c r="H79" i="32" s="1"/>
  <c r="AI56" i="20"/>
  <c r="AA56" i="20"/>
  <c r="S56" i="20"/>
  <c r="K56" i="20"/>
  <c r="AF82" i="20"/>
  <c r="AD643" i="44" s="1"/>
  <c r="X82" i="20"/>
  <c r="V643" i="44" s="1"/>
  <c r="P82" i="20"/>
  <c r="N643" i="44" s="1"/>
  <c r="D14" i="20"/>
  <c r="F14" i="32" s="1"/>
  <c r="H14" i="32" s="1"/>
  <c r="H16" i="20"/>
  <c r="H82" i="20" s="1"/>
  <c r="F643" i="44" s="1"/>
  <c r="F61" i="29"/>
  <c r="D59" i="29"/>
  <c r="L80" i="8"/>
  <c r="D80" i="32" s="1"/>
  <c r="D80" i="5" s="1"/>
  <c r="M77" i="8"/>
  <c r="E77" i="32" s="1"/>
  <c r="M72" i="8"/>
  <c r="H61" i="8"/>
  <c r="L59" i="8"/>
  <c r="M51" i="8"/>
  <c r="E51" i="32" s="1"/>
  <c r="I51" i="32" s="1"/>
  <c r="L39" i="8"/>
  <c r="D39" i="32" s="1"/>
  <c r="D39" i="5" s="1"/>
  <c r="L35" i="8"/>
  <c r="D35" i="32" s="1"/>
  <c r="H35" i="32" s="1"/>
  <c r="M32" i="8"/>
  <c r="L20" i="8"/>
  <c r="D20" i="32" s="1"/>
  <c r="H16" i="8"/>
  <c r="H82" i="8" s="1"/>
  <c r="M14" i="8"/>
  <c r="E14" i="32" s="1"/>
  <c r="I72" i="20"/>
  <c r="E71" i="20"/>
  <c r="G71" i="32" s="1"/>
  <c r="I71" i="32" s="1"/>
  <c r="E60" i="20"/>
  <c r="G60" i="32" s="1"/>
  <c r="I60" i="32" s="1"/>
  <c r="G61" i="20"/>
  <c r="E59" i="20"/>
  <c r="G42" i="20"/>
  <c r="G43" i="20" s="1"/>
  <c r="E40" i="20"/>
  <c r="AG24" i="20"/>
  <c r="Y24" i="20"/>
  <c r="Y82" i="20" s="1"/>
  <c r="W643" i="44" s="1"/>
  <c r="Q24" i="20"/>
  <c r="E16" i="41"/>
  <c r="E82" i="41" s="1"/>
  <c r="D77" i="29"/>
  <c r="F77" i="41" s="1"/>
  <c r="H77" i="41" s="1"/>
  <c r="AB61" i="29"/>
  <c r="AF82" i="29"/>
  <c r="AD642" i="44" s="1"/>
  <c r="F71" i="17"/>
  <c r="F72" i="17" s="1"/>
  <c r="L71" i="17"/>
  <c r="M29" i="8"/>
  <c r="D45" i="20"/>
  <c r="F45" i="32" s="1"/>
  <c r="D39" i="20"/>
  <c r="F39" i="32" s="1"/>
  <c r="W36" i="20"/>
  <c r="D27" i="20"/>
  <c r="F29" i="20"/>
  <c r="W24" i="20"/>
  <c r="O24" i="20"/>
  <c r="G11" i="8"/>
  <c r="G16" i="8" s="1"/>
  <c r="I16" i="8"/>
  <c r="D71" i="20"/>
  <c r="F71" i="32" s="1"/>
  <c r="H71" i="32" s="1"/>
  <c r="E64" i="20"/>
  <c r="I66" i="20"/>
  <c r="I82" i="20" s="1"/>
  <c r="G643" i="44" s="1"/>
  <c r="D47" i="20"/>
  <c r="F47" i="32" s="1"/>
  <c r="H47" i="32" s="1"/>
  <c r="Z43" i="20"/>
  <c r="J43" i="20"/>
  <c r="AB42" i="20"/>
  <c r="AB43" i="20" s="1"/>
  <c r="AB82" i="20" s="1"/>
  <c r="Z643" i="44" s="1"/>
  <c r="AH16" i="20"/>
  <c r="AH82" i="20" s="1"/>
  <c r="AF643" i="44" s="1"/>
  <c r="Z16" i="20"/>
  <c r="R16" i="20"/>
  <c r="J16" i="20"/>
  <c r="E77" i="29"/>
  <c r="G77" i="41" s="1"/>
  <c r="I77" i="41" s="1"/>
  <c r="E51" i="29"/>
  <c r="G51" i="41" s="1"/>
  <c r="I51" i="41" s="1"/>
  <c r="D33" i="29"/>
  <c r="F33" i="41" s="1"/>
  <c r="H33" i="41" s="1"/>
  <c r="N36" i="29"/>
  <c r="G73" i="17"/>
  <c r="M73" i="17"/>
  <c r="I36" i="8"/>
  <c r="E75" i="20"/>
  <c r="G75" i="32" s="1"/>
  <c r="I75" i="32" s="1"/>
  <c r="G66" i="20"/>
  <c r="E65" i="20"/>
  <c r="G65" i="32" s="1"/>
  <c r="AF66" i="20"/>
  <c r="X66" i="20"/>
  <c r="P66" i="20"/>
  <c r="H66" i="20"/>
  <c r="AJ56" i="20"/>
  <c r="D54" i="20"/>
  <c r="D51" i="20"/>
  <c r="F51" i="32" s="1"/>
  <c r="AK36" i="20"/>
  <c r="AC36" i="20"/>
  <c r="AC82" i="20" s="1"/>
  <c r="AA643" i="44" s="1"/>
  <c r="M36" i="20"/>
  <c r="E32" i="20"/>
  <c r="M24" i="20"/>
  <c r="M82" i="20" s="1"/>
  <c r="K643" i="44" s="1"/>
  <c r="E14" i="20"/>
  <c r="G14" i="32" s="1"/>
  <c r="I14" i="32" s="1"/>
  <c r="AG16" i="20"/>
  <c r="AG82" i="20" s="1"/>
  <c r="AE643" i="44" s="1"/>
  <c r="Q16" i="20"/>
  <c r="W82" i="29"/>
  <c r="U642" i="44" s="1"/>
  <c r="D15" i="20"/>
  <c r="F15" i="32" s="1"/>
  <c r="D80" i="29"/>
  <c r="F80" i="41" s="1"/>
  <c r="H80" i="41" s="1"/>
  <c r="D78" i="29"/>
  <c r="F78" i="41" s="1"/>
  <c r="H78" i="41" s="1"/>
  <c r="E71" i="29"/>
  <c r="G71" i="41" s="1"/>
  <c r="I71" i="41" s="1"/>
  <c r="O72" i="29"/>
  <c r="D70" i="29"/>
  <c r="AJ29" i="29"/>
  <c r="AJ82" i="29" s="1"/>
  <c r="AH642" i="44" s="1"/>
  <c r="AB29" i="29"/>
  <c r="AB82" i="29" s="1"/>
  <c r="Z642" i="44" s="1"/>
  <c r="T29" i="29"/>
  <c r="T82" i="29" s="1"/>
  <c r="R642" i="44" s="1"/>
  <c r="L29" i="29"/>
  <c r="D27" i="29"/>
  <c r="L39" i="17"/>
  <c r="F39" i="17"/>
  <c r="G32" i="17"/>
  <c r="I36" i="17"/>
  <c r="D23" i="20"/>
  <c r="F23" i="32" s="1"/>
  <c r="H23" i="32" s="1"/>
  <c r="D13" i="20"/>
  <c r="F13" i="32" s="1"/>
  <c r="H13" i="32" s="1"/>
  <c r="AE16" i="20"/>
  <c r="AE82" i="20" s="1"/>
  <c r="AC643" i="44" s="1"/>
  <c r="W16" i="20"/>
  <c r="O16" i="20"/>
  <c r="G16" i="20"/>
  <c r="E47" i="29"/>
  <c r="G47" i="41" s="1"/>
  <c r="I47" i="41" s="1"/>
  <c r="E45" i="29"/>
  <c r="G45" i="41" s="1"/>
  <c r="I45" i="41" s="1"/>
  <c r="F40" i="41"/>
  <c r="D39" i="29"/>
  <c r="F39" i="41" s="1"/>
  <c r="H39" i="41" s="1"/>
  <c r="E22" i="29"/>
  <c r="G22" i="41" s="1"/>
  <c r="I22" i="41" s="1"/>
  <c r="O24" i="29"/>
  <c r="E21" i="29"/>
  <c r="G21" i="41" s="1"/>
  <c r="I21" i="41" s="1"/>
  <c r="D14" i="29"/>
  <c r="F14" i="41" s="1"/>
  <c r="H14" i="41" s="1"/>
  <c r="K82" i="17"/>
  <c r="D55" i="20"/>
  <c r="F55" i="32" s="1"/>
  <c r="H55" i="32" s="1"/>
  <c r="D20" i="20"/>
  <c r="F20" i="32" s="1"/>
  <c r="F16" i="20"/>
  <c r="D11" i="20"/>
  <c r="D74" i="29"/>
  <c r="F74" i="41" s="1"/>
  <c r="H74" i="41" s="1"/>
  <c r="E64" i="29"/>
  <c r="I56" i="29"/>
  <c r="E55" i="29"/>
  <c r="G55" i="41" s="1"/>
  <c r="I55" i="41" s="1"/>
  <c r="E35" i="29"/>
  <c r="G35" i="41" s="1"/>
  <c r="I35" i="41" s="1"/>
  <c r="G36" i="29"/>
  <c r="D23" i="29"/>
  <c r="F23" i="41" s="1"/>
  <c r="H23" i="41" s="1"/>
  <c r="D22" i="29"/>
  <c r="F22" i="41" s="1"/>
  <c r="H22" i="41" s="1"/>
  <c r="P82" i="29"/>
  <c r="N642" i="44" s="1"/>
  <c r="Y82" i="29"/>
  <c r="W642" i="44" s="1"/>
  <c r="L43" i="17"/>
  <c r="AD36" i="20"/>
  <c r="AD82" i="20" s="1"/>
  <c r="AB643" i="44" s="1"/>
  <c r="V36" i="20"/>
  <c r="V82" i="20" s="1"/>
  <c r="T643" i="44" s="1"/>
  <c r="N36" i="20"/>
  <c r="N82" i="20" s="1"/>
  <c r="L643" i="44" s="1"/>
  <c r="D33" i="20"/>
  <c r="F33" i="32" s="1"/>
  <c r="H33" i="32" s="1"/>
  <c r="F36" i="20"/>
  <c r="D21" i="20"/>
  <c r="F21" i="32" s="1"/>
  <c r="E11" i="20"/>
  <c r="E75" i="29"/>
  <c r="G75" i="41" s="1"/>
  <c r="I75" i="41" s="1"/>
  <c r="J72" i="29"/>
  <c r="D55" i="29"/>
  <c r="F55" i="41" s="1"/>
  <c r="H55" i="41" s="1"/>
  <c r="H56" i="29"/>
  <c r="M24" i="29"/>
  <c r="X16" i="29"/>
  <c r="X82" i="29" s="1"/>
  <c r="V642" i="44" s="1"/>
  <c r="F24" i="20"/>
  <c r="D79" i="29"/>
  <c r="F79" i="41" s="1"/>
  <c r="H79" i="41" s="1"/>
  <c r="F72" i="29"/>
  <c r="D41" i="29"/>
  <c r="F41" i="41" s="1"/>
  <c r="H41" i="41" s="1"/>
  <c r="F42" i="29"/>
  <c r="F43" i="29" s="1"/>
  <c r="D35" i="29"/>
  <c r="F35" i="41" s="1"/>
  <c r="H35" i="41" s="1"/>
  <c r="E15" i="29"/>
  <c r="G15" i="41" s="1"/>
  <c r="I15" i="41" s="1"/>
  <c r="E13" i="29"/>
  <c r="G13" i="41" s="1"/>
  <c r="I13" i="41" s="1"/>
  <c r="G81" i="17"/>
  <c r="M81" i="17"/>
  <c r="M27" i="17"/>
  <c r="M29" i="17" s="1"/>
  <c r="G27" i="17"/>
  <c r="G29" i="17" s="1"/>
  <c r="D71" i="29"/>
  <c r="F71" i="41" s="1"/>
  <c r="H71" i="41" s="1"/>
  <c r="D51" i="29"/>
  <c r="F51" i="41" s="1"/>
  <c r="H51" i="41" s="1"/>
  <c r="D47" i="29"/>
  <c r="F47" i="41" s="1"/>
  <c r="H47" i="41" s="1"/>
  <c r="F36" i="29"/>
  <c r="D32" i="29"/>
  <c r="D28" i="29"/>
  <c r="F28" i="41" s="1"/>
  <c r="H28" i="41" s="1"/>
  <c r="AD82" i="29"/>
  <c r="AB642" i="44" s="1"/>
  <c r="E12" i="29"/>
  <c r="G12" i="41" s="1"/>
  <c r="I12" i="41" s="1"/>
  <c r="M12" i="17"/>
  <c r="M16" i="17" s="1"/>
  <c r="I16" i="17"/>
  <c r="I82" i="17" s="1"/>
  <c r="G12" i="17"/>
  <c r="G16" i="17" s="1"/>
  <c r="H20" i="41"/>
  <c r="D64" i="29"/>
  <c r="Z61" i="29"/>
  <c r="F56" i="29"/>
  <c r="D54" i="29"/>
  <c r="E32" i="29"/>
  <c r="E28" i="29"/>
  <c r="G28" i="41" s="1"/>
  <c r="I28" i="41" s="1"/>
  <c r="L16" i="29"/>
  <c r="L82" i="29" s="1"/>
  <c r="J642" i="44" s="1"/>
  <c r="D13" i="29"/>
  <c r="F13" i="41" s="1"/>
  <c r="H13" i="41" s="1"/>
  <c r="G60" i="17"/>
  <c r="G61" i="17" s="1"/>
  <c r="M60" i="17"/>
  <c r="M61" i="17" s="1"/>
  <c r="G14" i="17"/>
  <c r="M14" i="17"/>
  <c r="L12" i="17"/>
  <c r="L16" i="17" s="1"/>
  <c r="L82" i="17" s="1"/>
  <c r="F12" i="17"/>
  <c r="F16" i="17" s="1"/>
  <c r="H16" i="17"/>
  <c r="D16" i="41"/>
  <c r="D82" i="41" s="1"/>
  <c r="AK56" i="29"/>
  <c r="AK82" i="29" s="1"/>
  <c r="AI642" i="44" s="1"/>
  <c r="AC56" i="29"/>
  <c r="U56" i="29"/>
  <c r="U82" i="29" s="1"/>
  <c r="S642" i="44" s="1"/>
  <c r="M56" i="29"/>
  <c r="N43" i="29"/>
  <c r="AH42" i="29"/>
  <c r="AH43" i="29" s="1"/>
  <c r="Z42" i="29"/>
  <c r="Z43" i="29" s="1"/>
  <c r="R42" i="29"/>
  <c r="R43" i="29" s="1"/>
  <c r="J42" i="29"/>
  <c r="J43" i="29" s="1"/>
  <c r="K36" i="29"/>
  <c r="E33" i="29"/>
  <c r="G33" i="41" s="1"/>
  <c r="I33" i="41" s="1"/>
  <c r="H24" i="29"/>
  <c r="H82" i="29" s="1"/>
  <c r="F642" i="44" s="1"/>
  <c r="D21" i="29"/>
  <c r="F21" i="41" s="1"/>
  <c r="F80" i="17"/>
  <c r="L80" i="17"/>
  <c r="G76" i="17"/>
  <c r="M76" i="17"/>
  <c r="AG24" i="29"/>
  <c r="Y24" i="29"/>
  <c r="Q24" i="29"/>
  <c r="I24" i="29"/>
  <c r="I82" i="29" s="1"/>
  <c r="G642" i="44" s="1"/>
  <c r="E14" i="29"/>
  <c r="G14" i="41" s="1"/>
  <c r="I14" i="41" s="1"/>
  <c r="AI16" i="29"/>
  <c r="AI82" i="29" s="1"/>
  <c r="AG642" i="44" s="1"/>
  <c r="AA16" i="29"/>
  <c r="S16" i="29"/>
  <c r="K16" i="29"/>
  <c r="M70" i="17"/>
  <c r="M72" i="17" s="1"/>
  <c r="G70" i="17"/>
  <c r="G72" i="17" s="1"/>
  <c r="I72" i="17"/>
  <c r="L65" i="17"/>
  <c r="L66" i="17" s="1"/>
  <c r="H66" i="17"/>
  <c r="AH36" i="29"/>
  <c r="Z36" i="29"/>
  <c r="R36" i="29"/>
  <c r="J36" i="29"/>
  <c r="AI29" i="29"/>
  <c r="AA29" i="29"/>
  <c r="S29" i="29"/>
  <c r="K29" i="29"/>
  <c r="G24" i="29"/>
  <c r="E19" i="29"/>
  <c r="D15" i="29"/>
  <c r="F15" i="41" s="1"/>
  <c r="H15" i="41" s="1"/>
  <c r="G51" i="17"/>
  <c r="M51" i="17"/>
  <c r="I42" i="17"/>
  <c r="I43" i="17" s="1"/>
  <c r="G40" i="17"/>
  <c r="G42" i="17" s="1"/>
  <c r="G43" i="17" s="1"/>
  <c r="H29" i="17"/>
  <c r="L27" i="17"/>
  <c r="L29" i="17" s="1"/>
  <c r="E41" i="29"/>
  <c r="G41" i="41" s="1"/>
  <c r="I41" i="41" s="1"/>
  <c r="E40" i="29"/>
  <c r="AG36" i="29"/>
  <c r="Y36" i="29"/>
  <c r="Q36" i="29"/>
  <c r="I36" i="29"/>
  <c r="D12" i="29"/>
  <c r="F12" i="41" s="1"/>
  <c r="O16" i="29"/>
  <c r="E11" i="29"/>
  <c r="L79" i="17"/>
  <c r="F79" i="17"/>
  <c r="J82" i="17"/>
  <c r="G75" i="17"/>
  <c r="F66" i="17"/>
  <c r="G55" i="17"/>
  <c r="G56" i="17" s="1"/>
  <c r="L24" i="17"/>
  <c r="N24" i="29"/>
  <c r="F24" i="29"/>
  <c r="F82" i="29" s="1"/>
  <c r="AH16" i="29"/>
  <c r="Z16" i="29"/>
  <c r="R16" i="29"/>
  <c r="R82" i="29" s="1"/>
  <c r="P642" i="44" s="1"/>
  <c r="J16" i="29"/>
  <c r="J82" i="29" s="1"/>
  <c r="H642" i="44" s="1"/>
  <c r="H72" i="17"/>
  <c r="L70" i="17"/>
  <c r="I61" i="17"/>
  <c r="F56" i="17"/>
  <c r="F40" i="17"/>
  <c r="F42" i="17" s="1"/>
  <c r="F43" i="17" s="1"/>
  <c r="H42" i="17"/>
  <c r="H43" i="17" s="1"/>
  <c r="F36" i="17"/>
  <c r="F59" i="17"/>
  <c r="F61" i="17" s="1"/>
  <c r="H61" i="17"/>
  <c r="I79" i="39" l="1"/>
  <c r="R644" i="44"/>
  <c r="T91" i="21"/>
  <c r="H23" i="39"/>
  <c r="L82" i="27"/>
  <c r="I39" i="36"/>
  <c r="I55" i="36"/>
  <c r="AI648" i="44"/>
  <c r="AK91" i="25"/>
  <c r="I51" i="39"/>
  <c r="H47" i="36"/>
  <c r="I648" i="44"/>
  <c r="K84" i="25"/>
  <c r="K91" i="25"/>
  <c r="I47" i="36"/>
  <c r="G645" i="44"/>
  <c r="I84" i="46"/>
  <c r="H28" i="36"/>
  <c r="G32" i="36"/>
  <c r="AI650" i="44"/>
  <c r="AK91" i="27"/>
  <c r="H76" i="36"/>
  <c r="M82" i="46"/>
  <c r="M91" i="46" s="1"/>
  <c r="H648" i="44"/>
  <c r="J91" i="25"/>
  <c r="G82" i="14"/>
  <c r="I14" i="36"/>
  <c r="I65" i="39"/>
  <c r="I20" i="36"/>
  <c r="F82" i="11"/>
  <c r="H22" i="39"/>
  <c r="H12" i="39"/>
  <c r="S648" i="44"/>
  <c r="U91" i="25"/>
  <c r="J644" i="44"/>
  <c r="L91" i="21"/>
  <c r="G11" i="36"/>
  <c r="H23" i="36"/>
  <c r="H78" i="39"/>
  <c r="H20" i="36"/>
  <c r="I51" i="36"/>
  <c r="Z648" i="44"/>
  <c r="AB91" i="25"/>
  <c r="F59" i="32"/>
  <c r="D61" i="20"/>
  <c r="F51" i="12"/>
  <c r="L51" i="12"/>
  <c r="D51" i="36" s="1"/>
  <c r="H51" i="36" s="1"/>
  <c r="G15" i="12"/>
  <c r="M15" i="12"/>
  <c r="E15" i="36" s="1"/>
  <c r="M21" i="45"/>
  <c r="G21" i="45"/>
  <c r="H653" i="44"/>
  <c r="J91" i="31"/>
  <c r="D66" i="24"/>
  <c r="F64" i="36"/>
  <c r="F66" i="46"/>
  <c r="D64" i="46"/>
  <c r="M79" i="45"/>
  <c r="G79" i="45"/>
  <c r="G27" i="12"/>
  <c r="G29" i="12" s="1"/>
  <c r="M27" i="12"/>
  <c r="I29" i="12"/>
  <c r="J82" i="46"/>
  <c r="J91" i="46" s="1"/>
  <c r="M20" i="45"/>
  <c r="G20" i="45"/>
  <c r="D73" i="46"/>
  <c r="F73" i="47" s="1"/>
  <c r="H73" i="47" s="1"/>
  <c r="X43" i="46"/>
  <c r="F36" i="46"/>
  <c r="D32" i="46"/>
  <c r="G70" i="33"/>
  <c r="E72" i="21"/>
  <c r="M648" i="44"/>
  <c r="O91" i="25"/>
  <c r="H47" i="39"/>
  <c r="D77" i="46"/>
  <c r="F77" i="47" s="1"/>
  <c r="H77" i="47" s="1"/>
  <c r="D89" i="27"/>
  <c r="F86" i="39"/>
  <c r="E16" i="23"/>
  <c r="G11" i="35"/>
  <c r="AD82" i="27"/>
  <c r="H14" i="39"/>
  <c r="F56" i="15"/>
  <c r="R648" i="44"/>
  <c r="T91" i="25"/>
  <c r="L74" i="15"/>
  <c r="D74" i="39" s="1"/>
  <c r="H74" i="39" s="1"/>
  <c r="F74" i="15"/>
  <c r="P24" i="27"/>
  <c r="P82" i="27" s="1"/>
  <c r="E86" i="39"/>
  <c r="M41" i="15"/>
  <c r="E41" i="39" s="1"/>
  <c r="G41" i="15"/>
  <c r="G11" i="40"/>
  <c r="E16" i="28"/>
  <c r="D19" i="37"/>
  <c r="D24" i="37" s="1"/>
  <c r="L24" i="13"/>
  <c r="F15" i="15"/>
  <c r="L15" i="15"/>
  <c r="D15" i="39" s="1"/>
  <c r="H15" i="39" s="1"/>
  <c r="I54" i="40"/>
  <c r="I56" i="40" s="1"/>
  <c r="G56" i="40"/>
  <c r="E61" i="29"/>
  <c r="G59" i="41"/>
  <c r="S82" i="20"/>
  <c r="Q643" i="44" s="1"/>
  <c r="I82" i="21"/>
  <c r="E36" i="21"/>
  <c r="G32" i="33"/>
  <c r="N16" i="24"/>
  <c r="N82" i="24" s="1"/>
  <c r="L647" i="44" s="1"/>
  <c r="G86" i="5"/>
  <c r="I86" i="43"/>
  <c r="G89" i="43"/>
  <c r="L28" i="45"/>
  <c r="F28" i="45"/>
  <c r="M15" i="45"/>
  <c r="G15" i="45"/>
  <c r="AG653" i="44"/>
  <c r="AI91" i="31"/>
  <c r="G75" i="12"/>
  <c r="M75" i="12"/>
  <c r="E75" i="36" s="1"/>
  <c r="M644" i="44"/>
  <c r="O91" i="21"/>
  <c r="D34" i="46"/>
  <c r="F34" i="47" s="1"/>
  <c r="H34" i="47" s="1"/>
  <c r="D32" i="43"/>
  <c r="D36" i="43" s="1"/>
  <c r="L36" i="19"/>
  <c r="E33" i="24"/>
  <c r="G33" i="36" s="1"/>
  <c r="I33" i="36" s="1"/>
  <c r="V61" i="46"/>
  <c r="AE36" i="24"/>
  <c r="E27" i="46"/>
  <c r="R16" i="46"/>
  <c r="D70" i="46"/>
  <c r="F72" i="46"/>
  <c r="F64" i="15"/>
  <c r="F66" i="15" s="1"/>
  <c r="H66" i="15"/>
  <c r="L64" i="15"/>
  <c r="E29" i="23"/>
  <c r="G27" i="35"/>
  <c r="D36" i="42"/>
  <c r="AF648" i="44"/>
  <c r="AH91" i="25"/>
  <c r="M45" i="15"/>
  <c r="E45" i="39" s="1"/>
  <c r="G45" i="15"/>
  <c r="L56" i="27"/>
  <c r="AG82" i="25"/>
  <c r="E36" i="29"/>
  <c r="G32" i="41"/>
  <c r="G36" i="17"/>
  <c r="G82" i="17" s="1"/>
  <c r="D24" i="32"/>
  <c r="H19" i="32"/>
  <c r="I36" i="12"/>
  <c r="G32" i="12"/>
  <c r="M32" i="12"/>
  <c r="G653" i="44"/>
  <c r="I91" i="31"/>
  <c r="F35" i="45"/>
  <c r="L35" i="45"/>
  <c r="G64" i="12"/>
  <c r="M64" i="12"/>
  <c r="I66" i="12"/>
  <c r="E41" i="24"/>
  <c r="G41" i="36" s="1"/>
  <c r="U72" i="46"/>
  <c r="D54" i="34"/>
  <c r="D56" i="34" s="1"/>
  <c r="L56" i="10"/>
  <c r="M75" i="45"/>
  <c r="G75" i="45"/>
  <c r="Q56" i="46"/>
  <c r="X653" i="44"/>
  <c r="Z91" i="31"/>
  <c r="L80" i="45"/>
  <c r="F80" i="45"/>
  <c r="I82" i="11"/>
  <c r="I84" i="45" s="1"/>
  <c r="U653" i="44"/>
  <c r="W91" i="31"/>
  <c r="E21" i="24"/>
  <c r="G21" i="36" s="1"/>
  <c r="J36" i="24"/>
  <c r="I79" i="35"/>
  <c r="T24" i="24"/>
  <c r="F11" i="15"/>
  <c r="H16" i="15"/>
  <c r="L11" i="15"/>
  <c r="L70" i="15"/>
  <c r="H72" i="15"/>
  <c r="F70" i="15"/>
  <c r="AE82" i="27"/>
  <c r="X66" i="27"/>
  <c r="AC648" i="44"/>
  <c r="AE91" i="25"/>
  <c r="G23" i="5"/>
  <c r="I23" i="5" s="1"/>
  <c r="L14" i="15"/>
  <c r="D14" i="39" s="1"/>
  <c r="F14" i="15"/>
  <c r="M56" i="27"/>
  <c r="F56" i="34"/>
  <c r="M72" i="18"/>
  <c r="E70" i="42"/>
  <c r="AH82" i="26"/>
  <c r="AF649" i="44" s="1"/>
  <c r="F49" i="12"/>
  <c r="L49" i="12"/>
  <c r="D49" i="36" s="1"/>
  <c r="D33" i="46"/>
  <c r="F33" i="47" s="1"/>
  <c r="H33" i="47" s="1"/>
  <c r="D20" i="27"/>
  <c r="F20" i="39" s="1"/>
  <c r="H20" i="39" s="1"/>
  <c r="F24" i="42"/>
  <c r="D40" i="27"/>
  <c r="G54" i="35"/>
  <c r="E56" i="23"/>
  <c r="G33" i="5"/>
  <c r="Q29" i="27"/>
  <c r="D16" i="37"/>
  <c r="AB82" i="27"/>
  <c r="D36" i="26"/>
  <c r="O24" i="27"/>
  <c r="O82" i="27" s="1"/>
  <c r="E20" i="46"/>
  <c r="G20" i="47" s="1"/>
  <c r="I20" i="47" s="1"/>
  <c r="D55" i="27"/>
  <c r="F55" i="39" s="1"/>
  <c r="H55" i="39" s="1"/>
  <c r="E16" i="37"/>
  <c r="M82" i="25"/>
  <c r="F65" i="5"/>
  <c r="H65" i="5" s="1"/>
  <c r="M55" i="15"/>
  <c r="E55" i="39" s="1"/>
  <c r="I55" i="39" s="1"/>
  <c r="G55" i="15"/>
  <c r="F82" i="16"/>
  <c r="G82" i="16"/>
  <c r="M13" i="45"/>
  <c r="G13" i="45"/>
  <c r="M51" i="15"/>
  <c r="E51" i="39" s="1"/>
  <c r="G51" i="15"/>
  <c r="G64" i="40"/>
  <c r="E66" i="28"/>
  <c r="H80" i="38"/>
  <c r="E61" i="25"/>
  <c r="G59" i="37"/>
  <c r="H71" i="38"/>
  <c r="D64" i="32"/>
  <c r="D66" i="32" s="1"/>
  <c r="L66" i="8"/>
  <c r="H36" i="46"/>
  <c r="F19" i="38"/>
  <c r="D24" i="26"/>
  <c r="I56" i="15"/>
  <c r="E82" i="40"/>
  <c r="AH82" i="29"/>
  <c r="AF642" i="44" s="1"/>
  <c r="Q82" i="29"/>
  <c r="O642" i="44" s="1"/>
  <c r="D56" i="29"/>
  <c r="F54" i="41"/>
  <c r="D16" i="29"/>
  <c r="D24" i="29"/>
  <c r="E66" i="29"/>
  <c r="G64" i="41"/>
  <c r="G82" i="20"/>
  <c r="F11" i="4" s="1"/>
  <c r="D72" i="29"/>
  <c r="F70" i="41"/>
  <c r="D56" i="20"/>
  <c r="F54" i="32"/>
  <c r="J82" i="20"/>
  <c r="H643" i="44" s="1"/>
  <c r="D36" i="20"/>
  <c r="F32" i="32"/>
  <c r="I39" i="32"/>
  <c r="G39" i="5"/>
  <c r="I39" i="5" s="1"/>
  <c r="Y82" i="21"/>
  <c r="F54" i="33"/>
  <c r="D56" i="21"/>
  <c r="D36" i="21"/>
  <c r="F32" i="33"/>
  <c r="L82" i="9"/>
  <c r="L91" i="9" s="1"/>
  <c r="F73" i="45"/>
  <c r="L73" i="45"/>
  <c r="M32" i="45"/>
  <c r="G32" i="45"/>
  <c r="I36" i="45"/>
  <c r="AC82" i="21"/>
  <c r="O653" i="44"/>
  <c r="Q91" i="31"/>
  <c r="F40" i="45"/>
  <c r="H42" i="45"/>
  <c r="H43" i="45" s="1"/>
  <c r="L40" i="45"/>
  <c r="M19" i="12"/>
  <c r="I24" i="12"/>
  <c r="G19" i="12"/>
  <c r="G24" i="12" s="1"/>
  <c r="M23" i="45"/>
  <c r="G23" i="45"/>
  <c r="M64" i="45"/>
  <c r="I66" i="45"/>
  <c r="G64" i="45"/>
  <c r="AC72" i="46"/>
  <c r="D11" i="46"/>
  <c r="G66" i="19"/>
  <c r="G82" i="19" s="1"/>
  <c r="G91" i="19" s="1"/>
  <c r="R653" i="44"/>
  <c r="T91" i="31"/>
  <c r="H56" i="45"/>
  <c r="L54" i="45"/>
  <c r="F54" i="45"/>
  <c r="H36" i="24"/>
  <c r="D32" i="24"/>
  <c r="AB42" i="46"/>
  <c r="AB43" i="46" s="1"/>
  <c r="D49" i="24"/>
  <c r="F49" i="36" s="1"/>
  <c r="H49" i="36" s="1"/>
  <c r="AD72" i="46"/>
  <c r="M66" i="10"/>
  <c r="M77" i="12"/>
  <c r="E77" i="36" s="1"/>
  <c r="I77" i="36" s="1"/>
  <c r="G77" i="12"/>
  <c r="AE29" i="24"/>
  <c r="Q36" i="24"/>
  <c r="M43" i="24"/>
  <c r="Y56" i="24"/>
  <c r="AE82" i="21"/>
  <c r="AF653" i="44"/>
  <c r="AH91" i="31"/>
  <c r="D82" i="6"/>
  <c r="G49" i="12"/>
  <c r="M49" i="12"/>
  <c r="E49" i="36" s="1"/>
  <c r="G61" i="10"/>
  <c r="G82" i="10" s="1"/>
  <c r="M16" i="24"/>
  <c r="T29" i="46"/>
  <c r="V36" i="46"/>
  <c r="J66" i="24"/>
  <c r="E36" i="31"/>
  <c r="G32" i="43"/>
  <c r="AB16" i="24"/>
  <c r="AB82" i="24" s="1"/>
  <c r="Z647" i="44" s="1"/>
  <c r="D21" i="24"/>
  <c r="F21" i="36" s="1"/>
  <c r="H21" i="36" s="1"/>
  <c r="D22" i="24"/>
  <c r="F22" i="36" s="1"/>
  <c r="D22" i="46"/>
  <c r="F22" i="47" s="1"/>
  <c r="H22" i="47" s="1"/>
  <c r="D19" i="36"/>
  <c r="D24" i="36" s="1"/>
  <c r="E64" i="24"/>
  <c r="L59" i="45"/>
  <c r="L61" i="45" s="1"/>
  <c r="F59" i="45"/>
  <c r="F61" i="45" s="1"/>
  <c r="H61" i="45"/>
  <c r="AC42" i="46"/>
  <c r="AC43" i="46" s="1"/>
  <c r="E51" i="46"/>
  <c r="G51" i="47" s="1"/>
  <c r="I51" i="47" s="1"/>
  <c r="L47" i="12"/>
  <c r="D47" i="36" s="1"/>
  <c r="F47" i="12"/>
  <c r="F82" i="22"/>
  <c r="R36" i="24"/>
  <c r="AD61" i="46"/>
  <c r="P72" i="24"/>
  <c r="D41" i="46"/>
  <c r="F41" i="47" s="1"/>
  <c r="H41" i="47" s="1"/>
  <c r="D65" i="46"/>
  <c r="F65" i="47" s="1"/>
  <c r="H65" i="47" s="1"/>
  <c r="L23" i="12"/>
  <c r="D23" i="36" s="1"/>
  <c r="F23" i="12"/>
  <c r="K82" i="22"/>
  <c r="I646" i="44" s="1"/>
  <c r="I34" i="34"/>
  <c r="T24" i="46"/>
  <c r="D13" i="46"/>
  <c r="F13" i="47" s="1"/>
  <c r="H13" i="47" s="1"/>
  <c r="AD29" i="24"/>
  <c r="F40" i="33"/>
  <c r="D42" i="21"/>
  <c r="D43" i="21" s="1"/>
  <c r="G82" i="22"/>
  <c r="F13" i="4" s="1"/>
  <c r="G19" i="34"/>
  <c r="E24" i="22"/>
  <c r="W42" i="46"/>
  <c r="W43" i="46" s="1"/>
  <c r="L36" i="11"/>
  <c r="F75" i="15"/>
  <c r="L75" i="15"/>
  <c r="D75" i="39" s="1"/>
  <c r="H75" i="39" s="1"/>
  <c r="AF82" i="22"/>
  <c r="AD646" i="44" s="1"/>
  <c r="I81" i="42"/>
  <c r="G81" i="5"/>
  <c r="I81" i="5" s="1"/>
  <c r="L20" i="45"/>
  <c r="F20" i="45"/>
  <c r="H16" i="46"/>
  <c r="E16" i="42"/>
  <c r="E11" i="5"/>
  <c r="E42" i="30"/>
  <c r="E43" i="30" s="1"/>
  <c r="G74" i="5"/>
  <c r="I74" i="5" s="1"/>
  <c r="M23" i="15"/>
  <c r="E23" i="39" s="1"/>
  <c r="I23" i="39" s="1"/>
  <c r="G23" i="15"/>
  <c r="E33" i="27"/>
  <c r="G33" i="39" s="1"/>
  <c r="I33" i="39" s="1"/>
  <c r="H14" i="37"/>
  <c r="O61" i="46"/>
  <c r="D70" i="27"/>
  <c r="H82" i="13"/>
  <c r="H91" i="13" s="1"/>
  <c r="K29" i="27"/>
  <c r="K82" i="27" s="1"/>
  <c r="I66" i="27"/>
  <c r="E64" i="27"/>
  <c r="U36" i="46"/>
  <c r="E29" i="33"/>
  <c r="Z16" i="46"/>
  <c r="T36" i="24"/>
  <c r="H49" i="34"/>
  <c r="H76" i="34"/>
  <c r="M35" i="12"/>
  <c r="E35" i="36" s="1"/>
  <c r="I35" i="36" s="1"/>
  <c r="G35" i="12"/>
  <c r="L82" i="23"/>
  <c r="J645" i="44" s="1"/>
  <c r="V72" i="24"/>
  <c r="I29" i="27"/>
  <c r="G14" i="15"/>
  <c r="M14" i="15"/>
  <c r="E14" i="39" s="1"/>
  <c r="I14" i="39" s="1"/>
  <c r="AB43" i="27"/>
  <c r="D89" i="37"/>
  <c r="E36" i="22"/>
  <c r="AF650" i="44"/>
  <c r="AH91" i="27"/>
  <c r="Q42" i="46"/>
  <c r="Q43" i="46" s="1"/>
  <c r="G55" i="42"/>
  <c r="E56" i="30"/>
  <c r="L36" i="13"/>
  <c r="D32" i="37"/>
  <c r="D36" i="37" s="1"/>
  <c r="N82" i="25"/>
  <c r="G19" i="37"/>
  <c r="E24" i="25"/>
  <c r="I42" i="27"/>
  <c r="I43" i="27" s="1"/>
  <c r="E13" i="38"/>
  <c r="E16" i="38" s="1"/>
  <c r="M16" i="14"/>
  <c r="I19" i="42"/>
  <c r="G24" i="42"/>
  <c r="U82" i="26"/>
  <c r="S649" i="44" s="1"/>
  <c r="J29" i="27"/>
  <c r="I86" i="27"/>
  <c r="E86" i="26"/>
  <c r="E88" i="26" s="1"/>
  <c r="I88" i="26"/>
  <c r="I88" i="27" s="1"/>
  <c r="E88" i="27" s="1"/>
  <c r="G88" i="39" s="1"/>
  <c r="F78" i="15"/>
  <c r="L78" i="15"/>
  <c r="D78" i="39" s="1"/>
  <c r="AE42" i="27"/>
  <c r="AE43" i="27" s="1"/>
  <c r="L49" i="45"/>
  <c r="F49" i="45"/>
  <c r="D45" i="5"/>
  <c r="AD61" i="27"/>
  <c r="D64" i="5"/>
  <c r="D66" i="5" s="1"/>
  <c r="H64" i="42"/>
  <c r="H66" i="42" s="1"/>
  <c r="D66" i="42"/>
  <c r="L16" i="13"/>
  <c r="L45" i="15"/>
  <c r="D45" i="39" s="1"/>
  <c r="H45" i="39" s="1"/>
  <c r="F45" i="15"/>
  <c r="AH648" i="44"/>
  <c r="AJ91" i="25"/>
  <c r="I22" i="38"/>
  <c r="T36" i="27"/>
  <c r="T82" i="27" s="1"/>
  <c r="F59" i="40"/>
  <c r="D61" i="28"/>
  <c r="F64" i="37"/>
  <c r="D66" i="25"/>
  <c r="W61" i="27"/>
  <c r="AD650" i="44"/>
  <c r="AF91" i="27"/>
  <c r="F22" i="15"/>
  <c r="L22" i="15"/>
  <c r="D22" i="39" s="1"/>
  <c r="M82" i="27"/>
  <c r="T82" i="28"/>
  <c r="R651" i="44" s="1"/>
  <c r="D16" i="28"/>
  <c r="F11" i="40"/>
  <c r="M74" i="15"/>
  <c r="E74" i="39" s="1"/>
  <c r="G74" i="15"/>
  <c r="G40" i="38"/>
  <c r="E42" i="26"/>
  <c r="E43" i="26" s="1"/>
  <c r="F24" i="13"/>
  <c r="F16" i="10"/>
  <c r="F82" i="10" s="1"/>
  <c r="G34" i="12"/>
  <c r="M34" i="12"/>
  <c r="E34" i="36" s="1"/>
  <c r="I34" i="36" s="1"/>
  <c r="H22" i="42"/>
  <c r="F22" i="5"/>
  <c r="H22" i="5" s="1"/>
  <c r="M76" i="15"/>
  <c r="E76" i="39" s="1"/>
  <c r="G76" i="15"/>
  <c r="G24" i="13"/>
  <c r="X648" i="44"/>
  <c r="Z91" i="25"/>
  <c r="D56" i="26"/>
  <c r="F54" i="38"/>
  <c r="W42" i="27"/>
  <c r="W43" i="27" s="1"/>
  <c r="D29" i="26"/>
  <c r="D24" i="40"/>
  <c r="E74" i="27"/>
  <c r="G74" i="39" s="1"/>
  <c r="L56" i="12"/>
  <c r="D54" i="36"/>
  <c r="D56" i="36" s="1"/>
  <c r="X24" i="27"/>
  <c r="X82" i="27" s="1"/>
  <c r="F66" i="40"/>
  <c r="H64" i="40"/>
  <c r="H66" i="40" s="1"/>
  <c r="E54" i="39"/>
  <c r="E56" i="39" s="1"/>
  <c r="M56" i="15"/>
  <c r="F40" i="38"/>
  <c r="D42" i="26"/>
  <c r="D43" i="26" s="1"/>
  <c r="H39" i="38"/>
  <c r="O89" i="27"/>
  <c r="L82" i="16"/>
  <c r="H82" i="17"/>
  <c r="I35" i="32"/>
  <c r="E29" i="29"/>
  <c r="G27" i="41"/>
  <c r="Q644" i="44"/>
  <c r="S91" i="21"/>
  <c r="M73" i="45"/>
  <c r="G73" i="45"/>
  <c r="F11" i="43"/>
  <c r="D16" i="31"/>
  <c r="F28" i="12"/>
  <c r="L28" i="12"/>
  <c r="D28" i="36" s="1"/>
  <c r="I56" i="45"/>
  <c r="M54" i="45"/>
  <c r="M56" i="45" s="1"/>
  <c r="G54" i="45"/>
  <c r="G56" i="45" s="1"/>
  <c r="G12" i="45"/>
  <c r="M12" i="45"/>
  <c r="F21" i="4"/>
  <c r="G91" i="31"/>
  <c r="L75" i="45"/>
  <c r="F75" i="45"/>
  <c r="E54" i="24"/>
  <c r="I56" i="24"/>
  <c r="G55" i="45"/>
  <c r="M55" i="45"/>
  <c r="D59" i="24"/>
  <c r="H61" i="24"/>
  <c r="E40" i="46"/>
  <c r="G42" i="46"/>
  <c r="G43" i="46" s="1"/>
  <c r="F19" i="34"/>
  <c r="D24" i="22"/>
  <c r="M72" i="11"/>
  <c r="E70" i="35"/>
  <c r="E72" i="35" s="1"/>
  <c r="L27" i="12"/>
  <c r="H29" i="12"/>
  <c r="F27" i="12"/>
  <c r="F29" i="12" s="1"/>
  <c r="AC24" i="24"/>
  <c r="L13" i="12"/>
  <c r="D13" i="36" s="1"/>
  <c r="H13" i="36" s="1"/>
  <c r="F13" i="12"/>
  <c r="I28" i="42"/>
  <c r="G28" i="5"/>
  <c r="D72" i="23"/>
  <c r="F70" i="35"/>
  <c r="L73" i="15"/>
  <c r="D73" i="39" s="1"/>
  <c r="F73" i="15"/>
  <c r="I36" i="15"/>
  <c r="M32" i="15"/>
  <c r="G32" i="15"/>
  <c r="AC36" i="46"/>
  <c r="I41" i="42"/>
  <c r="I42" i="42" s="1"/>
  <c r="I43" i="42" s="1"/>
  <c r="G41" i="5"/>
  <c r="D36" i="22"/>
  <c r="F32" i="34"/>
  <c r="G54" i="39"/>
  <c r="E56" i="27"/>
  <c r="D49" i="46"/>
  <c r="F49" i="47" s="1"/>
  <c r="H49" i="47" s="1"/>
  <c r="L61" i="18"/>
  <c r="D59" i="42"/>
  <c r="E54" i="37"/>
  <c r="E56" i="37" s="1"/>
  <c r="M56" i="13"/>
  <c r="H34" i="39"/>
  <c r="I24" i="15"/>
  <c r="M19" i="15"/>
  <c r="G19" i="15"/>
  <c r="E29" i="28"/>
  <c r="G27" i="40"/>
  <c r="E64" i="37"/>
  <c r="E66" i="37" s="1"/>
  <c r="M66" i="13"/>
  <c r="I77" i="40"/>
  <c r="I76" i="32"/>
  <c r="G76" i="5"/>
  <c r="D43" i="32"/>
  <c r="L51" i="45"/>
  <c r="F51" i="45"/>
  <c r="M81" i="12"/>
  <c r="E81" i="36" s="1"/>
  <c r="I81" i="36" s="1"/>
  <c r="G81" i="12"/>
  <c r="G77" i="45"/>
  <c r="M77" i="45"/>
  <c r="G61" i="43"/>
  <c r="E16" i="22"/>
  <c r="G11" i="34"/>
  <c r="N72" i="46"/>
  <c r="P653" i="44"/>
  <c r="R91" i="31"/>
  <c r="M35" i="45"/>
  <c r="G35" i="45"/>
  <c r="N36" i="24"/>
  <c r="H644" i="44"/>
  <c r="J91" i="21"/>
  <c r="T16" i="24"/>
  <c r="D24" i="23"/>
  <c r="F19" i="35"/>
  <c r="Y644" i="44"/>
  <c r="AA91" i="21"/>
  <c r="E15" i="46"/>
  <c r="G15" i="47" s="1"/>
  <c r="I15" i="47" s="1"/>
  <c r="E59" i="24"/>
  <c r="AI82" i="22"/>
  <c r="AG646" i="44" s="1"/>
  <c r="I73" i="34"/>
  <c r="G73" i="5"/>
  <c r="I73" i="5" s="1"/>
  <c r="D61" i="21"/>
  <c r="F59" i="33"/>
  <c r="U648" i="44"/>
  <c r="W91" i="25"/>
  <c r="F55" i="5"/>
  <c r="H55" i="5" s="1"/>
  <c r="E56" i="25"/>
  <c r="G54" i="37"/>
  <c r="T56" i="27"/>
  <c r="M61" i="14"/>
  <c r="E59" i="38"/>
  <c r="E61" i="38" s="1"/>
  <c r="F56" i="46"/>
  <c r="D54" i="46"/>
  <c r="E29" i="30"/>
  <c r="L41" i="15"/>
  <c r="D41" i="39" s="1"/>
  <c r="H41" i="39" s="1"/>
  <c r="F41" i="15"/>
  <c r="D16" i="26"/>
  <c r="F11" i="38"/>
  <c r="F81" i="5"/>
  <c r="H81" i="5" s="1"/>
  <c r="L42" i="16"/>
  <c r="L43" i="16" s="1"/>
  <c r="D40" i="40"/>
  <c r="I82" i="16"/>
  <c r="E72" i="20"/>
  <c r="G70" i="32"/>
  <c r="E19" i="37"/>
  <c r="E24" i="37" s="1"/>
  <c r="M24" i="13"/>
  <c r="M82" i="13" s="1"/>
  <c r="D51" i="5"/>
  <c r="M82" i="16"/>
  <c r="H21" i="32"/>
  <c r="F21" i="5"/>
  <c r="Q82" i="20"/>
  <c r="O643" i="44" s="1"/>
  <c r="L61" i="8"/>
  <c r="D59" i="32"/>
  <c r="D61" i="32" s="1"/>
  <c r="L22" i="45"/>
  <c r="F22" i="45"/>
  <c r="E19" i="43"/>
  <c r="M24" i="19"/>
  <c r="M81" i="45"/>
  <c r="G81" i="45"/>
  <c r="M82" i="21"/>
  <c r="M19" i="45"/>
  <c r="G19" i="45"/>
  <c r="I24" i="45"/>
  <c r="H91" i="9"/>
  <c r="T43" i="46"/>
  <c r="U644" i="44"/>
  <c r="W91" i="21"/>
  <c r="T16" i="46"/>
  <c r="AG644" i="44"/>
  <c r="AI91" i="21"/>
  <c r="E75" i="27"/>
  <c r="G75" i="39" s="1"/>
  <c r="I75" i="39" s="1"/>
  <c r="I51" i="34"/>
  <c r="G51" i="5"/>
  <c r="I51" i="5" s="1"/>
  <c r="E41" i="27"/>
  <c r="G41" i="39" s="1"/>
  <c r="F20" i="43"/>
  <c r="D24" i="31"/>
  <c r="M13" i="15"/>
  <c r="E13" i="39" s="1"/>
  <c r="G13" i="15"/>
  <c r="P82" i="25"/>
  <c r="E23" i="46"/>
  <c r="G23" i="47" s="1"/>
  <c r="I23" i="47" s="1"/>
  <c r="I45" i="39"/>
  <c r="I87" i="27"/>
  <c r="E87" i="27" s="1"/>
  <c r="G87" i="39" s="1"/>
  <c r="E87" i="26"/>
  <c r="I34" i="32"/>
  <c r="G34" i="5"/>
  <c r="D72" i="20"/>
  <c r="F70" i="32"/>
  <c r="H89" i="45"/>
  <c r="F86" i="45"/>
  <c r="F89" i="45" s="1"/>
  <c r="L86" i="45"/>
  <c r="L89" i="45" s="1"/>
  <c r="M86" i="45"/>
  <c r="M89" i="45" s="1"/>
  <c r="I89" i="45"/>
  <c r="G86" i="45"/>
  <c r="G89" i="45" s="1"/>
  <c r="F11" i="33"/>
  <c r="F11" i="5" s="1"/>
  <c r="D16" i="21"/>
  <c r="D82" i="21" s="1"/>
  <c r="W653" i="44"/>
  <c r="Y91" i="31"/>
  <c r="F24" i="9"/>
  <c r="F82" i="9" s="1"/>
  <c r="F91" i="9" s="1"/>
  <c r="G33" i="12"/>
  <c r="M33" i="12"/>
  <c r="E33" i="36" s="1"/>
  <c r="D27" i="24"/>
  <c r="L70" i="12"/>
  <c r="H72" i="12"/>
  <c r="F70" i="12"/>
  <c r="F72" i="12" s="1"/>
  <c r="M49" i="45"/>
  <c r="G49" i="45"/>
  <c r="X61" i="46"/>
  <c r="S82" i="23"/>
  <c r="Q645" i="44" s="1"/>
  <c r="S24" i="46"/>
  <c r="L35" i="12"/>
  <c r="D35" i="36" s="1"/>
  <c r="H35" i="36" s="1"/>
  <c r="F35" i="12"/>
  <c r="L82" i="11"/>
  <c r="D66" i="21"/>
  <c r="F64" i="33"/>
  <c r="F34" i="12"/>
  <c r="L34" i="12"/>
  <c r="D34" i="36" s="1"/>
  <c r="F36" i="43"/>
  <c r="F45" i="45"/>
  <c r="L45" i="45"/>
  <c r="S29" i="24"/>
  <c r="L55" i="12"/>
  <c r="D55" i="36" s="1"/>
  <c r="F55" i="12"/>
  <c r="AB24" i="24"/>
  <c r="L61" i="11"/>
  <c r="D59" i="35"/>
  <c r="D61" i="35" s="1"/>
  <c r="G47" i="12"/>
  <c r="M47" i="12"/>
  <c r="E47" i="36" s="1"/>
  <c r="H82" i="22"/>
  <c r="F646" i="44" s="1"/>
  <c r="S36" i="24"/>
  <c r="G27" i="34"/>
  <c r="E29" i="22"/>
  <c r="AH650" i="44"/>
  <c r="AJ91" i="27"/>
  <c r="J24" i="27"/>
  <c r="F13" i="5"/>
  <c r="H13" i="5" s="1"/>
  <c r="M70" i="15"/>
  <c r="I72" i="15"/>
  <c r="G70" i="15"/>
  <c r="G36" i="42"/>
  <c r="I75" i="34"/>
  <c r="H56" i="42"/>
  <c r="E70" i="27"/>
  <c r="D12" i="46"/>
  <c r="F12" i="47" s="1"/>
  <c r="H12" i="47" s="1"/>
  <c r="G82" i="30"/>
  <c r="F20" i="4" s="1"/>
  <c r="J16" i="27"/>
  <c r="AK82" i="26"/>
  <c r="AI649" i="44" s="1"/>
  <c r="I82" i="25"/>
  <c r="E72" i="26"/>
  <c r="G70" i="38"/>
  <c r="L23" i="15"/>
  <c r="D23" i="39" s="1"/>
  <c r="F23" i="15"/>
  <c r="K56" i="27"/>
  <c r="M65" i="15"/>
  <c r="E65" i="39" s="1"/>
  <c r="G65" i="15"/>
  <c r="E36" i="38"/>
  <c r="I32" i="38"/>
  <c r="I36" i="38" s="1"/>
  <c r="AB82" i="28"/>
  <c r="Z651" i="44" s="1"/>
  <c r="W24" i="27"/>
  <c r="E70" i="38"/>
  <c r="E72" i="38" s="1"/>
  <c r="M72" i="14"/>
  <c r="N82" i="23"/>
  <c r="L645" i="44" s="1"/>
  <c r="E80" i="5"/>
  <c r="L16" i="10"/>
  <c r="L82" i="10" s="1"/>
  <c r="D11" i="34"/>
  <c r="D16" i="34" s="1"/>
  <c r="L81" i="15"/>
  <c r="D81" i="39" s="1"/>
  <c r="F81" i="15"/>
  <c r="D72" i="28"/>
  <c r="F70" i="40"/>
  <c r="E11" i="27"/>
  <c r="H82" i="16"/>
  <c r="I19" i="40"/>
  <c r="I24" i="40" s="1"/>
  <c r="G24" i="40"/>
  <c r="F24" i="40"/>
  <c r="H19" i="40"/>
  <c r="H24" i="40" s="1"/>
  <c r="N82" i="29"/>
  <c r="L642" i="44" s="1"/>
  <c r="E42" i="29"/>
  <c r="E43" i="29" s="1"/>
  <c r="G40" i="41"/>
  <c r="K82" i="29"/>
  <c r="I642" i="44" s="1"/>
  <c r="AG82" i="29"/>
  <c r="AE642" i="44" s="1"/>
  <c r="D16" i="20"/>
  <c r="D82" i="20" s="1"/>
  <c r="F11" i="32"/>
  <c r="W82" i="20"/>
  <c r="U643" i="44" s="1"/>
  <c r="Z82" i="20"/>
  <c r="X643" i="44" s="1"/>
  <c r="E66" i="20"/>
  <c r="G64" i="32"/>
  <c r="D20" i="5"/>
  <c r="D42" i="20"/>
  <c r="D43" i="20" s="1"/>
  <c r="F40" i="32"/>
  <c r="F40" i="5" s="1"/>
  <c r="M42" i="8"/>
  <c r="M43" i="8" s="1"/>
  <c r="E41" i="32"/>
  <c r="I47" i="32"/>
  <c r="G47" i="5"/>
  <c r="I47" i="5" s="1"/>
  <c r="L43" i="8"/>
  <c r="L36" i="8"/>
  <c r="D71" i="5"/>
  <c r="H71" i="5" s="1"/>
  <c r="H33" i="33"/>
  <c r="AK82" i="21"/>
  <c r="D89" i="31"/>
  <c r="F86" i="43"/>
  <c r="L32" i="12"/>
  <c r="H36" i="12"/>
  <c r="F32" i="12"/>
  <c r="E40" i="24"/>
  <c r="L81" i="45"/>
  <c r="F81" i="45"/>
  <c r="M41" i="45"/>
  <c r="G41" i="45"/>
  <c r="W16" i="24"/>
  <c r="F82" i="21"/>
  <c r="F91" i="21" s="1"/>
  <c r="AE653" i="44"/>
  <c r="AG91" i="31"/>
  <c r="F13" i="45"/>
  <c r="L13" i="45"/>
  <c r="L24" i="9"/>
  <c r="D19" i="33"/>
  <c r="D24" i="33" s="1"/>
  <c r="M54" i="12"/>
  <c r="I56" i="12"/>
  <c r="G54" i="12"/>
  <c r="G56" i="12" s="1"/>
  <c r="M33" i="45"/>
  <c r="G33" i="45"/>
  <c r="G74" i="45"/>
  <c r="M74" i="45"/>
  <c r="Y24" i="46"/>
  <c r="U29" i="24"/>
  <c r="AD72" i="24"/>
  <c r="M40" i="12"/>
  <c r="I42" i="12"/>
  <c r="I43" i="12" s="1"/>
  <c r="G40" i="12"/>
  <c r="G42" i="12" s="1"/>
  <c r="G43" i="12" s="1"/>
  <c r="M80" i="45"/>
  <c r="G80" i="45"/>
  <c r="P24" i="46"/>
  <c r="O36" i="46"/>
  <c r="F644" i="44"/>
  <c r="H91" i="21"/>
  <c r="E64" i="43"/>
  <c r="M66" i="19"/>
  <c r="AH653" i="44"/>
  <c r="AJ91" i="31"/>
  <c r="G56" i="43"/>
  <c r="AD36" i="24"/>
  <c r="AE72" i="24"/>
  <c r="F19" i="45"/>
  <c r="H24" i="45"/>
  <c r="L19" i="45"/>
  <c r="AD29" i="46"/>
  <c r="P36" i="46"/>
  <c r="P56" i="24"/>
  <c r="P16" i="24"/>
  <c r="Y36" i="24"/>
  <c r="Y82" i="24" s="1"/>
  <c r="W647" i="44" s="1"/>
  <c r="U43" i="46"/>
  <c r="S61" i="46"/>
  <c r="D33" i="34"/>
  <c r="L36" i="10"/>
  <c r="F56" i="10"/>
  <c r="O24" i="24"/>
  <c r="AB29" i="46"/>
  <c r="Z42" i="24"/>
  <c r="Z43" i="24" s="1"/>
  <c r="N56" i="24"/>
  <c r="X644" i="44"/>
  <c r="Z91" i="21"/>
  <c r="AC56" i="24"/>
  <c r="AJ82" i="22"/>
  <c r="AH646" i="44" s="1"/>
  <c r="F70" i="34"/>
  <c r="D72" i="22"/>
  <c r="AA82" i="23"/>
  <c r="Y645" i="44" s="1"/>
  <c r="D40" i="46"/>
  <c r="F42" i="46"/>
  <c r="F43" i="46" s="1"/>
  <c r="L79" i="12"/>
  <c r="D79" i="36" s="1"/>
  <c r="F79" i="12"/>
  <c r="G70" i="34"/>
  <c r="E72" i="22"/>
  <c r="I79" i="34"/>
  <c r="G72" i="43"/>
  <c r="F34" i="45"/>
  <c r="L34" i="45"/>
  <c r="G51" i="12"/>
  <c r="M51" i="12"/>
  <c r="E51" i="36" s="1"/>
  <c r="S24" i="24"/>
  <c r="Z36" i="24"/>
  <c r="F40" i="34"/>
  <c r="D42" i="22"/>
  <c r="D43" i="22" s="1"/>
  <c r="AD42" i="46"/>
  <c r="AD43" i="46" s="1"/>
  <c r="F23" i="45"/>
  <c r="L23" i="45"/>
  <c r="S16" i="24"/>
  <c r="S29" i="46"/>
  <c r="K42" i="24"/>
  <c r="K43" i="24" s="1"/>
  <c r="U56" i="24"/>
  <c r="E59" i="35"/>
  <c r="E61" i="35" s="1"/>
  <c r="M61" i="11"/>
  <c r="E61" i="21"/>
  <c r="G59" i="33"/>
  <c r="AB24" i="46"/>
  <c r="P29" i="46"/>
  <c r="D27" i="34"/>
  <c r="D29" i="34" s="1"/>
  <c r="L29" i="10"/>
  <c r="G47" i="45"/>
  <c r="M47" i="45"/>
  <c r="U24" i="24"/>
  <c r="U82" i="24" s="1"/>
  <c r="S647" i="44" s="1"/>
  <c r="AE43" i="46"/>
  <c r="M36" i="46"/>
  <c r="E60" i="5"/>
  <c r="E61" i="42"/>
  <c r="H12" i="34"/>
  <c r="F12" i="5"/>
  <c r="AD24" i="46"/>
  <c r="R29" i="24"/>
  <c r="S36" i="46"/>
  <c r="P42" i="46"/>
  <c r="P43" i="46" s="1"/>
  <c r="G19" i="35"/>
  <c r="E24" i="23"/>
  <c r="I12" i="33"/>
  <c r="G12" i="5"/>
  <c r="R72" i="46"/>
  <c r="G12" i="46"/>
  <c r="E12" i="46" s="1"/>
  <c r="G12" i="47" s="1"/>
  <c r="I12" i="47" s="1"/>
  <c r="L42" i="46"/>
  <c r="L43" i="46" s="1"/>
  <c r="L82" i="46" s="1"/>
  <c r="L91" i="46" s="1"/>
  <c r="G82" i="18"/>
  <c r="M24" i="18"/>
  <c r="M82" i="18" s="1"/>
  <c r="E20" i="42"/>
  <c r="R24" i="27"/>
  <c r="R82" i="27" s="1"/>
  <c r="Q16" i="24"/>
  <c r="W61" i="46"/>
  <c r="E54" i="5"/>
  <c r="E56" i="5" s="1"/>
  <c r="E56" i="42"/>
  <c r="D36" i="30"/>
  <c r="G75" i="15"/>
  <c r="M75" i="15"/>
  <c r="E75" i="39" s="1"/>
  <c r="S29" i="27"/>
  <c r="W36" i="27"/>
  <c r="I45" i="37"/>
  <c r="M29" i="14"/>
  <c r="J82" i="22"/>
  <c r="H646" i="44" s="1"/>
  <c r="T36" i="46"/>
  <c r="G79" i="15"/>
  <c r="M79" i="15"/>
  <c r="E79" i="39" s="1"/>
  <c r="F36" i="18"/>
  <c r="E66" i="21"/>
  <c r="Y42" i="24"/>
  <c r="Y43" i="24" s="1"/>
  <c r="G11" i="42"/>
  <c r="E16" i="30"/>
  <c r="F74" i="5"/>
  <c r="H74" i="5" s="1"/>
  <c r="L42" i="13"/>
  <c r="L43" i="13" s="1"/>
  <c r="V82" i="25"/>
  <c r="Q24" i="27"/>
  <c r="G27" i="37"/>
  <c r="E29" i="25"/>
  <c r="U36" i="27"/>
  <c r="U82" i="27" s="1"/>
  <c r="Q42" i="27"/>
  <c r="Q43" i="27" s="1"/>
  <c r="D81" i="27"/>
  <c r="F81" i="39" s="1"/>
  <c r="H81" i="39" s="1"/>
  <c r="H32" i="42"/>
  <c r="H55" i="35"/>
  <c r="P29" i="27"/>
  <c r="S82" i="27"/>
  <c r="Y86" i="27"/>
  <c r="Y89" i="27" s="1"/>
  <c r="Y88" i="26"/>
  <c r="Y88" i="27" s="1"/>
  <c r="F64" i="38"/>
  <c r="D66" i="26"/>
  <c r="F72" i="14"/>
  <c r="G56" i="15"/>
  <c r="H42" i="15"/>
  <c r="H43" i="15" s="1"/>
  <c r="H79" i="38"/>
  <c r="L88" i="15"/>
  <c r="D88" i="39" s="1"/>
  <c r="H88" i="39" s="1"/>
  <c r="F88" i="15"/>
  <c r="E13" i="27"/>
  <c r="G13" i="39" s="1"/>
  <c r="I13" i="39" s="1"/>
  <c r="K43" i="46"/>
  <c r="K82" i="46" s="1"/>
  <c r="K91" i="46" s="1"/>
  <c r="E16" i="26"/>
  <c r="G11" i="38"/>
  <c r="D72" i="26"/>
  <c r="F70" i="38"/>
  <c r="D29" i="28"/>
  <c r="F27" i="40"/>
  <c r="F34" i="5"/>
  <c r="H34" i="5" s="1"/>
  <c r="AC82" i="23"/>
  <c r="AA645" i="44" s="1"/>
  <c r="Y82" i="25"/>
  <c r="D21" i="46"/>
  <c r="F21" i="47" s="1"/>
  <c r="H21" i="47" s="1"/>
  <c r="I72" i="27"/>
  <c r="AC82" i="25"/>
  <c r="H77" i="37"/>
  <c r="E36" i="26"/>
  <c r="AJ82" i="28"/>
  <c r="AH651" i="44" s="1"/>
  <c r="Q82" i="26"/>
  <c r="O649" i="44" s="1"/>
  <c r="F76" i="45"/>
  <c r="L76" i="45"/>
  <c r="R56" i="27"/>
  <c r="E24" i="26"/>
  <c r="G19" i="38"/>
  <c r="D61" i="25"/>
  <c r="F59" i="37"/>
  <c r="D24" i="38"/>
  <c r="G36" i="38"/>
  <c r="H16" i="12"/>
  <c r="L11" i="12"/>
  <c r="F11" i="12"/>
  <c r="E34" i="34"/>
  <c r="M36" i="10"/>
  <c r="X61" i="27"/>
  <c r="Q72" i="27"/>
  <c r="G64" i="38"/>
  <c r="E66" i="26"/>
  <c r="F54" i="40"/>
  <c r="D56" i="28"/>
  <c r="D64" i="27"/>
  <c r="L74" i="12"/>
  <c r="D74" i="36" s="1"/>
  <c r="H74" i="36" s="1"/>
  <c r="F74" i="12"/>
  <c r="G79" i="5"/>
  <c r="M40" i="15"/>
  <c r="I42" i="15"/>
  <c r="I43" i="15" s="1"/>
  <c r="G40" i="15"/>
  <c r="G42" i="15" s="1"/>
  <c r="G43" i="15" s="1"/>
  <c r="D13" i="27"/>
  <c r="F13" i="39" s="1"/>
  <c r="E24" i="28"/>
  <c r="D36" i="25"/>
  <c r="D24" i="28"/>
  <c r="H12" i="41"/>
  <c r="H16" i="41" s="1"/>
  <c r="F16" i="41"/>
  <c r="H40" i="41"/>
  <c r="H42" i="41" s="1"/>
  <c r="H43" i="41" s="1"/>
  <c r="F42" i="41"/>
  <c r="F43" i="41" s="1"/>
  <c r="G82" i="8"/>
  <c r="L29" i="8"/>
  <c r="D27" i="32"/>
  <c r="D29" i="32" s="1"/>
  <c r="D19" i="43"/>
  <c r="L24" i="19"/>
  <c r="L82" i="19" s="1"/>
  <c r="L91" i="19" s="1"/>
  <c r="F81" i="12"/>
  <c r="L81" i="12"/>
  <c r="D81" i="36" s="1"/>
  <c r="H81" i="36" s="1"/>
  <c r="E16" i="43"/>
  <c r="E14" i="5"/>
  <c r="AB644" i="44"/>
  <c r="AD91" i="21"/>
  <c r="G78" i="45"/>
  <c r="M78" i="45"/>
  <c r="E86" i="46"/>
  <c r="G89" i="46"/>
  <c r="L66" i="10"/>
  <c r="D64" i="34"/>
  <c r="D66" i="34" s="1"/>
  <c r="M16" i="19"/>
  <c r="G82" i="21"/>
  <c r="F19" i="36"/>
  <c r="D61" i="22"/>
  <c r="F59" i="34"/>
  <c r="D59" i="34"/>
  <c r="D61" i="34" s="1"/>
  <c r="L61" i="10"/>
  <c r="H55" i="36"/>
  <c r="L65" i="45"/>
  <c r="F65" i="45"/>
  <c r="R82" i="24"/>
  <c r="P647" i="44" s="1"/>
  <c r="M66" i="18"/>
  <c r="E64" i="42"/>
  <c r="G14" i="5"/>
  <c r="I14" i="5" s="1"/>
  <c r="F36" i="40"/>
  <c r="H32" i="40"/>
  <c r="H36" i="40" s="1"/>
  <c r="M60" i="15"/>
  <c r="E60" i="39" s="1"/>
  <c r="I60" i="39" s="1"/>
  <c r="G60" i="15"/>
  <c r="M13" i="12"/>
  <c r="E13" i="36" s="1"/>
  <c r="I13" i="36" s="1"/>
  <c r="G13" i="12"/>
  <c r="G39" i="45"/>
  <c r="M39" i="45"/>
  <c r="F82" i="17"/>
  <c r="G11" i="32"/>
  <c r="E16" i="20"/>
  <c r="I65" i="32"/>
  <c r="G65" i="5"/>
  <c r="E24" i="21"/>
  <c r="G19" i="33"/>
  <c r="I78" i="32"/>
  <c r="F22" i="12"/>
  <c r="L22" i="12"/>
  <c r="D22" i="36" s="1"/>
  <c r="G22" i="45"/>
  <c r="M22" i="45"/>
  <c r="U82" i="46"/>
  <c r="U91" i="46" s="1"/>
  <c r="H66" i="12"/>
  <c r="L64" i="12"/>
  <c r="F64" i="12"/>
  <c r="I82" i="10"/>
  <c r="Z24" i="24"/>
  <c r="Q56" i="24"/>
  <c r="AH644" i="44"/>
  <c r="AJ91" i="21"/>
  <c r="F80" i="12"/>
  <c r="L80" i="12"/>
  <c r="D80" i="36" s="1"/>
  <c r="H80" i="36" s="1"/>
  <c r="D34" i="24"/>
  <c r="F34" i="36" s="1"/>
  <c r="H34" i="36" s="1"/>
  <c r="H24" i="12"/>
  <c r="D59" i="46"/>
  <c r="E74" i="24"/>
  <c r="G74" i="36" s="1"/>
  <c r="D81" i="46"/>
  <c r="F81" i="47" s="1"/>
  <c r="H81" i="47" s="1"/>
  <c r="W82" i="22"/>
  <c r="U646" i="44" s="1"/>
  <c r="V24" i="24"/>
  <c r="V82" i="24" s="1"/>
  <c r="T647" i="44" s="1"/>
  <c r="L20" i="12"/>
  <c r="D20" i="36" s="1"/>
  <c r="F20" i="12"/>
  <c r="H33" i="42"/>
  <c r="F33" i="5"/>
  <c r="I65" i="34"/>
  <c r="L16" i="18"/>
  <c r="D11" i="42"/>
  <c r="F47" i="15"/>
  <c r="L47" i="15"/>
  <c r="D47" i="39" s="1"/>
  <c r="E11" i="46"/>
  <c r="H47" i="42"/>
  <c r="D27" i="27"/>
  <c r="F14" i="5"/>
  <c r="H14" i="5" s="1"/>
  <c r="H24" i="27"/>
  <c r="H82" i="27" s="1"/>
  <c r="D19" i="27"/>
  <c r="AE61" i="27"/>
  <c r="M80" i="15"/>
  <c r="E80" i="39" s="1"/>
  <c r="I80" i="39" s="1"/>
  <c r="G80" i="15"/>
  <c r="M76" i="45"/>
  <c r="G76" i="45"/>
  <c r="G11" i="37"/>
  <c r="E16" i="25"/>
  <c r="E82" i="25" s="1"/>
  <c r="D42" i="43"/>
  <c r="D43" i="43" s="1"/>
  <c r="G40" i="37"/>
  <c r="E42" i="25"/>
  <c r="E43" i="25" s="1"/>
  <c r="G71" i="5"/>
  <c r="I71" i="5" s="1"/>
  <c r="F78" i="5"/>
  <c r="H78" i="5" s="1"/>
  <c r="H21" i="41"/>
  <c r="H24" i="41" s="1"/>
  <c r="F24" i="41"/>
  <c r="Q82" i="21"/>
  <c r="F60" i="45"/>
  <c r="L60" i="45"/>
  <c r="G28" i="45"/>
  <c r="M28" i="45"/>
  <c r="F16" i="46"/>
  <c r="F82" i="46" s="1"/>
  <c r="F91" i="46" s="1"/>
  <c r="J653" i="44"/>
  <c r="L91" i="31"/>
  <c r="D29" i="21"/>
  <c r="F27" i="33"/>
  <c r="L12" i="45"/>
  <c r="F12" i="45"/>
  <c r="E75" i="46"/>
  <c r="G75" i="47" s="1"/>
  <c r="I75" i="47" s="1"/>
  <c r="K16" i="24"/>
  <c r="E13" i="46"/>
  <c r="G13" i="47" s="1"/>
  <c r="I13" i="47" s="1"/>
  <c r="E79" i="24"/>
  <c r="G79" i="36" s="1"/>
  <c r="D36" i="35"/>
  <c r="F11" i="34"/>
  <c r="D16" i="22"/>
  <c r="V24" i="46"/>
  <c r="E28" i="5"/>
  <c r="E29" i="42"/>
  <c r="J72" i="24"/>
  <c r="L36" i="24"/>
  <c r="H75" i="42"/>
  <c r="D75" i="5"/>
  <c r="F27" i="15"/>
  <c r="H29" i="15"/>
  <c r="L27" i="15"/>
  <c r="M87" i="15"/>
  <c r="E87" i="39" s="1"/>
  <c r="G87" i="15"/>
  <c r="G89" i="15" s="1"/>
  <c r="D54" i="39"/>
  <c r="M82" i="29"/>
  <c r="K642" i="44" s="1"/>
  <c r="R82" i="20"/>
  <c r="P643" i="44" s="1"/>
  <c r="I88" i="33"/>
  <c r="G88" i="5"/>
  <c r="I88" i="5" s="1"/>
  <c r="D82" i="33"/>
  <c r="D91" i="33" s="1"/>
  <c r="L32" i="45"/>
  <c r="L36" i="45" s="1"/>
  <c r="F32" i="45"/>
  <c r="H36" i="45"/>
  <c r="H34" i="43"/>
  <c r="G41" i="12"/>
  <c r="M41" i="12"/>
  <c r="E41" i="36" s="1"/>
  <c r="O16" i="46"/>
  <c r="O82" i="46" s="1"/>
  <c r="O91" i="46" s="1"/>
  <c r="G74" i="12"/>
  <c r="M74" i="12"/>
  <c r="E74" i="36" s="1"/>
  <c r="Q24" i="46"/>
  <c r="L24" i="10"/>
  <c r="D19" i="34"/>
  <c r="D24" i="34" s="1"/>
  <c r="H56" i="24"/>
  <c r="D54" i="24"/>
  <c r="H82" i="24"/>
  <c r="F647" i="44" s="1"/>
  <c r="Q36" i="46"/>
  <c r="G59" i="45"/>
  <c r="I61" i="45"/>
  <c r="M59" i="45"/>
  <c r="AB29" i="24"/>
  <c r="T72" i="46"/>
  <c r="AB16" i="46"/>
  <c r="E28" i="46"/>
  <c r="G28" i="47" s="1"/>
  <c r="I28" i="47" s="1"/>
  <c r="K24" i="24"/>
  <c r="D79" i="24"/>
  <c r="F79" i="36" s="1"/>
  <c r="J72" i="46"/>
  <c r="S82" i="22"/>
  <c r="Q646" i="44" s="1"/>
  <c r="E42" i="22"/>
  <c r="E43" i="22" s="1"/>
  <c r="G40" i="34"/>
  <c r="AD24" i="24"/>
  <c r="P42" i="24"/>
  <c r="P43" i="24" s="1"/>
  <c r="E61" i="30"/>
  <c r="S56" i="46"/>
  <c r="F82" i="13"/>
  <c r="F91" i="13" s="1"/>
  <c r="F12" i="15"/>
  <c r="L12" i="15"/>
  <c r="D12" i="39" s="1"/>
  <c r="G21" i="15"/>
  <c r="M21" i="15"/>
  <c r="E21" i="39" s="1"/>
  <c r="I21" i="39" s="1"/>
  <c r="O36" i="27"/>
  <c r="U56" i="27"/>
  <c r="X82" i="25"/>
  <c r="I76" i="39"/>
  <c r="I32" i="34"/>
  <c r="G36" i="34"/>
  <c r="E35" i="46"/>
  <c r="G35" i="47" s="1"/>
  <c r="I35" i="47" s="1"/>
  <c r="G71" i="15"/>
  <c r="M71" i="15"/>
  <c r="E71" i="39" s="1"/>
  <c r="I71" i="39" s="1"/>
  <c r="I61" i="27"/>
  <c r="E59" i="27"/>
  <c r="H23" i="34"/>
  <c r="E70" i="24"/>
  <c r="G82" i="26"/>
  <c r="F17" i="4" s="1"/>
  <c r="F27" i="42"/>
  <c r="D29" i="30"/>
  <c r="D82" i="30" s="1"/>
  <c r="I13" i="38"/>
  <c r="L61" i="16"/>
  <c r="D59" i="40"/>
  <c r="D61" i="40" s="1"/>
  <c r="R82" i="25"/>
  <c r="G82" i="27"/>
  <c r="G91" i="27" s="1"/>
  <c r="G70" i="37"/>
  <c r="E72" i="25"/>
  <c r="L13" i="15"/>
  <c r="D13" i="39" s="1"/>
  <c r="F13" i="15"/>
  <c r="L72" i="17"/>
  <c r="S82" i="29"/>
  <c r="Q642" i="44" s="1"/>
  <c r="D66" i="29"/>
  <c r="F64" i="41"/>
  <c r="E36" i="20"/>
  <c r="G32" i="32"/>
  <c r="H39" i="32"/>
  <c r="F39" i="5"/>
  <c r="H39" i="5" s="1"/>
  <c r="E61" i="20"/>
  <c r="G59" i="32"/>
  <c r="M36" i="8"/>
  <c r="E32" i="32"/>
  <c r="E36" i="32" s="1"/>
  <c r="E54" i="32"/>
  <c r="E56" i="32" s="1"/>
  <c r="M56" i="8"/>
  <c r="I54" i="41"/>
  <c r="I56" i="41" s="1"/>
  <c r="G56" i="41"/>
  <c r="H76" i="32"/>
  <c r="F76" i="5"/>
  <c r="H76" i="5" s="1"/>
  <c r="E56" i="21"/>
  <c r="G54" i="33"/>
  <c r="L40" i="12"/>
  <c r="H42" i="12"/>
  <c r="H43" i="12" s="1"/>
  <c r="F40" i="12"/>
  <c r="F42" i="12" s="1"/>
  <c r="F43" i="12" s="1"/>
  <c r="N16" i="46"/>
  <c r="H59" i="43"/>
  <c r="H61" i="43" s="1"/>
  <c r="F61" i="43"/>
  <c r="M51" i="45"/>
  <c r="G51" i="45"/>
  <c r="W16" i="46"/>
  <c r="L644" i="44"/>
  <c r="N91" i="21"/>
  <c r="D29" i="31"/>
  <c r="F28" i="43"/>
  <c r="L21" i="12"/>
  <c r="D21" i="36" s="1"/>
  <c r="F21" i="12"/>
  <c r="AC16" i="24"/>
  <c r="G11" i="12"/>
  <c r="M11" i="12"/>
  <c r="I16" i="12"/>
  <c r="G45" i="45"/>
  <c r="M45" i="45"/>
  <c r="I653" i="44"/>
  <c r="K91" i="31"/>
  <c r="M40" i="45"/>
  <c r="M42" i="45" s="1"/>
  <c r="M43" i="45" s="1"/>
  <c r="G40" i="45"/>
  <c r="G42" i="45" s="1"/>
  <c r="G43" i="45" s="1"/>
  <c r="I42" i="45"/>
  <c r="I43" i="45" s="1"/>
  <c r="AD16" i="24"/>
  <c r="AD82" i="24" s="1"/>
  <c r="AB647" i="44" s="1"/>
  <c r="X24" i="46"/>
  <c r="AC29" i="24"/>
  <c r="W36" i="24"/>
  <c r="W56" i="46"/>
  <c r="I61" i="24"/>
  <c r="N644" i="44"/>
  <c r="P91" i="21"/>
  <c r="I56" i="43"/>
  <c r="L70" i="45"/>
  <c r="H72" i="45"/>
  <c r="F70" i="45"/>
  <c r="X36" i="24"/>
  <c r="P56" i="46"/>
  <c r="M70" i="12"/>
  <c r="G70" i="12"/>
  <c r="I72" i="12"/>
  <c r="P16" i="46"/>
  <c r="Y36" i="46"/>
  <c r="AC42" i="24"/>
  <c r="AC43" i="24" s="1"/>
  <c r="E49" i="24"/>
  <c r="G49" i="36" s="1"/>
  <c r="O72" i="46"/>
  <c r="L33" i="12"/>
  <c r="D33" i="36" s="1"/>
  <c r="F33" i="12"/>
  <c r="E56" i="34"/>
  <c r="E55" i="5"/>
  <c r="I15" i="34"/>
  <c r="G15" i="5"/>
  <c r="I15" i="5" s="1"/>
  <c r="O24" i="46"/>
  <c r="Z42" i="46"/>
  <c r="Z43" i="46" s="1"/>
  <c r="N56" i="46"/>
  <c r="G71" i="12"/>
  <c r="M71" i="12"/>
  <c r="E71" i="36" s="1"/>
  <c r="I71" i="36" s="1"/>
  <c r="L82" i="22"/>
  <c r="J646" i="44" s="1"/>
  <c r="L29" i="11"/>
  <c r="D27" i="35"/>
  <c r="D29" i="35" s="1"/>
  <c r="F59" i="35"/>
  <c r="D61" i="23"/>
  <c r="D75" i="46"/>
  <c r="F75" i="47" s="1"/>
  <c r="H75" i="47" s="1"/>
  <c r="E29" i="21"/>
  <c r="G27" i="33"/>
  <c r="F79" i="45"/>
  <c r="L79" i="45"/>
  <c r="I71" i="34"/>
  <c r="M61" i="46"/>
  <c r="E79" i="5"/>
  <c r="AA24" i="24"/>
  <c r="AA82" i="24" s="1"/>
  <c r="Y647" i="44" s="1"/>
  <c r="Z36" i="46"/>
  <c r="N61" i="46"/>
  <c r="X72" i="24"/>
  <c r="H73" i="34"/>
  <c r="F73" i="5"/>
  <c r="H73" i="5" s="1"/>
  <c r="D76" i="46"/>
  <c r="F76" i="47" s="1"/>
  <c r="H76" i="47" s="1"/>
  <c r="D15" i="5"/>
  <c r="M29" i="10"/>
  <c r="E27" i="34"/>
  <c r="E29" i="34" s="1"/>
  <c r="L71" i="12"/>
  <c r="D71" i="36" s="1"/>
  <c r="F71" i="12"/>
  <c r="S16" i="46"/>
  <c r="I45" i="34"/>
  <c r="G45" i="5"/>
  <c r="I45" i="5" s="1"/>
  <c r="U56" i="46"/>
  <c r="E75" i="24"/>
  <c r="G75" i="36" s="1"/>
  <c r="I75" i="36" s="1"/>
  <c r="E39" i="46"/>
  <c r="G39" i="47" s="1"/>
  <c r="I39" i="47" s="1"/>
  <c r="E70" i="46"/>
  <c r="G72" i="46"/>
  <c r="I45" i="43"/>
  <c r="M24" i="10"/>
  <c r="E20" i="34"/>
  <c r="E24" i="34" s="1"/>
  <c r="L55" i="45"/>
  <c r="F55" i="45"/>
  <c r="G59" i="35"/>
  <c r="E61" i="23"/>
  <c r="E84" i="7"/>
  <c r="F29" i="10"/>
  <c r="U24" i="46"/>
  <c r="E27" i="24"/>
  <c r="I29" i="24"/>
  <c r="H45" i="34"/>
  <c r="H60" i="42"/>
  <c r="F60" i="5"/>
  <c r="H60" i="5" s="1"/>
  <c r="D12" i="24"/>
  <c r="F12" i="36" s="1"/>
  <c r="N24" i="24"/>
  <c r="R29" i="46"/>
  <c r="AA36" i="24"/>
  <c r="G24" i="46"/>
  <c r="E19" i="46"/>
  <c r="I28" i="35"/>
  <c r="G27" i="15"/>
  <c r="G29" i="15" s="1"/>
  <c r="I29" i="15"/>
  <c r="M27" i="15"/>
  <c r="I82" i="18"/>
  <c r="F70" i="42"/>
  <c r="D72" i="30"/>
  <c r="AA56" i="46"/>
  <c r="M42" i="11"/>
  <c r="M43" i="11" s="1"/>
  <c r="M82" i="11" s="1"/>
  <c r="E40" i="35"/>
  <c r="E42" i="35" s="1"/>
  <c r="E43" i="35" s="1"/>
  <c r="F41" i="5"/>
  <c r="F59" i="15"/>
  <c r="L59" i="15"/>
  <c r="H61" i="15"/>
  <c r="F21" i="15"/>
  <c r="L21" i="15"/>
  <c r="D21" i="39" s="1"/>
  <c r="H21" i="39" s="1"/>
  <c r="Z24" i="27"/>
  <c r="Z82" i="27" s="1"/>
  <c r="N36" i="27"/>
  <c r="N82" i="27" s="1"/>
  <c r="D60" i="27"/>
  <c r="F60" i="39" s="1"/>
  <c r="F35" i="5"/>
  <c r="H35" i="5" s="1"/>
  <c r="Q16" i="46"/>
  <c r="AB56" i="46"/>
  <c r="AE61" i="24"/>
  <c r="AI82" i="23"/>
  <c r="AG645" i="44" s="1"/>
  <c r="F75" i="5"/>
  <c r="H75" i="5" s="1"/>
  <c r="L35" i="15"/>
  <c r="D35" i="39" s="1"/>
  <c r="H35" i="39" s="1"/>
  <c r="F35" i="15"/>
  <c r="I82" i="13"/>
  <c r="I91" i="13" s="1"/>
  <c r="AE36" i="27"/>
  <c r="AC56" i="27"/>
  <c r="L61" i="14"/>
  <c r="D59" i="38"/>
  <c r="D61" i="38" s="1"/>
  <c r="E51" i="5"/>
  <c r="I51" i="42"/>
  <c r="D13" i="5"/>
  <c r="J16" i="24"/>
  <c r="AB36" i="24"/>
  <c r="E76" i="46"/>
  <c r="G76" i="47" s="1"/>
  <c r="I76" i="47" s="1"/>
  <c r="M35" i="15"/>
  <c r="E35" i="39" s="1"/>
  <c r="I35" i="39" s="1"/>
  <c r="G35" i="15"/>
  <c r="AF82" i="25"/>
  <c r="H36" i="27"/>
  <c r="D32" i="27"/>
  <c r="Y42" i="46"/>
  <c r="Y43" i="46" s="1"/>
  <c r="Z56" i="24"/>
  <c r="I24" i="46"/>
  <c r="E47" i="46"/>
  <c r="G47" i="47" s="1"/>
  <c r="I47" i="47" s="1"/>
  <c r="L29" i="18"/>
  <c r="D27" i="42"/>
  <c r="F23" i="5"/>
  <c r="H23" i="5" s="1"/>
  <c r="AG650" i="44"/>
  <c r="AI91" i="27"/>
  <c r="W66" i="27"/>
  <c r="D42" i="37"/>
  <c r="D43" i="37" s="1"/>
  <c r="M78" i="15"/>
  <c r="E78" i="39" s="1"/>
  <c r="I78" i="39" s="1"/>
  <c r="G78" i="15"/>
  <c r="V16" i="27"/>
  <c r="V82" i="27" s="1"/>
  <c r="AC36" i="27"/>
  <c r="AC82" i="27" s="1"/>
  <c r="M36" i="24"/>
  <c r="G49" i="5"/>
  <c r="I49" i="5" s="1"/>
  <c r="M24" i="11"/>
  <c r="L42" i="18"/>
  <c r="L43" i="18" s="1"/>
  <c r="D41" i="42"/>
  <c r="E32" i="27"/>
  <c r="R72" i="27"/>
  <c r="H78" i="37"/>
  <c r="D18" i="4"/>
  <c r="S82" i="26"/>
  <c r="Q649" i="44" s="1"/>
  <c r="Z29" i="27"/>
  <c r="E56" i="26"/>
  <c r="G54" i="38"/>
  <c r="L24" i="18"/>
  <c r="D19" i="42"/>
  <c r="D70" i="38"/>
  <c r="D72" i="38" s="1"/>
  <c r="L72" i="14"/>
  <c r="I79" i="38"/>
  <c r="G32" i="35"/>
  <c r="E36" i="23"/>
  <c r="Y82" i="27"/>
  <c r="L42" i="15"/>
  <c r="D40" i="39"/>
  <c r="D42" i="39" s="1"/>
  <c r="S42" i="24"/>
  <c r="S43" i="24" s="1"/>
  <c r="G20" i="5"/>
  <c r="D29" i="23"/>
  <c r="F27" i="35"/>
  <c r="F11" i="37"/>
  <c r="D16" i="25"/>
  <c r="I78" i="37"/>
  <c r="W82" i="26"/>
  <c r="U649" i="44" s="1"/>
  <c r="K82" i="28"/>
  <c r="I651" i="44" s="1"/>
  <c r="D21" i="5"/>
  <c r="F40" i="37"/>
  <c r="D42" i="25"/>
  <c r="D43" i="25" s="1"/>
  <c r="G59" i="40"/>
  <c r="E61" i="28"/>
  <c r="D42" i="23"/>
  <c r="D43" i="23" s="1"/>
  <c r="F40" i="35"/>
  <c r="Q82" i="25"/>
  <c r="G32" i="37"/>
  <c r="E36" i="25"/>
  <c r="L24" i="14"/>
  <c r="L82" i="14" s="1"/>
  <c r="H16" i="45"/>
  <c r="H82" i="45" s="1"/>
  <c r="H91" i="45" s="1"/>
  <c r="L11" i="45"/>
  <c r="L16" i="45" s="1"/>
  <c r="F11" i="45"/>
  <c r="E32" i="42"/>
  <c r="I32" i="42" s="1"/>
  <c r="I36" i="42" s="1"/>
  <c r="M36" i="18"/>
  <c r="S82" i="25"/>
  <c r="D14" i="5"/>
  <c r="H14" i="42"/>
  <c r="F82" i="14"/>
  <c r="N61" i="27"/>
  <c r="M42" i="14"/>
  <c r="M43" i="14" s="1"/>
  <c r="E40" i="38"/>
  <c r="E42" i="38" s="1"/>
  <c r="E43" i="38" s="1"/>
  <c r="E65" i="46"/>
  <c r="G65" i="47" s="1"/>
  <c r="I65" i="47" s="1"/>
  <c r="W88" i="26"/>
  <c r="W88" i="27" s="1"/>
  <c r="W86" i="27"/>
  <c r="W89" i="27" s="1"/>
  <c r="F36" i="37"/>
  <c r="H15" i="32"/>
  <c r="F15" i="5"/>
  <c r="I13" i="32"/>
  <c r="D54" i="32"/>
  <c r="L56" i="8"/>
  <c r="E56" i="20"/>
  <c r="G54" i="32"/>
  <c r="M14" i="45"/>
  <c r="G14" i="45"/>
  <c r="Y653" i="44"/>
  <c r="AA91" i="31"/>
  <c r="AD644" i="44"/>
  <c r="AF91" i="21"/>
  <c r="R24" i="46"/>
  <c r="Z644" i="44"/>
  <c r="AB91" i="21"/>
  <c r="F56" i="43"/>
  <c r="H54" i="43"/>
  <c r="H56" i="43" s="1"/>
  <c r="F39" i="12"/>
  <c r="L39" i="12"/>
  <c r="D39" i="36" s="1"/>
  <c r="H39" i="36" s="1"/>
  <c r="F15" i="45"/>
  <c r="L15" i="45"/>
  <c r="AC82" i="22"/>
  <c r="AA646" i="44" s="1"/>
  <c r="I77" i="34"/>
  <c r="G77" i="5"/>
  <c r="I77" i="5" s="1"/>
  <c r="AE61" i="46"/>
  <c r="F648" i="44"/>
  <c r="H91" i="25"/>
  <c r="G88" i="15"/>
  <c r="M88" i="15"/>
  <c r="E88" i="39" s="1"/>
  <c r="D70" i="24"/>
  <c r="D78" i="46"/>
  <c r="F78" i="47" s="1"/>
  <c r="H78" i="47" s="1"/>
  <c r="D54" i="27"/>
  <c r="AI82" i="25"/>
  <c r="E29" i="20"/>
  <c r="G27" i="32"/>
  <c r="F64" i="32"/>
  <c r="D66" i="20"/>
  <c r="G70" i="41"/>
  <c r="E72" i="29"/>
  <c r="I27" i="43"/>
  <c r="I29" i="43" s="1"/>
  <c r="G29" i="43"/>
  <c r="E89" i="21"/>
  <c r="C15" i="4" s="1"/>
  <c r="D15" i="4" s="1"/>
  <c r="G86" i="33"/>
  <c r="I14" i="43"/>
  <c r="D89" i="21"/>
  <c r="F86" i="33"/>
  <c r="F12" i="12"/>
  <c r="L12" i="12"/>
  <c r="D12" i="36" s="1"/>
  <c r="AE24" i="46"/>
  <c r="AE82" i="46" s="1"/>
  <c r="AE91" i="46" s="1"/>
  <c r="E33" i="5"/>
  <c r="D33" i="24"/>
  <c r="F33" i="36" s="1"/>
  <c r="H33" i="36" s="1"/>
  <c r="L39" i="45"/>
  <c r="F39" i="45"/>
  <c r="D71" i="24"/>
  <c r="F71" i="36" s="1"/>
  <c r="M27" i="45"/>
  <c r="I29" i="45"/>
  <c r="G27" i="45"/>
  <c r="G29" i="45" s="1"/>
  <c r="H29" i="45"/>
  <c r="F27" i="45"/>
  <c r="F29" i="45" s="1"/>
  <c r="L27" i="45"/>
  <c r="L29" i="45" s="1"/>
  <c r="Z29" i="46"/>
  <c r="E41" i="46"/>
  <c r="G41" i="47" s="1"/>
  <c r="I41" i="47" s="1"/>
  <c r="F55" i="15"/>
  <c r="L55" i="15"/>
  <c r="D55" i="39" s="1"/>
  <c r="G27" i="39"/>
  <c r="E29" i="27"/>
  <c r="Y82" i="46"/>
  <c r="Y91" i="46" s="1"/>
  <c r="E72" i="23"/>
  <c r="G70" i="35"/>
  <c r="I22" i="37"/>
  <c r="G75" i="5"/>
  <c r="I75" i="5" s="1"/>
  <c r="F42" i="15"/>
  <c r="F71" i="15"/>
  <c r="L71" i="15"/>
  <c r="D71" i="39" s="1"/>
  <c r="H71" i="39" s="1"/>
  <c r="F80" i="15"/>
  <c r="L80" i="15"/>
  <c r="D80" i="39" s="1"/>
  <c r="H80" i="39" s="1"/>
  <c r="G66" i="35"/>
  <c r="I64" i="35"/>
  <c r="I66" i="35" s="1"/>
  <c r="M28" i="15"/>
  <c r="E28" i="39" s="1"/>
  <c r="I28" i="39" s="1"/>
  <c r="G28" i="15"/>
  <c r="V82" i="26"/>
  <c r="T649" i="44" s="1"/>
  <c r="AI82" i="28"/>
  <c r="AG651" i="44" s="1"/>
  <c r="I29" i="42"/>
  <c r="M24" i="14"/>
  <c r="E21" i="38"/>
  <c r="E24" i="38" s="1"/>
  <c r="F36" i="38"/>
  <c r="L19" i="15"/>
  <c r="H24" i="15"/>
  <c r="F19" i="15"/>
  <c r="F24" i="15" s="1"/>
  <c r="G64" i="15"/>
  <c r="G66" i="15" s="1"/>
  <c r="I66" i="15"/>
  <c r="M64" i="15"/>
  <c r="H21" i="38"/>
  <c r="F56" i="12"/>
  <c r="F70" i="37"/>
  <c r="D72" i="25"/>
  <c r="G72" i="40"/>
  <c r="I70" i="40"/>
  <c r="I72" i="40" s="1"/>
  <c r="Z82" i="29"/>
  <c r="X642" i="44" s="1"/>
  <c r="M82" i="17"/>
  <c r="H51" i="32"/>
  <c r="F51" i="5"/>
  <c r="D12" i="32"/>
  <c r="L16" i="8"/>
  <c r="M24" i="9"/>
  <c r="M82" i="9" s="1"/>
  <c r="E19" i="33"/>
  <c r="E24" i="33" s="1"/>
  <c r="F82" i="19"/>
  <c r="F91" i="19" s="1"/>
  <c r="W24" i="24"/>
  <c r="H66" i="45"/>
  <c r="L64" i="45"/>
  <c r="F64" i="45"/>
  <c r="E15" i="24"/>
  <c r="G15" i="36" s="1"/>
  <c r="I15" i="36" s="1"/>
  <c r="Z24" i="46"/>
  <c r="I36" i="24"/>
  <c r="I82" i="19"/>
  <c r="I91" i="19" s="1"/>
  <c r="G59" i="12"/>
  <c r="G61" i="12" s="1"/>
  <c r="M59" i="12"/>
  <c r="I61" i="12"/>
  <c r="N36" i="46"/>
  <c r="K82" i="23"/>
  <c r="F24" i="12"/>
  <c r="F59" i="12"/>
  <c r="F61" i="12" s="1"/>
  <c r="H61" i="12"/>
  <c r="L59" i="12"/>
  <c r="F27" i="34"/>
  <c r="D29" i="22"/>
  <c r="F24" i="46"/>
  <c r="D19" i="46"/>
  <c r="L45" i="12"/>
  <c r="D45" i="36" s="1"/>
  <c r="H45" i="36" s="1"/>
  <c r="F45" i="12"/>
  <c r="X24" i="24"/>
  <c r="K29" i="24"/>
  <c r="G65" i="45"/>
  <c r="M65" i="45"/>
  <c r="I16" i="46"/>
  <c r="I82" i="46" s="1"/>
  <c r="I91" i="46" s="1"/>
  <c r="I60" i="42"/>
  <c r="I61" i="42" s="1"/>
  <c r="G60" i="5"/>
  <c r="I60" i="5" s="1"/>
  <c r="E42" i="21"/>
  <c r="E43" i="21" s="1"/>
  <c r="G40" i="33"/>
  <c r="H42" i="24"/>
  <c r="H43" i="24" s="1"/>
  <c r="D40" i="24"/>
  <c r="E35" i="5"/>
  <c r="D16" i="23"/>
  <c r="F11" i="35"/>
  <c r="F82" i="18"/>
  <c r="F59" i="5"/>
  <c r="H59" i="42"/>
  <c r="F61" i="42"/>
  <c r="E21" i="5"/>
  <c r="AG82" i="22"/>
  <c r="AE646" i="44" s="1"/>
  <c r="K84" i="45"/>
  <c r="AG82" i="27"/>
  <c r="F82" i="23"/>
  <c r="I24" i="27"/>
  <c r="I82" i="27" s="1"/>
  <c r="E19" i="27"/>
  <c r="G64" i="37"/>
  <c r="E66" i="25"/>
  <c r="I82" i="14"/>
  <c r="O82" i="20"/>
  <c r="M643" i="44" s="1"/>
  <c r="F27" i="32"/>
  <c r="D29" i="20"/>
  <c r="E42" i="20"/>
  <c r="E43" i="20" s="1"/>
  <c r="G40" i="32"/>
  <c r="K82" i="45"/>
  <c r="K91" i="45" s="1"/>
  <c r="I80" i="32"/>
  <c r="G80" i="5"/>
  <c r="AE644" i="44"/>
  <c r="AG91" i="21"/>
  <c r="S644" i="44"/>
  <c r="U91" i="21"/>
  <c r="L77" i="45"/>
  <c r="F77" i="45"/>
  <c r="D64" i="43"/>
  <c r="D66" i="43" s="1"/>
  <c r="L66" i="19"/>
  <c r="Z653" i="44"/>
  <c r="AB91" i="31"/>
  <c r="D60" i="24"/>
  <c r="F60" i="36" s="1"/>
  <c r="H60" i="36" s="1"/>
  <c r="E70" i="34"/>
  <c r="E72" i="34" s="1"/>
  <c r="M72" i="10"/>
  <c r="U43" i="24"/>
  <c r="S61" i="24"/>
  <c r="AD36" i="46"/>
  <c r="D51" i="46"/>
  <c r="F51" i="47" s="1"/>
  <c r="H51" i="47" s="1"/>
  <c r="K56" i="46"/>
  <c r="F47" i="45"/>
  <c r="L47" i="45"/>
  <c r="R36" i="46"/>
  <c r="AD43" i="24"/>
  <c r="K82" i="12"/>
  <c r="P29" i="24"/>
  <c r="D60" i="46"/>
  <c r="F60" i="47" s="1"/>
  <c r="H60" i="47" s="1"/>
  <c r="G70" i="42"/>
  <c r="E72" i="30"/>
  <c r="E84" i="30" s="1"/>
  <c r="O82" i="22"/>
  <c r="M646" i="44" s="1"/>
  <c r="Y29" i="46"/>
  <c r="F79" i="15"/>
  <c r="L79" i="15"/>
  <c r="D79" i="39" s="1"/>
  <c r="H79" i="39" s="1"/>
  <c r="L43" i="24"/>
  <c r="G49" i="15"/>
  <c r="M49" i="15"/>
  <c r="E49" i="39" s="1"/>
  <c r="I49" i="39" s="1"/>
  <c r="Q82" i="22"/>
  <c r="O646" i="44" s="1"/>
  <c r="Z16" i="24"/>
  <c r="Z82" i="24" s="1"/>
  <c r="X647" i="44" s="1"/>
  <c r="F20" i="15"/>
  <c r="L20" i="15"/>
  <c r="D20" i="39" s="1"/>
  <c r="I64" i="33"/>
  <c r="I66" i="33" s="1"/>
  <c r="G66" i="33"/>
  <c r="F64" i="34"/>
  <c r="D66" i="22"/>
  <c r="K72" i="46"/>
  <c r="H36" i="15"/>
  <c r="F32" i="15"/>
  <c r="L32" i="15"/>
  <c r="F36" i="42"/>
  <c r="G35" i="5"/>
  <c r="I35" i="5" s="1"/>
  <c r="H77" i="39"/>
  <c r="F28" i="15"/>
  <c r="L28" i="15"/>
  <c r="D28" i="39" s="1"/>
  <c r="H28" i="39" s="1"/>
  <c r="F80" i="5"/>
  <c r="H80" i="5" s="1"/>
  <c r="G56" i="46"/>
  <c r="E54" i="46"/>
  <c r="F86" i="37"/>
  <c r="D89" i="25"/>
  <c r="F34" i="15"/>
  <c r="L34" i="15"/>
  <c r="D34" i="39" s="1"/>
  <c r="I21" i="37"/>
  <c r="Q82" i="27"/>
  <c r="F76" i="12"/>
  <c r="L76" i="12"/>
  <c r="D76" i="36" s="1"/>
  <c r="G21" i="5"/>
  <c r="I21" i="5" s="1"/>
  <c r="D54" i="37"/>
  <c r="D56" i="37" s="1"/>
  <c r="L56" i="13"/>
  <c r="P82" i="26"/>
  <c r="N649" i="44" s="1"/>
  <c r="I74" i="37"/>
  <c r="E16" i="29"/>
  <c r="E82" i="29" s="1"/>
  <c r="G11" i="41"/>
  <c r="E24" i="29"/>
  <c r="G19" i="41"/>
  <c r="F82" i="20"/>
  <c r="D29" i="29"/>
  <c r="F27" i="41"/>
  <c r="O82" i="29"/>
  <c r="M642" i="44" s="1"/>
  <c r="G82" i="29"/>
  <c r="F23" i="4" s="1"/>
  <c r="AA82" i="29"/>
  <c r="Y642" i="44" s="1"/>
  <c r="D36" i="29"/>
  <c r="F32" i="41"/>
  <c r="F24" i="32"/>
  <c r="H20" i="32"/>
  <c r="D42" i="29"/>
  <c r="D43" i="29" s="1"/>
  <c r="D24" i="20"/>
  <c r="I82" i="8"/>
  <c r="H45" i="32"/>
  <c r="F45" i="5"/>
  <c r="F59" i="41"/>
  <c r="D61" i="29"/>
  <c r="M61" i="8"/>
  <c r="E59" i="32"/>
  <c r="E61" i="32" s="1"/>
  <c r="M16" i="8"/>
  <c r="M82" i="8" s="1"/>
  <c r="AH82" i="46"/>
  <c r="AH91" i="46" s="1"/>
  <c r="E56" i="29"/>
  <c r="E76" i="5"/>
  <c r="D24" i="21"/>
  <c r="F19" i="33"/>
  <c r="F19" i="5" s="1"/>
  <c r="E42" i="33"/>
  <c r="E43" i="33" s="1"/>
  <c r="F70" i="33"/>
  <c r="D72" i="21"/>
  <c r="D33" i="33"/>
  <c r="D36" i="33" s="1"/>
  <c r="L36" i="9"/>
  <c r="E33" i="33"/>
  <c r="M36" i="9"/>
  <c r="E24" i="20"/>
  <c r="G19" i="32"/>
  <c r="H82" i="19"/>
  <c r="H91" i="19" s="1"/>
  <c r="G19" i="43"/>
  <c r="E24" i="31"/>
  <c r="L41" i="12"/>
  <c r="D41" i="36" s="1"/>
  <c r="H41" i="36" s="1"/>
  <c r="F41" i="12"/>
  <c r="L14" i="45"/>
  <c r="F14" i="45"/>
  <c r="L41" i="45"/>
  <c r="F41" i="45"/>
  <c r="V16" i="46"/>
  <c r="G14" i="12"/>
  <c r="M14" i="12"/>
  <c r="E14" i="36" s="1"/>
  <c r="G60" i="45"/>
  <c r="M60" i="45"/>
  <c r="AE16" i="24"/>
  <c r="AE82" i="24" s="1"/>
  <c r="AC647" i="44" s="1"/>
  <c r="T644" i="44"/>
  <c r="V91" i="21"/>
  <c r="L21" i="45"/>
  <c r="F21" i="45"/>
  <c r="F66" i="43"/>
  <c r="H64" i="43"/>
  <c r="H66" i="43" s="1"/>
  <c r="I16" i="45"/>
  <c r="M11" i="45"/>
  <c r="G11" i="45"/>
  <c r="M78" i="12"/>
  <c r="E78" i="36" s="1"/>
  <c r="I78" i="36" s="1"/>
  <c r="G78" i="12"/>
  <c r="Q653" i="44"/>
  <c r="S91" i="31"/>
  <c r="D11" i="24"/>
  <c r="M16" i="10"/>
  <c r="E12" i="34"/>
  <c r="I12" i="34" s="1"/>
  <c r="AD16" i="46"/>
  <c r="AD82" i="46" s="1"/>
  <c r="AD91" i="46" s="1"/>
  <c r="D15" i="24"/>
  <c r="F15" i="36" s="1"/>
  <c r="H15" i="36" s="1"/>
  <c r="AC29" i="46"/>
  <c r="W36" i="46"/>
  <c r="S42" i="46"/>
  <c r="S43" i="46" s="1"/>
  <c r="AE56" i="24"/>
  <c r="Q61" i="24"/>
  <c r="V644" i="44"/>
  <c r="X91" i="21"/>
  <c r="G11" i="43"/>
  <c r="E16" i="31"/>
  <c r="E56" i="31"/>
  <c r="G21" i="12"/>
  <c r="M21" i="12"/>
  <c r="E21" i="36" s="1"/>
  <c r="F75" i="12"/>
  <c r="L75" i="12"/>
  <c r="D75" i="36" s="1"/>
  <c r="H75" i="36" s="1"/>
  <c r="I24" i="24"/>
  <c r="I82" i="24" s="1"/>
  <c r="G647" i="44" s="1"/>
  <c r="X36" i="46"/>
  <c r="X82" i="46" s="1"/>
  <c r="X91" i="46" s="1"/>
  <c r="J61" i="24"/>
  <c r="I87" i="43"/>
  <c r="G87" i="5"/>
  <c r="I87" i="5" s="1"/>
  <c r="G70" i="45"/>
  <c r="I72" i="45"/>
  <c r="M70" i="45"/>
  <c r="M72" i="45" s="1"/>
  <c r="X16" i="24"/>
  <c r="J24" i="24"/>
  <c r="AA61" i="46"/>
  <c r="W72" i="46"/>
  <c r="E16" i="21"/>
  <c r="G11" i="33"/>
  <c r="D86" i="46"/>
  <c r="F89" i="46"/>
  <c r="AK82" i="24"/>
  <c r="AI647" i="44" s="1"/>
  <c r="F33" i="45"/>
  <c r="L33" i="45"/>
  <c r="M55" i="12"/>
  <c r="E55" i="36" s="1"/>
  <c r="G55" i="12"/>
  <c r="F78" i="45"/>
  <c r="L78" i="45"/>
  <c r="W24" i="46"/>
  <c r="V56" i="24"/>
  <c r="M61" i="19"/>
  <c r="E59" i="43"/>
  <c r="M71" i="45"/>
  <c r="G71" i="45"/>
  <c r="AD82" i="22"/>
  <c r="AB646" i="44" s="1"/>
  <c r="H76" i="35"/>
  <c r="K82" i="21"/>
  <c r="E19" i="24"/>
  <c r="R24" i="24"/>
  <c r="D15" i="46"/>
  <c r="F15" i="47" s="1"/>
  <c r="H15" i="47" s="1"/>
  <c r="G66" i="46"/>
  <c r="E64" i="46"/>
  <c r="I33" i="43"/>
  <c r="G79" i="12"/>
  <c r="M79" i="12"/>
  <c r="E79" i="36" s="1"/>
  <c r="AA24" i="46"/>
  <c r="AA82" i="46" s="1"/>
  <c r="AA91" i="46" s="1"/>
  <c r="N42" i="46"/>
  <c r="N43" i="46" s="1"/>
  <c r="V61" i="24"/>
  <c r="D78" i="24"/>
  <c r="F78" i="36" s="1"/>
  <c r="H78" i="36" s="1"/>
  <c r="L36" i="46"/>
  <c r="F15" i="12"/>
  <c r="L15" i="12"/>
  <c r="D15" i="36" s="1"/>
  <c r="F71" i="45"/>
  <c r="L71" i="45"/>
  <c r="AA82" i="22"/>
  <c r="Y646" i="44" s="1"/>
  <c r="G82" i="24"/>
  <c r="M20" i="12"/>
  <c r="E20" i="36" s="1"/>
  <c r="G20" i="12"/>
  <c r="G65" i="12"/>
  <c r="M65" i="12"/>
  <c r="E65" i="36" s="1"/>
  <c r="I65" i="36" s="1"/>
  <c r="X29" i="24"/>
  <c r="D27" i="46"/>
  <c r="F29" i="46"/>
  <c r="E59" i="46"/>
  <c r="G61" i="46"/>
  <c r="E80" i="46"/>
  <c r="G80" i="47" s="1"/>
  <c r="I80" i="47" s="1"/>
  <c r="AC24" i="46"/>
  <c r="AC82" i="46" s="1"/>
  <c r="AC91" i="46" s="1"/>
  <c r="O42" i="24"/>
  <c r="O43" i="24" s="1"/>
  <c r="O82" i="24" s="1"/>
  <c r="M647" i="44" s="1"/>
  <c r="AB72" i="46"/>
  <c r="D82" i="35"/>
  <c r="L66" i="46"/>
  <c r="P82" i="22"/>
  <c r="N646" i="44" s="1"/>
  <c r="N24" i="46"/>
  <c r="AA36" i="46"/>
  <c r="X43" i="24"/>
  <c r="D36" i="23"/>
  <c r="F32" i="35"/>
  <c r="G40" i="35"/>
  <c r="E42" i="23"/>
  <c r="E43" i="23" s="1"/>
  <c r="F86" i="15"/>
  <c r="F89" i="15" s="1"/>
  <c r="H89" i="15"/>
  <c r="L86" i="15"/>
  <c r="F65" i="12"/>
  <c r="L65" i="12"/>
  <c r="D65" i="36" s="1"/>
  <c r="H65" i="36" s="1"/>
  <c r="Z72" i="24"/>
  <c r="E56" i="22"/>
  <c r="G54" i="34"/>
  <c r="G64" i="34"/>
  <c r="E66" i="22"/>
  <c r="L60" i="15"/>
  <c r="D60" i="39" s="1"/>
  <c r="F60" i="15"/>
  <c r="M36" i="13"/>
  <c r="E32" i="37"/>
  <c r="E36" i="37" s="1"/>
  <c r="G16" i="25"/>
  <c r="G82" i="25" s="1"/>
  <c r="V36" i="27"/>
  <c r="H45" i="37"/>
  <c r="D73" i="27"/>
  <c r="F73" i="39" s="1"/>
  <c r="L29" i="14"/>
  <c r="D27" i="38"/>
  <c r="AC36" i="24"/>
  <c r="Y82" i="22"/>
  <c r="W646" i="44" s="1"/>
  <c r="L56" i="24"/>
  <c r="E61" i="22"/>
  <c r="G59" i="34"/>
  <c r="F66" i="35"/>
  <c r="H64" i="35"/>
  <c r="H66" i="35" s="1"/>
  <c r="M59" i="15"/>
  <c r="I61" i="15"/>
  <c r="G59" i="15"/>
  <c r="G61" i="15" s="1"/>
  <c r="G11" i="15"/>
  <c r="G16" i="15" s="1"/>
  <c r="M11" i="15"/>
  <c r="I16" i="15"/>
  <c r="F33" i="15"/>
  <c r="L33" i="15"/>
  <c r="D33" i="39" s="1"/>
  <c r="H33" i="39" s="1"/>
  <c r="AA29" i="27"/>
  <c r="AA82" i="27" s="1"/>
  <c r="K43" i="27"/>
  <c r="D11" i="27"/>
  <c r="R82" i="22"/>
  <c r="P646" i="44" s="1"/>
  <c r="AB36" i="46"/>
  <c r="M82" i="23"/>
  <c r="F49" i="5"/>
  <c r="H49" i="5" s="1"/>
  <c r="G33" i="15"/>
  <c r="M33" i="15"/>
  <c r="E33" i="39" s="1"/>
  <c r="H21" i="37"/>
  <c r="P36" i="27"/>
  <c r="G82" i="23"/>
  <c r="M56" i="24"/>
  <c r="D72" i="42"/>
  <c r="I47" i="34"/>
  <c r="Z56" i="46"/>
  <c r="Q24" i="24"/>
  <c r="F49" i="15"/>
  <c r="L49" i="15"/>
  <c r="D49" i="39" s="1"/>
  <c r="H49" i="39" s="1"/>
  <c r="L89" i="13"/>
  <c r="AD82" i="25"/>
  <c r="Y24" i="27"/>
  <c r="Y42" i="27"/>
  <c r="Y43" i="27" s="1"/>
  <c r="K72" i="27"/>
  <c r="J82" i="26"/>
  <c r="H649" i="44" s="1"/>
  <c r="E24" i="35"/>
  <c r="E82" i="35" s="1"/>
  <c r="F54" i="35"/>
  <c r="D56" i="23"/>
  <c r="E16" i="7"/>
  <c r="E82" i="7" s="1"/>
  <c r="G15" i="15"/>
  <c r="M15" i="15"/>
  <c r="E15" i="39" s="1"/>
  <c r="I15" i="39" s="1"/>
  <c r="AA82" i="25"/>
  <c r="I86" i="37"/>
  <c r="I89" i="37" s="1"/>
  <c r="G89" i="37"/>
  <c r="D70" i="40"/>
  <c r="D72" i="40" s="1"/>
  <c r="L72" i="16"/>
  <c r="J72" i="27"/>
  <c r="G36" i="46"/>
  <c r="E32" i="46"/>
  <c r="D56" i="25"/>
  <c r="F54" i="37"/>
  <c r="F19" i="37"/>
  <c r="D24" i="25"/>
  <c r="L29" i="24"/>
  <c r="L82" i="24" s="1"/>
  <c r="J647" i="44" s="1"/>
  <c r="F16" i="42"/>
  <c r="F39" i="15"/>
  <c r="L39" i="15"/>
  <c r="D39" i="39" s="1"/>
  <c r="H39" i="39" s="1"/>
  <c r="F82" i="26"/>
  <c r="S82" i="28"/>
  <c r="Q651" i="44" s="1"/>
  <c r="F79" i="5"/>
  <c r="H79" i="5" s="1"/>
  <c r="F27" i="37"/>
  <c r="D29" i="25"/>
  <c r="G76" i="12"/>
  <c r="M76" i="12"/>
  <c r="E76" i="36" s="1"/>
  <c r="I76" i="36" s="1"/>
  <c r="E65" i="5"/>
  <c r="H40" i="42"/>
  <c r="F42" i="42"/>
  <c r="F43" i="42" s="1"/>
  <c r="N42" i="27"/>
  <c r="N43" i="27" s="1"/>
  <c r="E61" i="26"/>
  <c r="G59" i="38"/>
  <c r="M22" i="15"/>
  <c r="E22" i="39" s="1"/>
  <c r="I22" i="39" s="1"/>
  <c r="G22" i="15"/>
  <c r="O42" i="27"/>
  <c r="O43" i="27" s="1"/>
  <c r="Y82" i="26"/>
  <c r="W649" i="44" s="1"/>
  <c r="E36" i="28"/>
  <c r="G32" i="40"/>
  <c r="D59" i="27"/>
  <c r="I28" i="38"/>
  <c r="I29" i="38" s="1"/>
  <c r="F29" i="38"/>
  <c r="Y72" i="24"/>
  <c r="L43" i="14"/>
  <c r="G34" i="45"/>
  <c r="M34" i="45"/>
  <c r="H24" i="24"/>
  <c r="G13" i="5"/>
  <c r="E40" i="27"/>
  <c r="G66" i="13"/>
  <c r="G82" i="13" s="1"/>
  <c r="G91" i="13" s="1"/>
  <c r="L36" i="27"/>
  <c r="O66" i="27"/>
  <c r="AE86" i="27"/>
  <c r="AE88" i="26"/>
  <c r="AE88" i="27" s="1"/>
  <c r="F59" i="38"/>
  <c r="D61" i="26"/>
  <c r="G39" i="12"/>
  <c r="M39" i="12"/>
  <c r="E39" i="36" s="1"/>
  <c r="L74" i="45"/>
  <c r="F74" i="45"/>
  <c r="F77" i="5"/>
  <c r="H77" i="5" s="1"/>
  <c r="X650" i="44" l="1"/>
  <c r="Z91" i="27"/>
  <c r="R650" i="44"/>
  <c r="T91" i="27"/>
  <c r="B101" i="4"/>
  <c r="M91" i="9"/>
  <c r="G84" i="45"/>
  <c r="F16" i="5"/>
  <c r="Y650" i="44"/>
  <c r="AA91" i="27"/>
  <c r="AA650" i="44"/>
  <c r="AC91" i="27"/>
  <c r="L650" i="44"/>
  <c r="N91" i="27"/>
  <c r="I650" i="44"/>
  <c r="K91" i="27"/>
  <c r="B14" i="4"/>
  <c r="B103" i="4"/>
  <c r="F42" i="5"/>
  <c r="F43" i="5" s="1"/>
  <c r="H40" i="5"/>
  <c r="G650" i="44"/>
  <c r="F650" i="44"/>
  <c r="H91" i="27"/>
  <c r="P650" i="44"/>
  <c r="R91" i="27"/>
  <c r="N650" i="44"/>
  <c r="P91" i="27"/>
  <c r="M650" i="44"/>
  <c r="O91" i="27"/>
  <c r="S650" i="44"/>
  <c r="U91" i="27"/>
  <c r="V650" i="44"/>
  <c r="X91" i="27"/>
  <c r="B107" i="4"/>
  <c r="B20" i="4"/>
  <c r="B104" i="4"/>
  <c r="B16" i="4"/>
  <c r="M91" i="13"/>
  <c r="M85" i="13"/>
  <c r="F16" i="4"/>
  <c r="G91" i="25"/>
  <c r="D29" i="46"/>
  <c r="F27" i="47"/>
  <c r="I82" i="12"/>
  <c r="G61" i="33"/>
  <c r="I59" i="33"/>
  <c r="I61" i="33" s="1"/>
  <c r="F56" i="38"/>
  <c r="H54" i="38"/>
  <c r="H56" i="38" s="1"/>
  <c r="K648" i="44"/>
  <c r="M91" i="25"/>
  <c r="E70" i="5"/>
  <c r="E72" i="5" s="1"/>
  <c r="E72" i="42"/>
  <c r="M29" i="12"/>
  <c r="E27" i="36"/>
  <c r="E29" i="36" s="1"/>
  <c r="E36" i="24"/>
  <c r="F11" i="39"/>
  <c r="D16" i="27"/>
  <c r="D82" i="27" s="1"/>
  <c r="D91" i="27" s="1"/>
  <c r="G61" i="40"/>
  <c r="I59" i="40"/>
  <c r="I61" i="40" s="1"/>
  <c r="D24" i="42"/>
  <c r="D19" i="5"/>
  <c r="D24" i="5" s="1"/>
  <c r="K82" i="24"/>
  <c r="I647" i="44" s="1"/>
  <c r="I11" i="37"/>
  <c r="I16" i="37" s="1"/>
  <c r="G16" i="37"/>
  <c r="D16" i="42"/>
  <c r="D82" i="42" s="1"/>
  <c r="D11" i="5"/>
  <c r="G86" i="47"/>
  <c r="E89" i="46"/>
  <c r="Q650" i="44"/>
  <c r="S91" i="27"/>
  <c r="G648" i="44"/>
  <c r="I91" i="25"/>
  <c r="B19" i="4"/>
  <c r="B106" i="4"/>
  <c r="I88" i="39"/>
  <c r="F36" i="32"/>
  <c r="H32" i="32"/>
  <c r="H36" i="32" s="1"/>
  <c r="I59" i="37"/>
  <c r="I61" i="37" s="1"/>
  <c r="G61" i="37"/>
  <c r="H19" i="42"/>
  <c r="H24" i="42" s="1"/>
  <c r="I32" i="41"/>
  <c r="I36" i="41" s="1"/>
  <c r="G36" i="41"/>
  <c r="F56" i="37"/>
  <c r="H54" i="37"/>
  <c r="H56" i="37" s="1"/>
  <c r="E40" i="5"/>
  <c r="F16" i="35"/>
  <c r="H11" i="35"/>
  <c r="H16" i="35" s="1"/>
  <c r="I86" i="33"/>
  <c r="I89" i="33" s="1"/>
  <c r="G89" i="33"/>
  <c r="H32" i="37"/>
  <c r="H36" i="37" s="1"/>
  <c r="D82" i="25"/>
  <c r="D91" i="25" s="1"/>
  <c r="F54" i="36"/>
  <c r="D56" i="24"/>
  <c r="F82" i="41"/>
  <c r="Q82" i="24"/>
  <c r="O647" i="44" s="1"/>
  <c r="F24" i="45"/>
  <c r="F36" i="12"/>
  <c r="N648" i="44"/>
  <c r="P91" i="25"/>
  <c r="G36" i="43"/>
  <c r="I32" i="43"/>
  <c r="I36" i="43" s="1"/>
  <c r="H54" i="34"/>
  <c r="H56" i="34" s="1"/>
  <c r="M89" i="15"/>
  <c r="I59" i="38"/>
  <c r="I61" i="38" s="1"/>
  <c r="G61" i="38"/>
  <c r="D82" i="23"/>
  <c r="H11" i="37"/>
  <c r="H16" i="37" s="1"/>
  <c r="F16" i="37"/>
  <c r="AC82" i="24"/>
  <c r="AA647" i="44" s="1"/>
  <c r="I54" i="33"/>
  <c r="I56" i="33" s="1"/>
  <c r="G56" i="33"/>
  <c r="G72" i="37"/>
  <c r="I70" i="37"/>
  <c r="I72" i="37" s="1"/>
  <c r="E82" i="20"/>
  <c r="I79" i="5"/>
  <c r="I11" i="38"/>
  <c r="I16" i="38" s="1"/>
  <c r="G16" i="38"/>
  <c r="T648" i="44"/>
  <c r="V91" i="25"/>
  <c r="G11" i="39"/>
  <c r="E16" i="27"/>
  <c r="E82" i="27" s="1"/>
  <c r="G32" i="5"/>
  <c r="G24" i="45"/>
  <c r="H11" i="38"/>
  <c r="H16" i="38" s="1"/>
  <c r="F16" i="38"/>
  <c r="E82" i="38"/>
  <c r="AE648" i="44"/>
  <c r="AG91" i="25"/>
  <c r="R82" i="46"/>
  <c r="R91" i="46" s="1"/>
  <c r="H59" i="38"/>
  <c r="H61" i="38" s="1"/>
  <c r="F61" i="38"/>
  <c r="H11" i="42"/>
  <c r="H16" i="42" s="1"/>
  <c r="D70" i="5"/>
  <c r="D72" i="5" s="1"/>
  <c r="F25" i="4"/>
  <c r="E91" i="7"/>
  <c r="K645" i="44"/>
  <c r="M84" i="46"/>
  <c r="G61" i="34"/>
  <c r="I59" i="34"/>
  <c r="I61" i="34" s="1"/>
  <c r="I64" i="34"/>
  <c r="I66" i="34" s="1"/>
  <c r="G66" i="34"/>
  <c r="G59" i="47"/>
  <c r="E61" i="46"/>
  <c r="E61" i="43"/>
  <c r="E59" i="5"/>
  <c r="E61" i="5" s="1"/>
  <c r="H45" i="5"/>
  <c r="G54" i="47"/>
  <c r="E56" i="46"/>
  <c r="I64" i="37"/>
  <c r="I66" i="37" s="1"/>
  <c r="G66" i="37"/>
  <c r="AE89" i="27"/>
  <c r="M16" i="15"/>
  <c r="E11" i="39"/>
  <c r="E16" i="39" s="1"/>
  <c r="G56" i="34"/>
  <c r="I54" i="34"/>
  <c r="I56" i="34" s="1"/>
  <c r="E82" i="31"/>
  <c r="V82" i="46"/>
  <c r="V91" i="46" s="1"/>
  <c r="G24" i="43"/>
  <c r="I19" i="43"/>
  <c r="I24" i="43" s="1"/>
  <c r="I11" i="41"/>
  <c r="I16" i="41" s="1"/>
  <c r="I82" i="41" s="1"/>
  <c r="G16" i="41"/>
  <c r="F36" i="15"/>
  <c r="I40" i="32"/>
  <c r="G42" i="32"/>
  <c r="G43" i="32" s="1"/>
  <c r="G40" i="5"/>
  <c r="E24" i="27"/>
  <c r="G19" i="39"/>
  <c r="H61" i="42"/>
  <c r="I40" i="33"/>
  <c r="I42" i="33" s="1"/>
  <c r="I43" i="33" s="1"/>
  <c r="G42" i="33"/>
  <c r="G43" i="33" s="1"/>
  <c r="B23" i="4"/>
  <c r="B109" i="4"/>
  <c r="E64" i="39"/>
  <c r="E66" i="39" s="1"/>
  <c r="M66" i="15"/>
  <c r="I70" i="35"/>
  <c r="I72" i="35" s="1"/>
  <c r="G72" i="35"/>
  <c r="F89" i="33"/>
  <c r="H86" i="33"/>
  <c r="H89" i="33" s="1"/>
  <c r="I70" i="41"/>
  <c r="I72" i="41" s="1"/>
  <c r="G72" i="41"/>
  <c r="H15" i="5"/>
  <c r="F16" i="45"/>
  <c r="F32" i="39"/>
  <c r="D36" i="27"/>
  <c r="H60" i="39"/>
  <c r="H12" i="36"/>
  <c r="P82" i="46"/>
  <c r="P91" i="46" s="1"/>
  <c r="L72" i="45"/>
  <c r="N82" i="46"/>
  <c r="N91" i="46" s="1"/>
  <c r="H79" i="36"/>
  <c r="G61" i="45"/>
  <c r="F36" i="45"/>
  <c r="L56" i="15"/>
  <c r="I79" i="36"/>
  <c r="L66" i="12"/>
  <c r="D64" i="36"/>
  <c r="D66" i="36" s="1"/>
  <c r="I19" i="33"/>
  <c r="I24" i="33" s="1"/>
  <c r="G24" i="33"/>
  <c r="E66" i="42"/>
  <c r="E64" i="5"/>
  <c r="E66" i="5" s="1"/>
  <c r="I64" i="42"/>
  <c r="I66" i="42" s="1"/>
  <c r="H13" i="39"/>
  <c r="F16" i="12"/>
  <c r="D33" i="5"/>
  <c r="H33" i="5" s="1"/>
  <c r="H27" i="40"/>
  <c r="H29" i="40" s="1"/>
  <c r="F29" i="40"/>
  <c r="E82" i="30"/>
  <c r="S82" i="24"/>
  <c r="Q647" i="44" s="1"/>
  <c r="AI644" i="44"/>
  <c r="AK91" i="21"/>
  <c r="H11" i="32"/>
  <c r="H16" i="32" s="1"/>
  <c r="F16" i="32"/>
  <c r="G72" i="38"/>
  <c r="I70" i="38"/>
  <c r="I72" i="38" s="1"/>
  <c r="G70" i="39"/>
  <c r="E72" i="27"/>
  <c r="M72" i="15"/>
  <c r="E70" i="39"/>
  <c r="E72" i="39" s="1"/>
  <c r="F66" i="33"/>
  <c r="H64" i="33"/>
  <c r="H66" i="33" s="1"/>
  <c r="I87" i="39"/>
  <c r="I41" i="39"/>
  <c r="H21" i="5"/>
  <c r="T82" i="24"/>
  <c r="R647" i="44" s="1"/>
  <c r="G36" i="15"/>
  <c r="H11" i="43"/>
  <c r="H16" i="43" s="1"/>
  <c r="F16" i="43"/>
  <c r="F82" i="43" s="1"/>
  <c r="F91" i="43" s="1"/>
  <c r="H59" i="40"/>
  <c r="H61" i="40" s="1"/>
  <c r="F61" i="40"/>
  <c r="G19" i="5"/>
  <c r="L648" i="44"/>
  <c r="N91" i="25"/>
  <c r="H82" i="46"/>
  <c r="H91" i="46" s="1"/>
  <c r="H22" i="36"/>
  <c r="M82" i="24"/>
  <c r="K647" i="44" s="1"/>
  <c r="AC644" i="44"/>
  <c r="AE91" i="21"/>
  <c r="M66" i="45"/>
  <c r="F42" i="45"/>
  <c r="F43" i="45" s="1"/>
  <c r="I21" i="38"/>
  <c r="L16" i="15"/>
  <c r="D11" i="39"/>
  <c r="D16" i="39" s="1"/>
  <c r="D82" i="39" s="1"/>
  <c r="I89" i="43"/>
  <c r="G16" i="40"/>
  <c r="I11" i="40"/>
  <c r="I16" i="40" s="1"/>
  <c r="F89" i="39"/>
  <c r="I70" i="33"/>
  <c r="I72" i="33" s="1"/>
  <c r="G72" i="33"/>
  <c r="F66" i="36"/>
  <c r="H64" i="36"/>
  <c r="H66" i="36" s="1"/>
  <c r="I32" i="36"/>
  <c r="I36" i="36" s="1"/>
  <c r="G36" i="36"/>
  <c r="H54" i="35"/>
  <c r="H56" i="35" s="1"/>
  <c r="F56" i="35"/>
  <c r="F14" i="4"/>
  <c r="G84" i="46"/>
  <c r="G84" i="24"/>
  <c r="C109" i="4"/>
  <c r="C23" i="4"/>
  <c r="G29" i="33"/>
  <c r="I27" i="33"/>
  <c r="I29" i="33" s="1"/>
  <c r="C104" i="4"/>
  <c r="C16" i="4"/>
  <c r="E91" i="25"/>
  <c r="D11" i="36"/>
  <c r="D16" i="36" s="1"/>
  <c r="L16" i="12"/>
  <c r="F24" i="4"/>
  <c r="F27" i="4" s="1"/>
  <c r="Z650" i="44"/>
  <c r="AB91" i="27"/>
  <c r="H82" i="15"/>
  <c r="H91" i="15" s="1"/>
  <c r="D36" i="46"/>
  <c r="F32" i="47"/>
  <c r="H32" i="35"/>
  <c r="H36" i="35" s="1"/>
  <c r="F36" i="35"/>
  <c r="G16" i="45"/>
  <c r="H70" i="33"/>
  <c r="H72" i="33" s="1"/>
  <c r="F72" i="33"/>
  <c r="T650" i="44"/>
  <c r="V91" i="27"/>
  <c r="AD648" i="44"/>
  <c r="AF91" i="25"/>
  <c r="I59" i="35"/>
  <c r="I61" i="35" s="1"/>
  <c r="G61" i="35"/>
  <c r="AA648" i="44"/>
  <c r="AC91" i="25"/>
  <c r="E66" i="43"/>
  <c r="I64" i="43"/>
  <c r="I66" i="43" s="1"/>
  <c r="G40" i="36"/>
  <c r="E42" i="24"/>
  <c r="E43" i="24" s="1"/>
  <c r="D56" i="46"/>
  <c r="F54" i="47"/>
  <c r="H32" i="34"/>
  <c r="F36" i="34"/>
  <c r="I64" i="41"/>
  <c r="I66" i="41" s="1"/>
  <c r="G66" i="41"/>
  <c r="D82" i="37"/>
  <c r="D91" i="37" s="1"/>
  <c r="M72" i="12"/>
  <c r="E70" i="36"/>
  <c r="E72" i="36" s="1"/>
  <c r="G16" i="12"/>
  <c r="G82" i="12" s="1"/>
  <c r="I32" i="32"/>
  <c r="I36" i="32" s="1"/>
  <c r="G36" i="32"/>
  <c r="L29" i="15"/>
  <c r="D27" i="39"/>
  <c r="D29" i="39" s="1"/>
  <c r="H19" i="36"/>
  <c r="H24" i="36" s="1"/>
  <c r="F24" i="36"/>
  <c r="F72" i="32"/>
  <c r="H70" i="32"/>
  <c r="H72" i="32" s="1"/>
  <c r="M82" i="14"/>
  <c r="D36" i="24"/>
  <c r="F32" i="36"/>
  <c r="F36" i="33"/>
  <c r="H32" i="33"/>
  <c r="H36" i="33" s="1"/>
  <c r="D32" i="5"/>
  <c r="I32" i="33"/>
  <c r="I36" i="33" s="1"/>
  <c r="G36" i="33"/>
  <c r="G16" i="36"/>
  <c r="F32" i="5"/>
  <c r="Y648" i="44"/>
  <c r="AA91" i="25"/>
  <c r="D29" i="38"/>
  <c r="D82" i="38" s="1"/>
  <c r="H27" i="38"/>
  <c r="H29" i="38" s="1"/>
  <c r="I82" i="45"/>
  <c r="I91" i="45" s="1"/>
  <c r="L82" i="8"/>
  <c r="W650" i="44"/>
  <c r="Y91" i="27"/>
  <c r="D41" i="5"/>
  <c r="H41" i="5" s="1"/>
  <c r="H41" i="42"/>
  <c r="H42" i="42" s="1"/>
  <c r="H43" i="42" s="1"/>
  <c r="D42" i="42"/>
  <c r="D43" i="42" s="1"/>
  <c r="G42" i="34"/>
  <c r="G43" i="34" s="1"/>
  <c r="I40" i="34"/>
  <c r="I42" i="34" s="1"/>
  <c r="I43" i="34" s="1"/>
  <c r="I40" i="41"/>
  <c r="I42" i="41" s="1"/>
  <c r="I43" i="41" s="1"/>
  <c r="G42" i="41"/>
  <c r="G43" i="41" s="1"/>
  <c r="H32" i="43"/>
  <c r="H36" i="43" s="1"/>
  <c r="G59" i="5"/>
  <c r="I27" i="40"/>
  <c r="I29" i="40" s="1"/>
  <c r="G29" i="40"/>
  <c r="I89" i="27"/>
  <c r="I91" i="27" s="1"/>
  <c r="E86" i="27"/>
  <c r="G55" i="5"/>
  <c r="I55" i="5" s="1"/>
  <c r="I55" i="42"/>
  <c r="I56" i="42" s="1"/>
  <c r="G56" i="42"/>
  <c r="D16" i="46"/>
  <c r="F11" i="47"/>
  <c r="I41" i="36"/>
  <c r="D61" i="27"/>
  <c r="F59" i="39"/>
  <c r="E36" i="46"/>
  <c r="G32" i="47"/>
  <c r="D86" i="39"/>
  <c r="D89" i="39" s="1"/>
  <c r="L89" i="15"/>
  <c r="E66" i="46"/>
  <c r="G64" i="47"/>
  <c r="G16" i="33"/>
  <c r="I11" i="33"/>
  <c r="I16" i="33" s="1"/>
  <c r="G72" i="45"/>
  <c r="F11" i="36"/>
  <c r="D16" i="24"/>
  <c r="I33" i="33"/>
  <c r="E36" i="33"/>
  <c r="E82" i="33" s="1"/>
  <c r="E91" i="33" s="1"/>
  <c r="H19" i="33"/>
  <c r="H24" i="33" s="1"/>
  <c r="F24" i="33"/>
  <c r="I80" i="5"/>
  <c r="L66" i="45"/>
  <c r="D16" i="32"/>
  <c r="D82" i="32" s="1"/>
  <c r="H12" i="32"/>
  <c r="D12" i="5"/>
  <c r="F72" i="37"/>
  <c r="H70" i="37"/>
  <c r="H72" i="37" s="1"/>
  <c r="D19" i="39"/>
  <c r="D24" i="39" s="1"/>
  <c r="L24" i="15"/>
  <c r="F43" i="15"/>
  <c r="AG648" i="44"/>
  <c r="AI91" i="25"/>
  <c r="Q648" i="44"/>
  <c r="S91" i="25"/>
  <c r="G36" i="37"/>
  <c r="I32" i="37"/>
  <c r="I36" i="37" s="1"/>
  <c r="F42" i="37"/>
  <c r="F43" i="37" s="1"/>
  <c r="H40" i="37"/>
  <c r="H42" i="37" s="1"/>
  <c r="H43" i="37" s="1"/>
  <c r="F70" i="5"/>
  <c r="H70" i="42"/>
  <c r="H72" i="42" s="1"/>
  <c r="F72" i="42"/>
  <c r="E29" i="24"/>
  <c r="G27" i="36"/>
  <c r="H59" i="35"/>
  <c r="H61" i="35" s="1"/>
  <c r="F61" i="35"/>
  <c r="I49" i="36"/>
  <c r="F66" i="41"/>
  <c r="H64" i="41"/>
  <c r="H66" i="41" s="1"/>
  <c r="E72" i="24"/>
  <c r="G70" i="36"/>
  <c r="I36" i="34"/>
  <c r="F29" i="15"/>
  <c r="D82" i="22"/>
  <c r="G42" i="37"/>
  <c r="G43" i="37" s="1"/>
  <c r="I40" i="37"/>
  <c r="I42" i="37" s="1"/>
  <c r="I43" i="37" s="1"/>
  <c r="D61" i="46"/>
  <c r="F59" i="47"/>
  <c r="I11" i="32"/>
  <c r="I16" i="32" s="1"/>
  <c r="G16" i="32"/>
  <c r="F12" i="4"/>
  <c r="G91" i="21"/>
  <c r="F61" i="37"/>
  <c r="H59" i="37"/>
  <c r="H61" i="37" s="1"/>
  <c r="W648" i="44"/>
  <c r="Y91" i="25"/>
  <c r="E82" i="26"/>
  <c r="H36" i="42"/>
  <c r="H40" i="34"/>
  <c r="H42" i="34" s="1"/>
  <c r="H43" i="34" s="1"/>
  <c r="F42" i="34"/>
  <c r="F43" i="34" s="1"/>
  <c r="P82" i="24"/>
  <c r="N647" i="44" s="1"/>
  <c r="M56" i="12"/>
  <c r="E54" i="36"/>
  <c r="E56" i="36" s="1"/>
  <c r="W82" i="24"/>
  <c r="U647" i="44" s="1"/>
  <c r="L36" i="12"/>
  <c r="D32" i="36"/>
  <c r="D36" i="36" s="1"/>
  <c r="F72" i="40"/>
  <c r="H70" i="40"/>
  <c r="H72" i="40" s="1"/>
  <c r="J82" i="27"/>
  <c r="D29" i="24"/>
  <c r="F27" i="36"/>
  <c r="I34" i="5"/>
  <c r="M24" i="45"/>
  <c r="D82" i="26"/>
  <c r="H59" i="33"/>
  <c r="H61" i="33" s="1"/>
  <c r="F61" i="33"/>
  <c r="D59" i="5"/>
  <c r="D61" i="5" s="1"/>
  <c r="D61" i="42"/>
  <c r="I41" i="5"/>
  <c r="F72" i="35"/>
  <c r="H70" i="35"/>
  <c r="H72" i="35" s="1"/>
  <c r="G29" i="41"/>
  <c r="I27" i="41"/>
  <c r="I29" i="41" s="1"/>
  <c r="F42" i="38"/>
  <c r="F43" i="38" s="1"/>
  <c r="H40" i="38"/>
  <c r="H42" i="38" s="1"/>
  <c r="H43" i="38" s="1"/>
  <c r="I74" i="39"/>
  <c r="Z82" i="46"/>
  <c r="Z91" i="46" s="1"/>
  <c r="F70" i="39"/>
  <c r="D72" i="27"/>
  <c r="L24" i="12"/>
  <c r="F56" i="45"/>
  <c r="M24" i="12"/>
  <c r="E19" i="36"/>
  <c r="E24" i="36" s="1"/>
  <c r="H54" i="32"/>
  <c r="H56" i="32" s="1"/>
  <c r="F56" i="32"/>
  <c r="D82" i="29"/>
  <c r="F24" i="38"/>
  <c r="H19" i="38"/>
  <c r="H24" i="38" s="1"/>
  <c r="F72" i="15"/>
  <c r="G36" i="12"/>
  <c r="I27" i="35"/>
  <c r="I29" i="35" s="1"/>
  <c r="G29" i="35"/>
  <c r="G644" i="44"/>
  <c r="I91" i="21"/>
  <c r="AB650" i="44"/>
  <c r="AD91" i="27"/>
  <c r="I20" i="34"/>
  <c r="I40" i="35"/>
  <c r="I42" i="35" s="1"/>
  <c r="I43" i="35" s="1"/>
  <c r="G42" i="35"/>
  <c r="G43" i="35" s="1"/>
  <c r="G19" i="36"/>
  <c r="E24" i="24"/>
  <c r="F61" i="5"/>
  <c r="D72" i="24"/>
  <c r="F70" i="36"/>
  <c r="G70" i="47"/>
  <c r="E72" i="46"/>
  <c r="F19" i="39"/>
  <c r="D24" i="27"/>
  <c r="G24" i="38"/>
  <c r="I19" i="38"/>
  <c r="L24" i="45"/>
  <c r="H40" i="32"/>
  <c r="H42" i="32" s="1"/>
  <c r="H43" i="32" s="1"/>
  <c r="F42" i="32"/>
  <c r="F43" i="32" s="1"/>
  <c r="D42" i="40"/>
  <c r="D43" i="40" s="1"/>
  <c r="D82" i="40" s="1"/>
  <c r="H40" i="40"/>
  <c r="H42" i="40" s="1"/>
  <c r="H43" i="40" s="1"/>
  <c r="E32" i="39"/>
  <c r="E36" i="39" s="1"/>
  <c r="M36" i="15"/>
  <c r="E66" i="27"/>
  <c r="G64" i="39"/>
  <c r="J650" i="44"/>
  <c r="L91" i="27"/>
  <c r="F24" i="37"/>
  <c r="H19" i="37"/>
  <c r="H24" i="37" s="1"/>
  <c r="X82" i="24"/>
  <c r="V647" i="44" s="1"/>
  <c r="B11" i="4"/>
  <c r="B100" i="4"/>
  <c r="D43" i="39"/>
  <c r="D29" i="42"/>
  <c r="D27" i="5"/>
  <c r="D29" i="5" s="1"/>
  <c r="G72" i="12"/>
  <c r="I65" i="5"/>
  <c r="E24" i="43"/>
  <c r="E82" i="43" s="1"/>
  <c r="E91" i="43" s="1"/>
  <c r="E19" i="5"/>
  <c r="E61" i="24"/>
  <c r="G59" i="36"/>
  <c r="H19" i="34"/>
  <c r="H24" i="34" s="1"/>
  <c r="F24" i="34"/>
  <c r="H11" i="40"/>
  <c r="H16" i="40" s="1"/>
  <c r="F16" i="40"/>
  <c r="F82" i="40" s="1"/>
  <c r="I24" i="42"/>
  <c r="E82" i="37"/>
  <c r="E91" i="37" s="1"/>
  <c r="M16" i="45"/>
  <c r="F29" i="41"/>
  <c r="H27" i="41"/>
  <c r="H29" i="41" s="1"/>
  <c r="H82" i="41" s="1"/>
  <c r="AE650" i="44"/>
  <c r="AG91" i="27"/>
  <c r="D24" i="46"/>
  <c r="F19" i="47"/>
  <c r="I27" i="32"/>
  <c r="I29" i="32" s="1"/>
  <c r="G29" i="32"/>
  <c r="E36" i="27"/>
  <c r="G32" i="39"/>
  <c r="E24" i="46"/>
  <c r="G19" i="47"/>
  <c r="L42" i="12"/>
  <c r="L43" i="12" s="1"/>
  <c r="D40" i="36"/>
  <c r="D42" i="36" s="1"/>
  <c r="D43" i="36" s="1"/>
  <c r="F29" i="42"/>
  <c r="F82" i="42" s="1"/>
  <c r="H27" i="42"/>
  <c r="H29" i="42" s="1"/>
  <c r="F27" i="5"/>
  <c r="AB82" i="46"/>
  <c r="AB91" i="46" s="1"/>
  <c r="M42" i="15"/>
  <c r="M43" i="15" s="1"/>
  <c r="E40" i="39"/>
  <c r="E42" i="39" s="1"/>
  <c r="E43" i="39" s="1"/>
  <c r="D82" i="28"/>
  <c r="E66" i="24"/>
  <c r="G64" i="36"/>
  <c r="AA644" i="44"/>
  <c r="AC91" i="21"/>
  <c r="E42" i="27"/>
  <c r="E43" i="27" s="1"/>
  <c r="G40" i="39"/>
  <c r="G27" i="5"/>
  <c r="E59" i="39"/>
  <c r="E61" i="39" s="1"/>
  <c r="M61" i="15"/>
  <c r="M82" i="10"/>
  <c r="H64" i="34"/>
  <c r="H66" i="34" s="1"/>
  <c r="F66" i="34"/>
  <c r="G56" i="38"/>
  <c r="I54" i="38"/>
  <c r="I56" i="38" s="1"/>
  <c r="I74" i="36"/>
  <c r="D24" i="24"/>
  <c r="F16" i="33"/>
  <c r="F82" i="33" s="1"/>
  <c r="F91" i="33" s="1"/>
  <c r="H11" i="33"/>
  <c r="H16" i="33" s="1"/>
  <c r="H82" i="33" s="1"/>
  <c r="H91" i="33" s="1"/>
  <c r="I33" i="5"/>
  <c r="M36" i="12"/>
  <c r="E32" i="36"/>
  <c r="E36" i="36" s="1"/>
  <c r="E89" i="39"/>
  <c r="I32" i="40"/>
  <c r="I36" i="40" s="1"/>
  <c r="G36" i="40"/>
  <c r="H73" i="39"/>
  <c r="E82" i="21"/>
  <c r="F61" i="41"/>
  <c r="H59" i="41"/>
  <c r="H61" i="41" s="1"/>
  <c r="F36" i="41"/>
  <c r="H32" i="41"/>
  <c r="H36" i="41" s="1"/>
  <c r="G24" i="41"/>
  <c r="I19" i="41"/>
  <c r="I24" i="41" s="1"/>
  <c r="H86" i="37"/>
  <c r="H89" i="37" s="1"/>
  <c r="F89" i="37"/>
  <c r="F40" i="36"/>
  <c r="D42" i="24"/>
  <c r="D43" i="24" s="1"/>
  <c r="F29" i="34"/>
  <c r="H27" i="34"/>
  <c r="H29" i="34" s="1"/>
  <c r="M61" i="12"/>
  <c r="E59" i="36"/>
  <c r="E61" i="36" s="1"/>
  <c r="H51" i="5"/>
  <c r="M29" i="45"/>
  <c r="D56" i="27"/>
  <c r="F54" i="39"/>
  <c r="D56" i="32"/>
  <c r="D54" i="5"/>
  <c r="D56" i="5" s="1"/>
  <c r="O648" i="44"/>
  <c r="Q91" i="25"/>
  <c r="H27" i="35"/>
  <c r="H29" i="35" s="1"/>
  <c r="F29" i="35"/>
  <c r="I32" i="35"/>
  <c r="I36" i="35" s="1"/>
  <c r="G36" i="35"/>
  <c r="Q82" i="46"/>
  <c r="Q91" i="46" s="1"/>
  <c r="L61" i="15"/>
  <c r="D59" i="39"/>
  <c r="D61" i="39" s="1"/>
  <c r="F72" i="45"/>
  <c r="P648" i="44"/>
  <c r="R91" i="25"/>
  <c r="M61" i="45"/>
  <c r="F16" i="34"/>
  <c r="H11" i="34"/>
  <c r="H16" i="34" s="1"/>
  <c r="F29" i="33"/>
  <c r="H27" i="33"/>
  <c r="H29" i="33" s="1"/>
  <c r="G16" i="46"/>
  <c r="G82" i="46" s="1"/>
  <c r="G91" i="46" s="1"/>
  <c r="M82" i="19"/>
  <c r="E20" i="5"/>
  <c r="I20" i="5" s="1"/>
  <c r="I20" i="42"/>
  <c r="E24" i="42"/>
  <c r="H70" i="34"/>
  <c r="H72" i="34" s="1"/>
  <c r="F72" i="34"/>
  <c r="F89" i="43"/>
  <c r="F86" i="5"/>
  <c r="H86" i="43"/>
  <c r="H89" i="43" s="1"/>
  <c r="G72" i="15"/>
  <c r="T82" i="46"/>
  <c r="T91" i="46" s="1"/>
  <c r="K644" i="44"/>
  <c r="M91" i="21"/>
  <c r="G72" i="32"/>
  <c r="I70" i="32"/>
  <c r="I72" i="32" s="1"/>
  <c r="H19" i="35"/>
  <c r="H24" i="35" s="1"/>
  <c r="F24" i="35"/>
  <c r="I59" i="43"/>
  <c r="I61" i="43" s="1"/>
  <c r="I76" i="5"/>
  <c r="G24" i="15"/>
  <c r="G82" i="15" s="1"/>
  <c r="G91" i="15" s="1"/>
  <c r="L29" i="12"/>
  <c r="D27" i="36"/>
  <c r="D29" i="36" s="1"/>
  <c r="F59" i="36"/>
  <c r="D61" i="24"/>
  <c r="K650" i="44"/>
  <c r="M91" i="27"/>
  <c r="H64" i="37"/>
  <c r="H66" i="37" s="1"/>
  <c r="F66" i="37"/>
  <c r="E27" i="5"/>
  <c r="E29" i="5" s="1"/>
  <c r="H40" i="33"/>
  <c r="H42" i="33" s="1"/>
  <c r="H43" i="33" s="1"/>
  <c r="F42" i="33"/>
  <c r="F43" i="33" s="1"/>
  <c r="L56" i="45"/>
  <c r="G66" i="45"/>
  <c r="L42" i="45"/>
  <c r="L43" i="45" s="1"/>
  <c r="G36" i="45"/>
  <c r="H54" i="33"/>
  <c r="H56" i="33" s="1"/>
  <c r="F56" i="33"/>
  <c r="F56" i="41"/>
  <c r="H54" i="41"/>
  <c r="H56" i="41" s="1"/>
  <c r="G66" i="40"/>
  <c r="I64" i="40"/>
  <c r="I66" i="40" s="1"/>
  <c r="I54" i="35"/>
  <c r="I56" i="35" s="1"/>
  <c r="G56" i="35"/>
  <c r="I21" i="36"/>
  <c r="M66" i="12"/>
  <c r="E64" i="36"/>
  <c r="E66" i="36" s="1"/>
  <c r="G27" i="47"/>
  <c r="E29" i="46"/>
  <c r="G16" i="35"/>
  <c r="I11" i="35"/>
  <c r="I16" i="35" s="1"/>
  <c r="F64" i="47"/>
  <c r="D66" i="46"/>
  <c r="I11" i="43"/>
  <c r="I16" i="43" s="1"/>
  <c r="G16" i="43"/>
  <c r="O650" i="44"/>
  <c r="Q91" i="27"/>
  <c r="L82" i="45"/>
  <c r="L91" i="45" s="1"/>
  <c r="F61" i="34"/>
  <c r="H59" i="34"/>
  <c r="H61" i="34" s="1"/>
  <c r="H54" i="40"/>
  <c r="H56" i="40" s="1"/>
  <c r="F56" i="40"/>
  <c r="G16" i="42"/>
  <c r="I11" i="42"/>
  <c r="I16" i="42" s="1"/>
  <c r="G11" i="5"/>
  <c r="D36" i="34"/>
  <c r="D82" i="34" s="1"/>
  <c r="D84" i="47" s="1"/>
  <c r="H33" i="34"/>
  <c r="I54" i="39"/>
  <c r="I56" i="39" s="1"/>
  <c r="G56" i="39"/>
  <c r="I86" i="5"/>
  <c r="I89" i="5" s="1"/>
  <c r="G89" i="5"/>
  <c r="I644" i="44"/>
  <c r="K91" i="21"/>
  <c r="I19" i="32"/>
  <c r="I24" i="32" s="1"/>
  <c r="G24" i="32"/>
  <c r="H64" i="32"/>
  <c r="H66" i="32" s="1"/>
  <c r="F66" i="32"/>
  <c r="F64" i="5"/>
  <c r="M16" i="12"/>
  <c r="M82" i="12" s="1"/>
  <c r="E11" i="36"/>
  <c r="E16" i="36" s="1"/>
  <c r="E82" i="36" s="1"/>
  <c r="H82" i="12"/>
  <c r="F72" i="38"/>
  <c r="H70" i="38"/>
  <c r="H72" i="38" s="1"/>
  <c r="I27" i="37"/>
  <c r="I29" i="37" s="1"/>
  <c r="G29" i="37"/>
  <c r="I11" i="34"/>
  <c r="I16" i="34" s="1"/>
  <c r="G16" i="34"/>
  <c r="G54" i="36"/>
  <c r="E56" i="24"/>
  <c r="F16" i="15"/>
  <c r="E12" i="5"/>
  <c r="I12" i="5" s="1"/>
  <c r="E16" i="34"/>
  <c r="G70" i="5"/>
  <c r="I70" i="42"/>
  <c r="I72" i="42" s="1"/>
  <c r="G72" i="42"/>
  <c r="H27" i="32"/>
  <c r="H29" i="32" s="1"/>
  <c r="F29" i="32"/>
  <c r="I645" i="44"/>
  <c r="K84" i="46"/>
  <c r="I54" i="32"/>
  <c r="I56" i="32" s="1"/>
  <c r="G56" i="32"/>
  <c r="G54" i="5"/>
  <c r="L43" i="15"/>
  <c r="W82" i="46"/>
  <c r="W91" i="46" s="1"/>
  <c r="L82" i="18"/>
  <c r="I64" i="38"/>
  <c r="I66" i="38" s="1"/>
  <c r="G66" i="38"/>
  <c r="D42" i="46"/>
  <c r="D43" i="46" s="1"/>
  <c r="F40" i="47"/>
  <c r="M42" i="12"/>
  <c r="M43" i="12" s="1"/>
  <c r="E40" i="36"/>
  <c r="E42" i="36" s="1"/>
  <c r="E43" i="36" s="1"/>
  <c r="D91" i="21"/>
  <c r="E82" i="22"/>
  <c r="G24" i="34"/>
  <c r="I19" i="34"/>
  <c r="I24" i="34" s="1"/>
  <c r="D72" i="46"/>
  <c r="F70" i="47"/>
  <c r="D89" i="46"/>
  <c r="F86" i="47"/>
  <c r="F66" i="45"/>
  <c r="G29" i="39"/>
  <c r="F27" i="39"/>
  <c r="D29" i="27"/>
  <c r="D24" i="43"/>
  <c r="D82" i="43" s="1"/>
  <c r="D91" i="43" s="1"/>
  <c r="H19" i="43"/>
  <c r="H24" i="43" s="1"/>
  <c r="H12" i="5"/>
  <c r="G66" i="32"/>
  <c r="I64" i="32"/>
  <c r="I66" i="32" s="1"/>
  <c r="G64" i="5"/>
  <c r="D70" i="36"/>
  <c r="D72" i="36" s="1"/>
  <c r="L72" i="12"/>
  <c r="E42" i="46"/>
  <c r="E43" i="46" s="1"/>
  <c r="G40" i="47"/>
  <c r="AC650" i="44"/>
  <c r="AE91" i="27"/>
  <c r="H59" i="32"/>
  <c r="H61" i="32" s="1"/>
  <c r="F61" i="32"/>
  <c r="F54" i="5"/>
  <c r="E16" i="24"/>
  <c r="F29" i="37"/>
  <c r="H27" i="37"/>
  <c r="H29" i="37" s="1"/>
  <c r="AB648" i="44"/>
  <c r="AD91" i="25"/>
  <c r="I82" i="15"/>
  <c r="I91" i="15" s="1"/>
  <c r="D32" i="39"/>
  <c r="D36" i="39" s="1"/>
  <c r="L36" i="15"/>
  <c r="L61" i="12"/>
  <c r="D59" i="36"/>
  <c r="D61" i="36" s="1"/>
  <c r="H71" i="36"/>
  <c r="E36" i="42"/>
  <c r="E32" i="5"/>
  <c r="E36" i="5" s="1"/>
  <c r="H40" i="35"/>
  <c r="H42" i="35" s="1"/>
  <c r="H43" i="35" s="1"/>
  <c r="F42" i="35"/>
  <c r="F43" i="35" s="1"/>
  <c r="J82" i="24"/>
  <c r="H647" i="44" s="1"/>
  <c r="F61" i="15"/>
  <c r="M29" i="15"/>
  <c r="E27" i="39"/>
  <c r="E29" i="39" s="1"/>
  <c r="S82" i="46"/>
  <c r="S91" i="46" s="1"/>
  <c r="H28" i="43"/>
  <c r="H29" i="43" s="1"/>
  <c r="F28" i="5"/>
  <c r="H28" i="5" s="1"/>
  <c r="F29" i="43"/>
  <c r="G61" i="32"/>
  <c r="I59" i="32"/>
  <c r="I61" i="32" s="1"/>
  <c r="E61" i="27"/>
  <c r="G59" i="39"/>
  <c r="V648" i="44"/>
  <c r="X91" i="25"/>
  <c r="D56" i="39"/>
  <c r="O644" i="44"/>
  <c r="Q91" i="21"/>
  <c r="D40" i="5"/>
  <c r="D42" i="5" s="1"/>
  <c r="D43" i="5" s="1"/>
  <c r="G11" i="47"/>
  <c r="E16" i="46"/>
  <c r="F66" i="12"/>
  <c r="F64" i="39"/>
  <c r="D66" i="27"/>
  <c r="E34" i="5"/>
  <c r="E36" i="34"/>
  <c r="E13" i="5"/>
  <c r="I13" i="5" s="1"/>
  <c r="H64" i="38"/>
  <c r="H66" i="38" s="1"/>
  <c r="F66" i="38"/>
  <c r="I19" i="35"/>
  <c r="I24" i="35" s="1"/>
  <c r="G24" i="35"/>
  <c r="G72" i="34"/>
  <c r="I70" i="34"/>
  <c r="I72" i="34" s="1"/>
  <c r="I41" i="32"/>
  <c r="E42" i="32"/>
  <c r="E43" i="32" s="1"/>
  <c r="E82" i="32" s="1"/>
  <c r="E41" i="5"/>
  <c r="W82" i="27"/>
  <c r="G29" i="34"/>
  <c r="I27" i="34"/>
  <c r="I29" i="34" s="1"/>
  <c r="H20" i="43"/>
  <c r="F20" i="5"/>
  <c r="H20" i="5" s="1"/>
  <c r="F24" i="43"/>
  <c r="G56" i="37"/>
  <c r="I54" i="37"/>
  <c r="I56" i="37" s="1"/>
  <c r="M24" i="15"/>
  <c r="E19" i="39"/>
  <c r="E24" i="39" s="1"/>
  <c r="I28" i="5"/>
  <c r="D82" i="31"/>
  <c r="D91" i="31" s="1"/>
  <c r="G42" i="38"/>
  <c r="G43" i="38" s="1"/>
  <c r="I40" i="38"/>
  <c r="I42" i="38" s="1"/>
  <c r="I43" i="38" s="1"/>
  <c r="L82" i="13"/>
  <c r="L91" i="13" s="1"/>
  <c r="G24" i="37"/>
  <c r="I19" i="37"/>
  <c r="I24" i="37" s="1"/>
  <c r="E82" i="42"/>
  <c r="M36" i="45"/>
  <c r="W644" i="44"/>
  <c r="Y91" i="21"/>
  <c r="H70" i="41"/>
  <c r="H72" i="41" s="1"/>
  <c r="F72" i="41"/>
  <c r="F40" i="39"/>
  <c r="D42" i="27"/>
  <c r="D43" i="27" s="1"/>
  <c r="D70" i="39"/>
  <c r="D72" i="39" s="1"/>
  <c r="L72" i="15"/>
  <c r="G66" i="12"/>
  <c r="H24" i="32"/>
  <c r="D64" i="39"/>
  <c r="D66" i="39" s="1"/>
  <c r="L66" i="15"/>
  <c r="G61" i="41"/>
  <c r="I59" i="41"/>
  <c r="I61" i="41" s="1"/>
  <c r="E82" i="28"/>
  <c r="E82" i="23"/>
  <c r="C103" i="4" l="1"/>
  <c r="D103" i="4" s="1"/>
  <c r="C14" i="4"/>
  <c r="D14" i="4" s="1"/>
  <c r="H64" i="39"/>
  <c r="H66" i="39" s="1"/>
  <c r="F66" i="39"/>
  <c r="C13" i="4"/>
  <c r="C102" i="4"/>
  <c r="G82" i="35"/>
  <c r="C101" i="4"/>
  <c r="E91" i="21"/>
  <c r="G66" i="36"/>
  <c r="I64" i="36"/>
  <c r="I66" i="36" s="1"/>
  <c r="C105" i="4"/>
  <c r="D105" i="4" s="1"/>
  <c r="C17" i="4"/>
  <c r="G66" i="47"/>
  <c r="I64" i="47"/>
  <c r="I66" i="47" s="1"/>
  <c r="G82" i="45"/>
  <c r="G91" i="45" s="1"/>
  <c r="F36" i="39"/>
  <c r="H32" i="39"/>
  <c r="H36" i="39" s="1"/>
  <c r="I54" i="36"/>
  <c r="I56" i="36" s="1"/>
  <c r="G56" i="36"/>
  <c r="H59" i="47"/>
  <c r="H61" i="47" s="1"/>
  <c r="F61" i="47"/>
  <c r="L82" i="12"/>
  <c r="F82" i="32"/>
  <c r="H86" i="47"/>
  <c r="H89" i="47" s="1"/>
  <c r="F89" i="47"/>
  <c r="I82" i="42"/>
  <c r="D36" i="5"/>
  <c r="F82" i="12"/>
  <c r="H40" i="39"/>
  <c r="H42" i="39" s="1"/>
  <c r="H43" i="39" s="1"/>
  <c r="F42" i="39"/>
  <c r="F43" i="39" s="1"/>
  <c r="I82" i="34"/>
  <c r="G82" i="43"/>
  <c r="G91" i="43" s="1"/>
  <c r="I27" i="5"/>
  <c r="I29" i="5" s="1"/>
  <c r="G29" i="5"/>
  <c r="G42" i="5"/>
  <c r="G43" i="5" s="1"/>
  <c r="I40" i="5"/>
  <c r="I42" i="5" s="1"/>
  <c r="I43" i="5" s="1"/>
  <c r="F42" i="47"/>
  <c r="F43" i="47" s="1"/>
  <c r="H40" i="47"/>
  <c r="H42" i="47" s="1"/>
  <c r="H43" i="47" s="1"/>
  <c r="E82" i="34"/>
  <c r="E84" i="47" s="1"/>
  <c r="F56" i="5"/>
  <c r="H54" i="5"/>
  <c r="H56" i="5" s="1"/>
  <c r="H27" i="39"/>
  <c r="H29" i="39" s="1"/>
  <c r="F29" i="39"/>
  <c r="F66" i="47"/>
  <c r="H64" i="47"/>
  <c r="H66" i="47" s="1"/>
  <c r="F82" i="34"/>
  <c r="I64" i="5"/>
  <c r="I66" i="5" s="1"/>
  <c r="G66" i="5"/>
  <c r="I27" i="39"/>
  <c r="I29" i="39" s="1"/>
  <c r="F82" i="15"/>
  <c r="F91" i="15" s="1"/>
  <c r="I82" i="35"/>
  <c r="H40" i="36"/>
  <c r="H42" i="36" s="1"/>
  <c r="H43" i="36" s="1"/>
  <c r="F42" i="36"/>
  <c r="F43" i="36" s="1"/>
  <c r="M82" i="45"/>
  <c r="M91" i="45" s="1"/>
  <c r="I24" i="38"/>
  <c r="H59" i="5"/>
  <c r="H61" i="5" s="1"/>
  <c r="G82" i="32"/>
  <c r="G82" i="33"/>
  <c r="G91" i="33" s="1"/>
  <c r="B17" i="4"/>
  <c r="B105" i="4"/>
  <c r="H36" i="34"/>
  <c r="H86" i="39"/>
  <c r="H89" i="39" s="1"/>
  <c r="G24" i="5"/>
  <c r="I19" i="5"/>
  <c r="I24" i="5" s="1"/>
  <c r="G82" i="41"/>
  <c r="E82" i="39"/>
  <c r="E91" i="39" s="1"/>
  <c r="G36" i="5"/>
  <c r="I32" i="5"/>
  <c r="I36" i="5" s="1"/>
  <c r="C11" i="4"/>
  <c r="C100" i="4"/>
  <c r="D16" i="5"/>
  <c r="H11" i="5"/>
  <c r="H16" i="5" s="1"/>
  <c r="I82" i="32"/>
  <c r="M82" i="15"/>
  <c r="H11" i="47"/>
  <c r="H16" i="47" s="1"/>
  <c r="F16" i="47"/>
  <c r="I19" i="39"/>
  <c r="I24" i="39" s="1"/>
  <c r="G24" i="39"/>
  <c r="U650" i="44"/>
  <c r="W91" i="27"/>
  <c r="F24" i="39"/>
  <c r="H19" i="39"/>
  <c r="H24" i="39" s="1"/>
  <c r="I59" i="47"/>
  <c r="I61" i="47" s="1"/>
  <c r="G61" i="47"/>
  <c r="H82" i="35"/>
  <c r="I11" i="47"/>
  <c r="I16" i="47" s="1"/>
  <c r="G16" i="47"/>
  <c r="G56" i="5"/>
  <c r="I54" i="5"/>
  <c r="I56" i="5" s="1"/>
  <c r="G82" i="42"/>
  <c r="H59" i="36"/>
  <c r="H61" i="36" s="1"/>
  <c r="F61" i="36"/>
  <c r="D82" i="24"/>
  <c r="F36" i="47"/>
  <c r="H32" i="47"/>
  <c r="H36" i="47" s="1"/>
  <c r="H82" i="43"/>
  <c r="H91" i="43" s="1"/>
  <c r="G72" i="5"/>
  <c r="I70" i="5"/>
  <c r="I72" i="5" s="1"/>
  <c r="I82" i="43"/>
  <c r="I91" i="43" s="1"/>
  <c r="E16" i="5"/>
  <c r="I40" i="39"/>
  <c r="I42" i="39" s="1"/>
  <c r="I43" i="39" s="1"/>
  <c r="G42" i="39"/>
  <c r="G43" i="39" s="1"/>
  <c r="G72" i="47"/>
  <c r="I70" i="47"/>
  <c r="I72" i="47" s="1"/>
  <c r="H650" i="44"/>
  <c r="J91" i="27"/>
  <c r="F72" i="5"/>
  <c r="H70" i="5"/>
  <c r="H72" i="5" s="1"/>
  <c r="F16" i="36"/>
  <c r="H11" i="36"/>
  <c r="H16" i="36" s="1"/>
  <c r="G36" i="47"/>
  <c r="I32" i="47"/>
  <c r="I36" i="47" s="1"/>
  <c r="D16" i="4"/>
  <c r="C33" i="4"/>
  <c r="D33" i="4" s="1"/>
  <c r="L82" i="15"/>
  <c r="L91" i="15" s="1"/>
  <c r="C108" i="4"/>
  <c r="C21" i="4"/>
  <c r="E91" i="31"/>
  <c r="F82" i="38"/>
  <c r="G82" i="38"/>
  <c r="E42" i="5"/>
  <c r="E43" i="5" s="1"/>
  <c r="B102" i="4"/>
  <c r="B110" i="4" s="1"/>
  <c r="B13" i="4"/>
  <c r="B24" i="4" s="1"/>
  <c r="G29" i="36"/>
  <c r="I27" i="36"/>
  <c r="I29" i="36" s="1"/>
  <c r="F56" i="47"/>
  <c r="H54" i="47"/>
  <c r="H56" i="47" s="1"/>
  <c r="D23" i="4"/>
  <c r="C37" i="4"/>
  <c r="D37" i="4" s="1"/>
  <c r="C19" i="4"/>
  <c r="C106" i="4"/>
  <c r="I11" i="5"/>
  <c r="I16" i="5" s="1"/>
  <c r="G16" i="5"/>
  <c r="B108" i="4"/>
  <c r="B21" i="4"/>
  <c r="M91" i="19"/>
  <c r="F24" i="47"/>
  <c r="H19" i="47"/>
  <c r="H24" i="47" s="1"/>
  <c r="F72" i="39"/>
  <c r="H70" i="39"/>
  <c r="H72" i="39" s="1"/>
  <c r="C123" i="4"/>
  <c r="D123" i="4" s="1"/>
  <c r="D109" i="4"/>
  <c r="G16" i="39"/>
  <c r="I11" i="39"/>
  <c r="I16" i="39" s="1"/>
  <c r="H11" i="39"/>
  <c r="H16" i="39" s="1"/>
  <c r="F16" i="39"/>
  <c r="F82" i="39" s="1"/>
  <c r="F91" i="39" s="1"/>
  <c r="H42" i="5"/>
  <c r="H43" i="5" s="1"/>
  <c r="E82" i="46"/>
  <c r="E91" i="46" s="1"/>
  <c r="G82" i="34"/>
  <c r="H86" i="5"/>
  <c r="H89" i="5" s="1"/>
  <c r="F89" i="5"/>
  <c r="I19" i="36"/>
  <c r="I24" i="36" s="1"/>
  <c r="G24" i="36"/>
  <c r="G82" i="36" s="1"/>
  <c r="F29" i="36"/>
  <c r="H27" i="36"/>
  <c r="H29" i="36" s="1"/>
  <c r="D82" i="46"/>
  <c r="D91" i="46" s="1"/>
  <c r="F82" i="45"/>
  <c r="F91" i="45" s="1"/>
  <c r="I40" i="47"/>
  <c r="I42" i="47" s="1"/>
  <c r="I43" i="47" s="1"/>
  <c r="G42" i="47"/>
  <c r="G43" i="47" s="1"/>
  <c r="H82" i="40"/>
  <c r="D91" i="39"/>
  <c r="F82" i="35"/>
  <c r="M84" i="45"/>
  <c r="H82" i="34"/>
  <c r="H84" i="47" s="1"/>
  <c r="G36" i="39"/>
  <c r="I32" i="39"/>
  <c r="I36" i="39" s="1"/>
  <c r="H70" i="36"/>
  <c r="H72" i="36" s="1"/>
  <c r="F72" i="36"/>
  <c r="H32" i="5"/>
  <c r="H36" i="5" s="1"/>
  <c r="F36" i="5"/>
  <c r="F82" i="5" s="1"/>
  <c r="F91" i="5" s="1"/>
  <c r="F36" i="36"/>
  <c r="H32" i="36"/>
  <c r="H36" i="36" s="1"/>
  <c r="D104" i="4"/>
  <c r="I42" i="32"/>
  <c r="I43" i="32" s="1"/>
  <c r="I54" i="47"/>
  <c r="I56" i="47" s="1"/>
  <c r="G56" i="47"/>
  <c r="H82" i="42"/>
  <c r="H82" i="38"/>
  <c r="I82" i="38"/>
  <c r="F82" i="37"/>
  <c r="F91" i="37" s="1"/>
  <c r="H54" i="36"/>
  <c r="H56" i="36" s="1"/>
  <c r="F56" i="36"/>
  <c r="H19" i="5"/>
  <c r="H24" i="5" s="1"/>
  <c r="E24" i="5"/>
  <c r="I82" i="40"/>
  <c r="I70" i="36"/>
  <c r="I72" i="36" s="1"/>
  <c r="G72" i="36"/>
  <c r="G82" i="40"/>
  <c r="G82" i="37"/>
  <c r="G91" i="37" s="1"/>
  <c r="I59" i="39"/>
  <c r="I61" i="39" s="1"/>
  <c r="G61" i="39"/>
  <c r="I27" i="47"/>
  <c r="I29" i="47" s="1"/>
  <c r="G29" i="47"/>
  <c r="I59" i="5"/>
  <c r="I61" i="5" s="1"/>
  <c r="G61" i="5"/>
  <c r="D82" i="36"/>
  <c r="H82" i="32"/>
  <c r="I82" i="37"/>
  <c r="I91" i="37" s="1"/>
  <c r="H64" i="5"/>
  <c r="H66" i="5" s="1"/>
  <c r="F66" i="5"/>
  <c r="G24" i="47"/>
  <c r="I19" i="47"/>
  <c r="I24" i="47" s="1"/>
  <c r="I40" i="36"/>
  <c r="I42" i="36" s="1"/>
  <c r="I43" i="36" s="1"/>
  <c r="G42" i="36"/>
  <c r="G43" i="36" s="1"/>
  <c r="F72" i="47"/>
  <c r="H70" i="47"/>
  <c r="H72" i="47" s="1"/>
  <c r="E82" i="24"/>
  <c r="H54" i="39"/>
  <c r="H56" i="39" s="1"/>
  <c r="F56" i="39"/>
  <c r="F29" i="5"/>
  <c r="H27" i="5"/>
  <c r="H29" i="5" s="1"/>
  <c r="G61" i="36"/>
  <c r="I59" i="36"/>
  <c r="I61" i="36" s="1"/>
  <c r="G66" i="39"/>
  <c r="I64" i="39"/>
  <c r="I66" i="39" s="1"/>
  <c r="I82" i="33"/>
  <c r="I91" i="33" s="1"/>
  <c r="H59" i="39"/>
  <c r="H61" i="39" s="1"/>
  <c r="F61" i="39"/>
  <c r="E89" i="27"/>
  <c r="E91" i="27" s="1"/>
  <c r="G86" i="39"/>
  <c r="I11" i="36"/>
  <c r="I16" i="36" s="1"/>
  <c r="G72" i="39"/>
  <c r="I70" i="39"/>
  <c r="I72" i="39" s="1"/>
  <c r="C107" i="4"/>
  <c r="C20" i="4"/>
  <c r="H82" i="37"/>
  <c r="H91" i="37" s="1"/>
  <c r="I86" i="47"/>
  <c r="I89" i="47" s="1"/>
  <c r="G89" i="47"/>
  <c r="H27" i="47"/>
  <c r="H29" i="47" s="1"/>
  <c r="F29" i="47"/>
  <c r="F24" i="5"/>
  <c r="C118" i="4" l="1"/>
  <c r="D118" i="4" s="1"/>
  <c r="D102" i="4"/>
  <c r="H82" i="5"/>
  <c r="H91" i="5" s="1"/>
  <c r="I82" i="36"/>
  <c r="I86" i="39"/>
  <c r="I89" i="39" s="1"/>
  <c r="G89" i="39"/>
  <c r="I82" i="5"/>
  <c r="D21" i="4"/>
  <c r="C36" i="4"/>
  <c r="D36" i="4" s="1"/>
  <c r="F82" i="36"/>
  <c r="D11" i="4"/>
  <c r="C30" i="4"/>
  <c r="C24" i="4"/>
  <c r="I84" i="47"/>
  <c r="D106" i="4"/>
  <c r="C120" i="4"/>
  <c r="D120" i="4" s="1"/>
  <c r="D108" i="4"/>
  <c r="C122" i="4"/>
  <c r="D122" i="4" s="1"/>
  <c r="E82" i="5"/>
  <c r="F82" i="47"/>
  <c r="F91" i="47" s="1"/>
  <c r="F84" i="47"/>
  <c r="D101" i="4"/>
  <c r="C117" i="4"/>
  <c r="D117" i="4" s="1"/>
  <c r="D17" i="4"/>
  <c r="C119" i="4"/>
  <c r="D119" i="4" s="1"/>
  <c r="G82" i="47"/>
  <c r="G91" i="47" s="1"/>
  <c r="D82" i="5"/>
  <c r="D91" i="5" s="1"/>
  <c r="D19" i="4"/>
  <c r="C34" i="4"/>
  <c r="D34" i="4" s="1"/>
  <c r="H82" i="39"/>
  <c r="H91" i="39" s="1"/>
  <c r="I82" i="39"/>
  <c r="D13" i="4"/>
  <c r="C32" i="4"/>
  <c r="D32" i="4" s="1"/>
  <c r="G84" i="47"/>
  <c r="G82" i="5"/>
  <c r="H82" i="36"/>
  <c r="I82" i="47"/>
  <c r="I91" i="47" s="1"/>
  <c r="C116" i="4"/>
  <c r="C110" i="4"/>
  <c r="D100" i="4"/>
  <c r="D20" i="4"/>
  <c r="C35" i="4"/>
  <c r="D35" i="4" s="1"/>
  <c r="H82" i="47"/>
  <c r="H91" i="47" s="1"/>
  <c r="C121" i="4"/>
  <c r="D121" i="4" s="1"/>
  <c r="D107" i="4"/>
  <c r="M91" i="15"/>
  <c r="M85" i="15"/>
  <c r="G82" i="39"/>
  <c r="G91" i="39" s="1"/>
  <c r="C38" i="4" l="1"/>
  <c r="D30" i="4"/>
  <c r="D38" i="4" s="1"/>
  <c r="D24" i="4"/>
  <c r="D110" i="4"/>
  <c r="I91" i="39"/>
  <c r="D111" i="4"/>
  <c r="I91" i="5"/>
  <c r="D25" i="4" s="1"/>
  <c r="D116" i="4"/>
  <c r="D124" i="4" s="1"/>
  <c r="C124" i="4"/>
  <c r="B25" i="4"/>
  <c r="B27" i="4" s="1"/>
  <c r="B111" i="4"/>
  <c r="B113" i="4" s="1"/>
  <c r="E91" i="5"/>
  <c r="C125" i="4"/>
  <c r="C111" i="4"/>
  <c r="C113" i="4" s="1"/>
  <c r="G91" i="5"/>
  <c r="C39" i="4" l="1"/>
  <c r="C25" i="4"/>
  <c r="C27" i="4" s="1"/>
  <c r="C127" i="4"/>
  <c r="D125" i="4"/>
  <c r="D127" i="4" s="1"/>
  <c r="D39" i="4" l="1"/>
  <c r="D41" i="4" s="1"/>
  <c r="C41" i="4"/>
</calcChain>
</file>

<file path=xl/comments1.xml><?xml version="1.0" encoding="utf-8"?>
<comments xmlns="http://schemas.openxmlformats.org/spreadsheetml/2006/main">
  <authors>
    <author>jlittle</author>
  </authors>
  <commentList>
    <comment ref="I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supported by East Summary of Fl. To Act. Var. Page from M. Sanchez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Plug that should be reversed in 9904</t>
        </r>
      </text>
    </comment>
  </commentList>
</comments>
</file>

<file path=xl/comments11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  <comment ref="I648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Contained -50000 from Feb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176228 IS ONTARIO MTM THAT WAS RECLASSES TO THAT REGION.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-680000 is weather liquidation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O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reclass per m. sanchez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
MTM, Liq and orig clean-up per p. love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April per P. Love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 Matrix</t>
        </r>
      </text>
    </commen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 February Matrix, possibly prepay</t>
        </r>
      </text>
    </comment>
    <comment ref="S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March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O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from 9901 per P. Love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Asset group transfers to Texas</t>
        </r>
      </text>
    </comment>
    <comment ref="O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Asset group transfers to Texas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34561 is Acct 4081-700 not in Matrix but booked to GL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O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transfer with 9903 per cathy d.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AE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</t>
        </r>
      </text>
    </comment>
    <comment ref="O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Hyperion reclass from asset group.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across production mths resulting from change in COI</t>
        </r>
      </text>
    </comment>
    <comment ref="O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across production mths resulting from change in COI</t>
        </r>
      </text>
    </comment>
    <comment ref="O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Ad valorem from asset group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not in GL reverses in May</t>
        </r>
      </text>
    </comment>
  </commentList>
</comments>
</file>

<file path=xl/sharedStrings.xml><?xml version="1.0" encoding="utf-8"?>
<sst xmlns="http://schemas.openxmlformats.org/spreadsheetml/2006/main" count="5169" uniqueCount="209">
  <si>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</si>
  <si>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</si>
  <si>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</si>
  <si>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</si>
  <si>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</si>
  <si>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</si>
  <si>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</si>
  <si>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</si>
  <si>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</si>
  <si>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</si>
  <si>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</si>
  <si>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</si>
  <si>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</si>
  <si>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</si>
  <si>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</si>
  <si>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</si>
  <si>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</si>
  <si>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</si>
  <si>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</si>
  <si>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</si>
  <si>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</si>
  <si>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</si>
  <si>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</si>
  <si>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</si>
  <si>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</si>
  <si>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</si>
  <si>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</si>
  <si>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</si>
  <si>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</si>
  <si>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</si>
  <si>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</si>
  <si>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</si>
  <si>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</si>
  <si>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</si>
  <si>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</si>
  <si>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</si>
  <si>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</si>
  <si>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</si>
  <si>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</si>
  <si>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</si>
  <si>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</si>
  <si>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</si>
  <si>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</si>
  <si>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</si>
  <si>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</si>
  <si>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</si>
  <si>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</si>
  <si>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</si>
  <si>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</si>
  <si>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</si>
  <si>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</si>
  <si>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</si>
  <si>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</si>
  <si>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</si>
  <si>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</si>
  <si>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</si>
  <si>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</si>
  <si>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</si>
  <si>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</si>
  <si>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</si>
  <si>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</si>
  <si>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</si>
  <si>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</si>
  <si>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</si>
  <si>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</si>
  <si>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</si>
  <si>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</si>
  <si>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</si>
  <si>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</si>
  <si>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</si>
  <si>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</si>
  <si>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</si>
  <si>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</si>
  <si>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</si>
  <si>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</si>
  <si>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</si>
  <si>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</si>
  <si>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</si>
  <si>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</si>
  <si>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</si>
  <si>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</si>
  <si>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</si>
  <si>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</si>
  <si>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</si>
  <si>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</si>
  <si>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</si>
  <si>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</si>
  <si>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</si>
  <si>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</si>
  <si>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</si>
  <si>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</si>
  <si>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</si>
  <si>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</si>
  <si>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</si>
  <si>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</si>
  <si>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</si>
  <si>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</si>
  <si>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</si>
  <si>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</si>
  <si>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</si>
  <si>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</si>
  <si>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</si>
  <si>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</si>
  <si>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</si>
  <si>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</si>
  <si>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</si>
  <si>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</si>
  <si>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</si>
  <si>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</si>
  <si>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</si>
  <si>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</si>
  <si>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</si>
  <si>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</si>
  <si>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</si>
  <si>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</si>
  <si>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</si>
  <si>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</si>
  <si>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</si>
  <si>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</si>
  <si>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</si>
  <si>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</si>
  <si>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</si>
  <si>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</si>
  <si>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</si>
  <si>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</si>
  <si>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</si>
  <si>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</si>
  <si>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</si>
  <si>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</si>
  <si>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</si>
  <si>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</si>
  <si>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</si>
  <si>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</si>
  <si>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</si>
  <si>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</si>
  <si>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</si>
  <si>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</si>
  <si>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</si>
  <si>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</si>
  <si>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</si>
  <si>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</si>
  <si>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</si>
  <si>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</si>
  <si>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</si>
  <si>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</si>
  <si>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</si>
  <si>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</si>
  <si>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</si>
  <si>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</si>
  <si>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</si>
  <si>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</si>
  <si>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</si>
  <si>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</si>
  <si>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</si>
  <si>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</si>
  <si>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</si>
  <si>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</si>
  <si>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</si>
  <si>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</si>
  <si>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</si>
  <si>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</si>
  <si>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</si>
  <si>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</si>
  <si>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</si>
  <si>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</si>
  <si>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</si>
  <si>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</si>
  <si>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</si>
  <si>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</si>
  <si>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</si>
  <si>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</si>
  <si>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</si>
  <si>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</si>
  <si>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</si>
  <si>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</si>
  <si>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</si>
  <si>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</si>
  <si>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</si>
  <si>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</si>
  <si>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February</t>
  </si>
  <si>
    <t>Ontario</t>
  </si>
  <si>
    <t>9902V</t>
  </si>
  <si>
    <t>9902A</t>
  </si>
  <si>
    <t>REGION:  ONTARIO</t>
  </si>
  <si>
    <t>March</t>
  </si>
  <si>
    <t>PRODUCTION MONTH: 9902</t>
  </si>
  <si>
    <t>April</t>
  </si>
  <si>
    <t>May</t>
  </si>
  <si>
    <t>FT-Ontario</t>
  </si>
  <si>
    <t>Current Month MTM</t>
  </si>
  <si>
    <t>TOTAL FIRM TRADING</t>
  </si>
  <si>
    <t>TOTAL GL</t>
  </si>
  <si>
    <t>FT-All Regions</t>
  </si>
  <si>
    <t>FT-East</t>
  </si>
  <si>
    <t>TOTAL NGPL</t>
  </si>
  <si>
    <t>FT-South East</t>
  </si>
  <si>
    <t>FT-South Texas</t>
  </si>
  <si>
    <t>FT-Central</t>
  </si>
  <si>
    <t>TOTAL FIRM</t>
  </si>
  <si>
    <t>TOTAL TIEOUT</t>
  </si>
  <si>
    <t>June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</si>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</sst>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26" fillId="0" borderId="1" xfId="1" applyNumberFormat="1" applyFont="1" applyFill="1" applyBorder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" fillId="0" borderId="0" xfId="0" applyFont="1" applyBorder="1" applyAlignment="1">
      <alignment horizontal="right"/>
    </xf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0" xfId="1" applyNumberFormat="1" applyFont="1" applyFill="1"/>
    <xf numFmtId="165" fontId="19" fillId="5" borderId="1" xfId="1" applyNumberFormat="1" applyFont="1" applyFill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3/9903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2672004.7800000012</v>
          </cell>
        </row>
        <row r="42">
          <cell r="C42">
            <v>1081065.7600000016</v>
          </cell>
          <cell r="G42">
            <v>256527.76000000164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0">
          <cell r="B40">
            <v>-230061</v>
          </cell>
          <cell r="C40">
            <v>-783712</v>
          </cell>
          <cell r="D40">
            <v>0</v>
          </cell>
          <cell r="E40">
            <v>0</v>
          </cell>
          <cell r="F40">
            <v>668991</v>
          </cell>
          <cell r="G40">
            <v>0</v>
          </cell>
          <cell r="H40">
            <v>-303651</v>
          </cell>
          <cell r="I40">
            <v>0</v>
          </cell>
          <cell r="J40">
            <v>0</v>
          </cell>
          <cell r="K40">
            <v>0</v>
          </cell>
          <cell r="L40">
            <v>-311510</v>
          </cell>
          <cell r="M40">
            <v>1480113</v>
          </cell>
          <cell r="O40">
            <v>304368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2">
          <cell r="M82">
            <v>53778.990112164873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NE-FLSH"/>
      <sheetName val="SE-EGM-FLSH"/>
      <sheetName val="SE-LRC-FLSH"/>
      <sheetName val="SE-CON-FLSH"/>
      <sheetName val="EAST-CON-FLSH"/>
      <sheetName val="TX-EGM-FLSH"/>
      <sheetName val="TX-HPL-FLSH"/>
      <sheetName val="TX-CON-FLSH"/>
      <sheetName val="WE-FLSH"/>
      <sheetName val="STG_FLSH"/>
      <sheetName val="ONT_FLSH"/>
      <sheetName val="BGC_FLSH"/>
      <sheetName val="CE_GL"/>
      <sheetName val="NE_GL"/>
      <sheetName val="SE-EGM-GL"/>
      <sheetName val="SE-LRC-GL"/>
      <sheetName val="SE-CON-GL "/>
      <sheetName val="EAST-CON-GL"/>
      <sheetName val="TX-EGM-GL"/>
      <sheetName val="TX-HPL-GL "/>
      <sheetName val="TX-CON-GL "/>
      <sheetName val="WE-GL "/>
      <sheetName val="BGC_GL"/>
      <sheetName val="STG_GL"/>
      <sheetName val="ONT_GL "/>
      <sheetName val="CE-VAR"/>
      <sheetName val="NE-VAR"/>
      <sheetName val="SE-EGM-VAR"/>
      <sheetName val="SE-LRC-VAR"/>
      <sheetName val="SE-CON-VAR"/>
      <sheetName val="EAST-CON-VAR"/>
      <sheetName val="TX-EGM-VAR"/>
      <sheetName val="TX-HPL-VAR "/>
      <sheetName val="TX-CON-VAR"/>
      <sheetName val="WE-VAR"/>
      <sheetName val="STG_VAR"/>
      <sheetName val="ONT_VAR"/>
      <sheetName val="BGC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1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topLeftCell="A4" workbookViewId="0">
      <selection activeCell="B12" sqref="B12"/>
    </sheetView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7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E85" sqref="E8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</f>
        <v>8756483</v>
      </c>
      <c r="E11" s="66">
        <f>'SE-EGM-FLSH'!E11+'SE-LRC-FLSH'!E11</f>
        <v>15999987</v>
      </c>
      <c r="F11" s="37">
        <f>H11-D11</f>
        <v>0</v>
      </c>
      <c r="G11" s="37">
        <f>I11-E11</f>
        <v>0</v>
      </c>
      <c r="H11" s="60">
        <f>'SE-EGM-FLSH'!H11+'SE-LRC-FLSH'!H11</f>
        <v>8756483</v>
      </c>
      <c r="I11" s="38">
        <f>'SE-EGM-FLSH'!I11+'SE-LRC-FLSH'!I11</f>
        <v>15999987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8756483</v>
      </c>
      <c r="M11" s="38">
        <f t="shared" si="0"/>
        <v>15999987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</f>
        <v>2430728</v>
      </c>
      <c r="E13" s="66">
        <f>'SE-EGM-FLSH'!E13+'SE-LRC-FLSH'!E13</f>
        <v>4354318.5797002474</v>
      </c>
      <c r="F13" s="60">
        <f t="shared" si="1"/>
        <v>0</v>
      </c>
      <c r="G13" s="37">
        <f t="shared" si="1"/>
        <v>0</v>
      </c>
      <c r="H13" s="60">
        <f>'SE-EGM-FLSH'!H13+'SE-LRC-FLSH'!H13</f>
        <v>2430728</v>
      </c>
      <c r="I13" s="38">
        <f>'SE-EGM-FLSH'!I13+'SE-LRC-FLSH'!I13</f>
        <v>4354318.5797002474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2430728</v>
      </c>
      <c r="M13" s="38">
        <f t="shared" si="0"/>
        <v>4354318.5797002474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11187211</v>
      </c>
      <c r="E16" s="39">
        <f>SUM(E11:E15)</f>
        <v>20354305.579700246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11187211</v>
      </c>
      <c r="I16" s="39">
        <f t="shared" si="2"/>
        <v>20354305.579700246</v>
      </c>
      <c r="J16" s="61">
        <f t="shared" si="2"/>
        <v>0</v>
      </c>
      <c r="K16" s="39">
        <f t="shared" si="2"/>
        <v>0</v>
      </c>
      <c r="L16" s="61">
        <f t="shared" si="2"/>
        <v>11187211</v>
      </c>
      <c r="M16" s="39">
        <f t="shared" si="2"/>
        <v>20354305.579700246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</f>
        <v>-3595574</v>
      </c>
      <c r="E19" s="66">
        <f>'SE-EGM-FLSH'!E19+'SE-LRC-FLSH'!E19</f>
        <v>-6362818</v>
      </c>
      <c r="F19" s="60">
        <f>H19-D19</f>
        <v>0</v>
      </c>
      <c r="G19" s="37">
        <f>I19-E19</f>
        <v>0</v>
      </c>
      <c r="H19" s="60">
        <f>'SE-EGM-FLSH'!H19+'SE-LRC-FLSH'!H19</f>
        <v>-3595574</v>
      </c>
      <c r="I19" s="38">
        <f>'SE-EGM-FLSH'!I19+'SE-LRC-FLSH'!I19</f>
        <v>-6362818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-3595574</v>
      </c>
      <c r="M19" s="38">
        <f t="shared" si="3"/>
        <v>-6362818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</f>
        <v>-8411446</v>
      </c>
      <c r="E21" s="66">
        <f>'SE-EGM-FLSH'!E21+'SE-LRC-FLSH'!E21</f>
        <v>-14851847</v>
      </c>
      <c r="F21" s="60">
        <f t="shared" si="4"/>
        <v>0</v>
      </c>
      <c r="G21" s="37">
        <f t="shared" si="4"/>
        <v>0</v>
      </c>
      <c r="H21" s="60">
        <f>'SE-EGM-FLSH'!H21+'SE-LRC-FLSH'!H21</f>
        <v>-8411446</v>
      </c>
      <c r="I21" s="38">
        <f>'SE-EGM-FLSH'!I21+'SE-LRC-FLSH'!I21</f>
        <v>-14851847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-8411446</v>
      </c>
      <c r="M21" s="38">
        <f t="shared" si="3"/>
        <v>-14851847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37</v>
      </c>
      <c r="C24" s="6"/>
      <c r="D24" s="61">
        <f>SUM(D19:D23)</f>
        <v>-12007020</v>
      </c>
      <c r="E24" s="39">
        <f>SUM(E19:E23)</f>
        <v>-21214665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-12007020</v>
      </c>
      <c r="I24" s="39">
        <f t="shared" si="5"/>
        <v>-21214665</v>
      </c>
      <c r="J24" s="61">
        <f t="shared" si="5"/>
        <v>0</v>
      </c>
      <c r="K24" s="39">
        <f t="shared" si="5"/>
        <v>0</v>
      </c>
      <c r="L24" s="61">
        <f t="shared" si="5"/>
        <v>-12007020</v>
      </c>
      <c r="M24" s="39">
        <f t="shared" si="5"/>
        <v>-21214665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</f>
        <v>842723</v>
      </c>
      <c r="E27" s="66">
        <f>'SE-EGM-FLSH'!E27+'SE-LRC-FLSH'!E27</f>
        <v>1517548</v>
      </c>
      <c r="F27" s="60">
        <f>H27-D27</f>
        <v>0</v>
      </c>
      <c r="G27" s="37">
        <f>I27-E27</f>
        <v>0</v>
      </c>
      <c r="H27" s="60">
        <f>'SE-EGM-FLSH'!H27+'SE-LRC-FLSH'!H27</f>
        <v>842723</v>
      </c>
      <c r="I27" s="38">
        <f>'SE-EGM-FLSH'!I27+'SE-LRC-FLSH'!I27</f>
        <v>1517548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842723</v>
      </c>
      <c r="M27" s="38">
        <f>I27+K27</f>
        <v>1517548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</f>
        <v>-922792</v>
      </c>
      <c r="E28" s="66">
        <f>'SE-EGM-FLSH'!E28+'SE-LRC-FLSH'!E28</f>
        <v>-1649530</v>
      </c>
      <c r="F28" s="60">
        <f>H28-D28</f>
        <v>0</v>
      </c>
      <c r="G28" s="37">
        <f>I28-E28</f>
        <v>0</v>
      </c>
      <c r="H28" s="60">
        <f>'SE-EGM-FLSH'!H28+'SE-LRC-FLSH'!H28</f>
        <v>-922792</v>
      </c>
      <c r="I28" s="38">
        <f>'SE-EGM-FLSH'!I28+'SE-LRC-FLSH'!I28</f>
        <v>-1649530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-922792</v>
      </c>
      <c r="M28" s="38">
        <f>I28+K28</f>
        <v>-1649530</v>
      </c>
    </row>
    <row r="29" spans="1:13" x14ac:dyDescent="0.2">
      <c r="A29" s="9"/>
      <c r="B29" s="7" t="s">
        <v>41</v>
      </c>
      <c r="C29" s="6"/>
      <c r="D29" s="61">
        <f>SUM(D27:D28)</f>
        <v>-80069</v>
      </c>
      <c r="E29" s="39">
        <f>SUM(E27:E28)</f>
        <v>-131982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-80069</v>
      </c>
      <c r="I29" s="39">
        <f t="shared" si="6"/>
        <v>-131982</v>
      </c>
      <c r="J29" s="61">
        <f t="shared" si="6"/>
        <v>0</v>
      </c>
      <c r="K29" s="39">
        <f t="shared" si="6"/>
        <v>0</v>
      </c>
      <c r="L29" s="61">
        <f t="shared" si="6"/>
        <v>-80069</v>
      </c>
      <c r="M29" s="39">
        <f t="shared" si="6"/>
        <v>-131982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</f>
        <v>0</v>
      </c>
      <c r="E32" s="66">
        <f>'SE-EGM-FLSH'!E32+'SE-LRC-FLSH'!E32</f>
        <v>0</v>
      </c>
      <c r="F32" s="60">
        <f>H32-D32</f>
        <v>0</v>
      </c>
      <c r="G32" s="37">
        <f>I32-E32</f>
        <v>0</v>
      </c>
      <c r="H32" s="60">
        <f>'SE-EGM-FLSH'!H32+'SE-LRC-FLSH'!H32</f>
        <v>0</v>
      </c>
      <c r="I32" s="38">
        <f>'SE-EGM-FLSH'!I32+'SE-LRC-FLSH'!I32</f>
        <v>0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</f>
        <v>0</v>
      </c>
      <c r="E33" s="66">
        <f>'SE-EGM-FLSH'!E33+'SE-LRC-FLSH'!E33</f>
        <v>0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0</v>
      </c>
      <c r="I33" s="38">
        <f>'SE-EGM-FLSH'!I33+'SE-LRC-FLSH'!I33</f>
        <v>0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</f>
        <v>1542723</v>
      </c>
      <c r="E39" s="66">
        <f>'SE-EGM-FLSH'!E39+'SE-LRC-FLSH'!E39</f>
        <v>2816830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1542723</v>
      </c>
      <c r="I39" s="38">
        <f>'SE-EGM-FLSH'!I39+'SE-LRC-FLSH'!I39</f>
        <v>2816830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1542723</v>
      </c>
      <c r="M39" s="38">
        <f t="shared" si="11"/>
        <v>2816830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</f>
        <v>-922792</v>
      </c>
      <c r="E40" s="66">
        <f>'SE-EGM-FLSH'!E40+'SE-LRC-FLSH'!E40</f>
        <v>-1670255</v>
      </c>
      <c r="F40" s="60">
        <f t="shared" si="10"/>
        <v>0</v>
      </c>
      <c r="G40" s="37">
        <f t="shared" si="10"/>
        <v>0</v>
      </c>
      <c r="H40" s="60">
        <f>'SE-EGM-FLSH'!H40+'SE-LRC-FLSH'!H40</f>
        <v>-922792</v>
      </c>
      <c r="I40" s="38">
        <f>'SE-EGM-FLSH'!I40+'SE-LRC-FLSH'!I40</f>
        <v>-1670255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-922792</v>
      </c>
      <c r="M40" s="38">
        <f t="shared" si="11"/>
        <v>-1670255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-922792</v>
      </c>
      <c r="E42" s="39">
        <f>SUM(E40:E41)</f>
        <v>-1670255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-922792</v>
      </c>
      <c r="I42" s="39">
        <f t="shared" si="12"/>
        <v>-1670255</v>
      </c>
      <c r="J42" s="61">
        <f t="shared" si="12"/>
        <v>0</v>
      </c>
      <c r="K42" s="39">
        <f t="shared" si="12"/>
        <v>0</v>
      </c>
      <c r="L42" s="61">
        <f t="shared" si="12"/>
        <v>-922792</v>
      </c>
      <c r="M42" s="39">
        <f t="shared" si="12"/>
        <v>-1670255</v>
      </c>
    </row>
    <row r="43" spans="1:13" ht="21" customHeight="1" x14ac:dyDescent="0.2">
      <c r="A43" s="9"/>
      <c r="B43" s="7" t="s">
        <v>53</v>
      </c>
      <c r="C43" s="6"/>
      <c r="D43" s="61">
        <f>D42+D39</f>
        <v>619931</v>
      </c>
      <c r="E43" s="39">
        <f>E42+E39</f>
        <v>1146575</v>
      </c>
      <c r="F43" s="61">
        <f t="shared" ref="F43:M43" si="13">F42+F39</f>
        <v>0</v>
      </c>
      <c r="G43" s="39">
        <f t="shared" si="13"/>
        <v>0</v>
      </c>
      <c r="H43" s="61">
        <f t="shared" si="13"/>
        <v>619931</v>
      </c>
      <c r="I43" s="39">
        <f t="shared" si="13"/>
        <v>1146575</v>
      </c>
      <c r="J43" s="61">
        <f t="shared" si="13"/>
        <v>0</v>
      </c>
      <c r="K43" s="39">
        <f t="shared" si="13"/>
        <v>0</v>
      </c>
      <c r="L43" s="61">
        <f t="shared" si="13"/>
        <v>619931</v>
      </c>
      <c r="M43" s="39">
        <f t="shared" si="13"/>
        <v>1146575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</f>
        <v>190556</v>
      </c>
      <c r="E49" s="66">
        <f>'SE-EGM-FLSH'!E49+'SE-LRC-FLSH'!E49</f>
        <v>337495.17154456058</v>
      </c>
      <c r="F49" s="60">
        <f>H49-D49</f>
        <v>0</v>
      </c>
      <c r="G49" s="37">
        <f>I49-E49</f>
        <v>0</v>
      </c>
      <c r="H49" s="60">
        <f>'SE-EGM-FLSH'!H49+'SE-LRC-FLSH'!H49</f>
        <v>190556</v>
      </c>
      <c r="I49" s="38">
        <f>'SE-EGM-FLSH'!I49+'SE-LRC-FLSH'!I49</f>
        <v>337495.17154456058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190556</v>
      </c>
      <c r="M49" s="38">
        <f>I49+K49</f>
        <v>337495.17154456058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112176.6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112176.6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112176.6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112176.6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112176.6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112176.6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-89391</v>
      </c>
      <c r="E82" s="74">
        <f>SUM(E72:E81)+E16+E24+E29+E36+E43+E45+E47+E49+E51+E56+E61+E66</f>
        <v>-2396094.6487551928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-89391</v>
      </c>
      <c r="I82" s="74">
        <f>SUM(I72:I81)+I16+I24+I29+I36+I43+I45+I47+I49+I51+I56+I61+I66</f>
        <v>-2396094.6487551928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-89391</v>
      </c>
      <c r="M82" s="74">
        <f>SUM(M72:M81)+M16+M24+M29+M36+M43+M45+M47+M49+M51+M56+M61+M66</f>
        <v>-2396094.6487551928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M84" s="45"/>
    </row>
    <row r="85" spans="1:67" x14ac:dyDescent="0.2">
      <c r="A85" s="4"/>
      <c r="B85" s="3"/>
      <c r="E85" s="31">
        <f>+'SE-LRC-FLSH'!E82+'SE-EGM-FLSH'!E82</f>
        <v>-2396094.6487551928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  <c r="J88" s="45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A62" zoomScale="75" workbookViewId="0">
      <selection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'SE-EGM-FLSH'!D11+'SE-LRC-FLSH'!D11+'NE-FLSH'!D11+BGC_FLSH!D11</f>
        <v>108743829</v>
      </c>
      <c r="E11" s="66">
        <f>'SE-EGM-FLSH'!E11+'SE-LRC-FLSH'!E11+'NE-FLSH'!E11+BGC_FLSH!E11</f>
        <v>192403728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108743829</v>
      </c>
      <c r="I11" s="66">
        <f>'SE-EGM-FLSH'!I11+'SE-LRC-FLSH'!I11+'NE-FLSH'!I11+BGC_FLSH!I11</f>
        <v>192403728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108743829</v>
      </c>
      <c r="M11" s="38">
        <f t="shared" si="0"/>
        <v>192403728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'SE-EGM-FLSH'!D13+'SE-LRC-FLSH'!D13+'NE-FLSH'!D13+BGC_FLSH!D13</f>
        <v>77490594</v>
      </c>
      <c r="E13" s="66">
        <f>'SE-EGM-FLSH'!E13+'SE-LRC-FLSH'!E13+'NE-FLSH'!E13+BGC_FLSH!E13</f>
        <v>146381942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77490594</v>
      </c>
      <c r="I13" s="66">
        <f>'SE-EGM-FLSH'!I13+'SE-LRC-FLSH'!I13+'NE-FLSH'!I13+BGC_FLSH!I13</f>
        <v>146381942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77490594</v>
      </c>
      <c r="M13" s="38">
        <f t="shared" si="0"/>
        <v>146381942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88910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88910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88910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186234423</v>
      </c>
      <c r="E16" s="39">
        <f>SUM(E11:E15)</f>
        <v>338874580</v>
      </c>
      <c r="F16" s="61">
        <f t="shared" ref="F16:M16" si="2">SUM(F11:F15)</f>
        <v>0</v>
      </c>
      <c r="G16" s="39">
        <f t="shared" si="2"/>
        <v>0</v>
      </c>
      <c r="H16" s="61">
        <f>SUM(H11:H15)</f>
        <v>186234423</v>
      </c>
      <c r="I16" s="39">
        <f>SUM(I11:I15)</f>
        <v>338874580</v>
      </c>
      <c r="J16" s="61">
        <f t="shared" si="2"/>
        <v>0</v>
      </c>
      <c r="K16" s="39">
        <f t="shared" si="2"/>
        <v>0</v>
      </c>
      <c r="L16" s="61">
        <f t="shared" si="2"/>
        <v>186234423</v>
      </c>
      <c r="M16" s="39">
        <f t="shared" si="2"/>
        <v>338874580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'SE-EGM-FLSH'!D19+'SE-LRC-FLSH'!D19+'NE-FLSH'!D19+BGC_FLSH!D19</f>
        <v>-101288518</v>
      </c>
      <c r="E19" s="66">
        <f>'SE-EGM-FLSH'!E19+'SE-LRC-FLSH'!E19+'NE-FLSH'!E19+BGC_FLSH!E19</f>
        <v>-180885869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-101288518</v>
      </c>
      <c r="I19" s="66">
        <f>'SE-EGM-FLSH'!I19+'SE-LRC-FLSH'!I19+'NE-FLSH'!I19+BGC_FLSH!I19</f>
        <v>-180885869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-101288518</v>
      </c>
      <c r="M19" s="38">
        <f t="shared" si="3"/>
        <v>-180885869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'SE-EGM-FLSH'!D21+'SE-LRC-FLSH'!D21+'NE-FLSH'!D21+BGC_FLSH!D21</f>
        <v>-77256212</v>
      </c>
      <c r="E21" s="66">
        <f>'SE-EGM-FLSH'!E21+'SE-LRC-FLSH'!E21+'NE-FLSH'!E21+BGC_FLSH!E21</f>
        <v>-146880759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-77256212</v>
      </c>
      <c r="I21" s="66">
        <f>'SE-EGM-FLSH'!I21+'SE-LRC-FLSH'!I21+'NE-FLSH'!I21+BGC_FLSH!I21</f>
        <v>-146880759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-77256212</v>
      </c>
      <c r="M21" s="38">
        <f t="shared" si="3"/>
        <v>-146880759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'SE-EGM-FLSH'!D23+'SE-LRC-FLSH'!D23+'NE-FLSH'!D23+BGC_FLSH!D23</f>
        <v>930943</v>
      </c>
      <c r="E23" s="66">
        <f>'SE-EGM-FLSH'!E23+'SE-LRC-FLSH'!E23+'NE-FLSH'!E23+BGC_FLSH!E23</f>
        <v>1697126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930943</v>
      </c>
      <c r="I23" s="66">
        <f>'SE-EGM-FLSH'!I23+'SE-LRC-FLSH'!I23+'NE-FLSH'!I23+BGC_FLSH!I23</f>
        <v>1697126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930943</v>
      </c>
      <c r="M23" s="38">
        <f t="shared" si="3"/>
        <v>1697126</v>
      </c>
    </row>
    <row r="24" spans="1:13" x14ac:dyDescent="0.2">
      <c r="A24" s="9"/>
      <c r="B24" s="7" t="s">
        <v>37</v>
      </c>
      <c r="C24" s="6"/>
      <c r="D24" s="61">
        <f>SUM(D19:D23)</f>
        <v>-177613787</v>
      </c>
      <c r="E24" s="39">
        <f>SUM(E19:E23)</f>
        <v>-326069502</v>
      </c>
      <c r="F24" s="61">
        <f t="shared" ref="F24:M24" si="5">SUM(F19:F23)</f>
        <v>0</v>
      </c>
      <c r="G24" s="39">
        <f t="shared" si="5"/>
        <v>0</v>
      </c>
      <c r="H24" s="61">
        <f>SUM(H19:H23)</f>
        <v>-177613787</v>
      </c>
      <c r="I24" s="39">
        <f>SUM(I19:I23)</f>
        <v>-326069502</v>
      </c>
      <c r="J24" s="61">
        <f t="shared" si="5"/>
        <v>0</v>
      </c>
      <c r="K24" s="39">
        <f t="shared" si="5"/>
        <v>0</v>
      </c>
      <c r="L24" s="61">
        <f t="shared" si="5"/>
        <v>-177613787</v>
      </c>
      <c r="M24" s="39">
        <f t="shared" si="5"/>
        <v>-326069502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'SE-EGM-FLSH'!D32+'SE-LRC-FLSH'!D32+'NE-FLSH'!D32+BGC_FLSH!D32</f>
        <v>228474</v>
      </c>
      <c r="E32" s="66">
        <f>'SE-EGM-FLSH'!E32+'SE-LRC-FLSH'!E32+'NE-FLSH'!E32+BGC_FLSH!E32</f>
        <v>431505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228474</v>
      </c>
      <c r="I32" s="66">
        <f>'SE-EGM-FLSH'!I32+'SE-LRC-FLSH'!I32+'NE-FLSH'!I32+BGC_FLSH!I32</f>
        <v>431505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228474</v>
      </c>
      <c r="M32" s="38">
        <f t="shared" si="7"/>
        <v>431505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'SE-EGM-FLSH'!D33+'SE-LRC-FLSH'!D33+'NE-FLSH'!D33+BGC_FLSH!D33</f>
        <v>-360353</v>
      </c>
      <c r="E33" s="66">
        <f>'SE-EGM-FLSH'!E33+'SE-LRC-FLSH'!E33+'NE-FLSH'!E33+BGC_FLSH!E33</f>
        <v>-666916.89810825116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-360353</v>
      </c>
      <c r="I33" s="66">
        <f>'SE-EGM-FLSH'!I33+'SE-LRC-FLSH'!I33+'NE-FLSH'!I33+BGC_FLSH!I33</f>
        <v>-666916.89810825116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-360353</v>
      </c>
      <c r="M33" s="38">
        <f t="shared" si="7"/>
        <v>-666916.89810825116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'SE-EGM-FLSH'!D34+'SE-LRC-FLSH'!D34+'NE-FLSH'!D34+BGC_FLSH!D34</f>
        <v>497396</v>
      </c>
      <c r="E34" s="66">
        <f>'SE-EGM-FLSH'!E34+'SE-LRC-FLSH'!E34+'NE-FLSH'!E34+BGC_FLSH!E34</f>
        <v>873705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497396</v>
      </c>
      <c r="I34" s="66">
        <f>'SE-EGM-FLSH'!I34+'SE-LRC-FLSH'!I34+'NE-FLSH'!I34+BGC_FLSH!I34</f>
        <v>873705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497396</v>
      </c>
      <c r="M34" s="38">
        <f t="shared" si="7"/>
        <v>873705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'SE-EGM-FLSH'!D35+'SE-LRC-FLSH'!D35+'NE-FLSH'!D35+BGC_FLSH!D35</f>
        <v>-248298</v>
      </c>
      <c r="E35" s="66">
        <f>'SE-EGM-FLSH'!E35+'SE-LRC-FLSH'!E35+'NE-FLSH'!E35+BGC_FLSH!E35</f>
        <v>-438477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-248298</v>
      </c>
      <c r="I35" s="66">
        <f>'SE-EGM-FLSH'!I35+'SE-LRC-FLSH'!I35+'NE-FLSH'!I35+BGC_FLSH!I35</f>
        <v>-438477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-248298</v>
      </c>
      <c r="M35" s="38">
        <f t="shared" si="7"/>
        <v>-438477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117219</v>
      </c>
      <c r="E36" s="39">
        <f t="shared" si="9"/>
        <v>199816.10189174884</v>
      </c>
      <c r="F36" s="61">
        <f t="shared" si="9"/>
        <v>0</v>
      </c>
      <c r="G36" s="39">
        <f t="shared" si="9"/>
        <v>0</v>
      </c>
      <c r="H36" s="61">
        <f t="shared" si="9"/>
        <v>117219</v>
      </c>
      <c r="I36" s="39">
        <f t="shared" si="9"/>
        <v>199816.10189174884</v>
      </c>
      <c r="J36" s="61">
        <f>SUM(J32:J34)</f>
        <v>0</v>
      </c>
      <c r="K36" s="39">
        <f>SUM(K32:K34)</f>
        <v>0</v>
      </c>
      <c r="L36" s="61">
        <f>SUM(L32:L35)</f>
        <v>117219</v>
      </c>
      <c r="M36" s="39">
        <f>SUM(M32:M35)</f>
        <v>199816.10189174884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'SE-EGM-FLSH'!D39+'SE-LRC-FLSH'!D39+'NE-FLSH'!D39+BGC_FLSH!D39</f>
        <v>1654924</v>
      </c>
      <c r="E39" s="66">
        <f>'SE-EGM-FLSH'!E39+'SE-LRC-FLSH'!E39+'NE-FLSH'!E39+BGC_FLSH!E39</f>
        <v>3020230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1654924</v>
      </c>
      <c r="I39" s="66">
        <f>'SE-EGM-FLSH'!I39+'SE-LRC-FLSH'!I39+'NE-FLSH'!I39+BGC_FLSH!I39</f>
        <v>3020230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1654924</v>
      </c>
      <c r="M39" s="38">
        <f t="shared" si="11"/>
        <v>3020230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'SE-EGM-FLSH'!D40+'SE-LRC-FLSH'!D40+'NE-FLSH'!D40+BGC_FLSH!D40</f>
        <v>-10392779</v>
      </c>
      <c r="E40" s="66">
        <f>'SE-EGM-FLSH'!E40+'SE-LRC-FLSH'!E40+'NE-FLSH'!E40+BGC_FLSH!E40</f>
        <v>-11789648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-10392779</v>
      </c>
      <c r="I40" s="66">
        <f>'SE-EGM-FLSH'!I40+'SE-LRC-FLSH'!I40+'NE-FLSH'!I40+BGC_FLSH!I40</f>
        <v>-11789648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-10392779</v>
      </c>
      <c r="M40" s="38">
        <f t="shared" si="11"/>
        <v>-11789648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-10392779</v>
      </c>
      <c r="E42" s="39">
        <f>SUM(E40:E41)</f>
        <v>-11789648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-10392779</v>
      </c>
      <c r="I42" s="39">
        <f>SUM(I40:I41)</f>
        <v>-11789648</v>
      </c>
      <c r="J42" s="61">
        <f t="shared" si="12"/>
        <v>0</v>
      </c>
      <c r="K42" s="39">
        <f t="shared" si="12"/>
        <v>0</v>
      </c>
      <c r="L42" s="61">
        <f t="shared" si="12"/>
        <v>-10392779</v>
      </c>
      <c r="M42" s="39">
        <f t="shared" si="12"/>
        <v>-11789648</v>
      </c>
    </row>
    <row r="43" spans="1:13" ht="21" customHeight="1" x14ac:dyDescent="0.2">
      <c r="A43" s="9"/>
      <c r="B43" s="7" t="s">
        <v>53</v>
      </c>
      <c r="C43" s="6"/>
      <c r="D43" s="61">
        <f>D42+D39</f>
        <v>-8737855</v>
      </c>
      <c r="E43" s="39">
        <f>E42+E39</f>
        <v>-8769418</v>
      </c>
      <c r="F43" s="61">
        <f t="shared" ref="F43:M43" si="13">F42+F39</f>
        <v>0</v>
      </c>
      <c r="G43" s="39">
        <f t="shared" si="13"/>
        <v>0</v>
      </c>
      <c r="H43" s="61">
        <f>H42+H39</f>
        <v>-8737855</v>
      </c>
      <c r="I43" s="39">
        <f>I42+I39</f>
        <v>-8769418</v>
      </c>
      <c r="J43" s="61">
        <f t="shared" si="13"/>
        <v>0</v>
      </c>
      <c r="K43" s="39">
        <f t="shared" si="13"/>
        <v>0</v>
      </c>
      <c r="L43" s="61">
        <f t="shared" si="13"/>
        <v>-8737855</v>
      </c>
      <c r="M43" s="39">
        <f t="shared" si="13"/>
        <v>-8769418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'SE-EGM-FLSH'!D51+'SE-LRC-FLSH'!D51+'NE-FLSH'!D51+BGC_FLSH!D51</f>
        <v>-930943</v>
      </c>
      <c r="E51" s="66">
        <f>'SE-EGM-FLSH'!E51+'SE-LRC-FLSH'!E51+'NE-FLSH'!E51+BGC_FLSH!E51</f>
        <v>-1749178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-930943</v>
      </c>
      <c r="I51" s="66">
        <f>'SE-EGM-FLSH'!I51+'SE-LRC-FLSH'!I51+'NE-FLSH'!I51+BGC_FLSH!I51</f>
        <v>-1749178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-930943</v>
      </c>
      <c r="M51" s="38">
        <f>I51+K51</f>
        <v>-1749178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-1567382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-1567382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-1567382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-16004960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-16004960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-16004960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-17572342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-17572342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-17572342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158915.965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158915.965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158915.965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158915.965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158915.965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158915.965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-2549306.935000001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-2549306.935000001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-2549306.935000001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3892110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3892110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3892110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1342803.064999999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1342803.064999999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1342803.064999999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5713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5713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5713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16223.95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16223.95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16223.95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0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-1261726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-1261726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-1261726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23732.945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23732.945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23732.945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15496704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15496704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15496704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164679.23000000001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164679.23000000001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164679.23000000001</v>
      </c>
    </row>
    <row r="81" spans="1:67" x14ac:dyDescent="0.2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-2000000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-2000000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-2000000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-1138997.7431082537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-1138997.7431082537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-1138997.7431082537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+'SE-LRC-FLSH'!E82+'SE-EGM-FLSH'!E82+'NE-FLSH'!E82+BGC_FLSH!E82</f>
        <v>-1138997.7431082393</v>
      </c>
      <c r="G84" s="31">
        <f>+'SE-LRC-FLSH'!G82+'SE-EGM-FLSH'!G82+'NE-FLSH'!G82+BGC_FLSH!G82</f>
        <v>0</v>
      </c>
      <c r="I84" s="31">
        <f>+'SE-LRC-FLSH'!I82+'SE-EGM-FLSH'!I82+'NE-FLSH'!I82+BGC_FLSH!I82</f>
        <v>-1138997.7431082393</v>
      </c>
      <c r="K84" s="31">
        <f>+'SE-LRC-FLSH'!K82+'SE-EGM-FLSH'!K82+'NE-FLSH'!K82+BGC_FLSH!K82</f>
        <v>0</v>
      </c>
      <c r="M84" s="31">
        <f>+'SE-LRC-FLSH'!M82+'SE-EGM-FLSH'!M82+'NE-FLSH'!M82+BGC_FLSH!M82</f>
        <v>-1138997.7431082393</v>
      </c>
    </row>
    <row r="85" spans="1:67" x14ac:dyDescent="0.2">
      <c r="A85" s="4" t="s">
        <v>193</v>
      </c>
      <c r="B85" s="3"/>
      <c r="K85" s="45"/>
    </row>
    <row r="86" spans="1:67" s="3" customFormat="1" x14ac:dyDescent="0.2">
      <c r="A86" s="183"/>
      <c r="C86" s="10" t="s">
        <v>189</v>
      </c>
      <c r="D86" s="168">
        <f>'SE-EGM-FLSH'!D86+'SE-LRC-FLSH'!D86+'NE-FLSH'!D86+BGC_FLSH!D86</f>
        <v>0</v>
      </c>
      <c r="E86" s="168">
        <f>'SE-EGM-FLSH'!E86+'SE-LRC-FLSH'!E86+'NE-FLSH'!E86+BGC_FLSH!E86</f>
        <v>0</v>
      </c>
      <c r="F86" s="168">
        <f t="shared" ref="F86:G88" si="20">H86-D86</f>
        <v>0</v>
      </c>
      <c r="G86" s="168">
        <f t="shared" si="20"/>
        <v>0</v>
      </c>
      <c r="H86" s="168">
        <f>'SE-EGM-FLSH'!H86+'SE-LRC-FLSH'!H86+'NE-FLSH'!H86+BGC_FLSH!H86</f>
        <v>0</v>
      </c>
      <c r="I86" s="168">
        <f>'SE-EGM-FLSH'!I86+'SE-LRC-FLSH'!I86+'NE-FLSH'!I86+BGC_FLSH!I86</f>
        <v>0</v>
      </c>
      <c r="J86" s="168">
        <f>'SE-EGM-FLSH'!J86+'SE-LRC-FLSH'!J86</f>
        <v>0</v>
      </c>
      <c r="K86" s="168">
        <f>'SE-EGM-FLSH'!K86+'SE-LRC-FLSH'!K86</f>
        <v>0</v>
      </c>
      <c r="L86" s="168">
        <f t="shared" ref="L86:M88" si="21">H86+J86</f>
        <v>0</v>
      </c>
      <c r="M86" s="168">
        <f t="shared" si="21"/>
        <v>0</v>
      </c>
    </row>
    <row r="87" spans="1:67" s="3" customFormat="1" x14ac:dyDescent="0.2">
      <c r="A87" s="183"/>
      <c r="C87" s="10" t="s">
        <v>75</v>
      </c>
      <c r="D87" s="169">
        <f>'SE-EGM-FLSH'!D87+'SE-LRC-FLSH'!D87+'NE-FLSH'!D87+BGC_FLSH!D87</f>
        <v>0</v>
      </c>
      <c r="E87" s="169">
        <f>'SE-EGM-FLSH'!E87+'SE-LRC-FLSH'!E87+'NE-FLSH'!E87+BGC_FLSH!E87</f>
        <v>0</v>
      </c>
      <c r="F87" s="169">
        <f t="shared" si="20"/>
        <v>0</v>
      </c>
      <c r="G87" s="169">
        <f t="shared" si="20"/>
        <v>0</v>
      </c>
      <c r="H87" s="169">
        <f>'SE-EGM-FLSH'!H87+'SE-LRC-FLSH'!H87+'NE-FLSH'!H87+BGC_FLSH!H87</f>
        <v>0</v>
      </c>
      <c r="I87" s="169">
        <f>'SE-EGM-FLSH'!I87+'SE-LRC-FLSH'!I87+'NE-FLSH'!I87+BGC_FLSH!I87</f>
        <v>0</v>
      </c>
      <c r="J87" s="169">
        <f>'SE-EGM-FLSH'!J87+'SE-LRC-FLSH'!J87</f>
        <v>0</v>
      </c>
      <c r="K87" s="169">
        <f>'SE-EGM-FLSH'!K87+'SE-LRC-FLSH'!K87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3"/>
      <c r="C88" s="10" t="s">
        <v>76</v>
      </c>
      <c r="D88" s="170">
        <f>'SE-EGM-FLSH'!D88+'SE-LRC-FLSH'!D88+'NE-FLSH'!D88+BGC_FLSH!D88</f>
        <v>0</v>
      </c>
      <c r="E88" s="170">
        <f>'SE-EGM-FLSH'!E88+'SE-LRC-FLSH'!E88+'NE-FLSH'!E88+BGC_FLSH!E88</f>
        <v>0</v>
      </c>
      <c r="F88" s="170">
        <f t="shared" si="20"/>
        <v>0</v>
      </c>
      <c r="G88" s="170">
        <f t="shared" si="20"/>
        <v>0</v>
      </c>
      <c r="H88" s="170">
        <f>'SE-EGM-FLSH'!H88+'SE-LRC-FLSH'!H88+'NE-FLSH'!H88+BGC_FLSH!H88</f>
        <v>0</v>
      </c>
      <c r="I88" s="170">
        <f>'SE-EGM-FLSH'!I88+'SE-LRC-FLSH'!I88+'NE-FLSH'!I88+BGC_FLSH!I88</f>
        <v>0</v>
      </c>
      <c r="J88" s="170">
        <f>'SE-EGM-FLSH'!J88+'SE-LRC-FLSH'!J88</f>
        <v>0</v>
      </c>
      <c r="K88" s="170">
        <f>'SE-EGM-FLSH'!K88+'SE-LRC-FLSH'!K88</f>
        <v>0</v>
      </c>
      <c r="L88" s="170">
        <f t="shared" si="21"/>
        <v>0</v>
      </c>
      <c r="M88" s="170">
        <f t="shared" si="21"/>
        <v>0</v>
      </c>
    </row>
    <row r="89" spans="1:67" s="44" customFormat="1" ht="20.25" customHeight="1" x14ac:dyDescent="0.2">
      <c r="A89" s="192"/>
      <c r="B89" s="193"/>
      <c r="C89" s="194" t="s">
        <v>190</v>
      </c>
      <c r="D89" s="195">
        <f>SUM(D86:D88)</f>
        <v>0</v>
      </c>
      <c r="E89" s="195">
        <f t="shared" ref="E89:M89" si="22">SUM(E86:E88)</f>
        <v>0</v>
      </c>
      <c r="F89" s="195">
        <f t="shared" si="22"/>
        <v>0</v>
      </c>
      <c r="G89" s="195">
        <f t="shared" si="22"/>
        <v>0</v>
      </c>
      <c r="H89" s="195">
        <f t="shared" si="22"/>
        <v>0</v>
      </c>
      <c r="I89" s="195">
        <f t="shared" si="22"/>
        <v>0</v>
      </c>
      <c r="J89" s="195">
        <f t="shared" si="22"/>
        <v>0</v>
      </c>
      <c r="K89" s="195">
        <f t="shared" si="22"/>
        <v>0</v>
      </c>
      <c r="L89" s="195">
        <f t="shared" si="22"/>
        <v>0</v>
      </c>
      <c r="M89" s="195">
        <f t="shared" si="22"/>
        <v>0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5">
        <f>+D82+D89</f>
        <v>0</v>
      </c>
      <c r="E91" s="195">
        <f t="shared" ref="E91:M91" si="23">+E82+E89</f>
        <v>-1138997.7431082537</v>
      </c>
      <c r="F91" s="195">
        <f t="shared" si="23"/>
        <v>0</v>
      </c>
      <c r="G91" s="195">
        <f t="shared" si="23"/>
        <v>0</v>
      </c>
      <c r="H91" s="195">
        <f t="shared" si="23"/>
        <v>0</v>
      </c>
      <c r="I91" s="195">
        <f t="shared" si="23"/>
        <v>-1138997.7431082537</v>
      </c>
      <c r="J91" s="195">
        <f t="shared" si="23"/>
        <v>0</v>
      </c>
      <c r="K91" s="195">
        <f t="shared" si="23"/>
        <v>0</v>
      </c>
      <c r="L91" s="195">
        <f t="shared" si="23"/>
        <v>0</v>
      </c>
      <c r="M91" s="195">
        <f t="shared" si="23"/>
        <v>-1138997.7431082537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69" activePane="bottomRight" state="frozen"/>
      <selection activeCell="E14" sqref="E14"/>
      <selection pane="topRight" activeCell="E14" sqref="E14"/>
      <selection pane="bottomLeft" activeCell="E14" sqref="E14"/>
      <selection pane="bottomRight" activeCell="E89" sqref="E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49063050</v>
      </c>
      <c r="E11" s="38">
        <v>86131061</v>
      </c>
      <c r="F11" s="65">
        <f>H11-D11</f>
        <v>0</v>
      </c>
      <c r="G11" s="63">
        <f>I11-E11</f>
        <v>0</v>
      </c>
      <c r="H11" s="65">
        <f>D11</f>
        <v>49063050</v>
      </c>
      <c r="I11" s="66">
        <f>E11</f>
        <v>86131061</v>
      </c>
      <c r="J11" s="60"/>
      <c r="K11" s="38">
        <f>-95911-28789-28245</f>
        <v>-152945</v>
      </c>
      <c r="L11" s="60">
        <f t="shared" ref="L11:M15" si="0">H11+J11</f>
        <v>49063050</v>
      </c>
      <c r="M11" s="38">
        <f t="shared" si="0"/>
        <v>85978116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1181827</v>
      </c>
      <c r="E13" s="38">
        <v>2001964.88</v>
      </c>
      <c r="F13" s="65">
        <f t="shared" si="1"/>
        <v>0</v>
      </c>
      <c r="G13" s="63">
        <f t="shared" si="1"/>
        <v>0</v>
      </c>
      <c r="H13" s="65">
        <f t="shared" si="2"/>
        <v>1181827</v>
      </c>
      <c r="I13" s="66">
        <f t="shared" si="2"/>
        <v>2001964.88</v>
      </c>
      <c r="J13" s="60"/>
      <c r="K13" s="38"/>
      <c r="L13" s="60">
        <f t="shared" si="0"/>
        <v>1181827</v>
      </c>
      <c r="M13" s="38">
        <f t="shared" si="0"/>
        <v>2001964.88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50244877</v>
      </c>
      <c r="E16" s="39">
        <v>88133025.879999995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50244877</v>
      </c>
      <c r="I16" s="39">
        <f>SUM(I11:I15)</f>
        <v>88133025.879999995</v>
      </c>
      <c r="J16" s="61">
        <f>SUM(J11:J15)</f>
        <v>0</v>
      </c>
      <c r="K16" s="39">
        <f>SUM(K11:K15)</f>
        <v>-152945</v>
      </c>
      <c r="L16" s="61">
        <f t="shared" si="3"/>
        <v>50244877</v>
      </c>
      <c r="M16" s="39">
        <f t="shared" si="3"/>
        <v>87980080.879999995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-57166638</v>
      </c>
      <c r="E19" s="38">
        <v>-99465173</v>
      </c>
      <c r="F19" s="65">
        <f>H19-D19</f>
        <v>0</v>
      </c>
      <c r="G19" s="63">
        <f>I19-E19</f>
        <v>0</v>
      </c>
      <c r="H19" s="65">
        <f t="shared" si="4"/>
        <v>-57166638</v>
      </c>
      <c r="I19" s="66">
        <f t="shared" si="4"/>
        <v>-99465173</v>
      </c>
      <c r="J19" s="60"/>
      <c r="K19" s="38"/>
      <c r="L19" s="60">
        <f t="shared" ref="L19:M23" si="5">H19+J19</f>
        <v>-57166638</v>
      </c>
      <c r="M19" s="38">
        <f t="shared" si="5"/>
        <v>-99465173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-1337043</v>
      </c>
      <c r="E21" s="38">
        <v>-2280277.71</v>
      </c>
      <c r="F21" s="65">
        <f t="shared" si="6"/>
        <v>0</v>
      </c>
      <c r="G21" s="63">
        <f t="shared" si="6"/>
        <v>0</v>
      </c>
      <c r="H21" s="65">
        <f t="shared" si="4"/>
        <v>-1337043</v>
      </c>
      <c r="I21" s="66">
        <f t="shared" si="4"/>
        <v>-2280277.71</v>
      </c>
      <c r="J21" s="60"/>
      <c r="K21" s="38"/>
      <c r="L21" s="60">
        <f t="shared" si="5"/>
        <v>-1337043</v>
      </c>
      <c r="M21" s="38">
        <f t="shared" si="5"/>
        <v>-2280277.71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-58503681</v>
      </c>
      <c r="E24" s="39">
        <v>-101745450.70999999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-58503681</v>
      </c>
      <c r="I24" s="39">
        <f>SUM(I19:I23)</f>
        <v>-101745450.70999999</v>
      </c>
      <c r="J24" s="61">
        <f>SUM(J19:J23)</f>
        <v>0</v>
      </c>
      <c r="K24" s="39">
        <f>SUM(K19:K23)</f>
        <v>0</v>
      </c>
      <c r="L24" s="61">
        <f t="shared" si="7"/>
        <v>-58503681</v>
      </c>
      <c r="M24" s="39">
        <f t="shared" si="7"/>
        <v>-101745450.70999999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29598230</v>
      </c>
      <c r="E27" s="38">
        <v>51845686.640000001</v>
      </c>
      <c r="F27" s="65">
        <f>H27-D27</f>
        <v>0</v>
      </c>
      <c r="G27" s="63">
        <f>I27-E27</f>
        <v>0</v>
      </c>
      <c r="H27" s="65">
        <f>D27</f>
        <v>29598230</v>
      </c>
      <c r="I27" s="66">
        <f>E27</f>
        <v>51845686.640000001</v>
      </c>
      <c r="J27" s="60"/>
      <c r="K27" s="38"/>
      <c r="L27" s="60">
        <f>H27+J27</f>
        <v>29598230</v>
      </c>
      <c r="M27" s="38">
        <f>I27+K27</f>
        <v>51845686.640000001</v>
      </c>
    </row>
    <row r="28" spans="1:13" x14ac:dyDescent="0.2">
      <c r="A28" s="9">
        <v>12</v>
      </c>
      <c r="B28" s="7"/>
      <c r="C28" s="18" t="s">
        <v>40</v>
      </c>
      <c r="D28" s="60">
        <v>-28848210</v>
      </c>
      <c r="E28" s="38">
        <v>-50416224.18</v>
      </c>
      <c r="F28" s="65">
        <f>H28-D28</f>
        <v>0</v>
      </c>
      <c r="G28" s="63">
        <f>I28-E28</f>
        <v>0</v>
      </c>
      <c r="H28" s="65">
        <f>D28</f>
        <v>-28848210</v>
      </c>
      <c r="I28" s="66">
        <f>E28</f>
        <v>-50416224.18</v>
      </c>
      <c r="J28" s="60"/>
      <c r="K28" s="38"/>
      <c r="L28" s="60">
        <f>H28+J28</f>
        <v>-28848210</v>
      </c>
      <c r="M28" s="38">
        <f>I28+K28</f>
        <v>-50416224.18</v>
      </c>
    </row>
    <row r="29" spans="1:13" x14ac:dyDescent="0.2">
      <c r="A29" s="9"/>
      <c r="B29" s="7" t="s">
        <v>41</v>
      </c>
      <c r="C29" s="6"/>
      <c r="D29" s="61">
        <v>750020</v>
      </c>
      <c r="E29" s="39">
        <v>1429462.46</v>
      </c>
      <c r="F29" s="61">
        <f t="shared" ref="F29:M29" si="8">SUM(F27:F28)</f>
        <v>0</v>
      </c>
      <c r="G29" s="39">
        <f t="shared" si="8"/>
        <v>0</v>
      </c>
      <c r="H29" s="61">
        <f>SUM(H27:H28)</f>
        <v>750020</v>
      </c>
      <c r="I29" s="39">
        <f>SUM(I27:I28)</f>
        <v>1429462.4600000009</v>
      </c>
      <c r="J29" s="61">
        <f>SUM(J27:J28)</f>
        <v>0</v>
      </c>
      <c r="K29" s="39">
        <f>SUM(K27:K28)</f>
        <v>0</v>
      </c>
      <c r="L29" s="61">
        <f t="shared" si="8"/>
        <v>750020</v>
      </c>
      <c r="M29" s="39">
        <f t="shared" si="8"/>
        <v>1429462.4600000009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7508784</v>
      </c>
      <c r="E33" s="38">
        <v>12889227.374123955</v>
      </c>
      <c r="F33" s="65">
        <f t="shared" ref="F33:G35" si="11">H33-D33</f>
        <v>0</v>
      </c>
      <c r="G33" s="63">
        <f t="shared" si="11"/>
        <v>0</v>
      </c>
      <c r="H33" s="65">
        <f t="shared" si="9"/>
        <v>7508784</v>
      </c>
      <c r="I33" s="66">
        <f t="shared" si="9"/>
        <v>12889227.374123955</v>
      </c>
      <c r="J33" s="60"/>
      <c r="K33" s="38"/>
      <c r="L33" s="60">
        <f t="shared" si="10"/>
        <v>7508784</v>
      </c>
      <c r="M33" s="38">
        <f t="shared" si="10"/>
        <v>12889227.374123955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7508784</v>
      </c>
      <c r="E36" s="39">
        <v>12889227.374123955</v>
      </c>
      <c r="F36" s="61">
        <f>SUM(F32:F35)</f>
        <v>0</v>
      </c>
      <c r="G36" s="39">
        <f>SUM(G32:G35)</f>
        <v>0</v>
      </c>
      <c r="H36" s="61">
        <f>SUM(H32:H35)</f>
        <v>7508784</v>
      </c>
      <c r="I36" s="39">
        <f>SUM(I32:I35)</f>
        <v>12889227.374123955</v>
      </c>
      <c r="J36" s="61">
        <f>SUM(J32:J34)</f>
        <v>0</v>
      </c>
      <c r="K36" s="39">
        <f>SUM(K32:K34)</f>
        <v>0</v>
      </c>
      <c r="L36" s="61">
        <f>SUM(L32:L35)</f>
        <v>7508784</v>
      </c>
      <c r="M36" s="39">
        <f>SUM(M32:M35)</f>
        <v>12889227.374123955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>SUM(J40:J41)</f>
        <v>0</v>
      </c>
      <c r="K42" s="39">
        <f>SUM(K40:K41)</f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>J42+J39</f>
        <v>0</v>
      </c>
      <c r="K43" s="39">
        <f>K42+K39</f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-823333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-823333</v>
      </c>
      <c r="J54" s="60"/>
      <c r="K54" s="38">
        <f>18626+603096+1240-93300</f>
        <v>529662</v>
      </c>
      <c r="L54" s="60">
        <f>H54+J54</f>
        <v>0</v>
      </c>
      <c r="M54" s="38">
        <f>I54+K54</f>
        <v>-293671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-823333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-823333</v>
      </c>
      <c r="J56" s="61">
        <f>SUM(J54:J55)</f>
        <v>0</v>
      </c>
      <c r="K56" s="39">
        <f>SUM(K54:K55)</f>
        <v>529662</v>
      </c>
      <c r="L56" s="61">
        <f t="shared" si="17"/>
        <v>0</v>
      </c>
      <c r="M56" s="39">
        <f t="shared" si="17"/>
        <v>-293671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138111.41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138111.41</v>
      </c>
      <c r="J70" s="60"/>
      <c r="K70" s="38"/>
      <c r="L70" s="60">
        <f t="shared" si="20"/>
        <v>0</v>
      </c>
      <c r="M70" s="38">
        <f t="shared" si="20"/>
        <v>138111.41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987605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987605</v>
      </c>
      <c r="J71" s="60"/>
      <c r="K71" s="38"/>
      <c r="L71" s="60">
        <f t="shared" si="20"/>
        <v>0</v>
      </c>
      <c r="M71" s="38">
        <f t="shared" si="20"/>
        <v>987605</v>
      </c>
    </row>
    <row r="72" spans="1:13" x14ac:dyDescent="0.2">
      <c r="A72" s="9"/>
      <c r="B72" s="3"/>
      <c r="C72" s="55" t="s">
        <v>73</v>
      </c>
      <c r="D72" s="61">
        <v>0</v>
      </c>
      <c r="E72" s="39">
        <v>1125716.4099999999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1125716.4099999999</v>
      </c>
      <c r="J72" s="61">
        <f>SUM(J70:J71)</f>
        <v>0</v>
      </c>
      <c r="K72" s="39">
        <f>SUM(K70:K71)</f>
        <v>0</v>
      </c>
      <c r="L72" s="69">
        <f t="shared" si="21"/>
        <v>0</v>
      </c>
      <c r="M72" s="70">
        <f t="shared" si="21"/>
        <v>1125716.4099999999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-395143.07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-395143.07</v>
      </c>
      <c r="J74" s="60"/>
      <c r="K74" s="38">
        <v>93300</v>
      </c>
      <c r="L74" s="60">
        <f t="shared" si="23"/>
        <v>0</v>
      </c>
      <c r="M74" s="38">
        <f t="shared" si="23"/>
        <v>-301843.07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52737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52737</v>
      </c>
      <c r="J75" s="60"/>
      <c r="K75" s="38"/>
      <c r="L75" s="60">
        <f t="shared" si="23"/>
        <v>0</v>
      </c>
      <c r="M75" s="38">
        <f t="shared" si="23"/>
        <v>52737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-2950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-2950</v>
      </c>
      <c r="J76" s="60"/>
      <c r="K76" s="38">
        <v>2890</v>
      </c>
      <c r="L76" s="60">
        <f t="shared" si="23"/>
        <v>0</v>
      </c>
      <c r="M76" s="38">
        <f t="shared" si="23"/>
        <v>-60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315590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315590</v>
      </c>
      <c r="J81" s="60"/>
      <c r="K81" s="38"/>
      <c r="L81" s="60">
        <f t="shared" si="23"/>
        <v>0</v>
      </c>
      <c r="M81" s="38">
        <f t="shared" si="23"/>
        <v>315590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953882.3441239614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953882.3441239614</v>
      </c>
      <c r="J82" s="73">
        <f>J16+J24+J29+J36+J43+J45+J47+J49</f>
        <v>0</v>
      </c>
      <c r="K82" s="74">
        <f>SUM(K72:K81)+K16+K24+K29+K36+K43+K45+K47+K49+K51+K56+K61+K66</f>
        <v>472907</v>
      </c>
      <c r="L82" s="73">
        <f>L16+L24+L29+L36+L43+L45+L47+L49</f>
        <v>0</v>
      </c>
      <c r="M82" s="74">
        <f>SUM(M72:M81)+M16+M24+M29+M36+M43+M45+M47+M49+M51+M56+M61+M66</f>
        <v>1426789.3441239614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196</v>
      </c>
      <c r="B85" s="3"/>
      <c r="M85" s="45">
        <f>M82+'[3]TX-HPL-FLSH'!M82</f>
        <v>1480568.3342361264</v>
      </c>
    </row>
    <row r="86" spans="1:67" s="3" customFormat="1" x14ac:dyDescent="0.2">
      <c r="A86" s="183"/>
      <c r="C86" s="10" t="s">
        <v>189</v>
      </c>
      <c r="D86" s="168">
        <v>0</v>
      </c>
      <c r="E86" s="168">
        <v>67597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67597</v>
      </c>
      <c r="J86" s="168"/>
      <c r="K86" s="168"/>
      <c r="L86" s="168">
        <f t="shared" ref="L86:M88" si="27">H86+J86</f>
        <v>0</v>
      </c>
      <c r="M86" s="168">
        <f t="shared" si="27"/>
        <v>67597</v>
      </c>
    </row>
    <row r="87" spans="1:67" s="3" customFormat="1" x14ac:dyDescent="0.2">
      <c r="A87" s="183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">
      <c r="A88" s="183"/>
      <c r="C88" s="10" t="s">
        <v>76</v>
      </c>
      <c r="D88" s="170">
        <v>0</v>
      </c>
      <c r="E88" s="170">
        <v>-48556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-48556</v>
      </c>
      <c r="J88" s="170"/>
      <c r="K88" s="170"/>
      <c r="L88" s="170">
        <f t="shared" si="27"/>
        <v>0</v>
      </c>
      <c r="M88" s="170">
        <f t="shared" si="27"/>
        <v>-48556</v>
      </c>
    </row>
    <row r="89" spans="1:67" s="44" customFormat="1" ht="20.25" customHeight="1" x14ac:dyDescent="0.2">
      <c r="A89" s="192"/>
      <c r="B89" s="193"/>
      <c r="C89" s="194" t="s">
        <v>190</v>
      </c>
      <c r="D89" s="196">
        <f>SUM(D86:D88)</f>
        <v>0</v>
      </c>
      <c r="E89" s="196">
        <f t="shared" ref="E89:M89" si="28">SUM(E86:E88)</f>
        <v>19041</v>
      </c>
      <c r="F89" s="196">
        <f t="shared" si="28"/>
        <v>0</v>
      </c>
      <c r="G89" s="196">
        <f t="shared" si="28"/>
        <v>0</v>
      </c>
      <c r="H89" s="196">
        <f t="shared" si="28"/>
        <v>0</v>
      </c>
      <c r="I89" s="196">
        <f t="shared" si="28"/>
        <v>19041</v>
      </c>
      <c r="J89" s="196">
        <f t="shared" si="28"/>
        <v>0</v>
      </c>
      <c r="K89" s="196">
        <f t="shared" si="28"/>
        <v>0</v>
      </c>
      <c r="L89" s="196">
        <f t="shared" si="28"/>
        <v>0</v>
      </c>
      <c r="M89" s="196">
        <f t="shared" si="28"/>
        <v>19041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6">
        <f>+D82+D89</f>
        <v>0</v>
      </c>
      <c r="E91" s="196">
        <f t="shared" ref="E91:M91" si="29">+E82+E89</f>
        <v>972923.3441239614</v>
      </c>
      <c r="F91" s="196">
        <f t="shared" si="29"/>
        <v>0</v>
      </c>
      <c r="G91" s="196">
        <f t="shared" si="29"/>
        <v>0</v>
      </c>
      <c r="H91" s="196">
        <f t="shared" si="29"/>
        <v>0</v>
      </c>
      <c r="I91" s="196">
        <f t="shared" si="29"/>
        <v>972923.3441239614</v>
      </c>
      <c r="J91" s="196">
        <f t="shared" si="29"/>
        <v>0</v>
      </c>
      <c r="K91" s="196">
        <f t="shared" si="29"/>
        <v>472907</v>
      </c>
      <c r="L91" s="196">
        <f t="shared" si="29"/>
        <v>0</v>
      </c>
      <c r="M91" s="196">
        <f t="shared" si="29"/>
        <v>1445830.3441239614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H70" activePane="bottomRight" state="frozen"/>
      <selection activeCell="E14" sqref="E14"/>
      <selection pane="topRight" activeCell="E14" sqref="E14"/>
      <selection pane="bottomLeft" activeCell="E14" sqref="E14"/>
      <selection pane="bottomRight" activeCell="H81" sqref="H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-12142761</v>
      </c>
      <c r="E11" s="60">
        <v>-22074900</v>
      </c>
      <c r="F11" s="60">
        <f>H11-D11</f>
        <v>0</v>
      </c>
      <c r="G11" s="37">
        <f>I11-E11</f>
        <v>0</v>
      </c>
      <c r="H11" s="65">
        <f>D11</f>
        <v>-12142761</v>
      </c>
      <c r="I11" s="66">
        <f>E11</f>
        <v>-22074900</v>
      </c>
      <c r="J11" s="60"/>
      <c r="K11" s="38">
        <f>94482-115057-79697+45244</f>
        <v>-55028</v>
      </c>
      <c r="L11" s="60">
        <f t="shared" ref="L11:M15" si="0">H11+J11</f>
        <v>-12142761</v>
      </c>
      <c r="M11" s="38">
        <f t="shared" si="0"/>
        <v>-22129928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-0.87999999988824129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-0.87999999988824129</v>
      </c>
      <c r="J13" s="60"/>
      <c r="K13" s="38"/>
      <c r="L13" s="60">
        <f t="shared" si="0"/>
        <v>0</v>
      </c>
      <c r="M13" s="38">
        <f t="shared" si="0"/>
        <v>-0.87999999988824129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v>-12142761</v>
      </c>
      <c r="E16" s="39">
        <v>-21954900.879999999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-12142761</v>
      </c>
      <c r="I16" s="39">
        <f>SUM(I11:I15)</f>
        <v>-21954900.879999999</v>
      </c>
      <c r="J16" s="61">
        <f>SUM(J11:J15)</f>
        <v>0</v>
      </c>
      <c r="K16" s="39">
        <f>SUM(K11:K15)</f>
        <v>-55028</v>
      </c>
      <c r="L16" s="61">
        <f t="shared" si="3"/>
        <v>-12142761</v>
      </c>
      <c r="M16" s="39">
        <f t="shared" si="3"/>
        <v>-22009928.879999999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18007351</v>
      </c>
      <c r="E19" s="60">
        <v>31323545</v>
      </c>
      <c r="F19" s="60">
        <f>H19-D19</f>
        <v>0</v>
      </c>
      <c r="G19" s="37">
        <f>I19-E19</f>
        <v>0</v>
      </c>
      <c r="H19" s="65">
        <f t="shared" si="4"/>
        <v>18007351</v>
      </c>
      <c r="I19" s="66">
        <f t="shared" si="4"/>
        <v>31323545</v>
      </c>
      <c r="J19" s="60"/>
      <c r="K19" s="38"/>
      <c r="L19" s="60">
        <f t="shared" ref="L19:M23" si="5">H19+J19</f>
        <v>18007351</v>
      </c>
      <c r="M19" s="38">
        <f t="shared" si="5"/>
        <v>31323545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-4.2900000000372529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-4.2900000000372529</v>
      </c>
      <c r="J21" s="60"/>
      <c r="K21" s="38"/>
      <c r="L21" s="60">
        <f t="shared" si="5"/>
        <v>0</v>
      </c>
      <c r="M21" s="38">
        <f t="shared" si="5"/>
        <v>-4.2900000000372529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56</v>
      </c>
      <c r="E23" s="60">
        <v>94</v>
      </c>
      <c r="F23" s="60">
        <f t="shared" si="6"/>
        <v>0</v>
      </c>
      <c r="G23" s="37">
        <f t="shared" si="6"/>
        <v>0</v>
      </c>
      <c r="H23" s="65">
        <f t="shared" si="4"/>
        <v>56</v>
      </c>
      <c r="I23" s="66">
        <f t="shared" si="4"/>
        <v>94</v>
      </c>
      <c r="J23" s="60"/>
      <c r="K23" s="38"/>
      <c r="L23" s="60">
        <f t="shared" si="5"/>
        <v>56</v>
      </c>
      <c r="M23" s="38">
        <f t="shared" si="5"/>
        <v>94</v>
      </c>
    </row>
    <row r="24" spans="1:13" x14ac:dyDescent="0.2">
      <c r="A24" s="9"/>
      <c r="B24" s="7" t="s">
        <v>37</v>
      </c>
      <c r="C24" s="6"/>
      <c r="D24" s="61">
        <v>18007407</v>
      </c>
      <c r="E24" s="39">
        <v>31323634.710000001</v>
      </c>
      <c r="F24" s="61">
        <f t="shared" ref="F24:M24" si="7">SUM(F19:F23)</f>
        <v>0</v>
      </c>
      <c r="G24" s="39">
        <f t="shared" si="7"/>
        <v>0</v>
      </c>
      <c r="H24" s="61">
        <f>SUM(H19:H23)</f>
        <v>18007407</v>
      </c>
      <c r="I24" s="39">
        <f>SUM(I19:I23)</f>
        <v>31323634.710000001</v>
      </c>
      <c r="J24" s="61">
        <f>SUM(J19:J23)</f>
        <v>0</v>
      </c>
      <c r="K24" s="39">
        <f>SUM(K19:K23)</f>
        <v>0</v>
      </c>
      <c r="L24" s="61">
        <f t="shared" si="7"/>
        <v>18007407</v>
      </c>
      <c r="M24" s="39">
        <f t="shared" si="7"/>
        <v>31323634.710000001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2323610</v>
      </c>
      <c r="E27" s="60">
        <v>4047922.36</v>
      </c>
      <c r="F27" s="60">
        <f>H27-D27</f>
        <v>0</v>
      </c>
      <c r="G27" s="37">
        <f>I27-E27</f>
        <v>0</v>
      </c>
      <c r="H27" s="65">
        <f>D27</f>
        <v>2323610</v>
      </c>
      <c r="I27" s="66">
        <f>E27</f>
        <v>4047922.36</v>
      </c>
      <c r="J27" s="60"/>
      <c r="K27" s="38"/>
      <c r="L27" s="60">
        <f>H27+J27</f>
        <v>2323610</v>
      </c>
      <c r="M27" s="38">
        <f>I27+K27</f>
        <v>4047922.36</v>
      </c>
    </row>
    <row r="28" spans="1:13" x14ac:dyDescent="0.2">
      <c r="A28" s="9">
        <v>12</v>
      </c>
      <c r="B28" s="7"/>
      <c r="C28" s="18" t="s">
        <v>40</v>
      </c>
      <c r="D28" s="60">
        <v>-3073630</v>
      </c>
      <c r="E28" s="60">
        <v>-5477384.8200000003</v>
      </c>
      <c r="F28" s="60">
        <f>H28-D28</f>
        <v>0</v>
      </c>
      <c r="G28" s="37">
        <f>I28-E28</f>
        <v>0</v>
      </c>
      <c r="H28" s="65">
        <f>D28</f>
        <v>-3073630</v>
      </c>
      <c r="I28" s="66">
        <f>E28</f>
        <v>-5477384.8200000003</v>
      </c>
      <c r="J28" s="60"/>
      <c r="K28" s="38"/>
      <c r="L28" s="60">
        <f>H28+J28</f>
        <v>-3073630</v>
      </c>
      <c r="M28" s="38">
        <f>I28+K28</f>
        <v>-5477384.8200000003</v>
      </c>
    </row>
    <row r="29" spans="1:13" x14ac:dyDescent="0.2">
      <c r="A29" s="9"/>
      <c r="B29" s="7" t="s">
        <v>41</v>
      </c>
      <c r="C29" s="6"/>
      <c r="D29" s="61">
        <v>-750020</v>
      </c>
      <c r="E29" s="39">
        <v>-1429462.46</v>
      </c>
      <c r="F29" s="61">
        <f t="shared" ref="F29:M29" si="8">SUM(F27:F28)</f>
        <v>0</v>
      </c>
      <c r="G29" s="39">
        <f t="shared" si="8"/>
        <v>0</v>
      </c>
      <c r="H29" s="61">
        <f>SUM(H27:H28)</f>
        <v>-750020</v>
      </c>
      <c r="I29" s="39">
        <f>SUM(I27:I28)</f>
        <v>-1429462.4600000004</v>
      </c>
      <c r="J29" s="61">
        <f>SUM(J27:J28)</f>
        <v>0</v>
      </c>
      <c r="K29" s="39">
        <f>SUM(K27:K28)</f>
        <v>0</v>
      </c>
      <c r="L29" s="61">
        <f t="shared" si="8"/>
        <v>-750020</v>
      </c>
      <c r="M29" s="39">
        <f t="shared" si="8"/>
        <v>-1429462.4600000004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-7496031</v>
      </c>
      <c r="E33" s="60">
        <v>-12867349.665533965</v>
      </c>
      <c r="F33" s="60">
        <f t="shared" ref="F33:G35" si="11">H33-D33</f>
        <v>0</v>
      </c>
      <c r="G33" s="37">
        <f t="shared" si="11"/>
        <v>0</v>
      </c>
      <c r="H33" s="65">
        <f t="shared" si="9"/>
        <v>-7496031</v>
      </c>
      <c r="I33" s="66">
        <f t="shared" si="9"/>
        <v>-12867349.665533965</v>
      </c>
      <c r="J33" s="60"/>
      <c r="K33" s="38"/>
      <c r="L33" s="60">
        <f t="shared" si="10"/>
        <v>-7496031</v>
      </c>
      <c r="M33" s="38">
        <f t="shared" si="10"/>
        <v>-12867349.665533965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-7496031</v>
      </c>
      <c r="E36" s="39">
        <v>-12867349.665533965</v>
      </c>
      <c r="F36" s="61">
        <f>SUM(F32:F35)</f>
        <v>0</v>
      </c>
      <c r="G36" s="39">
        <f>SUM(G32:G35)</f>
        <v>0</v>
      </c>
      <c r="H36" s="61">
        <f>SUM(H32:H35)</f>
        <v>-7496031</v>
      </c>
      <c r="I36" s="39">
        <f>SUM(I32:I35)</f>
        <v>-12867349.665533965</v>
      </c>
      <c r="J36" s="61">
        <f>SUM(J32:J34)</f>
        <v>0</v>
      </c>
      <c r="K36" s="39">
        <f>SUM(K32:K34)</f>
        <v>0</v>
      </c>
      <c r="L36" s="61">
        <f>SUM(L32:L35)</f>
        <v>-7496031</v>
      </c>
      <c r="M36" s="39">
        <f>SUM(M32:M35)</f>
        <v>-12867349.665533965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3267992</v>
      </c>
      <c r="E39" s="60">
        <v>5909295</v>
      </c>
      <c r="F39" s="60">
        <f t="shared" ref="F39:G41" si="13">H39-D39</f>
        <v>0</v>
      </c>
      <c r="G39" s="37">
        <f t="shared" si="13"/>
        <v>0</v>
      </c>
      <c r="H39" s="65">
        <f t="shared" si="12"/>
        <v>3267992</v>
      </c>
      <c r="I39" s="66">
        <f t="shared" si="12"/>
        <v>5909295</v>
      </c>
      <c r="J39" s="60"/>
      <c r="K39" s="38"/>
      <c r="L39" s="60">
        <f t="shared" ref="L39:M41" si="14">H39+J39</f>
        <v>3267992</v>
      </c>
      <c r="M39" s="38">
        <f t="shared" si="14"/>
        <v>5909295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-886587</v>
      </c>
      <c r="E40" s="60">
        <v>-1545938</v>
      </c>
      <c r="F40" s="60">
        <f t="shared" si="13"/>
        <v>0</v>
      </c>
      <c r="G40" s="37">
        <f t="shared" si="13"/>
        <v>0</v>
      </c>
      <c r="H40" s="65">
        <f t="shared" si="12"/>
        <v>-886587</v>
      </c>
      <c r="I40" s="66">
        <f t="shared" si="12"/>
        <v>-1545938</v>
      </c>
      <c r="J40" s="60"/>
      <c r="K40" s="38"/>
      <c r="L40" s="60">
        <f t="shared" si="14"/>
        <v>-886587</v>
      </c>
      <c r="M40" s="38">
        <f t="shared" si="14"/>
        <v>-1545938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-886587</v>
      </c>
      <c r="E42" s="39">
        <v>-1545938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-886587</v>
      </c>
      <c r="I42" s="39">
        <f>SUM(I40:I41)</f>
        <v>-1545938</v>
      </c>
      <c r="J42" s="61">
        <f>SUM(J40:J41)</f>
        <v>0</v>
      </c>
      <c r="K42" s="39">
        <f>SUM(K40:K41)</f>
        <v>0</v>
      </c>
      <c r="L42" s="61">
        <f t="shared" si="15"/>
        <v>-886587</v>
      </c>
      <c r="M42" s="39">
        <f t="shared" si="15"/>
        <v>-1545938</v>
      </c>
    </row>
    <row r="43" spans="1:13" ht="21" customHeight="1" x14ac:dyDescent="0.2">
      <c r="A43" s="9"/>
      <c r="B43" s="7" t="s">
        <v>53</v>
      </c>
      <c r="C43" s="6"/>
      <c r="D43" s="61">
        <v>2381405</v>
      </c>
      <c r="E43" s="39">
        <v>4363357</v>
      </c>
      <c r="F43" s="61">
        <f t="shared" ref="F43:M43" si="16">F42+F39</f>
        <v>0</v>
      </c>
      <c r="G43" s="39">
        <f t="shared" si="16"/>
        <v>0</v>
      </c>
      <c r="H43" s="61">
        <f>H42+H39</f>
        <v>2381405</v>
      </c>
      <c r="I43" s="39">
        <f>I42+I39</f>
        <v>4363357</v>
      </c>
      <c r="J43" s="61">
        <f>J42+J39</f>
        <v>0</v>
      </c>
      <c r="K43" s="39">
        <f>K42+K39</f>
        <v>0</v>
      </c>
      <c r="L43" s="61">
        <f t="shared" si="16"/>
        <v>2381405</v>
      </c>
      <c r="M43" s="39">
        <f t="shared" si="16"/>
        <v>4363357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>
        <f>-603096-1240</f>
        <v>-604336</v>
      </c>
      <c r="L54" s="60">
        <f>H54+J54</f>
        <v>0</v>
      </c>
      <c r="M54" s="38">
        <f>I54+K54</f>
        <v>-604336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>SUM(J54:J55)</f>
        <v>0</v>
      </c>
      <c r="K56" s="39">
        <f>SUM(K54:K55)</f>
        <v>-604336</v>
      </c>
      <c r="L56" s="61">
        <f t="shared" si="17"/>
        <v>0</v>
      </c>
      <c r="M56" s="39">
        <f t="shared" si="17"/>
        <v>-604336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-539721.29553396348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-539721.29553396441</v>
      </c>
      <c r="J82" s="73">
        <f>J16+J24+J29+J36+J43+J45+J47+J49</f>
        <v>0</v>
      </c>
      <c r="K82" s="74">
        <f>SUM(K72:K81)+K16+K24+K29+K36+K43+K45+K47+K49+K51+K56+K61+K66</f>
        <v>-659364</v>
      </c>
      <c r="L82" s="73">
        <f>L16+L24+L29+L36+L43+L45+L47+L49</f>
        <v>0</v>
      </c>
      <c r="M82" s="74">
        <f>SUM(M72:M81)+M16+M24+M29+M36+M43+M45+M47+M49+M51+M56+M61+M66</f>
        <v>-1199085.2955339644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E82+'TX-EGM-FLSH'!E82</f>
        <v>414161.04858999792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D84" sqref="D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f>'TX-EGM-FLSH'!D11+'TX-HPL-FLSH'!D11</f>
        <v>36920289</v>
      </c>
      <c r="E11" s="38">
        <f>'TX-EGM-FLSH'!E11+'TX-HPL-FLSH'!E11</f>
        <v>64056161</v>
      </c>
      <c r="F11" s="60">
        <f>H11-D11</f>
        <v>0</v>
      </c>
      <c r="G11" s="37">
        <f>I11-E11</f>
        <v>0</v>
      </c>
      <c r="H11" s="60">
        <f>'TX-EGM-FLSH'!H11+'TX-HPL-FLSH'!H11</f>
        <v>36920289</v>
      </c>
      <c r="I11" s="38">
        <f>'TX-EGM-FLSH'!I11+'TX-HPL-FLSH'!I11</f>
        <v>64056161</v>
      </c>
      <c r="J11" s="60">
        <f>'TX-EGM-FLSH'!J11+'TX-HPL-FLSH'!J11</f>
        <v>0</v>
      </c>
      <c r="K11" s="38">
        <f>'TX-EGM-FLSH'!K11+'TX-HPL-FLSH'!K11</f>
        <v>-207973</v>
      </c>
      <c r="L11" s="60">
        <f t="shared" ref="L11:M15" si="0">H11+J11</f>
        <v>36920289</v>
      </c>
      <c r="M11" s="38">
        <f t="shared" si="0"/>
        <v>63848188</v>
      </c>
    </row>
    <row r="12" spans="1:26" x14ac:dyDescent="0.2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f>'TX-EGM-FLSH'!D13+'TX-HPL-FLSH'!D13</f>
        <v>1181827</v>
      </c>
      <c r="E13" s="38">
        <f>'TX-EGM-FLSH'!E13+'TX-HPL-FLSH'!E13</f>
        <v>2001964</v>
      </c>
      <c r="F13" s="60">
        <f t="shared" si="1"/>
        <v>0</v>
      </c>
      <c r="G13" s="37">
        <f t="shared" si="1"/>
        <v>0</v>
      </c>
      <c r="H13" s="60">
        <f>'TX-EGM-FLSH'!H13+'TX-HPL-FLSH'!H13</f>
        <v>1181827</v>
      </c>
      <c r="I13" s="38">
        <f>'TX-EGM-FLSH'!I13+'TX-HPL-FLSH'!I13</f>
        <v>2001964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1181827</v>
      </c>
      <c r="M13" s="38">
        <f t="shared" si="0"/>
        <v>2001964</v>
      </c>
    </row>
    <row r="14" spans="1:26" x14ac:dyDescent="0.2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f t="shared" ref="D16:M16" si="2">SUM(D11:D15)</f>
        <v>38102116</v>
      </c>
      <c r="E16" s="39">
        <f t="shared" si="2"/>
        <v>66178125</v>
      </c>
      <c r="F16" s="61">
        <f t="shared" si="2"/>
        <v>0</v>
      </c>
      <c r="G16" s="39">
        <f t="shared" si="2"/>
        <v>0</v>
      </c>
      <c r="H16" s="61">
        <f t="shared" si="2"/>
        <v>38102116</v>
      </c>
      <c r="I16" s="39">
        <f t="shared" si="2"/>
        <v>66178125</v>
      </c>
      <c r="J16" s="61">
        <f t="shared" si="2"/>
        <v>0</v>
      </c>
      <c r="K16" s="39">
        <f t="shared" si="2"/>
        <v>-207973</v>
      </c>
      <c r="L16" s="61">
        <f t="shared" si="2"/>
        <v>38102116</v>
      </c>
      <c r="M16" s="39">
        <f t="shared" si="2"/>
        <v>65970152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f>'TX-EGM-FLSH'!D19+'TX-HPL-FLSH'!D19</f>
        <v>-39159287</v>
      </c>
      <c r="E19" s="38">
        <f>'TX-EGM-FLSH'!E19+'TX-HPL-FLSH'!E19</f>
        <v>-68141628</v>
      </c>
      <c r="F19" s="60">
        <f>H19-D19</f>
        <v>0</v>
      </c>
      <c r="G19" s="37">
        <f>I19-E19</f>
        <v>0</v>
      </c>
      <c r="H19" s="60">
        <f>'TX-EGM-FLSH'!H19+'TX-HPL-FLSH'!H19</f>
        <v>-39159287</v>
      </c>
      <c r="I19" s="38">
        <f>'TX-EGM-FLSH'!I19+'TX-HPL-FLSH'!I19</f>
        <v>-68141628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-39159287</v>
      </c>
      <c r="M19" s="38">
        <f t="shared" si="3"/>
        <v>-68141628</v>
      </c>
    </row>
    <row r="20" spans="1:13" x14ac:dyDescent="0.2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0">
        <f>'TX-EGM-FLSH'!D21+'TX-HPL-FLSH'!D21</f>
        <v>-1337043</v>
      </c>
      <c r="E21" s="38">
        <f>'TX-EGM-FLSH'!E21+'TX-HPL-FLSH'!E21</f>
        <v>-2280282</v>
      </c>
      <c r="F21" s="60">
        <f t="shared" si="4"/>
        <v>0</v>
      </c>
      <c r="G21" s="37">
        <f t="shared" si="4"/>
        <v>0</v>
      </c>
      <c r="H21" s="60">
        <f>'TX-EGM-FLSH'!H21+'TX-HPL-FLSH'!H21</f>
        <v>-1337043</v>
      </c>
      <c r="I21" s="38">
        <f>'TX-EGM-FLSH'!I21+'TX-HPL-FLSH'!I21</f>
        <v>-2280282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-1337043</v>
      </c>
      <c r="M21" s="38">
        <f t="shared" si="3"/>
        <v>-2280282</v>
      </c>
    </row>
    <row r="22" spans="1:13" x14ac:dyDescent="0.2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0">
        <f>'TX-EGM-FLSH'!D23+'TX-HPL-FLSH'!D23</f>
        <v>56</v>
      </c>
      <c r="E23" s="38">
        <f>'TX-EGM-FLSH'!E23+'TX-HPL-FLSH'!E23</f>
        <v>94</v>
      </c>
      <c r="F23" s="60">
        <f t="shared" si="4"/>
        <v>0</v>
      </c>
      <c r="G23" s="37">
        <f t="shared" si="4"/>
        <v>0</v>
      </c>
      <c r="H23" s="60">
        <f>'TX-EGM-FLSH'!H23+'TX-HPL-FLSH'!H23</f>
        <v>56</v>
      </c>
      <c r="I23" s="38">
        <f>'TX-EGM-FLSH'!I23+'TX-HPL-FLSH'!I23</f>
        <v>94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56</v>
      </c>
      <c r="M23" s="38">
        <f t="shared" si="3"/>
        <v>94</v>
      </c>
    </row>
    <row r="24" spans="1:13" x14ac:dyDescent="0.2">
      <c r="A24" s="9"/>
      <c r="B24" s="7" t="s">
        <v>37</v>
      </c>
      <c r="C24" s="6"/>
      <c r="D24" s="61">
        <f t="shared" ref="D24:M24" si="5">SUM(D19:D23)</f>
        <v>-40496274</v>
      </c>
      <c r="E24" s="39">
        <f t="shared" si="5"/>
        <v>-70421816</v>
      </c>
      <c r="F24" s="61">
        <f t="shared" si="5"/>
        <v>0</v>
      </c>
      <c r="G24" s="39">
        <f t="shared" si="5"/>
        <v>0</v>
      </c>
      <c r="H24" s="61">
        <f t="shared" si="5"/>
        <v>-40496274</v>
      </c>
      <c r="I24" s="39">
        <f t="shared" si="5"/>
        <v>-70421816</v>
      </c>
      <c r="J24" s="61">
        <f t="shared" si="5"/>
        <v>0</v>
      </c>
      <c r="K24" s="39">
        <f t="shared" si="5"/>
        <v>0</v>
      </c>
      <c r="L24" s="61">
        <f t="shared" si="5"/>
        <v>-40496274</v>
      </c>
      <c r="M24" s="39">
        <f t="shared" si="5"/>
        <v>-70421816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f>'TX-EGM-FLSH'!D27+'TX-HPL-FLSH'!D27</f>
        <v>31921840</v>
      </c>
      <c r="E27" s="38">
        <f>'TX-EGM-FLSH'!E27+'TX-HPL-FLSH'!E27</f>
        <v>55893609</v>
      </c>
      <c r="F27" s="60">
        <f>H27-D27</f>
        <v>0</v>
      </c>
      <c r="G27" s="37">
        <f>I27-E27</f>
        <v>0</v>
      </c>
      <c r="H27" s="60">
        <f>'TX-EGM-FLSH'!H27+'TX-HPL-FLSH'!H27</f>
        <v>31921840</v>
      </c>
      <c r="I27" s="38">
        <f>'TX-EGM-FLSH'!I27+'TX-HPL-FLSH'!I27</f>
        <v>55893609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31921840</v>
      </c>
      <c r="M27" s="38">
        <f>I27+K27</f>
        <v>55893609</v>
      </c>
    </row>
    <row r="28" spans="1:13" x14ac:dyDescent="0.2">
      <c r="A28" s="9">
        <v>12</v>
      </c>
      <c r="B28" s="7"/>
      <c r="C28" s="18" t="s">
        <v>40</v>
      </c>
      <c r="D28" s="60">
        <f>'TX-EGM-FLSH'!D28+'TX-HPL-FLSH'!D28</f>
        <v>-31921840</v>
      </c>
      <c r="E28" s="38">
        <f>'TX-EGM-FLSH'!E28+'TX-HPL-FLSH'!E28</f>
        <v>-55893609</v>
      </c>
      <c r="F28" s="60">
        <f>H28-D28</f>
        <v>0</v>
      </c>
      <c r="G28" s="37">
        <f>I28-E28</f>
        <v>0</v>
      </c>
      <c r="H28" s="60">
        <f>'TX-EGM-FLSH'!H28+'TX-HPL-FLSH'!H28</f>
        <v>-31921840</v>
      </c>
      <c r="I28" s="38">
        <f>'TX-EGM-FLSH'!I28+'TX-HPL-FLSH'!I28</f>
        <v>-55893609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-31921840</v>
      </c>
      <c r="M28" s="38">
        <f>I28+K28</f>
        <v>-55893609</v>
      </c>
    </row>
    <row r="29" spans="1:13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0">
        <f>'TX-EGM-FLSH'!D33+'TX-HPL-FLSH'!D33</f>
        <v>12753</v>
      </c>
      <c r="E33" s="38">
        <f>'TX-EGM-FLSH'!E33+'TX-HPL-FLSH'!E33</f>
        <v>21877.708589989692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12753</v>
      </c>
      <c r="I33" s="38">
        <f>'TX-EGM-FLSH'!I33+'TX-HPL-FLSH'!I33</f>
        <v>21877.708589989692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12753</v>
      </c>
      <c r="M33" s="38">
        <f t="shared" si="7"/>
        <v>21877.708589989692</v>
      </c>
    </row>
    <row r="34" spans="1:13" x14ac:dyDescent="0.2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12753</v>
      </c>
      <c r="E36" s="39">
        <f t="shared" si="9"/>
        <v>21877.708589989692</v>
      </c>
      <c r="F36" s="61">
        <f t="shared" si="9"/>
        <v>0</v>
      </c>
      <c r="G36" s="39">
        <f t="shared" si="9"/>
        <v>0</v>
      </c>
      <c r="H36" s="61">
        <f t="shared" si="9"/>
        <v>12753</v>
      </c>
      <c r="I36" s="39">
        <f t="shared" si="9"/>
        <v>21877.708589989692</v>
      </c>
      <c r="J36" s="61">
        <f>SUM(J32:J34)</f>
        <v>0</v>
      </c>
      <c r="K36" s="39">
        <f>SUM(K32:K34)</f>
        <v>0</v>
      </c>
      <c r="L36" s="61">
        <f>SUM(L32:L35)</f>
        <v>12753</v>
      </c>
      <c r="M36" s="39">
        <f>SUM(M32:M35)</f>
        <v>21877.708589989692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f>'TX-EGM-FLSH'!D39+'TX-HPL-FLSH'!D39</f>
        <v>3267992</v>
      </c>
      <c r="E39" s="38">
        <f>'TX-EGM-FLSH'!E39+'TX-HPL-FLSH'!E39</f>
        <v>5909295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3267992</v>
      </c>
      <c r="I39" s="38">
        <f>'TX-EGM-FLSH'!I39+'TX-HPL-FLSH'!I39</f>
        <v>5909295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3267992</v>
      </c>
      <c r="M39" s="38">
        <f t="shared" si="11"/>
        <v>5909295</v>
      </c>
    </row>
    <row r="40" spans="1:13" ht="22.5" customHeight="1" x14ac:dyDescent="0.2">
      <c r="A40" s="9">
        <v>18</v>
      </c>
      <c r="B40" s="7"/>
      <c r="C40" s="18" t="s">
        <v>50</v>
      </c>
      <c r="D40" s="60">
        <f>'TX-EGM-FLSH'!D40+'TX-HPL-FLSH'!D40</f>
        <v>-886587</v>
      </c>
      <c r="E40" s="38">
        <f>'TX-EGM-FLSH'!E40+'TX-HPL-FLSH'!E40</f>
        <v>-1545938</v>
      </c>
      <c r="F40" s="60">
        <f t="shared" si="10"/>
        <v>0</v>
      </c>
      <c r="G40" s="37">
        <f t="shared" si="10"/>
        <v>0</v>
      </c>
      <c r="H40" s="60">
        <f>'TX-EGM-FLSH'!H40+'TX-HPL-FLSH'!H40</f>
        <v>-886587</v>
      </c>
      <c r="I40" s="38">
        <f>'TX-EGM-FLSH'!I40+'TX-HPL-FLSH'!I40</f>
        <v>-1545938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-886587</v>
      </c>
      <c r="M40" s="38">
        <f t="shared" si="11"/>
        <v>-1545938</v>
      </c>
    </row>
    <row r="41" spans="1:13" x14ac:dyDescent="0.2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 t="shared" ref="D42:M42" si="12">SUM(D40:D41)</f>
        <v>-886587</v>
      </c>
      <c r="E42" s="39">
        <f t="shared" si="12"/>
        <v>-1545938</v>
      </c>
      <c r="F42" s="61">
        <f t="shared" si="12"/>
        <v>0</v>
      </c>
      <c r="G42" s="39">
        <f t="shared" si="12"/>
        <v>0</v>
      </c>
      <c r="H42" s="61">
        <f t="shared" si="12"/>
        <v>-886587</v>
      </c>
      <c r="I42" s="39">
        <f t="shared" si="12"/>
        <v>-1545938</v>
      </c>
      <c r="J42" s="61">
        <f t="shared" si="12"/>
        <v>0</v>
      </c>
      <c r="K42" s="39">
        <f t="shared" si="12"/>
        <v>0</v>
      </c>
      <c r="L42" s="61">
        <f t="shared" si="12"/>
        <v>-886587</v>
      </c>
      <c r="M42" s="39">
        <f t="shared" si="12"/>
        <v>-1545938</v>
      </c>
    </row>
    <row r="43" spans="1:13" ht="21" customHeight="1" x14ac:dyDescent="0.2">
      <c r="A43" s="9"/>
      <c r="B43" s="7" t="s">
        <v>53</v>
      </c>
      <c r="C43" s="6"/>
      <c r="D43" s="61">
        <f t="shared" ref="D43:M43" si="13">D42+D39</f>
        <v>2381405</v>
      </c>
      <c r="E43" s="39">
        <f t="shared" si="13"/>
        <v>4363357</v>
      </c>
      <c r="F43" s="61">
        <f t="shared" si="13"/>
        <v>0</v>
      </c>
      <c r="G43" s="39">
        <f t="shared" si="13"/>
        <v>0</v>
      </c>
      <c r="H43" s="61">
        <f t="shared" si="13"/>
        <v>2381405</v>
      </c>
      <c r="I43" s="39">
        <f t="shared" si="13"/>
        <v>4363357</v>
      </c>
      <c r="J43" s="61">
        <f t="shared" si="13"/>
        <v>0</v>
      </c>
      <c r="K43" s="39">
        <f t="shared" si="13"/>
        <v>0</v>
      </c>
      <c r="L43" s="61">
        <f t="shared" si="13"/>
        <v>2381405</v>
      </c>
      <c r="M43" s="39">
        <f t="shared" si="13"/>
        <v>4363357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-823333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-823333</v>
      </c>
      <c r="J54" s="60">
        <f>'TX-EGM-FLSH'!J54+'TX-HPL-FLSH'!J54</f>
        <v>0</v>
      </c>
      <c r="K54" s="38">
        <f>'TX-EGM-FLSH'!K54+'TX-HPL-FLSH'!K54</f>
        <v>-74674</v>
      </c>
      <c r="L54" s="60">
        <f>H54+J54</f>
        <v>0</v>
      </c>
      <c r="M54" s="38">
        <f>I54+K54</f>
        <v>-898007</v>
      </c>
    </row>
    <row r="55" spans="1:15" x14ac:dyDescent="0.2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-823333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-823333</v>
      </c>
      <c r="J56" s="61">
        <f t="shared" si="14"/>
        <v>0</v>
      </c>
      <c r="K56" s="39">
        <f t="shared" si="14"/>
        <v>-74674</v>
      </c>
      <c r="L56" s="61">
        <f t="shared" si="14"/>
        <v>0</v>
      </c>
      <c r="M56" s="39">
        <f t="shared" si="14"/>
        <v>-898007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138111.41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138111.41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138111.41</v>
      </c>
    </row>
    <row r="71" spans="1:13" x14ac:dyDescent="0.2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987605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987605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987605</v>
      </c>
    </row>
    <row r="72" spans="1:13" x14ac:dyDescent="0.2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1125716.4099999999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1125716.4099999999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1125716.4099999999</v>
      </c>
    </row>
    <row r="73" spans="1:13" x14ac:dyDescent="0.2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-395143.07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-395143.07</v>
      </c>
      <c r="J74" s="60">
        <f>'TX-EGM-FLSH'!J74+'TX-HPL-FLSH'!J74</f>
        <v>0</v>
      </c>
      <c r="K74" s="38">
        <f>'TX-EGM-FLSH'!K74+'TX-HPL-FLSH'!K74</f>
        <v>93300</v>
      </c>
      <c r="L74" s="60">
        <f t="shared" si="18"/>
        <v>0</v>
      </c>
      <c r="M74" s="38">
        <f t="shared" si="18"/>
        <v>-301843.07</v>
      </c>
    </row>
    <row r="75" spans="1:13" x14ac:dyDescent="0.2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52737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52737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52737</v>
      </c>
    </row>
    <row r="76" spans="1:13" x14ac:dyDescent="0.2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-2950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-2950</v>
      </c>
      <c r="J76" s="60">
        <f>'TX-EGM-FLSH'!J76+'TX-HPL-FLSH'!J76</f>
        <v>0</v>
      </c>
      <c r="K76" s="38">
        <f>'TX-EGM-FLSH'!K76+'TX-HPL-FLSH'!K76</f>
        <v>2890</v>
      </c>
      <c r="L76" s="60">
        <f t="shared" si="18"/>
        <v>0</v>
      </c>
      <c r="M76" s="38">
        <f t="shared" si="18"/>
        <v>-60</v>
      </c>
    </row>
    <row r="77" spans="1:13" x14ac:dyDescent="0.2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0</v>
      </c>
      <c r="J77" s="60">
        <f>'TX-EGM-FLSH'!J77+'TX-HPL-FLSH'!J77</f>
        <v>0</v>
      </c>
      <c r="K77" s="38">
        <f>'TX-EGM-FLSH'!K77+'TX-HPL-FLSH'!K77</f>
        <v>0</v>
      </c>
      <c r="L77" s="60">
        <f t="shared" si="18"/>
        <v>0</v>
      </c>
      <c r="M77" s="38">
        <f t="shared" si="18"/>
        <v>0</v>
      </c>
    </row>
    <row r="78" spans="1:13" x14ac:dyDescent="0.2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315590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315590</v>
      </c>
      <c r="J81" s="60">
        <f>'TX-EGM-FLSH'!J81+'TX-HPL-FLSH'!J81</f>
        <v>0</v>
      </c>
      <c r="K81" s="38">
        <f>'TX-EGM-FLSH'!K81+'TX-HPL-FLSH'!K81</f>
        <v>0</v>
      </c>
      <c r="L81" s="60">
        <f t="shared" si="18"/>
        <v>0</v>
      </c>
      <c r="M81" s="38">
        <f t="shared" si="18"/>
        <v>315590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414161.04858999327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414161.04858999327</v>
      </c>
      <c r="J82" s="73">
        <f>J16+J24+J29+J36+J43+J45+J47+J49</f>
        <v>0</v>
      </c>
      <c r="K82" s="74">
        <f>SUM(K72:K81)+K16+K24+K29+K36+K43+K45+K47+K49+K51+K56+K61+K66</f>
        <v>-186457</v>
      </c>
      <c r="L82" s="73">
        <f>L16+L24+L29+L36+L43+L45+L47+L49</f>
        <v>0</v>
      </c>
      <c r="M82" s="74">
        <f>SUM(M72:M81)+M16+M24+M29+M36+M43+M45+M47+M49+M51+M56+M61+M66</f>
        <v>227704.04858999327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196</v>
      </c>
      <c r="B85" s="3"/>
      <c r="M85" s="45">
        <f>M82+'[3]TX-HPL-FLSH'!M82</f>
        <v>281483.03870215814</v>
      </c>
    </row>
    <row r="86" spans="1:67" s="3" customFormat="1" x14ac:dyDescent="0.2">
      <c r="A86" s="183"/>
      <c r="C86" s="10" t="s">
        <v>189</v>
      </c>
      <c r="D86" s="168">
        <f>'TX-EGM-FLSH'!D86+'TX-HPL-FLSH'!D86</f>
        <v>0</v>
      </c>
      <c r="E86" s="168">
        <f>'TX-EGM-FLSH'!E86+'TX-HPL-FLSH'!E86</f>
        <v>67597</v>
      </c>
      <c r="F86" s="168">
        <f t="shared" ref="F86:G88" si="20">H86-D86</f>
        <v>0</v>
      </c>
      <c r="G86" s="168">
        <f t="shared" si="20"/>
        <v>0</v>
      </c>
      <c r="H86" s="168">
        <f>'TX-EGM-FLSH'!H86+'TX-HPL-FLSH'!H86</f>
        <v>0</v>
      </c>
      <c r="I86" s="168">
        <f>'TX-EGM-FLSH'!I86+'TX-HPL-FLSH'!I86</f>
        <v>67597</v>
      </c>
      <c r="J86" s="168">
        <f>'TX-EGM-FLSH'!J86+'TX-HPL-FLSH'!J86</f>
        <v>0</v>
      </c>
      <c r="K86" s="168">
        <f>'TX-EGM-FLSH'!K86+'TX-HPL-FLSH'!K86</f>
        <v>0</v>
      </c>
      <c r="L86" s="168">
        <f t="shared" ref="L86:M88" si="21">H86+J86</f>
        <v>0</v>
      </c>
      <c r="M86" s="168">
        <f t="shared" si="21"/>
        <v>67597</v>
      </c>
    </row>
    <row r="87" spans="1:67" s="3" customFormat="1" x14ac:dyDescent="0.2">
      <c r="A87" s="183"/>
      <c r="C87" s="10" t="s">
        <v>75</v>
      </c>
      <c r="D87" s="169">
        <f>'TX-EGM-FLSH'!D87+'TX-HPL-FLSH'!D87</f>
        <v>0</v>
      </c>
      <c r="E87" s="169">
        <f>'TX-EGM-FLSH'!E87+'TX-HPL-FLSH'!E87</f>
        <v>0</v>
      </c>
      <c r="F87" s="169">
        <f t="shared" si="20"/>
        <v>0</v>
      </c>
      <c r="G87" s="169">
        <f t="shared" si="20"/>
        <v>0</v>
      </c>
      <c r="H87" s="169">
        <f>'TX-EGM-FLSH'!H87+'TX-HPL-FLSH'!H87</f>
        <v>0</v>
      </c>
      <c r="I87" s="169">
        <f>'TX-EGM-FLSH'!I87+'TX-HPL-FLSH'!I87</f>
        <v>0</v>
      </c>
      <c r="J87" s="169">
        <f>'TX-EGM-FLSH'!J87+'TX-HPL-FLSH'!J87</f>
        <v>0</v>
      </c>
      <c r="K87" s="169">
        <f>'TX-EGM-FLSH'!K87+'TX-HPL-FLSH'!K87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3"/>
      <c r="C88" s="10" t="s">
        <v>76</v>
      </c>
      <c r="D88" s="170">
        <f>'TX-EGM-FLSH'!D88+'TX-HPL-FLSH'!D88</f>
        <v>0</v>
      </c>
      <c r="E88" s="170">
        <f>'TX-EGM-FLSH'!E88+'TX-HPL-FLSH'!E88</f>
        <v>-48556</v>
      </c>
      <c r="F88" s="170">
        <f t="shared" si="20"/>
        <v>0</v>
      </c>
      <c r="G88" s="170">
        <f t="shared" si="20"/>
        <v>0</v>
      </c>
      <c r="H88" s="170">
        <f>'TX-EGM-FLSH'!H88+'TX-HPL-FLSH'!H88</f>
        <v>0</v>
      </c>
      <c r="I88" s="170">
        <f>'TX-EGM-FLSH'!I88+'TX-HPL-FLSH'!I88</f>
        <v>-48556</v>
      </c>
      <c r="J88" s="170">
        <f>'TX-EGM-FLSH'!J88+'TX-HPL-FLSH'!J88</f>
        <v>0</v>
      </c>
      <c r="K88" s="170">
        <f>'TX-EGM-FLSH'!K88+'TX-HPL-FLSH'!K88</f>
        <v>0</v>
      </c>
      <c r="L88" s="170">
        <f t="shared" si="21"/>
        <v>0</v>
      </c>
      <c r="M88" s="170">
        <f t="shared" si="21"/>
        <v>-48556</v>
      </c>
    </row>
    <row r="89" spans="1:67" s="44" customFormat="1" ht="20.25" customHeight="1" x14ac:dyDescent="0.2">
      <c r="A89" s="192"/>
      <c r="B89" s="193"/>
      <c r="C89" s="194" t="s">
        <v>190</v>
      </c>
      <c r="D89" s="196">
        <f>SUM(D86:D88)</f>
        <v>0</v>
      </c>
      <c r="E89" s="196">
        <f t="shared" ref="E89:M89" si="22">SUM(E86:E88)</f>
        <v>19041</v>
      </c>
      <c r="F89" s="196">
        <f t="shared" si="22"/>
        <v>0</v>
      </c>
      <c r="G89" s="196">
        <f t="shared" si="22"/>
        <v>0</v>
      </c>
      <c r="H89" s="196">
        <f t="shared" si="22"/>
        <v>0</v>
      </c>
      <c r="I89" s="196">
        <f t="shared" si="22"/>
        <v>19041</v>
      </c>
      <c r="J89" s="196">
        <f t="shared" si="22"/>
        <v>0</v>
      </c>
      <c r="K89" s="196">
        <f t="shared" si="22"/>
        <v>0</v>
      </c>
      <c r="L89" s="196">
        <f t="shared" si="22"/>
        <v>0</v>
      </c>
      <c r="M89" s="196">
        <f t="shared" si="22"/>
        <v>19041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6">
        <f>+D82+D89</f>
        <v>0</v>
      </c>
      <c r="E91" s="196">
        <f t="shared" ref="E91:M91" si="23">+E82+E89</f>
        <v>433202.04858999327</v>
      </c>
      <c r="F91" s="196">
        <f t="shared" si="23"/>
        <v>0</v>
      </c>
      <c r="G91" s="196">
        <f t="shared" si="23"/>
        <v>0</v>
      </c>
      <c r="H91" s="196">
        <f t="shared" si="23"/>
        <v>0</v>
      </c>
      <c r="I91" s="196">
        <f t="shared" si="23"/>
        <v>433202.04858999327</v>
      </c>
      <c r="J91" s="196">
        <f t="shared" si="23"/>
        <v>0</v>
      </c>
      <c r="K91" s="196">
        <f t="shared" si="23"/>
        <v>-186457</v>
      </c>
      <c r="L91" s="196">
        <f t="shared" si="23"/>
        <v>0</v>
      </c>
      <c r="M91" s="196">
        <f t="shared" si="23"/>
        <v>246745.04858999327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H62" activePane="bottomRight" state="frozen"/>
      <selection activeCell="E14" sqref="E14"/>
      <selection pane="topRight" activeCell="E14" sqref="E14"/>
      <selection pane="bottomLeft" activeCell="E14" sqref="E14"/>
      <selection pane="bottomRight" activeCell="K71" sqref="K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26542789</v>
      </c>
      <c r="E11" s="65">
        <v>45562503</v>
      </c>
      <c r="F11" s="60">
        <f>H11-D11</f>
        <v>0</v>
      </c>
      <c r="G11" s="37">
        <f>I11-E11</f>
        <v>0</v>
      </c>
      <c r="H11" s="65">
        <f>D11</f>
        <v>26542789</v>
      </c>
      <c r="I11" s="66">
        <f>E11</f>
        <v>45562503</v>
      </c>
      <c r="J11" s="60"/>
      <c r="K11" s="38"/>
      <c r="L11" s="60">
        <f t="shared" ref="L11:M15" si="0">H11+J11</f>
        <v>26542789</v>
      </c>
      <c r="M11" s="38">
        <f t="shared" si="0"/>
        <v>45562503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16228431</v>
      </c>
      <c r="E13" s="65">
        <v>27997200</v>
      </c>
      <c r="F13" s="60">
        <f t="shared" si="1"/>
        <v>0</v>
      </c>
      <c r="G13" s="37">
        <f t="shared" si="1"/>
        <v>0</v>
      </c>
      <c r="H13" s="65">
        <f t="shared" si="2"/>
        <v>16228431</v>
      </c>
      <c r="I13" s="66">
        <f t="shared" si="2"/>
        <v>27997200</v>
      </c>
      <c r="J13" s="60"/>
      <c r="K13" s="38"/>
      <c r="L13" s="60">
        <f t="shared" si="0"/>
        <v>16228431</v>
      </c>
      <c r="M13" s="38">
        <f t="shared" si="0"/>
        <v>27997200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42771220</v>
      </c>
      <c r="E16" s="39">
        <v>73559703</v>
      </c>
      <c r="F16" s="61">
        <f t="shared" ref="F16:M16" si="3">SUM(F11:F15)</f>
        <v>0</v>
      </c>
      <c r="G16" s="39">
        <f t="shared" si="3"/>
        <v>0</v>
      </c>
      <c r="H16" s="61">
        <f>SUM(H11:H15)</f>
        <v>42771220</v>
      </c>
      <c r="I16" s="39">
        <f>SUM(I11:I15)</f>
        <v>73559703</v>
      </c>
      <c r="J16" s="61">
        <f t="shared" si="3"/>
        <v>0</v>
      </c>
      <c r="K16" s="39">
        <f t="shared" si="3"/>
        <v>0</v>
      </c>
      <c r="L16" s="61">
        <f t="shared" si="3"/>
        <v>42771220</v>
      </c>
      <c r="M16" s="39">
        <f t="shared" si="3"/>
        <v>73559703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-25023554</v>
      </c>
      <c r="E19" s="65">
        <v>-41764271</v>
      </c>
      <c r="F19" s="60">
        <f>H19-D19</f>
        <v>0</v>
      </c>
      <c r="G19" s="37">
        <f>I19-E19</f>
        <v>0</v>
      </c>
      <c r="H19" s="65">
        <f t="shared" si="4"/>
        <v>-25023554</v>
      </c>
      <c r="I19" s="66">
        <f t="shared" si="4"/>
        <v>-41764271</v>
      </c>
      <c r="J19" s="60"/>
      <c r="K19" s="38"/>
      <c r="L19" s="60">
        <f t="shared" ref="L19:M23" si="5">H19+J19</f>
        <v>-25023554</v>
      </c>
      <c r="M19" s="38">
        <f t="shared" si="5"/>
        <v>-41764271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-17905102</v>
      </c>
      <c r="E21" s="65">
        <v>-30820464</v>
      </c>
      <c r="F21" s="60">
        <f t="shared" si="6"/>
        <v>0</v>
      </c>
      <c r="G21" s="37">
        <f t="shared" si="6"/>
        <v>0</v>
      </c>
      <c r="H21" s="65">
        <f t="shared" si="4"/>
        <v>-17905102</v>
      </c>
      <c r="I21" s="66">
        <f t="shared" si="4"/>
        <v>-30820464</v>
      </c>
      <c r="J21" s="60"/>
      <c r="K21" s="38"/>
      <c r="L21" s="60">
        <f t="shared" si="5"/>
        <v>-17905102</v>
      </c>
      <c r="M21" s="38">
        <f t="shared" si="5"/>
        <v>-30820464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278272</v>
      </c>
      <c r="E23" s="65">
        <v>449893</v>
      </c>
      <c r="F23" s="60">
        <f t="shared" si="6"/>
        <v>0</v>
      </c>
      <c r="G23" s="37">
        <f t="shared" si="6"/>
        <v>0</v>
      </c>
      <c r="H23" s="65">
        <f t="shared" si="4"/>
        <v>278272</v>
      </c>
      <c r="I23" s="66">
        <f t="shared" si="4"/>
        <v>449893</v>
      </c>
      <c r="J23" s="60"/>
      <c r="K23" s="38"/>
      <c r="L23" s="60">
        <f t="shared" si="5"/>
        <v>278272</v>
      </c>
      <c r="M23" s="38">
        <f t="shared" si="5"/>
        <v>449893</v>
      </c>
    </row>
    <row r="24" spans="1:13" x14ac:dyDescent="0.2">
      <c r="A24" s="9"/>
      <c r="B24" s="7" t="s">
        <v>37</v>
      </c>
      <c r="C24" s="6"/>
      <c r="D24" s="61">
        <v>-42650384</v>
      </c>
      <c r="E24" s="39">
        <v>-72134842</v>
      </c>
      <c r="F24" s="61">
        <f t="shared" ref="F24:M24" si="7">SUM(F19:F23)</f>
        <v>0</v>
      </c>
      <c r="G24" s="39">
        <f t="shared" si="7"/>
        <v>0</v>
      </c>
      <c r="H24" s="61">
        <f>SUM(H19:H23)</f>
        <v>-42650384</v>
      </c>
      <c r="I24" s="39">
        <f>SUM(I19:I23)</f>
        <v>-72134842</v>
      </c>
      <c r="J24" s="61">
        <f t="shared" si="7"/>
        <v>0</v>
      </c>
      <c r="K24" s="39">
        <f t="shared" si="7"/>
        <v>0</v>
      </c>
      <c r="L24" s="61">
        <f t="shared" si="7"/>
        <v>-42650384</v>
      </c>
      <c r="M24" s="39">
        <f t="shared" si="7"/>
        <v>-72134842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511</v>
      </c>
      <c r="E32" s="65">
        <v>853</v>
      </c>
      <c r="F32" s="60">
        <f>H32-D32</f>
        <v>0</v>
      </c>
      <c r="G32" s="37">
        <f>I32-E32</f>
        <v>0</v>
      </c>
      <c r="H32" s="65">
        <f t="shared" ref="H32:I35" si="9">D32</f>
        <v>511</v>
      </c>
      <c r="I32" s="66">
        <f t="shared" si="9"/>
        <v>853</v>
      </c>
      <c r="J32" s="60"/>
      <c r="K32" s="38"/>
      <c r="L32" s="60">
        <f t="shared" ref="L32:M35" si="10">H32+J32</f>
        <v>511</v>
      </c>
      <c r="M32" s="38">
        <f t="shared" si="10"/>
        <v>853</v>
      </c>
    </row>
    <row r="33" spans="1:13" x14ac:dyDescent="0.2">
      <c r="A33" s="9">
        <v>14</v>
      </c>
      <c r="B33" s="7"/>
      <c r="C33" s="18" t="s">
        <v>44</v>
      </c>
      <c r="D33" s="65">
        <v>-10912</v>
      </c>
      <c r="E33" s="65">
        <v>-17120.895636537112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-10912</v>
      </c>
      <c r="I33" s="66">
        <f t="shared" si="9"/>
        <v>-17120.895636537112</v>
      </c>
      <c r="J33" s="60"/>
      <c r="K33" s="38"/>
      <c r="L33" s="60">
        <f t="shared" si="10"/>
        <v>-10912</v>
      </c>
      <c r="M33" s="38">
        <f t="shared" si="10"/>
        <v>-17120.895636537112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-10401</v>
      </c>
      <c r="E36" s="39">
        <v>-16267.895636537112</v>
      </c>
      <c r="F36" s="61">
        <f>SUM(F32:F35)</f>
        <v>0</v>
      </c>
      <c r="G36" s="39">
        <f>SUM(G32:G35)</f>
        <v>0</v>
      </c>
      <c r="H36" s="61">
        <f>SUM(H32:H35)</f>
        <v>-10401</v>
      </c>
      <c r="I36" s="39">
        <f>SUM(I32:I35)</f>
        <v>-16267.895636537112</v>
      </c>
      <c r="J36" s="61">
        <f>SUM(J32:J34)</f>
        <v>0</v>
      </c>
      <c r="K36" s="39">
        <f>SUM(K32:K34)</f>
        <v>0</v>
      </c>
      <c r="L36" s="61">
        <f>SUM(L32:L35)</f>
        <v>-10401</v>
      </c>
      <c r="M36" s="39">
        <f>SUM(M32:M35)</f>
        <v>-16267.895636537112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-110435</v>
      </c>
      <c r="E40" s="65">
        <v>-175220</v>
      </c>
      <c r="F40" s="60">
        <f t="shared" si="13"/>
        <v>0</v>
      </c>
      <c r="G40" s="37">
        <f t="shared" si="13"/>
        <v>0</v>
      </c>
      <c r="H40" s="65">
        <f t="shared" si="12"/>
        <v>-110435</v>
      </c>
      <c r="I40" s="66">
        <f t="shared" si="12"/>
        <v>-175220</v>
      </c>
      <c r="J40" s="60"/>
      <c r="K40" s="38"/>
      <c r="L40" s="60">
        <f t="shared" si="14"/>
        <v>-110435</v>
      </c>
      <c r="M40" s="38">
        <f t="shared" si="14"/>
        <v>-175220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-110435</v>
      </c>
      <c r="E42" s="39">
        <v>-175220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-110435</v>
      </c>
      <c r="I42" s="39">
        <f>SUM(I40:I41)</f>
        <v>-175220</v>
      </c>
      <c r="J42" s="61">
        <f t="shared" si="15"/>
        <v>0</v>
      </c>
      <c r="K42" s="39">
        <f t="shared" si="15"/>
        <v>0</v>
      </c>
      <c r="L42" s="61">
        <f t="shared" si="15"/>
        <v>-110435</v>
      </c>
      <c r="M42" s="39">
        <f t="shared" si="15"/>
        <v>-175220</v>
      </c>
    </row>
    <row r="43" spans="1:13" ht="21" customHeight="1" x14ac:dyDescent="0.2">
      <c r="A43" s="9"/>
      <c r="B43" s="7" t="s">
        <v>53</v>
      </c>
      <c r="C43" s="6"/>
      <c r="D43" s="61">
        <v>-110435</v>
      </c>
      <c r="E43" s="39">
        <v>-175220</v>
      </c>
      <c r="F43" s="61">
        <f t="shared" ref="F43:M43" si="16">F42+F39</f>
        <v>0</v>
      </c>
      <c r="G43" s="39">
        <f t="shared" si="16"/>
        <v>0</v>
      </c>
      <c r="H43" s="61">
        <f>H42+H39</f>
        <v>-110435</v>
      </c>
      <c r="I43" s="39">
        <f>I42+I39</f>
        <v>-175220</v>
      </c>
      <c r="J43" s="61">
        <f t="shared" si="16"/>
        <v>0</v>
      </c>
      <c r="K43" s="39">
        <f t="shared" si="16"/>
        <v>0</v>
      </c>
      <c r="L43" s="61">
        <f t="shared" si="16"/>
        <v>-110435</v>
      </c>
      <c r="M43" s="39">
        <f t="shared" si="16"/>
        <v>-175220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-278272</v>
      </c>
      <c r="E51" s="65">
        <v>-449893</v>
      </c>
      <c r="F51" s="60">
        <f>H51-D51</f>
        <v>0</v>
      </c>
      <c r="G51" s="37">
        <f>I51-E51</f>
        <v>0</v>
      </c>
      <c r="H51" s="65">
        <f>D51</f>
        <v>-278272</v>
      </c>
      <c r="I51" s="66">
        <f>E51</f>
        <v>-449893</v>
      </c>
      <c r="J51" s="60"/>
      <c r="K51" s="38"/>
      <c r="L51" s="60">
        <f>H51+J51</f>
        <v>-278272</v>
      </c>
      <c r="M51" s="38">
        <f>I51+K51</f>
        <v>-449893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-208140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-208140</v>
      </c>
      <c r="J54" s="60"/>
      <c r="K54" s="38"/>
      <c r="L54" s="60">
        <f>H54+J54</f>
        <v>0</v>
      </c>
      <c r="M54" s="38">
        <f>I54+K54</f>
        <v>-208140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-2681292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-2681292</v>
      </c>
      <c r="J55" s="60"/>
      <c r="K55" s="38"/>
      <c r="L55" s="60">
        <f>H55+J55</f>
        <v>0</v>
      </c>
      <c r="M55" s="38">
        <f>I55+K55</f>
        <v>-2681292</v>
      </c>
    </row>
    <row r="56" spans="1:15" x14ac:dyDescent="0.2">
      <c r="A56" s="9"/>
      <c r="B56" s="7" t="s">
        <v>61</v>
      </c>
      <c r="C56" s="6"/>
      <c r="D56" s="61">
        <v>0</v>
      </c>
      <c r="E56" s="39">
        <v>-2889432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-2889432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-2889432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1352419.57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1352419.57</v>
      </c>
      <c r="J70" s="60"/>
      <c r="K70" s="38">
        <v>-1485484</v>
      </c>
      <c r="L70" s="60">
        <f>H70+J70</f>
        <v>0</v>
      </c>
      <c r="M70" s="38">
        <f>I70+K70</f>
        <v>-133064.42999999993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-757451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-757451</v>
      </c>
      <c r="J71" s="60"/>
      <c r="K71" s="38"/>
      <c r="L71" s="60">
        <f>H71+J71</f>
        <v>0</v>
      </c>
      <c r="M71" s="38">
        <f>I71+K71</f>
        <v>-757451</v>
      </c>
    </row>
    <row r="72" spans="1:13" x14ac:dyDescent="0.2">
      <c r="A72" s="9"/>
      <c r="B72" s="3"/>
      <c r="C72" s="55" t="s">
        <v>73</v>
      </c>
      <c r="D72" s="61">
        <v>0</v>
      </c>
      <c r="E72" s="39">
        <v>594968.56999999995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594968.57000000007</v>
      </c>
      <c r="J72" s="61">
        <f t="shared" si="20"/>
        <v>0</v>
      </c>
      <c r="K72" s="39">
        <f t="shared" si="20"/>
        <v>-1485484</v>
      </c>
      <c r="L72" s="61">
        <f t="shared" si="20"/>
        <v>0</v>
      </c>
      <c r="M72" s="39">
        <f t="shared" si="20"/>
        <v>-890515.42999999993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>
        <v>1485484</v>
      </c>
      <c r="L74" s="60">
        <f t="shared" si="22"/>
        <v>0</v>
      </c>
      <c r="M74" s="38">
        <f t="shared" si="22"/>
        <v>1485484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45406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45406</v>
      </c>
      <c r="J75" s="60"/>
      <c r="K75" s="38"/>
      <c r="L75" s="60">
        <f t="shared" si="22"/>
        <v>0</v>
      </c>
      <c r="M75" s="38">
        <f t="shared" si="22"/>
        <v>45406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-4570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-4570</v>
      </c>
      <c r="J76" s="60"/>
      <c r="K76" s="38"/>
      <c r="L76" s="60">
        <f t="shared" si="22"/>
        <v>0</v>
      </c>
      <c r="M76" s="38">
        <f t="shared" si="22"/>
        <v>-4570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1511956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1511956</v>
      </c>
      <c r="J79" s="60"/>
      <c r="K79" s="38"/>
      <c r="L79" s="60">
        <f t="shared" si="22"/>
        <v>0</v>
      </c>
      <c r="M79" s="38">
        <f t="shared" si="22"/>
        <v>1511956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2758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2758</v>
      </c>
      <c r="J81" s="60"/>
      <c r="K81" s="38"/>
      <c r="L81" s="60">
        <f t="shared" si="22"/>
        <v>0</v>
      </c>
      <c r="M81" s="38">
        <f t="shared" si="22"/>
        <v>2758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44566.674363455735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44566.674363455735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44566.674363455735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77" activePane="bottomRight" state="frozen"/>
      <selection activeCell="E14" sqref="E14"/>
      <selection pane="topRight" activeCell="E14" sqref="E14"/>
      <selection pane="bottomLeft" activeCell="E14" sqref="E14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0"/>
      <c r="E81" s="38">
        <v>164000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164000</v>
      </c>
      <c r="J81" s="60"/>
      <c r="K81" s="38"/>
      <c r="L81" s="60">
        <f t="shared" si="24"/>
        <v>0</v>
      </c>
      <c r="M81" s="38">
        <f t="shared" si="24"/>
        <v>164000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164000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164000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164000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topLeftCell="E64" zoomScale="75" workbookViewId="0">
      <selection activeCell="G74" sqref="G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183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3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176228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176228</v>
      </c>
      <c r="J70" s="65"/>
      <c r="K70" s="38"/>
      <c r="L70" s="60">
        <f t="shared" si="20"/>
        <v>0</v>
      </c>
      <c r="M70" s="38">
        <f t="shared" si="20"/>
        <v>176228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176228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176228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176228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82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25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176228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176228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176228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188</v>
      </c>
      <c r="B85" s="3"/>
      <c r="L85" s="45"/>
    </row>
    <row r="86" spans="1:13" s="3" customFormat="1" x14ac:dyDescent="0.2">
      <c r="A86" s="183"/>
      <c r="C86" s="10" t="s">
        <v>189</v>
      </c>
      <c r="D86" s="168">
        <v>0</v>
      </c>
      <c r="E86" s="168">
        <v>129130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129130</v>
      </c>
      <c r="J86" s="168"/>
      <c r="K86" s="168"/>
      <c r="L86" s="168">
        <f t="shared" ref="L86:M88" si="27">H86+J86</f>
        <v>0</v>
      </c>
      <c r="M86" s="168">
        <f t="shared" si="27"/>
        <v>129130</v>
      </c>
    </row>
    <row r="87" spans="1:13" s="3" customFormat="1" x14ac:dyDescent="0.2">
      <c r="A87" s="183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13" s="3" customFormat="1" x14ac:dyDescent="0.2">
      <c r="A88" s="183"/>
      <c r="C88" s="10" t="s">
        <v>76</v>
      </c>
      <c r="D88" s="170">
        <v>0</v>
      </c>
      <c r="E88" s="170">
        <v>0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0</v>
      </c>
      <c r="J88" s="170"/>
      <c r="K88" s="170"/>
      <c r="L88" s="170">
        <f t="shared" si="27"/>
        <v>0</v>
      </c>
      <c r="M88" s="170">
        <f t="shared" si="27"/>
        <v>0</v>
      </c>
    </row>
    <row r="89" spans="1:13" s="2" customFormat="1" ht="20.25" customHeight="1" x14ac:dyDescent="0.2">
      <c r="A89" s="183"/>
      <c r="B89" s="4"/>
      <c r="C89" s="197" t="s">
        <v>190</v>
      </c>
      <c r="D89" s="196">
        <f>SUM(D86:D88)</f>
        <v>0</v>
      </c>
      <c r="E89" s="196">
        <f t="shared" ref="E89:M89" si="28">SUM(E86:E88)</f>
        <v>129130</v>
      </c>
      <c r="F89" s="196">
        <f t="shared" si="28"/>
        <v>0</v>
      </c>
      <c r="G89" s="196">
        <f t="shared" si="28"/>
        <v>0</v>
      </c>
      <c r="H89" s="196">
        <f t="shared" si="28"/>
        <v>0</v>
      </c>
      <c r="I89" s="196">
        <f t="shared" si="28"/>
        <v>129130</v>
      </c>
      <c r="J89" s="196">
        <f t="shared" si="28"/>
        <v>0</v>
      </c>
      <c r="K89" s="196">
        <f t="shared" si="28"/>
        <v>0</v>
      </c>
      <c r="L89" s="196">
        <f t="shared" si="28"/>
        <v>0</v>
      </c>
      <c r="M89" s="196">
        <f t="shared" si="28"/>
        <v>129130</v>
      </c>
    </row>
    <row r="90" spans="1:13" x14ac:dyDescent="0.2">
      <c r="A90" s="4"/>
      <c r="B90" s="3"/>
    </row>
    <row r="91" spans="1:13" s="2" customFormat="1" ht="20.25" customHeight="1" x14ac:dyDescent="0.2">
      <c r="A91" s="183"/>
      <c r="B91" s="4"/>
      <c r="C91" s="197" t="s">
        <v>194</v>
      </c>
      <c r="D91" s="196">
        <f>+D82+D89</f>
        <v>0</v>
      </c>
      <c r="E91" s="196">
        <f t="shared" ref="E91:M91" si="29">+E82+E89</f>
        <v>305358</v>
      </c>
      <c r="F91" s="196">
        <f t="shared" si="29"/>
        <v>0</v>
      </c>
      <c r="G91" s="196">
        <f t="shared" si="29"/>
        <v>0</v>
      </c>
      <c r="H91" s="196">
        <f t="shared" si="29"/>
        <v>0</v>
      </c>
      <c r="I91" s="196">
        <f t="shared" si="29"/>
        <v>305358</v>
      </c>
      <c r="J91" s="196">
        <f t="shared" si="29"/>
        <v>0</v>
      </c>
      <c r="K91" s="196">
        <f t="shared" si="29"/>
        <v>0</v>
      </c>
      <c r="L91" s="196">
        <f t="shared" si="29"/>
        <v>0</v>
      </c>
      <c r="M91" s="196">
        <f t="shared" si="29"/>
        <v>305358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zoomScale="75" workbookViewId="0">
      <selection activeCell="D23" sqref="D2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6035598</v>
      </c>
      <c r="E11" s="65">
        <v>7437659</v>
      </c>
      <c r="F11" s="60">
        <f>H11-D11</f>
        <v>0</v>
      </c>
      <c r="G11" s="37">
        <f>I11-E11</f>
        <v>0</v>
      </c>
      <c r="H11" s="65">
        <f>D11</f>
        <v>6035598</v>
      </c>
      <c r="I11" s="66">
        <f>E11</f>
        <v>7437659</v>
      </c>
      <c r="J11" s="60"/>
      <c r="K11" s="38"/>
      <c r="L11" s="60">
        <f t="shared" ref="L11:M15" si="0">H11+J11</f>
        <v>6035598</v>
      </c>
      <c r="M11" s="38">
        <f t="shared" si="0"/>
        <v>7437659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11094089</v>
      </c>
      <c r="E13" s="65">
        <v>22300989</v>
      </c>
      <c r="F13" s="60">
        <f t="shared" si="1"/>
        <v>0</v>
      </c>
      <c r="G13" s="37">
        <f t="shared" si="1"/>
        <v>0</v>
      </c>
      <c r="H13" s="65">
        <f t="shared" si="2"/>
        <v>11094089</v>
      </c>
      <c r="I13" s="66">
        <f t="shared" si="2"/>
        <v>22300989</v>
      </c>
      <c r="J13" s="60"/>
      <c r="K13" s="38"/>
      <c r="L13" s="60">
        <f t="shared" si="0"/>
        <v>11094089</v>
      </c>
      <c r="M13" s="38">
        <f t="shared" si="0"/>
        <v>22300989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17129687</v>
      </c>
      <c r="E16" s="39">
        <v>29738648</v>
      </c>
      <c r="F16" s="61">
        <f t="shared" ref="F16:M16" si="3">SUM(F11:F15)</f>
        <v>0</v>
      </c>
      <c r="G16" s="39">
        <f t="shared" si="3"/>
        <v>0</v>
      </c>
      <c r="H16" s="61">
        <f>SUM(H11:H15)</f>
        <v>17129687</v>
      </c>
      <c r="I16" s="39">
        <f>SUM(I11:I15)</f>
        <v>29738648</v>
      </c>
      <c r="J16" s="61">
        <f t="shared" si="3"/>
        <v>0</v>
      </c>
      <c r="K16" s="39">
        <f t="shared" si="3"/>
        <v>0</v>
      </c>
      <c r="L16" s="61">
        <f t="shared" si="3"/>
        <v>17129687</v>
      </c>
      <c r="M16" s="39">
        <f t="shared" si="3"/>
        <v>29738648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-3229965</v>
      </c>
      <c r="E19" s="65">
        <v>-3105015</v>
      </c>
      <c r="F19" s="60">
        <f>H19-D19</f>
        <v>0</v>
      </c>
      <c r="G19" s="37">
        <f>I19-E19</f>
        <v>0</v>
      </c>
      <c r="H19" s="65">
        <f t="shared" si="4"/>
        <v>-3229965</v>
      </c>
      <c r="I19" s="66">
        <f t="shared" si="4"/>
        <v>-3105015</v>
      </c>
      <c r="J19" s="60"/>
      <c r="K19" s="38"/>
      <c r="L19" s="60">
        <f t="shared" ref="L19:M23" si="5">H19+J19</f>
        <v>-3229965</v>
      </c>
      <c r="M19" s="38">
        <f t="shared" si="5"/>
        <v>-3105015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-13131332</v>
      </c>
      <c r="E21" s="65">
        <v>-25962903</v>
      </c>
      <c r="F21" s="60">
        <f t="shared" si="6"/>
        <v>0</v>
      </c>
      <c r="G21" s="37">
        <f t="shared" si="6"/>
        <v>0</v>
      </c>
      <c r="H21" s="65">
        <f t="shared" si="4"/>
        <v>-13131332</v>
      </c>
      <c r="I21" s="66">
        <f t="shared" si="4"/>
        <v>-25962903</v>
      </c>
      <c r="J21" s="60"/>
      <c r="K21" s="38"/>
      <c r="L21" s="60">
        <f t="shared" si="5"/>
        <v>-13131332</v>
      </c>
      <c r="M21" s="38">
        <f t="shared" si="5"/>
        <v>-25962903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303879</v>
      </c>
      <c r="E23" s="65">
        <v>552784</v>
      </c>
      <c r="F23" s="60">
        <f t="shared" si="6"/>
        <v>0</v>
      </c>
      <c r="G23" s="37">
        <f t="shared" si="6"/>
        <v>0</v>
      </c>
      <c r="H23" s="65">
        <f t="shared" si="4"/>
        <v>303879</v>
      </c>
      <c r="I23" s="66">
        <f t="shared" si="4"/>
        <v>552784</v>
      </c>
      <c r="J23" s="60"/>
      <c r="K23" s="38"/>
      <c r="L23" s="60">
        <f t="shared" si="5"/>
        <v>303879</v>
      </c>
      <c r="M23" s="38">
        <f t="shared" si="5"/>
        <v>552784</v>
      </c>
    </row>
    <row r="24" spans="1:13" x14ac:dyDescent="0.2">
      <c r="A24" s="9"/>
      <c r="B24" s="7" t="s">
        <v>37</v>
      </c>
      <c r="C24" s="6"/>
      <c r="D24" s="61">
        <v>-16057418</v>
      </c>
      <c r="E24" s="39">
        <v>-28515134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-16057418</v>
      </c>
      <c r="I24" s="39">
        <f>SUM(I19:I23)</f>
        <v>-28515134</v>
      </c>
      <c r="J24" s="61">
        <f t="shared" si="7"/>
        <v>0</v>
      </c>
      <c r="K24" s="39">
        <f t="shared" si="7"/>
        <v>0</v>
      </c>
      <c r="L24" s="61">
        <f t="shared" si="7"/>
        <v>-16057418</v>
      </c>
      <c r="M24" s="39">
        <f t="shared" si="7"/>
        <v>-28515134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1996</v>
      </c>
      <c r="E32" s="65">
        <v>3932</v>
      </c>
      <c r="F32" s="60">
        <f>H32-D32</f>
        <v>0</v>
      </c>
      <c r="G32" s="37">
        <f>I32-E32</f>
        <v>0</v>
      </c>
      <c r="H32" s="65">
        <f t="shared" ref="H32:I35" si="9">D32</f>
        <v>1996</v>
      </c>
      <c r="I32" s="66">
        <f t="shared" si="9"/>
        <v>3932</v>
      </c>
      <c r="J32" s="60"/>
      <c r="K32" s="38"/>
      <c r="L32" s="60">
        <f t="shared" ref="L32:M35" si="10">H32+J32</f>
        <v>1996</v>
      </c>
      <c r="M32" s="38">
        <f t="shared" si="10"/>
        <v>3932</v>
      </c>
    </row>
    <row r="33" spans="1:13" x14ac:dyDescent="0.2">
      <c r="A33" s="9">
        <v>14</v>
      </c>
      <c r="B33" s="7"/>
      <c r="C33" s="18" t="s">
        <v>44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5">
        <v>9328</v>
      </c>
      <c r="E34" s="65">
        <v>18376</v>
      </c>
      <c r="F34" s="60">
        <f t="shared" si="11"/>
        <v>0</v>
      </c>
      <c r="G34" s="37">
        <f t="shared" si="11"/>
        <v>0</v>
      </c>
      <c r="H34" s="65">
        <f t="shared" si="9"/>
        <v>9328</v>
      </c>
      <c r="I34" s="66">
        <f t="shared" si="9"/>
        <v>18376</v>
      </c>
      <c r="J34" s="60"/>
      <c r="K34" s="38"/>
      <c r="L34" s="60">
        <f t="shared" si="10"/>
        <v>9328</v>
      </c>
      <c r="M34" s="38">
        <f t="shared" si="10"/>
        <v>18376</v>
      </c>
    </row>
    <row r="35" spans="1:13" x14ac:dyDescent="0.2">
      <c r="A35" s="9">
        <v>16</v>
      </c>
      <c r="B35" s="7"/>
      <c r="C35" s="18" t="s">
        <v>46</v>
      </c>
      <c r="D35" s="65">
        <v>-9328</v>
      </c>
      <c r="E35" s="65">
        <v>-18563</v>
      </c>
      <c r="F35" s="60">
        <f t="shared" si="11"/>
        <v>0</v>
      </c>
      <c r="G35" s="37">
        <f t="shared" si="11"/>
        <v>0</v>
      </c>
      <c r="H35" s="65">
        <f t="shared" si="9"/>
        <v>-9328</v>
      </c>
      <c r="I35" s="66">
        <f t="shared" si="9"/>
        <v>-18563</v>
      </c>
      <c r="J35" s="60"/>
      <c r="K35" s="38"/>
      <c r="L35" s="60">
        <f t="shared" si="10"/>
        <v>-9328</v>
      </c>
      <c r="M35" s="38">
        <f t="shared" si="10"/>
        <v>-18563</v>
      </c>
    </row>
    <row r="36" spans="1:13" x14ac:dyDescent="0.2">
      <c r="A36" s="9"/>
      <c r="B36" s="7" t="s">
        <v>47</v>
      </c>
      <c r="C36" s="6"/>
      <c r="D36" s="61">
        <v>1996</v>
      </c>
      <c r="E36" s="39">
        <v>3745</v>
      </c>
      <c r="F36" s="61">
        <f>SUM(F32:F35)</f>
        <v>0</v>
      </c>
      <c r="G36" s="39">
        <f>SUM(G32:G35)</f>
        <v>0</v>
      </c>
      <c r="H36" s="61">
        <f>SUM(H32:H35)</f>
        <v>1996</v>
      </c>
      <c r="I36" s="39">
        <f>SUM(I32:I35)</f>
        <v>3745</v>
      </c>
      <c r="J36" s="61">
        <f>SUM(J32:J34)</f>
        <v>0</v>
      </c>
      <c r="K36" s="39">
        <f>SUM(K32:K34)</f>
        <v>0</v>
      </c>
      <c r="L36" s="61">
        <f>SUM(L32:L35)</f>
        <v>1996</v>
      </c>
      <c r="M36" s="39">
        <f>SUM(M32:M35)</f>
        <v>3745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-1074265</v>
      </c>
      <c r="E40" s="65">
        <v>-103</v>
      </c>
      <c r="F40" s="60">
        <f t="shared" si="13"/>
        <v>0</v>
      </c>
      <c r="G40" s="37">
        <f t="shared" si="13"/>
        <v>0</v>
      </c>
      <c r="H40" s="65">
        <f t="shared" si="12"/>
        <v>-1074265</v>
      </c>
      <c r="I40" s="66">
        <f t="shared" si="12"/>
        <v>-103</v>
      </c>
      <c r="J40" s="65"/>
      <c r="K40" s="38"/>
      <c r="L40" s="60">
        <f t="shared" si="14"/>
        <v>-1074265</v>
      </c>
      <c r="M40" s="38">
        <f t="shared" si="14"/>
        <v>-103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-1074265</v>
      </c>
      <c r="E42" s="39">
        <v>-103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-1074265</v>
      </c>
      <c r="I42" s="39">
        <f>SUM(I40:I41)</f>
        <v>-103</v>
      </c>
      <c r="J42" s="69">
        <f t="shared" si="15"/>
        <v>0</v>
      </c>
      <c r="K42" s="39">
        <f t="shared" si="15"/>
        <v>0</v>
      </c>
      <c r="L42" s="69">
        <f t="shared" si="15"/>
        <v>-1074265</v>
      </c>
      <c r="M42" s="39">
        <f t="shared" si="15"/>
        <v>-103</v>
      </c>
    </row>
    <row r="43" spans="1:13" ht="21" customHeight="1" x14ac:dyDescent="0.2">
      <c r="A43" s="9"/>
      <c r="B43" s="7" t="s">
        <v>53</v>
      </c>
      <c r="C43" s="6"/>
      <c r="D43" s="61">
        <v>-1074265</v>
      </c>
      <c r="E43" s="39">
        <v>-103</v>
      </c>
      <c r="F43" s="61">
        <f t="shared" ref="F43:M43" si="16">F42+F39</f>
        <v>0</v>
      </c>
      <c r="G43" s="39">
        <f t="shared" si="16"/>
        <v>0</v>
      </c>
      <c r="H43" s="61">
        <f>H42+H39</f>
        <v>-1074265</v>
      </c>
      <c r="I43" s="39">
        <f>I42+I39</f>
        <v>-103</v>
      </c>
      <c r="J43" s="61">
        <f t="shared" si="16"/>
        <v>0</v>
      </c>
      <c r="K43" s="39">
        <f t="shared" si="16"/>
        <v>0</v>
      </c>
      <c r="L43" s="61">
        <f t="shared" si="16"/>
        <v>-1074265</v>
      </c>
      <c r="M43" s="39">
        <f t="shared" si="16"/>
        <v>-103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-303879</v>
      </c>
      <c r="E51" s="65">
        <v>-552784</v>
      </c>
      <c r="F51" s="60">
        <f>H51-D51</f>
        <v>0</v>
      </c>
      <c r="G51" s="37">
        <f>I51-E51</f>
        <v>0</v>
      </c>
      <c r="H51" s="65">
        <f>D51</f>
        <v>-303879</v>
      </c>
      <c r="I51" s="66">
        <f>E51</f>
        <v>-552784</v>
      </c>
      <c r="J51" s="60"/>
      <c r="K51" s="38"/>
      <c r="L51" s="60">
        <f>H51+J51</f>
        <v>-303879</v>
      </c>
      <c r="M51" s="38">
        <f>I51+K51</f>
        <v>-552784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-480682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-480682</v>
      </c>
      <c r="J54" s="60"/>
      <c r="K54" s="38"/>
      <c r="L54" s="60">
        <f>H54+J54</f>
        <v>0</v>
      </c>
      <c r="M54" s="38">
        <f>I54+K54</f>
        <v>-480682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-3743124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-3743124</v>
      </c>
      <c r="J55" s="60"/>
      <c r="K55" s="38"/>
      <c r="L55" s="60">
        <f>H55+J55</f>
        <v>0</v>
      </c>
      <c r="M55" s="38">
        <f>I55+K55</f>
        <v>-3743124</v>
      </c>
    </row>
    <row r="56" spans="1:15" x14ac:dyDescent="0.2">
      <c r="A56" s="9"/>
      <c r="B56" s="7" t="s">
        <v>61</v>
      </c>
      <c r="C56" s="6"/>
      <c r="D56" s="61">
        <v>0</v>
      </c>
      <c r="E56" s="39">
        <v>-4223806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-4223806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-4223806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-113999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-113999</v>
      </c>
      <c r="J70" s="65"/>
      <c r="K70" s="38"/>
      <c r="L70" s="60">
        <f t="shared" si="20"/>
        <v>0</v>
      </c>
      <c r="M70" s="38">
        <f t="shared" si="20"/>
        <v>-113999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-113999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-113999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-113999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3743124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3743124</v>
      </c>
      <c r="J79" s="60"/>
      <c r="K79" s="38"/>
      <c r="L79" s="60">
        <f t="shared" si="23"/>
        <v>0</v>
      </c>
      <c r="M79" s="38">
        <f t="shared" si="23"/>
        <v>3743124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79691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79691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79691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K187"/>
  <sheetViews>
    <sheetView zoomScale="75" workbookViewId="0">
      <pane xSplit="3" ySplit="9" topLeftCell="D55" activePane="bottomRight" state="frozen"/>
      <selection activeCell="AC631" sqref="AB631:AC631"/>
      <selection pane="topRight" activeCell="AC631" sqref="AB631:AC631"/>
      <selection pane="bottomLeft" activeCell="AC631" sqref="AB631:AC631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">
        <v>179</v>
      </c>
      <c r="I8" s="27"/>
      <c r="J8" s="26" t="s">
        <v>184</v>
      </c>
      <c r="K8" s="27"/>
      <c r="L8" s="26" t="s">
        <v>186</v>
      </c>
      <c r="M8" s="27"/>
      <c r="N8" s="26" t="s">
        <v>187</v>
      </c>
      <c r="O8" s="27"/>
      <c r="P8" s="26" t="s">
        <v>200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44681847</v>
      </c>
      <c r="E11" s="38">
        <f t="shared" si="0"/>
        <v>94052452.710000008</v>
      </c>
      <c r="F11" s="60">
        <f>'TIE-OUT'!F11+RECLASS!F11</f>
        <v>0</v>
      </c>
      <c r="G11" s="38">
        <f>'TIE-OUT'!G11+RECLASS!G11</f>
        <v>0</v>
      </c>
      <c r="H11" s="133">
        <f>+Actuals!E124</f>
        <v>45157332</v>
      </c>
      <c r="I11" s="134">
        <f>+Actuals!F124</f>
        <v>97335211.689999998</v>
      </c>
      <c r="J11" s="133">
        <f>+Actuals!G124</f>
        <v>-432877</v>
      </c>
      <c r="K11" s="134">
        <f>+Actuals!H124</f>
        <v>-3800107.47</v>
      </c>
      <c r="L11" s="133">
        <f>+Actuals!I124</f>
        <v>-50161</v>
      </c>
      <c r="M11" s="134">
        <f>+Actuals!J124</f>
        <v>377218.18</v>
      </c>
      <c r="N11" s="133">
        <f>+Actuals!K124</f>
        <v>0</v>
      </c>
      <c r="O11" s="134">
        <f>+Actuals!L124</f>
        <v>160829.51</v>
      </c>
      <c r="P11" s="133">
        <f>+Actuals!M124</f>
        <v>3556</v>
      </c>
      <c r="Q11" s="134">
        <f>+Actuals!N124</f>
        <v>6079.34</v>
      </c>
      <c r="R11" s="133">
        <f>+Actuals!O124</f>
        <v>6566</v>
      </c>
      <c r="S11" s="134">
        <f>+Actuals!P124</f>
        <v>5210.7</v>
      </c>
      <c r="T11" s="133">
        <f>+Actuals!Q124</f>
        <v>0</v>
      </c>
      <c r="U11" s="134">
        <f>+Actuals!R124</f>
        <v>-19014.04</v>
      </c>
      <c r="V11" s="133">
        <f>+Actuals!S124</f>
        <v>0</v>
      </c>
      <c r="W11" s="134">
        <f>+Actuals!T124</f>
        <v>0</v>
      </c>
      <c r="X11" s="133">
        <f>+Actuals!U124</f>
        <v>-2569</v>
      </c>
      <c r="Y11" s="134">
        <f>+Actuals!V124</f>
        <v>-24475.3</v>
      </c>
      <c r="Z11" s="133">
        <f>+Actuals!W124</f>
        <v>0</v>
      </c>
      <c r="AA11" s="134">
        <f>+Actuals!X124</f>
        <v>0</v>
      </c>
      <c r="AB11" s="133">
        <f>+Actuals!Y124</f>
        <v>0</v>
      </c>
      <c r="AC11" s="134">
        <f>+Actuals!Z124</f>
        <v>0</v>
      </c>
      <c r="AD11" s="133">
        <f>+Actuals!AA164</f>
        <v>0</v>
      </c>
      <c r="AE11" s="134">
        <f>+Actuals!AB164</f>
        <v>11500.1</v>
      </c>
      <c r="AF11" s="133">
        <f>+Actuals!AC164</f>
        <v>0</v>
      </c>
      <c r="AG11" s="134">
        <f>+Actuals!AD164</f>
        <v>0</v>
      </c>
      <c r="AH11" s="133">
        <f>+Actuals!AE164</f>
        <v>0</v>
      </c>
      <c r="AI11" s="134">
        <f>+Actuals!AF164</f>
        <v>0</v>
      </c>
      <c r="AJ11" s="133">
        <f>+Actuals!AG164</f>
        <v>0</v>
      </c>
      <c r="AK11" s="134">
        <f>+Actuals!AH164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-9962194.8699999992</v>
      </c>
      <c r="F12" s="60">
        <f>'TIE-OUT'!F12+RECLASS!F12</f>
        <v>0</v>
      </c>
      <c r="G12" s="38">
        <f>'TIE-OUT'!G12+RECLASS!G12</f>
        <v>-9962194.8699999992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</f>
        <v>0</v>
      </c>
      <c r="L12" s="133">
        <f>+Actuals!I125</f>
        <v>0</v>
      </c>
      <c r="M12" s="134">
        <f>+Actuals!J125</f>
        <v>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+Actuals!Y125</f>
        <v>0</v>
      </c>
      <c r="AC12" s="134">
        <f>+Actuals!Z125</f>
        <v>0</v>
      </c>
      <c r="AD12" s="133">
        <f>+Actuals!AA165</f>
        <v>0</v>
      </c>
      <c r="AE12" s="134">
        <f>+Actuals!AB165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  <c r="AJ12" s="133">
        <f>+Actuals!AG165</f>
        <v>0</v>
      </c>
      <c r="AK12" s="134">
        <f>+Actuals!AH165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14314155</v>
      </c>
      <c r="E13" s="38">
        <f t="shared" si="0"/>
        <v>25175609</v>
      </c>
      <c r="F13" s="60">
        <f>'TIE-OUT'!F13+RECLASS!F13</f>
        <v>0</v>
      </c>
      <c r="G13" s="38">
        <f>'TIE-OUT'!G13+RECLASS!G13</f>
        <v>0</v>
      </c>
      <c r="H13" s="133">
        <f>+Actuals!E126</f>
        <v>14314155</v>
      </c>
      <c r="I13" s="134">
        <f>+Actuals!F126</f>
        <v>25175609</v>
      </c>
      <c r="J13" s="133">
        <f>+Actuals!G126</f>
        <v>0</v>
      </c>
      <c r="K13" s="134">
        <f>+Actuals!H126</f>
        <v>0</v>
      </c>
      <c r="L13" s="133">
        <f>+Actuals!I126</f>
        <v>0</v>
      </c>
      <c r="M13" s="134">
        <f>+Actuals!J126</f>
        <v>0</v>
      </c>
      <c r="N13" s="133">
        <f>+Actuals!K126</f>
        <v>0</v>
      </c>
      <c r="O13" s="134">
        <f>+Actuals!L126</f>
        <v>-691</v>
      </c>
      <c r="P13" s="133">
        <f>+Actuals!M126</f>
        <v>0</v>
      </c>
      <c r="Q13" s="134">
        <f>+Actuals!N126</f>
        <v>0</v>
      </c>
      <c r="R13" s="133">
        <f>+Actuals!O126</f>
        <v>0</v>
      </c>
      <c r="S13" s="134">
        <f>+Actuals!P126</f>
        <v>0</v>
      </c>
      <c r="T13" s="133">
        <f>+Actuals!Q126</f>
        <v>0</v>
      </c>
      <c r="U13" s="134">
        <f>+Actuals!R126</f>
        <v>0</v>
      </c>
      <c r="V13" s="133">
        <f>+Actuals!S126</f>
        <v>0</v>
      </c>
      <c r="W13" s="134">
        <f>+Actuals!T126</f>
        <v>0</v>
      </c>
      <c r="X13" s="133">
        <f>+Actuals!U126</f>
        <v>29317</v>
      </c>
      <c r="Y13" s="134">
        <f>+Actuals!V126</f>
        <v>46020</v>
      </c>
      <c r="Z13" s="133">
        <f>+Actuals!W126</f>
        <v>29317</v>
      </c>
      <c r="AA13" s="134">
        <f>+Actuals!X126</f>
        <v>46020</v>
      </c>
      <c r="AB13" s="133">
        <f>+Actuals!Y126</f>
        <v>-58634</v>
      </c>
      <c r="AC13" s="134">
        <f>+Actuals!Z126</f>
        <v>-91349</v>
      </c>
      <c r="AD13" s="133">
        <f>+Actuals!AA166</f>
        <v>58634</v>
      </c>
      <c r="AE13" s="134">
        <f>+Actuals!AB166</f>
        <v>91349</v>
      </c>
      <c r="AF13" s="133">
        <f>+Actuals!AC166</f>
        <v>0</v>
      </c>
      <c r="AG13" s="134">
        <f>+Actuals!AD166</f>
        <v>0</v>
      </c>
      <c r="AH13" s="133">
        <f>+Actuals!AE166</f>
        <v>-58634</v>
      </c>
      <c r="AI13" s="134">
        <f>+Actuals!AF166</f>
        <v>-91349</v>
      </c>
      <c r="AJ13" s="133">
        <f>+Actuals!AG166</f>
        <v>0</v>
      </c>
      <c r="AK13" s="134">
        <f>+Actuals!AH166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+Actuals!Y127</f>
        <v>0</v>
      </c>
      <c r="AC14" s="134">
        <f>+Actuals!Z127</f>
        <v>0</v>
      </c>
      <c r="AD14" s="133">
        <f>+Actuals!AA167</f>
        <v>0</v>
      </c>
      <c r="AE14" s="134">
        <f>+Actuals!AB167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  <c r="AJ14" s="133">
        <f>+Actuals!AG167</f>
        <v>0</v>
      </c>
      <c r="AK14" s="134">
        <f>+Actuals!AH167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-3043675.7</v>
      </c>
      <c r="F15" s="81">
        <f>'TIE-OUT'!F15+RECLASS!F15</f>
        <v>0</v>
      </c>
      <c r="G15" s="82">
        <f>'TIE-OUT'!G15+RECLASS!G15</f>
        <v>-3043675.7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0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+Actuals!Y128</f>
        <v>0</v>
      </c>
      <c r="AC15" s="135">
        <f>+Actuals!Z128</f>
        <v>0</v>
      </c>
      <c r="AD15" s="133">
        <f>+Actuals!AA168</f>
        <v>0</v>
      </c>
      <c r="AE15" s="134">
        <f>+Actuals!AB168</f>
        <v>0</v>
      </c>
      <c r="AF15" s="133">
        <f>+Actuals!AC168</f>
        <v>0</v>
      </c>
      <c r="AG15" s="134">
        <f>+Actuals!AD168</f>
        <v>0</v>
      </c>
      <c r="AH15" s="133">
        <f>+Actuals!AE168</f>
        <v>0</v>
      </c>
      <c r="AI15" s="134">
        <f>+Actuals!AF168</f>
        <v>0</v>
      </c>
      <c r="AJ15" s="133">
        <f>+Actuals!AG168</f>
        <v>0</v>
      </c>
      <c r="AK15" s="134">
        <f>+Actuals!AH168</f>
        <v>0</v>
      </c>
    </row>
    <row r="16" spans="1:37" x14ac:dyDescent="0.2">
      <c r="A16" s="9"/>
      <c r="B16" s="7" t="s">
        <v>34</v>
      </c>
      <c r="C16" s="6"/>
      <c r="D16" s="61">
        <f t="shared" ref="D16:I16" si="1">SUM(D11:D15)</f>
        <v>58996002</v>
      </c>
      <c r="E16" s="39">
        <f t="shared" si="1"/>
        <v>106222191.14</v>
      </c>
      <c r="F16" s="61">
        <f t="shared" si="1"/>
        <v>0</v>
      </c>
      <c r="G16" s="39">
        <f t="shared" si="1"/>
        <v>-13005870.57</v>
      </c>
      <c r="H16" s="61">
        <f t="shared" si="1"/>
        <v>59471487</v>
      </c>
      <c r="I16" s="82">
        <f t="shared" si="1"/>
        <v>122510820.69</v>
      </c>
      <c r="J16" s="61">
        <f t="shared" ref="J16:AE16" si="2">SUM(J11:J15)</f>
        <v>-432877</v>
      </c>
      <c r="K16" s="82">
        <f t="shared" si="2"/>
        <v>-3800107.47</v>
      </c>
      <c r="L16" s="61">
        <f t="shared" si="2"/>
        <v>-50161</v>
      </c>
      <c r="M16" s="82">
        <f t="shared" si="2"/>
        <v>377218.18</v>
      </c>
      <c r="N16" s="61">
        <f t="shared" si="2"/>
        <v>0</v>
      </c>
      <c r="O16" s="82">
        <f t="shared" si="2"/>
        <v>160138.51</v>
      </c>
      <c r="P16" s="61">
        <f t="shared" si="2"/>
        <v>3556</v>
      </c>
      <c r="Q16" s="82">
        <f t="shared" si="2"/>
        <v>6079.34</v>
      </c>
      <c r="R16" s="61">
        <f t="shared" si="2"/>
        <v>6566</v>
      </c>
      <c r="S16" s="82">
        <f t="shared" si="2"/>
        <v>5210.7</v>
      </c>
      <c r="T16" s="61">
        <f t="shared" si="2"/>
        <v>0</v>
      </c>
      <c r="U16" s="82">
        <f t="shared" si="2"/>
        <v>-19014.04</v>
      </c>
      <c r="V16" s="61">
        <f t="shared" si="2"/>
        <v>0</v>
      </c>
      <c r="W16" s="82">
        <f t="shared" si="2"/>
        <v>0</v>
      </c>
      <c r="X16" s="61">
        <f t="shared" si="2"/>
        <v>26748</v>
      </c>
      <c r="Y16" s="82">
        <f t="shared" si="2"/>
        <v>21544.7</v>
      </c>
      <c r="Z16" s="61">
        <f t="shared" si="2"/>
        <v>29317</v>
      </c>
      <c r="AA16" s="82">
        <f t="shared" si="2"/>
        <v>46020</v>
      </c>
      <c r="AB16" s="61">
        <f t="shared" si="2"/>
        <v>-58634</v>
      </c>
      <c r="AC16" s="82">
        <f t="shared" si="2"/>
        <v>-91349</v>
      </c>
      <c r="AD16" s="61">
        <f t="shared" si="2"/>
        <v>58634</v>
      </c>
      <c r="AE16" s="39">
        <f t="shared" si="2"/>
        <v>102849.1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-58634</v>
      </c>
      <c r="AI16" s="39">
        <f t="shared" si="3"/>
        <v>-91349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-45082549</v>
      </c>
      <c r="E19" s="38">
        <f t="shared" si="4"/>
        <v>-79723326.00999999</v>
      </c>
      <c r="F19" s="64">
        <f>'TIE-OUT'!F19+RECLASS!F19</f>
        <v>0</v>
      </c>
      <c r="G19" s="68">
        <f>'TIE-OUT'!G19+RECLASS!G19</f>
        <v>1411504.76</v>
      </c>
      <c r="H19" s="133">
        <f>+Actuals!E129-98000</f>
        <v>-44951740</v>
      </c>
      <c r="I19" s="134">
        <f>+Actuals!F129-171500</f>
        <v>-80422841.129999995</v>
      </c>
      <c r="J19" s="133">
        <f>+Actuals!G129</f>
        <v>-139644</v>
      </c>
      <c r="K19" s="134">
        <f>+Actuals!H129</f>
        <v>196843.36</v>
      </c>
      <c r="L19" s="133">
        <f>+Actuals!I129</f>
        <v>-1668</v>
      </c>
      <c r="M19" s="134">
        <f>+Actuals!J129</f>
        <v>-755772.76</v>
      </c>
      <c r="N19" s="133">
        <f>+Actuals!K129</f>
        <v>0</v>
      </c>
      <c r="O19" s="134">
        <f>+Actuals!L129</f>
        <v>-271578.99</v>
      </c>
      <c r="P19" s="133">
        <f>+Actuals!M129</f>
        <v>0</v>
      </c>
      <c r="Q19" s="134">
        <f>+Actuals!N129</f>
        <v>-6139.76</v>
      </c>
      <c r="R19" s="133">
        <f>+Actuals!O129</f>
        <v>950</v>
      </c>
      <c r="S19" s="134">
        <f>+Actuals!P129</f>
        <v>-25564.13</v>
      </c>
      <c r="T19" s="133">
        <f>+Actuals!Q129</f>
        <v>0</v>
      </c>
      <c r="U19" s="134">
        <f>+Actuals!R129</f>
        <v>8369.86</v>
      </c>
      <c r="V19" s="133">
        <f>+Actuals!S129</f>
        <v>-4734</v>
      </c>
      <c r="W19" s="134">
        <f>+Actuals!T129</f>
        <v>-8284.5</v>
      </c>
      <c r="X19" s="133">
        <f>+Actuals!U129</f>
        <v>14287</v>
      </c>
      <c r="Y19" s="134">
        <f>+Actuals!V129</f>
        <v>27310.75</v>
      </c>
      <c r="Z19" s="133">
        <f>+Actuals!W129</f>
        <v>0</v>
      </c>
      <c r="AA19" s="134">
        <f>+Actuals!X129</f>
        <v>0</v>
      </c>
      <c r="AB19" s="133">
        <f>+Actuals!Y129</f>
        <v>0</v>
      </c>
      <c r="AC19" s="134">
        <f>+Actuals!Z129</f>
        <v>0</v>
      </c>
      <c r="AD19" s="133">
        <f>+Actuals!AA169</f>
        <v>0</v>
      </c>
      <c r="AE19" s="134">
        <f>+Actuals!AB169</f>
        <v>122826.53</v>
      </c>
      <c r="AF19" s="133">
        <f>+Actuals!AC169</f>
        <v>0</v>
      </c>
      <c r="AG19" s="134">
        <f>+Actuals!AD169</f>
        <v>0</v>
      </c>
      <c r="AH19" s="133">
        <f>+Actuals!AE169</f>
        <v>0</v>
      </c>
      <c r="AI19" s="134">
        <f>+Actuals!AF169</f>
        <v>0</v>
      </c>
      <c r="AJ19" s="133">
        <f>+Actuals!AG169</f>
        <v>0</v>
      </c>
      <c r="AK19" s="134">
        <f>+Actuals!AH169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213876.88</v>
      </c>
      <c r="F20" s="60">
        <f>'TIE-OUT'!F20+RECLASS!F20</f>
        <v>0</v>
      </c>
      <c r="G20" s="38">
        <f>'TIE-OUT'!G20+RECLASS!G20</f>
        <v>213876.88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+Actuals!Y130</f>
        <v>0</v>
      </c>
      <c r="AC20" s="134">
        <f>+Actuals!Z130</f>
        <v>0</v>
      </c>
      <c r="AD20" s="133">
        <f>+Actuals!AA170</f>
        <v>0</v>
      </c>
      <c r="AE20" s="134">
        <f>+Actuals!AB170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  <c r="AJ20" s="133">
        <f>+Actuals!AG170</f>
        <v>0</v>
      </c>
      <c r="AK20" s="134">
        <f>+Actuals!AH170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4"/>
        <v>-15162621</v>
      </c>
      <c r="E21" s="38">
        <f t="shared" si="4"/>
        <v>-26636734</v>
      </c>
      <c r="F21" s="60">
        <f>'TIE-OUT'!F21+RECLASS!F21</f>
        <v>0</v>
      </c>
      <c r="G21" s="38">
        <f>'TIE-OUT'!G21+RECLASS!G21</f>
        <v>0</v>
      </c>
      <c r="H21" s="133">
        <f>+Actuals!E131</f>
        <v>-15162621</v>
      </c>
      <c r="I21" s="134">
        <f>+Actuals!F131</f>
        <v>-26636734</v>
      </c>
      <c r="J21" s="133">
        <f>+Actuals!G131</f>
        <v>0</v>
      </c>
      <c r="K21" s="134">
        <f>+Actuals!H131</f>
        <v>0</v>
      </c>
      <c r="L21" s="133">
        <f>+Actuals!I131</f>
        <v>20000</v>
      </c>
      <c r="M21" s="134">
        <f>+Actuals!J131</f>
        <v>35523</v>
      </c>
      <c r="N21" s="133">
        <f>+Actuals!K131</f>
        <v>0</v>
      </c>
      <c r="O21" s="134">
        <f>+Actuals!L131</f>
        <v>0</v>
      </c>
      <c r="P21" s="133">
        <f>+Actuals!M131</f>
        <v>0</v>
      </c>
      <c r="Q21" s="134">
        <f>+Actuals!N131</f>
        <v>0</v>
      </c>
      <c r="R21" s="133">
        <f>+Actuals!O131</f>
        <v>0</v>
      </c>
      <c r="S21" s="134">
        <f>+Actuals!P131</f>
        <v>0</v>
      </c>
      <c r="T21" s="133">
        <f>+Actuals!Q131</f>
        <v>5000</v>
      </c>
      <c r="U21" s="134">
        <f>+Actuals!R131</f>
        <v>8650</v>
      </c>
      <c r="V21" s="133">
        <f>+Actuals!S131</f>
        <v>0</v>
      </c>
      <c r="W21" s="134">
        <f>+Actuals!T131</f>
        <v>0</v>
      </c>
      <c r="X21" s="133">
        <f>+Actuals!U131</f>
        <v>-29317</v>
      </c>
      <c r="Y21" s="134">
        <f>+Actuals!V131</f>
        <v>-46020</v>
      </c>
      <c r="Z21" s="133">
        <f>+Actuals!W131</f>
        <v>-29317</v>
      </c>
      <c r="AA21" s="134">
        <f>+Actuals!X131</f>
        <v>-46020</v>
      </c>
      <c r="AB21" s="133">
        <f>+Actuals!Y131</f>
        <v>33634</v>
      </c>
      <c r="AC21" s="134">
        <f>+Actuals!Z131</f>
        <v>47867</v>
      </c>
      <c r="AD21" s="133">
        <f>+Actuals!AA171</f>
        <v>-33634</v>
      </c>
      <c r="AE21" s="134">
        <f>+Actuals!AB171</f>
        <v>-47867</v>
      </c>
      <c r="AF21" s="133">
        <f>+Actuals!AC171</f>
        <v>0</v>
      </c>
      <c r="AG21" s="134">
        <f>+Actuals!AD171</f>
        <v>0</v>
      </c>
      <c r="AH21" s="133">
        <f>+Actuals!AE171</f>
        <v>33634</v>
      </c>
      <c r="AI21" s="134">
        <f>+Actuals!AF171</f>
        <v>47867</v>
      </c>
      <c r="AJ21" s="133">
        <f>+Actuals!AG171</f>
        <v>0</v>
      </c>
      <c r="AK21" s="134">
        <f>+Actuals!AH171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+Actuals!Y132</f>
        <v>0</v>
      </c>
      <c r="AC22" s="134">
        <f>+Actuals!Z132</f>
        <v>0</v>
      </c>
      <c r="AD22" s="133">
        <f>+Actuals!AA172</f>
        <v>0</v>
      </c>
      <c r="AE22" s="134">
        <f>+Actuals!AB172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  <c r="AJ22" s="133">
        <f>+Actuals!AG172</f>
        <v>0</v>
      </c>
      <c r="AK22" s="134">
        <f>+Actuals!AH172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4"/>
        <v>212651</v>
      </c>
      <c r="E23" s="38">
        <f t="shared" si="4"/>
        <v>381708.5500000001</v>
      </c>
      <c r="F23" s="81">
        <f>'TIE-OUT'!F23+RECLASS!F23</f>
        <v>0</v>
      </c>
      <c r="G23" s="82">
        <f>'TIE-OUT'!G23+RECLASS!G23</f>
        <v>0</v>
      </c>
      <c r="H23" s="133">
        <f>+Actuals!E133</f>
        <v>337997</v>
      </c>
      <c r="I23" s="135">
        <f>+Actuals!F133</f>
        <v>606704.62</v>
      </c>
      <c r="J23" s="133">
        <f>+Actuals!G133</f>
        <v>1698</v>
      </c>
      <c r="K23" s="135">
        <f>+Actuals!H133</f>
        <v>3047.91</v>
      </c>
      <c r="L23" s="133">
        <f>+Actuals!I133</f>
        <v>3704</v>
      </c>
      <c r="M23" s="135">
        <f>+Actuals!J133</f>
        <v>6648.68</v>
      </c>
      <c r="N23" s="133">
        <f>+Actuals!K133</f>
        <v>0</v>
      </c>
      <c r="O23" s="135">
        <f>+Actuals!L133</f>
        <v>0</v>
      </c>
      <c r="P23" s="133">
        <f>+Actuals!M133</f>
        <v>0</v>
      </c>
      <c r="Q23" s="135">
        <f>+Actuals!N133</f>
        <v>0</v>
      </c>
      <c r="R23" s="133">
        <f>+Actuals!O133</f>
        <v>-19</v>
      </c>
      <c r="S23" s="135">
        <f>+Actuals!P133</f>
        <v>-34.104999999999997</v>
      </c>
      <c r="T23" s="133">
        <f>+Actuals!Q133</f>
        <v>0</v>
      </c>
      <c r="U23" s="135">
        <f>+Actuals!R133</f>
        <v>0</v>
      </c>
      <c r="V23" s="133">
        <f>+Actuals!S133</f>
        <v>-139381</v>
      </c>
      <c r="W23" s="135">
        <f>+Actuals!T133</f>
        <v>-250188.89499999999</v>
      </c>
      <c r="X23" s="133">
        <f>+Actuals!U133</f>
        <v>8652</v>
      </c>
      <c r="Y23" s="135">
        <f>+Actuals!V133</f>
        <v>15530.34</v>
      </c>
      <c r="Z23" s="133">
        <f>+Actuals!W133</f>
        <v>0</v>
      </c>
      <c r="AA23" s="135">
        <f>+Actuals!X133</f>
        <v>0</v>
      </c>
      <c r="AB23" s="133">
        <f>+Actuals!Y133</f>
        <v>0</v>
      </c>
      <c r="AC23" s="135">
        <f>+Actuals!Z133</f>
        <v>0</v>
      </c>
      <c r="AD23" s="133">
        <f>+Actuals!AA173</f>
        <v>0</v>
      </c>
      <c r="AE23" s="134">
        <f>+Actuals!AB173</f>
        <v>0</v>
      </c>
      <c r="AF23" s="133">
        <f>+Actuals!AC173</f>
        <v>0</v>
      </c>
      <c r="AG23" s="134">
        <f>+Actuals!AD173</f>
        <v>0</v>
      </c>
      <c r="AH23" s="133">
        <f>+Actuals!AE173</f>
        <v>0</v>
      </c>
      <c r="AI23" s="134">
        <f>+Actuals!AF173</f>
        <v>0</v>
      </c>
      <c r="AJ23" s="133">
        <f>+Actuals!AG173</f>
        <v>0</v>
      </c>
      <c r="AK23" s="134">
        <f>+Actuals!AH173</f>
        <v>0</v>
      </c>
    </row>
    <row r="24" spans="1:37" x14ac:dyDescent="0.2">
      <c r="A24" s="9"/>
      <c r="B24" s="7" t="s">
        <v>37</v>
      </c>
      <c r="C24" s="6"/>
      <c r="D24" s="61">
        <f t="shared" ref="D24:I24" si="5">SUM(D19:D23)</f>
        <v>-60032519</v>
      </c>
      <c r="E24" s="39">
        <f t="shared" si="5"/>
        <v>-105764474.58</v>
      </c>
      <c r="F24" s="61">
        <f t="shared" si="5"/>
        <v>0</v>
      </c>
      <c r="G24" s="39">
        <f t="shared" si="5"/>
        <v>1625381.6400000001</v>
      </c>
      <c r="H24" s="61">
        <f t="shared" si="5"/>
        <v>-59776364</v>
      </c>
      <c r="I24" s="39">
        <f t="shared" si="5"/>
        <v>-106452870.50999999</v>
      </c>
      <c r="J24" s="61">
        <f t="shared" ref="J24:AE24" si="6">SUM(J19:J23)</f>
        <v>-137946</v>
      </c>
      <c r="K24" s="39">
        <f t="shared" si="6"/>
        <v>199891.27</v>
      </c>
      <c r="L24" s="61">
        <f t="shared" si="6"/>
        <v>22036</v>
      </c>
      <c r="M24" s="39">
        <f t="shared" si="6"/>
        <v>-713601.08</v>
      </c>
      <c r="N24" s="61">
        <f t="shared" si="6"/>
        <v>0</v>
      </c>
      <c r="O24" s="39">
        <f t="shared" si="6"/>
        <v>-271578.99</v>
      </c>
      <c r="P24" s="61">
        <f t="shared" si="6"/>
        <v>0</v>
      </c>
      <c r="Q24" s="39">
        <f t="shared" si="6"/>
        <v>-6139.76</v>
      </c>
      <c r="R24" s="61">
        <f t="shared" si="6"/>
        <v>931</v>
      </c>
      <c r="S24" s="39">
        <f t="shared" si="6"/>
        <v>-25598.235000000001</v>
      </c>
      <c r="T24" s="61">
        <f t="shared" si="6"/>
        <v>5000</v>
      </c>
      <c r="U24" s="39">
        <f t="shared" si="6"/>
        <v>17019.86</v>
      </c>
      <c r="V24" s="61">
        <f t="shared" si="6"/>
        <v>-144115</v>
      </c>
      <c r="W24" s="39">
        <f t="shared" si="6"/>
        <v>-258473.39499999999</v>
      </c>
      <c r="X24" s="61">
        <f t="shared" si="6"/>
        <v>-6378</v>
      </c>
      <c r="Y24" s="39">
        <f t="shared" si="6"/>
        <v>-3178.91</v>
      </c>
      <c r="Z24" s="61">
        <f t="shared" si="6"/>
        <v>-29317</v>
      </c>
      <c r="AA24" s="39">
        <f t="shared" si="6"/>
        <v>-46020</v>
      </c>
      <c r="AB24" s="61">
        <f t="shared" si="6"/>
        <v>33634</v>
      </c>
      <c r="AC24" s="39">
        <f t="shared" si="6"/>
        <v>47867</v>
      </c>
      <c r="AD24" s="61">
        <f t="shared" si="6"/>
        <v>-33634</v>
      </c>
      <c r="AE24" s="39">
        <f t="shared" si="6"/>
        <v>74959.53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33634</v>
      </c>
      <c r="AI24" s="39">
        <f t="shared" si="7"/>
        <v>47867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337409</v>
      </c>
      <c r="E27" s="38">
        <f>SUM(G27,I27,K27,M27,O27,Q27,S27,U27,W27,Y27,AA27,AC27,AE27,AG27,AI27,AK27)</f>
        <v>598943.06999999995</v>
      </c>
      <c r="F27" s="64">
        <f>'TIE-OUT'!F27+RECLASS!F27</f>
        <v>0</v>
      </c>
      <c r="G27" s="68">
        <f>'TIE-OUT'!G27+RECLASS!G27</f>
        <v>0</v>
      </c>
      <c r="H27" s="133">
        <f>+Actuals!E134</f>
        <v>337409</v>
      </c>
      <c r="I27" s="134">
        <f>+Actuals!F134</f>
        <v>598943.06999999995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+Actuals!Y134</f>
        <v>0</v>
      </c>
      <c r="AC27" s="134">
        <f>+Actuals!Z134</f>
        <v>0</v>
      </c>
      <c r="AD27" s="133">
        <f>+Actuals!AA174</f>
        <v>0</v>
      </c>
      <c r="AE27" s="134">
        <f>+Actuals!AB174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  <c r="AJ27" s="133">
        <f>+Actuals!AG174</f>
        <v>0</v>
      </c>
      <c r="AK27" s="134">
        <f>+Actuals!AH174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-613076</v>
      </c>
      <c r="E28" s="38">
        <f>SUM(G28,I28,K28,M28,O28,Q28,S28,U28,W28,Y28,AA28,AC28,AE28,AG28,AI28,AK28)</f>
        <v>-1110780.1499999999</v>
      </c>
      <c r="F28" s="81">
        <f>'TIE-OUT'!F28+RECLASS!F28</f>
        <v>0</v>
      </c>
      <c r="G28" s="82">
        <f>'TIE-OUT'!G28+RECLASS!G28</f>
        <v>0</v>
      </c>
      <c r="H28" s="133">
        <f>+Actuals!E135</f>
        <v>-613076</v>
      </c>
      <c r="I28" s="134">
        <f>+Actuals!F135</f>
        <v>-1110780.1499999999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+Actuals!Y135</f>
        <v>0</v>
      </c>
      <c r="AC28" s="134">
        <f>+Actuals!Z135</f>
        <v>0</v>
      </c>
      <c r="AD28" s="133">
        <f>+Actuals!AA175</f>
        <v>0</v>
      </c>
      <c r="AE28" s="134">
        <f>+Actuals!AB175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  <c r="AJ28" s="133">
        <f>+Actuals!AG175</f>
        <v>0</v>
      </c>
      <c r="AK28" s="134">
        <f>+Actuals!AH175</f>
        <v>0</v>
      </c>
    </row>
    <row r="29" spans="1:37" x14ac:dyDescent="0.2">
      <c r="A29" s="9"/>
      <c r="B29" s="7" t="s">
        <v>41</v>
      </c>
      <c r="C29" s="18"/>
      <c r="D29" s="61">
        <f t="shared" ref="D29:I29" si="8">SUM(D27:D28)</f>
        <v>-275667</v>
      </c>
      <c r="E29" s="39">
        <f t="shared" si="8"/>
        <v>-511837.07999999996</v>
      </c>
      <c r="F29" s="61">
        <f t="shared" si="8"/>
        <v>0</v>
      </c>
      <c r="G29" s="39">
        <f t="shared" si="8"/>
        <v>0</v>
      </c>
      <c r="H29" s="61">
        <f t="shared" si="8"/>
        <v>-275667</v>
      </c>
      <c r="I29" s="39">
        <f t="shared" si="8"/>
        <v>-511837.07999999996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-10799</v>
      </c>
      <c r="E32" s="38">
        <f t="shared" si="11"/>
        <v>-19385.005000000023</v>
      </c>
      <c r="F32" s="64">
        <f>'TIE-OUT'!F32+RECLASS!F32</f>
        <v>0</v>
      </c>
      <c r="G32" s="68">
        <f>'TIE-OUT'!G32+RECLASS!G32</f>
        <v>0</v>
      </c>
      <c r="H32" s="133">
        <f>+Actuals!E136</f>
        <v>-119042</v>
      </c>
      <c r="I32" s="134">
        <f>+Actuals!F136</f>
        <v>-213680.39</v>
      </c>
      <c r="J32" s="133">
        <f>+Actuals!G136</f>
        <v>117607</v>
      </c>
      <c r="K32" s="134">
        <f>+Actuals!H136</f>
        <v>211381.52</v>
      </c>
      <c r="L32" s="133">
        <f>+Actuals!I136</f>
        <v>0</v>
      </c>
      <c r="M32" s="134">
        <f>+Actuals!J136</f>
        <v>-265.47500000000002</v>
      </c>
      <c r="N32" s="133">
        <f>+Actuals!K136</f>
        <v>-8032</v>
      </c>
      <c r="O32" s="134">
        <f>+Actuals!L136</f>
        <v>-18887.877</v>
      </c>
      <c r="P32" s="133">
        <f>+Actuals!M136</f>
        <v>-375</v>
      </c>
      <c r="Q32" s="134">
        <f>+Actuals!N136</f>
        <v>175.78639999999999</v>
      </c>
      <c r="R32" s="133">
        <f>+Actuals!O136</f>
        <v>-957</v>
      </c>
      <c r="S32" s="134">
        <f>+Actuals!P136</f>
        <v>-2762.1383999999998</v>
      </c>
      <c r="T32" s="133">
        <f>+Actuals!Q136</f>
        <v>0</v>
      </c>
      <c r="U32" s="134">
        <f>+Actuals!R136</f>
        <v>-11954.493</v>
      </c>
      <c r="V32" s="133">
        <f>+Actuals!S136</f>
        <v>0</v>
      </c>
      <c r="W32" s="134">
        <f>+Actuals!T136</f>
        <v>8293.2009999999991</v>
      </c>
      <c r="X32" s="133">
        <f>+Actuals!U136</f>
        <v>0</v>
      </c>
      <c r="Y32" s="134">
        <f>+Actuals!V136</f>
        <v>8314.8610000000008</v>
      </c>
      <c r="Z32" s="133">
        <f>+Actuals!W136</f>
        <v>0</v>
      </c>
      <c r="AA32" s="134">
        <f>+Actuals!X136</f>
        <v>0</v>
      </c>
      <c r="AB32" s="133">
        <f>+Actuals!Y136</f>
        <v>0</v>
      </c>
      <c r="AC32" s="134">
        <f>+Actuals!Z136</f>
        <v>0</v>
      </c>
      <c r="AD32" s="133">
        <f>+Actuals!AA176</f>
        <v>0</v>
      </c>
      <c r="AE32" s="134">
        <f>+Actuals!AB176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  <c r="AJ32" s="133">
        <f>+Actuals!AG176</f>
        <v>0</v>
      </c>
      <c r="AK32" s="134">
        <f>+Actuals!AH176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11"/>
        <v>-5188</v>
      </c>
      <c r="E33" s="38">
        <f t="shared" si="11"/>
        <v>-8789.18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-4930</v>
      </c>
      <c r="K33" s="134">
        <f>+Actuals!H137</f>
        <v>-8354.4</v>
      </c>
      <c r="L33" s="133">
        <f>+Actuals!I137</f>
        <v>-258</v>
      </c>
      <c r="M33" s="134">
        <f>+Actuals!J137</f>
        <v>-434.78</v>
      </c>
      <c r="N33" s="133">
        <f>+Actuals!K137</f>
        <v>0</v>
      </c>
      <c r="O33" s="134">
        <f>+Actuals!L137</f>
        <v>0</v>
      </c>
      <c r="P33" s="133">
        <f>+Actuals!M137</f>
        <v>0</v>
      </c>
      <c r="Q33" s="134">
        <f>+Actuals!N137</f>
        <v>0</v>
      </c>
      <c r="R33" s="133">
        <f>+Actuals!O137</f>
        <v>0</v>
      </c>
      <c r="S33" s="134">
        <f>+Actuals!P137</f>
        <v>0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+Actuals!Y137</f>
        <v>0</v>
      </c>
      <c r="AC33" s="134">
        <f>+Actuals!Z137</f>
        <v>0</v>
      </c>
      <c r="AD33" s="133">
        <f>+Actuals!AA177</f>
        <v>0</v>
      </c>
      <c r="AE33" s="134">
        <f>+Actuals!AB177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  <c r="AJ33" s="133">
        <f>+Actuals!AG177</f>
        <v>0</v>
      </c>
      <c r="AK33" s="134">
        <f>+Actuals!AH177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11"/>
        <v>27813</v>
      </c>
      <c r="E34" s="38">
        <f t="shared" si="11"/>
        <v>20460.309999999998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27355</v>
      </c>
      <c r="K34" s="134">
        <f>+Actuals!H138</f>
        <v>19664.3</v>
      </c>
      <c r="L34" s="133">
        <f>+Actuals!I138</f>
        <v>458</v>
      </c>
      <c r="M34" s="134">
        <f>+Actuals!J138</f>
        <v>796.01</v>
      </c>
      <c r="N34" s="133">
        <f>+Actuals!K138</f>
        <v>0</v>
      </c>
      <c r="O34" s="134">
        <f>+Actuals!L138</f>
        <v>0</v>
      </c>
      <c r="P34" s="133">
        <f>+Actuals!M138</f>
        <v>0</v>
      </c>
      <c r="Q34" s="134">
        <f>+Actuals!N138</f>
        <v>0</v>
      </c>
      <c r="R34" s="133">
        <f>+Actuals!O138</f>
        <v>0</v>
      </c>
      <c r="S34" s="134">
        <f>+Actuals!P138</f>
        <v>0</v>
      </c>
      <c r="T34" s="133">
        <f>+Actuals!Q138</f>
        <v>0</v>
      </c>
      <c r="U34" s="134">
        <f>+Actuals!R138</f>
        <v>0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+Actuals!Y138</f>
        <v>0</v>
      </c>
      <c r="AC34" s="134">
        <f>+Actuals!Z138</f>
        <v>0</v>
      </c>
      <c r="AD34" s="133">
        <f>+Actuals!AA178</f>
        <v>0</v>
      </c>
      <c r="AE34" s="134">
        <f>+Actuals!AB178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  <c r="AJ34" s="133">
        <f>+Actuals!AG178</f>
        <v>0</v>
      </c>
      <c r="AK34" s="134">
        <f>+Actuals!AH178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11"/>
        <v>415138</v>
      </c>
      <c r="E35" s="38">
        <f t="shared" si="11"/>
        <v>707028.11</v>
      </c>
      <c r="F35" s="81">
        <f>'TIE-OUT'!F35+RECLASS!F35</f>
        <v>0</v>
      </c>
      <c r="G35" s="82">
        <f>'TIE-OUT'!G35+RECLASS!G35</f>
        <v>0</v>
      </c>
      <c r="H35" s="133">
        <f>+Actuals!E139</f>
        <v>423849</v>
      </c>
      <c r="I35" s="134">
        <f>+Actuals!F139</f>
        <v>-0.01</v>
      </c>
      <c r="J35" s="133">
        <f>+Actuals!G139</f>
        <v>-60</v>
      </c>
      <c r="K35" s="134">
        <f>+Actuals!H139</f>
        <v>0</v>
      </c>
      <c r="L35" s="133">
        <f>+Actuals!I139</f>
        <v>1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0</v>
      </c>
      <c r="R35" s="133">
        <f>+Actuals!O139</f>
        <v>0</v>
      </c>
      <c r="S35" s="134">
        <f>+Actuals!P139</f>
        <v>707028.12</v>
      </c>
      <c r="T35" s="133">
        <f>+Actuals!Q139</f>
        <v>0</v>
      </c>
      <c r="U35" s="134">
        <f>+Actuals!R139</f>
        <v>0</v>
      </c>
      <c r="V35" s="133">
        <f>+Actuals!S139</f>
        <v>0</v>
      </c>
      <c r="W35" s="134">
        <f>+Actuals!T139</f>
        <v>0</v>
      </c>
      <c r="X35" s="133">
        <f>+Actuals!U139</f>
        <v>-8652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+Actuals!Y139</f>
        <v>0</v>
      </c>
      <c r="AC35" s="134">
        <f>+Actuals!Z139</f>
        <v>0</v>
      </c>
      <c r="AD35" s="133">
        <f>+Actuals!AA179</f>
        <v>0</v>
      </c>
      <c r="AE35" s="134">
        <f>+Actuals!AB179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  <c r="AJ35" s="133">
        <f>+Actuals!AG179</f>
        <v>0</v>
      </c>
      <c r="AK35" s="134">
        <f>+Actuals!AH179</f>
        <v>0</v>
      </c>
    </row>
    <row r="36" spans="1:37" x14ac:dyDescent="0.2">
      <c r="A36" s="9"/>
      <c r="B36" s="7" t="s">
        <v>47</v>
      </c>
      <c r="C36" s="6"/>
      <c r="D36" s="61">
        <f t="shared" ref="D36:I36" si="12">SUM(D32:D35)</f>
        <v>426964</v>
      </c>
      <c r="E36" s="39">
        <f t="shared" si="12"/>
        <v>699314.23499999999</v>
      </c>
      <c r="F36" s="61">
        <f t="shared" si="12"/>
        <v>0</v>
      </c>
      <c r="G36" s="39">
        <f t="shared" si="12"/>
        <v>0</v>
      </c>
      <c r="H36" s="61">
        <f t="shared" si="12"/>
        <v>304807</v>
      </c>
      <c r="I36" s="39">
        <f t="shared" si="12"/>
        <v>-213680.40000000002</v>
      </c>
      <c r="J36" s="61">
        <f t="shared" ref="J36:AE36" si="13">SUM(J32:J35)</f>
        <v>139972</v>
      </c>
      <c r="K36" s="39">
        <f t="shared" si="13"/>
        <v>222691.41999999998</v>
      </c>
      <c r="L36" s="61">
        <f t="shared" si="13"/>
        <v>201</v>
      </c>
      <c r="M36" s="39">
        <f t="shared" si="13"/>
        <v>95.754999999999995</v>
      </c>
      <c r="N36" s="61">
        <f t="shared" si="13"/>
        <v>-8032</v>
      </c>
      <c r="O36" s="39">
        <f t="shared" si="13"/>
        <v>-18887.877</v>
      </c>
      <c r="P36" s="61">
        <f t="shared" si="13"/>
        <v>-375</v>
      </c>
      <c r="Q36" s="39">
        <f t="shared" si="13"/>
        <v>175.78639999999999</v>
      </c>
      <c r="R36" s="61">
        <f t="shared" si="13"/>
        <v>-957</v>
      </c>
      <c r="S36" s="39">
        <f t="shared" si="13"/>
        <v>704265.98159999994</v>
      </c>
      <c r="T36" s="61">
        <f t="shared" si="13"/>
        <v>0</v>
      </c>
      <c r="U36" s="39">
        <f t="shared" si="13"/>
        <v>-11954.493</v>
      </c>
      <c r="V36" s="61">
        <f t="shared" si="13"/>
        <v>0</v>
      </c>
      <c r="W36" s="39">
        <f t="shared" si="13"/>
        <v>8293.2009999999991</v>
      </c>
      <c r="X36" s="61">
        <f t="shared" si="13"/>
        <v>-8652</v>
      </c>
      <c r="Y36" s="39">
        <f t="shared" si="13"/>
        <v>8314.8610000000008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87224</v>
      </c>
      <c r="E39" s="38">
        <f t="shared" si="15"/>
        <v>156567.09</v>
      </c>
      <c r="F39" s="64">
        <f>'TIE-OUT'!F39+RECLASS!F39</f>
        <v>0</v>
      </c>
      <c r="G39" s="68">
        <f>'TIE-OUT'!G39+RECLASS!G39</f>
        <v>0</v>
      </c>
      <c r="H39" s="133">
        <f>+Actuals!E140</f>
        <v>90645</v>
      </c>
      <c r="I39" s="134">
        <f>+Actuals!F140</f>
        <v>162707.78</v>
      </c>
      <c r="J39" s="133">
        <f>+Actuals!G140</f>
        <v>-3421</v>
      </c>
      <c r="K39" s="134">
        <f>+Actuals!H140</f>
        <v>-6140.69</v>
      </c>
      <c r="L39" s="133">
        <f>+Actuals!I140</f>
        <v>0</v>
      </c>
      <c r="M39" s="134">
        <f>+Actuals!J140</f>
        <v>0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+Actuals!Y140</f>
        <v>0</v>
      </c>
      <c r="AC39" s="134">
        <f>+Actuals!Z140</f>
        <v>0</v>
      </c>
      <c r="AD39" s="133">
        <f>+Actuals!AA180</f>
        <v>0</v>
      </c>
      <c r="AE39" s="134">
        <f>+Actuals!AB180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  <c r="AJ39" s="133">
        <f>+Actuals!AG180</f>
        <v>0</v>
      </c>
      <c r="AK39" s="134">
        <f>+Actuals!AH180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39511</v>
      </c>
      <c r="E40" s="38">
        <f t="shared" si="15"/>
        <v>0</v>
      </c>
      <c r="F40" s="60">
        <f>'TIE-OUT'!F40+RECLASS!F40</f>
        <v>0</v>
      </c>
      <c r="G40" s="38">
        <f>'TIE-OUT'!G40+RECLASS!G40</f>
        <v>0</v>
      </c>
      <c r="H40" s="133">
        <f>+Actuals!E141</f>
        <v>0</v>
      </c>
      <c r="I40" s="134">
        <f>+Actuals!F141</f>
        <v>0</v>
      </c>
      <c r="J40" s="133">
        <f>+Actuals!G141</f>
        <v>-100108</v>
      </c>
      <c r="K40" s="134">
        <f>+Actuals!H141</f>
        <v>-0.01</v>
      </c>
      <c r="L40" s="133">
        <f>+Actuals!I141</f>
        <v>0</v>
      </c>
      <c r="M40" s="134">
        <f>+Actuals!J141</f>
        <v>0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0</v>
      </c>
      <c r="U40" s="134">
        <f>+Actuals!R141</f>
        <v>0</v>
      </c>
      <c r="V40" s="133">
        <f>+Actuals!S141</f>
        <v>139619</v>
      </c>
      <c r="W40" s="134">
        <f>+Actuals!T141</f>
        <v>0.01</v>
      </c>
      <c r="X40" s="133">
        <f>+Actuals!U141</f>
        <v>0</v>
      </c>
      <c r="Y40" s="134">
        <f>+Actuals!V141</f>
        <v>0</v>
      </c>
      <c r="Z40" s="133">
        <f>+Actuals!W141</f>
        <v>0</v>
      </c>
      <c r="AA40" s="134">
        <f>+Actuals!X141</f>
        <v>0</v>
      </c>
      <c r="AB40" s="133">
        <f>+Actuals!Y141</f>
        <v>0</v>
      </c>
      <c r="AC40" s="134">
        <f>+Actuals!Z141</f>
        <v>0</v>
      </c>
      <c r="AD40" s="133">
        <f>+Actuals!AA181</f>
        <v>0</v>
      </c>
      <c r="AE40" s="134">
        <f>+Actuals!AB181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  <c r="AJ40" s="133">
        <f>+Actuals!AG181</f>
        <v>0</v>
      </c>
      <c r="AK40" s="134">
        <f>+Actuals!AH181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+Actuals!Y142</f>
        <v>0</v>
      </c>
      <c r="AC41" s="134">
        <f>+Actuals!Z142</f>
        <v>0</v>
      </c>
      <c r="AD41" s="133">
        <f>+Actuals!AA182</f>
        <v>0</v>
      </c>
      <c r="AE41" s="134">
        <f>+Actuals!AB182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  <c r="AJ41" s="133">
        <f>+Actuals!AG182</f>
        <v>0</v>
      </c>
      <c r="AK41" s="134">
        <f>+Actuals!AH182</f>
        <v>0</v>
      </c>
    </row>
    <row r="42" spans="1:37" x14ac:dyDescent="0.2">
      <c r="A42" s="9"/>
      <c r="B42" s="7"/>
      <c r="C42" s="53" t="s">
        <v>52</v>
      </c>
      <c r="D42" s="61">
        <f t="shared" ref="D42:I42" si="16">SUM(D40:D41)</f>
        <v>39511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ref="J42:AE42" si="17">SUM(J40:J41)</f>
        <v>-100108</v>
      </c>
      <c r="K42" s="39">
        <f t="shared" si="17"/>
        <v>-0.01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139619</v>
      </c>
      <c r="W42" s="39">
        <f t="shared" si="17"/>
        <v>0.01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I43" si="19">D42+D39</f>
        <v>126735</v>
      </c>
      <c r="E43" s="39">
        <f t="shared" si="19"/>
        <v>156567.09</v>
      </c>
      <c r="F43" s="61">
        <f t="shared" si="19"/>
        <v>0</v>
      </c>
      <c r="G43" s="39">
        <f t="shared" si="19"/>
        <v>0</v>
      </c>
      <c r="H43" s="61">
        <f t="shared" si="19"/>
        <v>90645</v>
      </c>
      <c r="I43" s="39">
        <f t="shared" si="19"/>
        <v>162707.78</v>
      </c>
      <c r="J43" s="61">
        <f t="shared" ref="J43:AE43" si="20">J42+J39</f>
        <v>-103529</v>
      </c>
      <c r="K43" s="39">
        <f t="shared" si="20"/>
        <v>-6140.7</v>
      </c>
      <c r="L43" s="61">
        <f t="shared" si="20"/>
        <v>0</v>
      </c>
      <c r="M43" s="39">
        <f t="shared" si="20"/>
        <v>0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139619</v>
      </c>
      <c r="W43" s="39">
        <f t="shared" si="20"/>
        <v>0.01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+Actuals!Y143</f>
        <v>0</v>
      </c>
      <c r="AC45" s="134">
        <f>+Actuals!Z143</f>
        <v>0</v>
      </c>
      <c r="AD45" s="133">
        <f>+Actuals!AA183</f>
        <v>0</v>
      </c>
      <c r="AE45" s="134">
        <f>+Actuals!AB183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  <c r="AJ45" s="133">
        <f>+Actuals!AG183</f>
        <v>0</v>
      </c>
      <c r="AK45" s="134">
        <f>+Actuals!AH183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+Actuals!Y144</f>
        <v>0</v>
      </c>
      <c r="AC47" s="134">
        <f>+Actuals!Z144</f>
        <v>0</v>
      </c>
      <c r="AD47" s="133">
        <f>+Actuals!AA184</f>
        <v>0</v>
      </c>
      <c r="AE47" s="134">
        <f>+Actuals!AB184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  <c r="AJ47" s="133">
        <f>+Actuals!AG184</f>
        <v>0</v>
      </c>
      <c r="AK47" s="134">
        <f>+Actuals!AH184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758485</v>
      </c>
      <c r="E49" s="38">
        <f t="shared" si="22"/>
        <v>1361083.105</v>
      </c>
      <c r="F49" s="60">
        <f>'TIE-OUT'!F49+RECLASS!F49</f>
        <v>0</v>
      </c>
      <c r="G49" s="38">
        <f>'TIE-OUT'!G49+RECLASS!G49</f>
        <v>0</v>
      </c>
      <c r="H49" s="133">
        <f>+Actuals!E145</f>
        <v>185092</v>
      </c>
      <c r="I49" s="134">
        <f>+Actuals!F145</f>
        <v>332240.14</v>
      </c>
      <c r="J49" s="133">
        <f>+Actuals!G145</f>
        <v>534380</v>
      </c>
      <c r="K49" s="134">
        <f>+Actuals!H145</f>
        <v>959212.1</v>
      </c>
      <c r="L49" s="133">
        <f>+Actuals!I145</f>
        <v>27924</v>
      </c>
      <c r="M49" s="134">
        <f>+Actuals!J145</f>
        <v>-1472872.89</v>
      </c>
      <c r="N49" s="133">
        <f>+Actuals!K145</f>
        <v>8032</v>
      </c>
      <c r="O49" s="134">
        <f>+Actuals!L145</f>
        <v>1537016.44</v>
      </c>
      <c r="P49" s="133">
        <f>+Actuals!M145</f>
        <v>-3181</v>
      </c>
      <c r="Q49" s="134">
        <f>+Actuals!N145</f>
        <v>-5709.8950000000004</v>
      </c>
      <c r="R49" s="133">
        <f>+Actuals!O145</f>
        <v>-6540</v>
      </c>
      <c r="S49" s="134">
        <f>+Actuals!P145</f>
        <v>-11739.3</v>
      </c>
      <c r="T49" s="133">
        <f>+Actuals!Q145</f>
        <v>-5000</v>
      </c>
      <c r="U49" s="134">
        <f>+Actuals!R145</f>
        <v>-8975</v>
      </c>
      <c r="V49" s="133">
        <f>+Actuals!S145</f>
        <v>4496</v>
      </c>
      <c r="W49" s="134">
        <f>+Actuals!T145</f>
        <v>8070.32</v>
      </c>
      <c r="X49" s="133">
        <f>+Actuals!U145</f>
        <v>-11718</v>
      </c>
      <c r="Y49" s="134">
        <f>+Actuals!V145</f>
        <v>-21033.81</v>
      </c>
      <c r="Z49" s="133">
        <f>+Actuals!W145</f>
        <v>0</v>
      </c>
      <c r="AA49" s="134">
        <f>+Actuals!X145</f>
        <v>0</v>
      </c>
      <c r="AB49" s="133">
        <f>+Actuals!Y145</f>
        <v>25000</v>
      </c>
      <c r="AC49" s="134">
        <f>+Actuals!Z145</f>
        <v>44875</v>
      </c>
      <c r="AD49" s="133">
        <f>+Actuals!AA185</f>
        <v>-25000</v>
      </c>
      <c r="AE49" s="134">
        <f>+Actuals!AB185</f>
        <v>-44875</v>
      </c>
      <c r="AF49" s="133">
        <f>+Actuals!AC185</f>
        <v>0</v>
      </c>
      <c r="AG49" s="134">
        <f>+Actuals!AD185</f>
        <v>0</v>
      </c>
      <c r="AH49" s="133">
        <f>+Actuals!AE185</f>
        <v>25000</v>
      </c>
      <c r="AI49" s="134">
        <f>+Actuals!AF185</f>
        <v>44875</v>
      </c>
      <c r="AJ49" s="133">
        <f>+Actuals!AG185</f>
        <v>0</v>
      </c>
      <c r="AK49" s="134">
        <f>+Actuals!AH185</f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-212651</v>
      </c>
      <c r="E51" s="38">
        <f t="shared" si="22"/>
        <v>-381708.5500000001</v>
      </c>
      <c r="F51" s="60">
        <f>'TIE-OUT'!F51+RECLASS!F51</f>
        <v>0</v>
      </c>
      <c r="G51" s="38">
        <f>'TIE-OUT'!G51+RECLASS!G51</f>
        <v>0</v>
      </c>
      <c r="H51" s="133">
        <f>+Actuals!E146</f>
        <v>-337997</v>
      </c>
      <c r="I51" s="134">
        <f>+Actuals!F146</f>
        <v>-606704.62</v>
      </c>
      <c r="J51" s="133">
        <f>+Actuals!G146</f>
        <v>-1698</v>
      </c>
      <c r="K51" s="134">
        <f>+Actuals!H146</f>
        <v>-3047.91</v>
      </c>
      <c r="L51" s="133">
        <f>+Actuals!I146</f>
        <v>-3704</v>
      </c>
      <c r="M51" s="134">
        <f>+Actuals!J146</f>
        <v>-6648.68</v>
      </c>
      <c r="N51" s="133">
        <f>+Actuals!K146</f>
        <v>0</v>
      </c>
      <c r="O51" s="134">
        <f>+Actuals!L146</f>
        <v>0</v>
      </c>
      <c r="P51" s="133">
        <f>+Actuals!M146</f>
        <v>0</v>
      </c>
      <c r="Q51" s="134">
        <f>+Actuals!N146</f>
        <v>0</v>
      </c>
      <c r="R51" s="133">
        <f>+Actuals!O146</f>
        <v>19</v>
      </c>
      <c r="S51" s="134">
        <f>+Actuals!P146</f>
        <v>34.104999999999997</v>
      </c>
      <c r="T51" s="133">
        <f>+Actuals!Q146</f>
        <v>0</v>
      </c>
      <c r="U51" s="134">
        <f>+Actuals!R146</f>
        <v>0</v>
      </c>
      <c r="V51" s="133">
        <f>+Actuals!S146</f>
        <v>139381</v>
      </c>
      <c r="W51" s="134">
        <f>+Actuals!T146</f>
        <v>250188.89499999999</v>
      </c>
      <c r="X51" s="133">
        <f>+Actuals!U146</f>
        <v>-8652</v>
      </c>
      <c r="Y51" s="134">
        <f>+Actuals!V146</f>
        <v>-15530.34</v>
      </c>
      <c r="Z51" s="133">
        <f>+Actuals!W146</f>
        <v>0</v>
      </c>
      <c r="AA51" s="134">
        <f>+Actuals!X146</f>
        <v>0</v>
      </c>
      <c r="AB51" s="133">
        <f>+Actuals!Y146</f>
        <v>0</v>
      </c>
      <c r="AC51" s="134">
        <f>+Actuals!Z146</f>
        <v>0</v>
      </c>
      <c r="AD51" s="133">
        <f>+Actuals!AA186</f>
        <v>0</v>
      </c>
      <c r="AE51" s="134">
        <f>+Actuals!AB186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  <c r="AJ51" s="133">
        <f>+Actuals!AG186</f>
        <v>0</v>
      </c>
      <c r="AK51" s="134">
        <f>+Actuals!AH186</f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-13277425</v>
      </c>
      <c r="E54" s="38">
        <f>SUM(G54,I54,K54,M54,O54,Q54,S54,U54,W54,Y54,AA54,AC54,AE54,AG54,AI54,AK54)</f>
        <v>-863495.22</v>
      </c>
      <c r="F54" s="64">
        <f>'TIE-OUT'!F54+RECLASS!F54</f>
        <v>0</v>
      </c>
      <c r="G54" s="68">
        <f>'TIE-OUT'!G54+RECLASS!G54</f>
        <v>0</v>
      </c>
      <c r="H54" s="133">
        <f>+Actuals!E147</f>
        <v>-7786218</v>
      </c>
      <c r="I54" s="134">
        <f>+Actuals!F147</f>
        <v>-943765.71</v>
      </c>
      <c r="J54" s="133">
        <f>+Actuals!G147</f>
        <v>-4825601</v>
      </c>
      <c r="K54" s="134">
        <f>+Actuals!H147</f>
        <v>95300.44</v>
      </c>
      <c r="L54" s="133">
        <f>+Actuals!I147</f>
        <v>-647955</v>
      </c>
      <c r="M54" s="134">
        <f>+Actuals!J147</f>
        <v>-6937.09</v>
      </c>
      <c r="N54" s="133">
        <f>+Actuals!K147</f>
        <v>0</v>
      </c>
      <c r="O54" s="134">
        <f>+Actuals!L147</f>
        <v>0</v>
      </c>
      <c r="P54" s="133">
        <f>+Actuals!M147</f>
        <v>0</v>
      </c>
      <c r="Q54" s="134">
        <f>+Actuals!N147</f>
        <v>0</v>
      </c>
      <c r="R54" s="133">
        <f>+Actuals!O147</f>
        <v>950</v>
      </c>
      <c r="S54" s="134">
        <f>+Actuals!P147</f>
        <v>199.5</v>
      </c>
      <c r="T54" s="133">
        <f>+Actuals!Q147</f>
        <v>-16064</v>
      </c>
      <c r="U54" s="134">
        <f>+Actuals!R147</f>
        <v>-3258.58</v>
      </c>
      <c r="V54" s="133">
        <f>+Actuals!S147</f>
        <v>-2537</v>
      </c>
      <c r="W54" s="134">
        <f>+Actuals!T147</f>
        <v>-430.9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-4219.01</v>
      </c>
      <c r="AB54" s="133">
        <f>+Actuals!Y147</f>
        <v>0</v>
      </c>
      <c r="AC54" s="134">
        <f>+Actuals!Z147</f>
        <v>0</v>
      </c>
      <c r="AD54" s="133">
        <f>+Actuals!AA187</f>
        <v>0</v>
      </c>
      <c r="AE54" s="134">
        <f>+Actuals!AB187</f>
        <v>-383.87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  <c r="AJ54" s="133">
        <f>+Actuals!AG187</f>
        <v>0</v>
      </c>
      <c r="AK54" s="134">
        <f>+Actuals!AH187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-2122112.1599999997</v>
      </c>
      <c r="F55" s="81">
        <f>'TIE-OUT'!F55+RECLASS!F55</f>
        <v>0</v>
      </c>
      <c r="G55" s="82">
        <f>'TIE-OUT'!G55+RECLASS!G55</f>
        <v>235669.68</v>
      </c>
      <c r="H55" s="133">
        <f>+Actuals!E148</f>
        <v>0</v>
      </c>
      <c r="I55" s="134">
        <f>+Actuals!F148</f>
        <v>-971138.62</v>
      </c>
      <c r="J55" s="133">
        <f>+Actuals!G148</f>
        <v>0</v>
      </c>
      <c r="K55" s="134">
        <f>+Actuals!H148</f>
        <v>-1443566.2</v>
      </c>
      <c r="L55" s="133">
        <f>+Actuals!I148</f>
        <v>0</v>
      </c>
      <c r="M55" s="134">
        <f>+Actuals!J148</f>
        <v>0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34">
        <f>+Actuals!N148</f>
        <v>0</v>
      </c>
      <c r="R55" s="133">
        <f>+Actuals!O148</f>
        <v>0</v>
      </c>
      <c r="S55" s="134">
        <f>+Actuals!P148</f>
        <v>55102.98</v>
      </c>
      <c r="T55" s="133">
        <f>+Actuals!Q148</f>
        <v>0</v>
      </c>
      <c r="U55" s="134">
        <f>+Actuals!R148</f>
        <v>1819.99</v>
      </c>
      <c r="V55" s="133">
        <f>+Actuals!S148</f>
        <v>0</v>
      </c>
      <c r="W55" s="134">
        <f>+Actuals!T148</f>
        <v>0.01</v>
      </c>
      <c r="X55" s="133">
        <f>+Actuals!U148</f>
        <v>0</v>
      </c>
      <c r="Y55" s="134">
        <f>+Actuals!V148</f>
        <v>0</v>
      </c>
      <c r="Z55" s="133">
        <f>+Actuals!W148</f>
        <v>0</v>
      </c>
      <c r="AA55" s="134">
        <f>+Actuals!X148</f>
        <v>0</v>
      </c>
      <c r="AB55" s="133">
        <f>+Actuals!Y148</f>
        <v>0</v>
      </c>
      <c r="AC55" s="134">
        <f>+Actuals!Z148</f>
        <v>0</v>
      </c>
      <c r="AD55" s="133">
        <f>+Actuals!AA188</f>
        <v>0</v>
      </c>
      <c r="AE55" s="134">
        <f>+Actuals!AB188</f>
        <v>0</v>
      </c>
      <c r="AF55" s="133">
        <f>+Actuals!AC188</f>
        <v>0</v>
      </c>
      <c r="AG55" s="134">
        <f>+Actuals!AD188</f>
        <v>0</v>
      </c>
      <c r="AH55" s="133">
        <f>+Actuals!AE188</f>
        <v>0</v>
      </c>
      <c r="AI55" s="134">
        <f>+Actuals!AF188</f>
        <v>0</v>
      </c>
      <c r="AJ55" s="133">
        <f>+Actuals!AG188</f>
        <v>0</v>
      </c>
      <c r="AK55" s="134">
        <f>+Actuals!AH188</f>
        <v>0</v>
      </c>
    </row>
    <row r="56" spans="1:37" x14ac:dyDescent="0.2">
      <c r="A56" s="9"/>
      <c r="B56" s="7" t="s">
        <v>61</v>
      </c>
      <c r="C56" s="6"/>
      <c r="D56" s="61">
        <f t="shared" ref="D56:I56" si="23">SUM(D54:D55)</f>
        <v>-13277425</v>
      </c>
      <c r="E56" s="39">
        <f t="shared" si="23"/>
        <v>-2985607.38</v>
      </c>
      <c r="F56" s="61">
        <f t="shared" si="23"/>
        <v>0</v>
      </c>
      <c r="G56" s="39">
        <f t="shared" si="23"/>
        <v>235669.68</v>
      </c>
      <c r="H56" s="61">
        <f t="shared" si="23"/>
        <v>-7786218</v>
      </c>
      <c r="I56" s="39">
        <f t="shared" si="23"/>
        <v>-1914904.33</v>
      </c>
      <c r="J56" s="61">
        <f t="shared" ref="J56:AE56" si="24">SUM(J54:J55)</f>
        <v>-4825601</v>
      </c>
      <c r="K56" s="39">
        <f t="shared" si="24"/>
        <v>-1348265.76</v>
      </c>
      <c r="L56" s="61">
        <f t="shared" si="24"/>
        <v>-647955</v>
      </c>
      <c r="M56" s="39">
        <f t="shared" si="24"/>
        <v>-6937.09</v>
      </c>
      <c r="N56" s="61">
        <f t="shared" si="24"/>
        <v>0</v>
      </c>
      <c r="O56" s="39">
        <f t="shared" si="24"/>
        <v>0</v>
      </c>
      <c r="P56" s="61">
        <f t="shared" si="24"/>
        <v>0</v>
      </c>
      <c r="Q56" s="39">
        <f t="shared" si="24"/>
        <v>0</v>
      </c>
      <c r="R56" s="61">
        <f t="shared" si="24"/>
        <v>950</v>
      </c>
      <c r="S56" s="39">
        <f t="shared" si="24"/>
        <v>55302.48</v>
      </c>
      <c r="T56" s="61">
        <f t="shared" si="24"/>
        <v>-16064</v>
      </c>
      <c r="U56" s="39">
        <f t="shared" si="24"/>
        <v>-1438.59</v>
      </c>
      <c r="V56" s="61">
        <f t="shared" si="24"/>
        <v>-2537</v>
      </c>
      <c r="W56" s="39">
        <f t="shared" si="24"/>
        <v>-430.89</v>
      </c>
      <c r="X56" s="61">
        <f t="shared" si="24"/>
        <v>0</v>
      </c>
      <c r="Y56" s="39">
        <f t="shared" si="24"/>
        <v>0</v>
      </c>
      <c r="Z56" s="61">
        <f t="shared" si="24"/>
        <v>0</v>
      </c>
      <c r="AA56" s="39">
        <f t="shared" si="24"/>
        <v>-4219.01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-383.87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+Actuals!Y149</f>
        <v>0</v>
      </c>
      <c r="AC59" s="134">
        <f>+Actuals!Z149</f>
        <v>0</v>
      </c>
      <c r="AD59" s="133">
        <f>+Actuals!AA189</f>
        <v>0</v>
      </c>
      <c r="AE59" s="134">
        <f>+Actuals!AB189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  <c r="AJ59" s="133">
        <f>+Actuals!AG189</f>
        <v>0</v>
      </c>
      <c r="AK59" s="134">
        <f>+Actuals!AH189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+Actuals!Y150</f>
        <v>0</v>
      </c>
      <c r="AC60" s="134">
        <f>+Actuals!Z150</f>
        <v>0</v>
      </c>
      <c r="AD60" s="133">
        <f>+Actuals!AA190</f>
        <v>0</v>
      </c>
      <c r="AE60" s="134">
        <f>+Actuals!AB190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  <c r="AJ60" s="133">
        <f>+Actuals!AG190</f>
        <v>0</v>
      </c>
      <c r="AK60" s="134">
        <f>+Actuals!AH190</f>
        <v>0</v>
      </c>
    </row>
    <row r="61" spans="1:37" x14ac:dyDescent="0.2">
      <c r="A61" s="9"/>
      <c r="B61" s="62" t="s">
        <v>65</v>
      </c>
      <c r="C61" s="6"/>
      <c r="D61" s="61">
        <f t="shared" ref="D61:I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ref="J61:AE61" si="27">SUM(J59:J60)</f>
        <v>0</v>
      </c>
      <c r="K61" s="39">
        <f t="shared" si="27"/>
        <v>0</v>
      </c>
      <c r="L61" s="61">
        <f t="shared" si="27"/>
        <v>0</v>
      </c>
      <c r="M61" s="39">
        <f t="shared" si="27"/>
        <v>0</v>
      </c>
      <c r="N61" s="61">
        <f t="shared" si="27"/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 t="shared" si="27"/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+Actuals!Y151</f>
        <v>0</v>
      </c>
      <c r="AC64" s="134">
        <f>+Actuals!Z151</f>
        <v>0</v>
      </c>
      <c r="AD64" s="133">
        <f>+Actuals!AA191</f>
        <v>0</v>
      </c>
      <c r="AE64" s="134">
        <f>+Actuals!AB191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  <c r="AJ64" s="133">
        <f>+Actuals!AG191</f>
        <v>0</v>
      </c>
      <c r="AK64" s="134">
        <f>+Actuals!AH191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+Actuals!Y152</f>
        <v>0</v>
      </c>
      <c r="AC65" s="134">
        <f>+Actuals!Z152</f>
        <v>0</v>
      </c>
      <c r="AD65" s="133">
        <f>+Actuals!AA192</f>
        <v>0</v>
      </c>
      <c r="AE65" s="134">
        <f>+Actuals!AB192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  <c r="AJ65" s="133">
        <f>+Actuals!AG192</f>
        <v>0</v>
      </c>
      <c r="AK65" s="134">
        <f>+Actuals!AH192</f>
        <v>0</v>
      </c>
    </row>
    <row r="66" spans="1:37" x14ac:dyDescent="0.2">
      <c r="A66" s="9"/>
      <c r="B66" s="7" t="s">
        <v>68</v>
      </c>
      <c r="C66" s="6"/>
      <c r="D66" s="61">
        <f t="shared" ref="D66:I66" si="29">SUM(D64:D65)</f>
        <v>0</v>
      </c>
      <c r="E66" s="39">
        <f t="shared" si="29"/>
        <v>0</v>
      </c>
      <c r="F66" s="61">
        <f t="shared" si="29"/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ref="J66:AE66" si="30">SUM(J64:J65)</f>
        <v>0</v>
      </c>
      <c r="K66" s="39">
        <f t="shared" si="30"/>
        <v>0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1012601</v>
      </c>
      <c r="F70" s="64">
        <f>'TIE-OUT'!F70+RECLASS!F70</f>
        <v>0</v>
      </c>
      <c r="G70" s="68">
        <f>'TIE-OUT'!G70+RECLASS!G70</f>
        <v>1012601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+Actuals!Y153</f>
        <v>0</v>
      </c>
      <c r="AC70" s="134">
        <f>+Actuals!Z153</f>
        <v>0</v>
      </c>
      <c r="AD70" s="133">
        <f>+Actuals!AA193</f>
        <v>0</v>
      </c>
      <c r="AE70" s="134">
        <f>+Actuals!AB193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  <c r="AJ70" s="133">
        <f>+Actuals!AG193</f>
        <v>0</v>
      </c>
      <c r="AK70" s="134">
        <f>+Actuals!AH193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+Actuals!Y154</f>
        <v>0</v>
      </c>
      <c r="AC71" s="134">
        <f>+Actuals!Z154</f>
        <v>0</v>
      </c>
      <c r="AD71" s="133">
        <f>+Actuals!AA194</f>
        <v>0</v>
      </c>
      <c r="AE71" s="134">
        <f>+Actuals!AB194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  <c r="AJ71" s="133">
        <f>+Actuals!AG194</f>
        <v>0</v>
      </c>
      <c r="AK71" s="134">
        <f>+Actuals!AH194</f>
        <v>0</v>
      </c>
    </row>
    <row r="72" spans="1:37" x14ac:dyDescent="0.2">
      <c r="A72" s="9"/>
      <c r="B72" s="3"/>
      <c r="C72" s="55" t="s">
        <v>73</v>
      </c>
      <c r="D72" s="61">
        <f t="shared" ref="D72:I72" si="32">SUM(D70:D71)</f>
        <v>0</v>
      </c>
      <c r="E72" s="39">
        <f t="shared" si="32"/>
        <v>1012601</v>
      </c>
      <c r="F72" s="61">
        <f t="shared" si="32"/>
        <v>0</v>
      </c>
      <c r="G72" s="39">
        <f t="shared" si="32"/>
        <v>1012601</v>
      </c>
      <c r="H72" s="61">
        <f t="shared" si="32"/>
        <v>0</v>
      </c>
      <c r="I72" s="39">
        <f t="shared" si="32"/>
        <v>0</v>
      </c>
      <c r="J72" s="61">
        <f t="shared" ref="J72:AE72" si="33">SUM(J70:J71)</f>
        <v>0</v>
      </c>
      <c r="K72" s="39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+Actuals!Y155</f>
        <v>0</v>
      </c>
      <c r="AC73" s="134">
        <f>+Actuals!Z155</f>
        <v>0</v>
      </c>
      <c r="AD73" s="133">
        <f>+Actuals!AA195</f>
        <v>0</v>
      </c>
      <c r="AE73" s="134">
        <f>+Actuals!AB195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  <c r="AJ73" s="133">
        <f>+Actuals!AG195</f>
        <v>0</v>
      </c>
      <c r="AK73" s="134">
        <f>+Actuals!AH195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-763897.26</v>
      </c>
      <c r="F74" s="60">
        <f>'TIE-OUT'!F74+RECLASS!F74</f>
        <v>0</v>
      </c>
      <c r="G74" s="60">
        <f>'TIE-OUT'!G74+RECLASS!G74</f>
        <v>-763897.26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</f>
        <v>0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72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+Actuals!Y156</f>
        <v>0</v>
      </c>
      <c r="AC74" s="134">
        <f>+Actuals!Z156</f>
        <v>0</v>
      </c>
      <c r="AD74" s="133">
        <f>+Actuals!AA196</f>
        <v>0</v>
      </c>
      <c r="AE74" s="134">
        <f>+Actuals!AB196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  <c r="AJ74" s="133">
        <f>+Actuals!AG196</f>
        <v>0</v>
      </c>
      <c r="AK74" s="134">
        <f>+Actuals!AH196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57200</v>
      </c>
      <c r="F75" s="60">
        <f>'TIE-OUT'!F75+RECLASS!F75</f>
        <v>0</v>
      </c>
      <c r="G75" s="60">
        <f>'TIE-OUT'!G75+RECLASS!G75</f>
        <v>57200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+Actuals!Y157</f>
        <v>0</v>
      </c>
      <c r="AC75" s="134">
        <f>+Actuals!Z157</f>
        <v>0</v>
      </c>
      <c r="AD75" s="133">
        <f>+Actuals!AA197</f>
        <v>0</v>
      </c>
      <c r="AE75" s="134">
        <f>+Actuals!AB197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  <c r="AJ75" s="133">
        <f>+Actuals!AG197</f>
        <v>0</v>
      </c>
      <c r="AK75" s="134">
        <f>+Actuals!AH197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-4337.63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0</v>
      </c>
      <c r="J76" s="133">
        <f>+Actuals!G158</f>
        <v>0</v>
      </c>
      <c r="K76" s="134">
        <f>+Actuals!H158</f>
        <v>-562.73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0</v>
      </c>
      <c r="V76" s="133">
        <f>+Actuals!S158</f>
        <v>0</v>
      </c>
      <c r="W76" s="134">
        <f>+Actuals!T158</f>
        <v>-3774.9</v>
      </c>
      <c r="X76" s="133">
        <f>+Actuals!U158</f>
        <v>0</v>
      </c>
      <c r="Y76" s="134">
        <f>+Actuals!V158</f>
        <v>0</v>
      </c>
      <c r="Z76" s="133">
        <f>+Actuals!W158</f>
        <v>0</v>
      </c>
      <c r="AA76" s="134">
        <f>+Actuals!X158</f>
        <v>0</v>
      </c>
      <c r="AB76" s="133">
        <f>+Actuals!Y158</f>
        <v>0</v>
      </c>
      <c r="AC76" s="134">
        <f>+Actuals!Z158</f>
        <v>0</v>
      </c>
      <c r="AD76" s="133">
        <f>+Actuals!AA198</f>
        <v>0</v>
      </c>
      <c r="AE76" s="134">
        <f>+Actuals!AB198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  <c r="AJ76" s="133">
        <f>+Actuals!AG198</f>
        <v>0</v>
      </c>
      <c r="AK76" s="134">
        <f>+Actuals!AH198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+Actuals!Y159</f>
        <v>0</v>
      </c>
      <c r="AC77" s="134">
        <f>+Actuals!Z159</f>
        <v>0</v>
      </c>
      <c r="AD77" s="133">
        <f>+Actuals!AA199</f>
        <v>0</v>
      </c>
      <c r="AE77" s="134">
        <f>+Actuals!AB199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  <c r="AJ77" s="133">
        <f>+Actuals!AG199</f>
        <v>0</v>
      </c>
      <c r="AK77" s="134">
        <f>+Actuals!AH199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+Actuals!Y160</f>
        <v>0</v>
      </c>
      <c r="AC78" s="134">
        <f>+Actuals!Z160</f>
        <v>0</v>
      </c>
      <c r="AD78" s="133">
        <f>+Actuals!AA200</f>
        <v>0</v>
      </c>
      <c r="AE78" s="134">
        <f>+Actuals!AB200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  <c r="AJ78" s="133">
        <f>+Actuals!AG200</f>
        <v>0</v>
      </c>
      <c r="AK78" s="134">
        <f>+Actuals!AH200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+Actuals!Y161</f>
        <v>0</v>
      </c>
      <c r="AC79" s="134">
        <f>+Actuals!Z161</f>
        <v>0</v>
      </c>
      <c r="AD79" s="133">
        <f>+Actuals!AA201</f>
        <v>0</v>
      </c>
      <c r="AE79" s="134">
        <f>+Actuals!AB201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  <c r="AJ79" s="133">
        <f>+Actuals!AG201</f>
        <v>0</v>
      </c>
      <c r="AK79" s="134">
        <f>+Actuals!AH201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+Actuals!Y162</f>
        <v>0</v>
      </c>
      <c r="AC80" s="134">
        <f>+Actuals!Z162</f>
        <v>0</v>
      </c>
      <c r="AD80" s="133">
        <f>+Actuals!AA202</f>
        <v>0</v>
      </c>
      <c r="AE80" s="134">
        <f>+Actuals!AB202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  <c r="AJ80" s="133">
        <f>+Actuals!AG202</f>
        <v>0</v>
      </c>
      <c r="AK80" s="134">
        <f>+Actuals!AH202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875475.91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0</v>
      </c>
      <c r="J81" s="133">
        <f>+Actuals!G163</f>
        <v>0</v>
      </c>
      <c r="K81" s="134">
        <f>+Actuals!H163</f>
        <v>249550</v>
      </c>
      <c r="L81" s="133">
        <f>+Actuals!I163</f>
        <v>0</v>
      </c>
      <c r="M81" s="134">
        <f>+Actuals!J163</f>
        <v>5925.91</v>
      </c>
      <c r="N81" s="133">
        <f>+Actuals!K163</f>
        <v>0</v>
      </c>
      <c r="O81" s="134">
        <f>+Actuals!L163</f>
        <v>0</v>
      </c>
      <c r="P81" s="133">
        <f>+Actuals!M163</f>
        <v>0</v>
      </c>
      <c r="Q81" s="134">
        <f>+Actuals!N163</f>
        <v>0</v>
      </c>
      <c r="R81" s="133">
        <f>+Actuals!O163</f>
        <v>0</v>
      </c>
      <c r="S81" s="134">
        <f>+Actuals!P163</f>
        <v>0</v>
      </c>
      <c r="T81" s="133">
        <f>+Actuals!Q163</f>
        <v>0</v>
      </c>
      <c r="U81" s="134">
        <f>+Actuals!R163+620000</f>
        <v>620000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+Actuals!Y163</f>
        <v>0</v>
      </c>
      <c r="AC81" s="134">
        <f>+Actuals!Z163</f>
        <v>0</v>
      </c>
      <c r="AD81" s="133">
        <f>+Actuals!AA203</f>
        <v>0</v>
      </c>
      <c r="AE81" s="134">
        <f>+Actuals!AB203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  <c r="AJ81" s="133">
        <f>+Actuals!AG203</f>
        <v>0</v>
      </c>
      <c r="AK81" s="134">
        <f>+Actuals!AH203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-27430.000000002328</v>
      </c>
      <c r="F82" s="92">
        <f>F16+F24+F29+F36+F43+F45+F47+F49</f>
        <v>0</v>
      </c>
      <c r="G82" s="93">
        <f>SUM(G72:G81)+G16+G24+G29+G36+G43+G45+G47+G49+G51+G56+G61+G66</f>
        <v>-10838915.51</v>
      </c>
      <c r="H82" s="92">
        <f>H16+H24+H29+H36+H43+H45+H47+H49</f>
        <v>0</v>
      </c>
      <c r="I82" s="166">
        <f>SUM(I72:I81)+I16+I24+I29+I36+I43+I45+I47+I49+I51+I56+I61+I66</f>
        <v>13305771.670000007</v>
      </c>
      <c r="J82" s="92">
        <f>J16+J24+J29+J36+J43+J45+J47+J49</f>
        <v>0</v>
      </c>
      <c r="K82" s="166">
        <f>SUM(K72:K81)+K16+K24+K29+K36+K43+K45+K47+K49+K51+K56+K61+K66</f>
        <v>-3526779.7800000003</v>
      </c>
      <c r="L82" s="92">
        <f>L16+L24+L29+L36+L43+L45+L47+L49</f>
        <v>0</v>
      </c>
      <c r="M82" s="93">
        <f>SUM(M72:M81)+M16+M24+M29+M36+M43+M45+M47+M49+M51+M56+M61+M66</f>
        <v>-1816819.895</v>
      </c>
      <c r="N82" s="92">
        <f>N16+N24+N29+N36+N43+N45+N47+N49</f>
        <v>0</v>
      </c>
      <c r="O82" s="93">
        <f>SUM(O72:O81)+O16+O24+O29+O36+O43+O45+O47+O49+O51+O56+O61+O66</f>
        <v>1406688.0829999999</v>
      </c>
      <c r="P82" s="92">
        <f>P16+P24+P29+P36+P43+P45+P47+P49</f>
        <v>0</v>
      </c>
      <c r="Q82" s="93">
        <f>SUM(Q72:Q81)+Q16+Q24+Q29+Q36+Q43+Q45+Q47+Q49+Q51+Q56+Q61+Q66</f>
        <v>-5594.5286000000006</v>
      </c>
      <c r="R82" s="92">
        <f>R16+R24+R29+R36+R43+R45+R47+R49</f>
        <v>0</v>
      </c>
      <c r="S82" s="93">
        <f>SUM(S72:S81)+S16+S24+S29+S36+S43+S45+S47+S49+S51+S56+S61+S66</f>
        <v>727475.73159999982</v>
      </c>
      <c r="T82" s="92">
        <f>T16+T24+T29+T36+T43+T45+T47+T49</f>
        <v>0</v>
      </c>
      <c r="U82" s="93">
        <f>SUM(U72:U81)+U16+U24+U29+U36+U43+U45+U47+U49+U51+U56+U61+U66</f>
        <v>595637.73699999996</v>
      </c>
      <c r="V82" s="92">
        <f>V16+V24+V29+V36+V43+V45+V47+V49</f>
        <v>0</v>
      </c>
      <c r="W82" s="93">
        <f>SUM(W72:W81)+W16+W24+W29+W36+W43+W45+W47+W49+W51+W56+W61+W66</f>
        <v>3873.2410000000232</v>
      </c>
      <c r="X82" s="92">
        <f>X16+X24+X29+X36+X43+X45+X47+X49</f>
        <v>0</v>
      </c>
      <c r="Y82" s="93">
        <f>SUM(Y72:Y81)+Y16+Y24+Y29+Y36+Y43+Y45+Y47+Y49+Y51+Y56+Y61+Y66</f>
        <v>-9883.4989999999998</v>
      </c>
      <c r="Z82" s="92">
        <f>Z16+Z24+Z29+Z36+Z43+Z45+Z47+Z49</f>
        <v>0</v>
      </c>
      <c r="AA82" s="93">
        <f>SUM(AA72:AA81)+AA16+AA24+AA29+AA36+AA43+AA45+AA47+AA49+AA51+AA56+AA61+AA66</f>
        <v>-4219.01</v>
      </c>
      <c r="AB82" s="92">
        <f>AB16+AB24+AB29+AB36+AB43+AB45+AB47+AB49</f>
        <v>0</v>
      </c>
      <c r="AC82" s="93">
        <f>SUM(AC72:AC81)+AC16+AC24+AC29+AC36+AC43+AC45+AC47+AC49+AC51+AC56+AC61+AC66</f>
        <v>1393</v>
      </c>
      <c r="AD82" s="92">
        <f>AD16+AD24+AD29+AD36+AD43+AD45+AD47+AD49</f>
        <v>0</v>
      </c>
      <c r="AE82" s="93">
        <f>SUM(AE72:AE81)+AE16+AE24+AE29+AE36+AE43+AE45+AE47+AE49+AE51+AE56+AE61+AE66</f>
        <v>132549.76000000001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1393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  <c r="G85" s="31"/>
      <c r="I85" s="31"/>
      <c r="K85" s="31"/>
      <c r="M85" s="31"/>
      <c r="O85" s="31"/>
      <c r="Q85" s="31"/>
      <c r="S85" s="31"/>
      <c r="U85" s="31"/>
      <c r="W85" s="31"/>
      <c r="Y85" s="31"/>
      <c r="AA85" s="31"/>
      <c r="AC85" s="31"/>
      <c r="AE85" s="31"/>
      <c r="AG85" s="31"/>
      <c r="AI85" s="31"/>
      <c r="AK85" s="31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9"/>
  <sheetViews>
    <sheetView tabSelected="1" topLeftCell="A16" zoomScale="75" workbookViewId="0">
      <selection activeCell="D41" sqref="D41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185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6">
        <f>'CE-FLSH'!$M$82</f>
        <v>322839.7495299885</v>
      </c>
      <c r="C11" s="60">
        <f>CE_GL!$E$82</f>
        <v>-27430.000000002328</v>
      </c>
      <c r="D11" s="108">
        <f t="shared" ref="D11:D19" si="0">C11-B11</f>
        <v>-350269.74952999083</v>
      </c>
      <c r="E11" s="31"/>
      <c r="F11" s="31">
        <f>CE_GL!G82</f>
        <v>-10838915.51</v>
      </c>
      <c r="G11" s="31"/>
      <c r="H11" s="31"/>
    </row>
    <row r="12" spans="1:8" x14ac:dyDescent="0.2">
      <c r="A12" s="102" t="s">
        <v>15</v>
      </c>
      <c r="B12" s="146">
        <v>0</v>
      </c>
      <c r="C12" s="60">
        <v>0</v>
      </c>
      <c r="D12" s="108">
        <f>C12-B12</f>
        <v>0</v>
      </c>
      <c r="E12" s="31"/>
      <c r="F12" s="31">
        <f>NE_GL!G82</f>
        <v>-12636073.490000002</v>
      </c>
      <c r="G12" s="31"/>
      <c r="H12" s="31"/>
    </row>
    <row r="13" spans="1:8" x14ac:dyDescent="0.2">
      <c r="A13" s="102" t="s">
        <v>171</v>
      </c>
      <c r="B13" s="145">
        <f>'SE-EGM-FLSH'!$M$82+'NE-FLSH'!M82</f>
        <v>1177405.9056469535</v>
      </c>
      <c r="C13" s="60">
        <f>'SE-EGM-GL'!$E$82+NE_GL!E82</f>
        <v>-1380345.0809999872</v>
      </c>
      <c r="D13" s="108">
        <f t="shared" si="0"/>
        <v>-2557750.9866469409</v>
      </c>
      <c r="E13" s="31"/>
      <c r="F13" s="31">
        <f>'SE-EGM-GL'!G82</f>
        <v>0</v>
      </c>
      <c r="G13" s="31"/>
      <c r="H13" s="31"/>
    </row>
    <row r="14" spans="1:8" x14ac:dyDescent="0.2">
      <c r="A14" s="102" t="s">
        <v>172</v>
      </c>
      <c r="B14" s="145">
        <f>'SE-LRC-FLSH'!$M$82</f>
        <v>-2396094.6487551928</v>
      </c>
      <c r="C14" s="60">
        <f>'SE-LRC-GL'!$E$82</f>
        <v>603537.30599999987</v>
      </c>
      <c r="D14" s="108">
        <f t="shared" si="0"/>
        <v>2999631.9547551926</v>
      </c>
      <c r="E14" s="31"/>
      <c r="F14" s="31">
        <f>'SE-LRC-GL'!G82</f>
        <v>-1135706.29</v>
      </c>
      <c r="G14" s="31"/>
      <c r="H14" s="31"/>
    </row>
    <row r="15" spans="1:8" x14ac:dyDescent="0.2">
      <c r="A15" s="102" t="s">
        <v>195</v>
      </c>
      <c r="B15" s="145">
        <f>+'NE-FLSH'!M89</f>
        <v>0</v>
      </c>
      <c r="C15" s="60">
        <f>+NE_GL!E89</f>
        <v>-6906.04</v>
      </c>
      <c r="D15" s="108">
        <f>C15-B15</f>
        <v>-6906.04</v>
      </c>
      <c r="E15" s="31"/>
      <c r="F15" s="31">
        <f>'SE-LRC-GL'!G83</f>
        <v>0</v>
      </c>
      <c r="G15" s="31"/>
      <c r="H15" s="31"/>
    </row>
    <row r="16" spans="1:8" x14ac:dyDescent="0.2">
      <c r="A16" s="102" t="s">
        <v>18</v>
      </c>
      <c r="B16" s="145">
        <f>'TX-EGM-FLSH'!$M$82</f>
        <v>1426789.3441239614</v>
      </c>
      <c r="C16" s="60">
        <f>'TX-EGM-GL'!$E$82</f>
        <v>246135.31899999507</v>
      </c>
      <c r="D16" s="108">
        <f t="shared" si="0"/>
        <v>-1180654.0251239664</v>
      </c>
      <c r="E16" s="31"/>
      <c r="F16" s="31">
        <f>'TX-EGM-GL'!G82</f>
        <v>-10883330.880000001</v>
      </c>
      <c r="G16" s="31"/>
      <c r="H16" s="31"/>
    </row>
    <row r="17" spans="1:8" x14ac:dyDescent="0.2">
      <c r="A17" s="102" t="s">
        <v>19</v>
      </c>
      <c r="B17" s="145">
        <f>'TX-HPL-FLSH'!$M$82</f>
        <v>-1199085.2955339644</v>
      </c>
      <c r="C17" s="60">
        <f>'TX-HPL-GL '!$E$82</f>
        <v>-556233.90180000267</v>
      </c>
      <c r="D17" s="108">
        <f t="shared" si="0"/>
        <v>642851.39373396174</v>
      </c>
      <c r="E17" s="31"/>
      <c r="F17" s="31">
        <f>'TX-HPL-GL '!G82</f>
        <v>-1707952.03</v>
      </c>
      <c r="G17" s="31"/>
      <c r="H17" s="31"/>
    </row>
    <row r="18" spans="1:8" x14ac:dyDescent="0.2">
      <c r="A18" s="102" t="s">
        <v>196</v>
      </c>
      <c r="B18" s="145">
        <f>'TX-EGM-FLSH'!$M$89</f>
        <v>19041</v>
      </c>
      <c r="C18" s="60">
        <f>'TX-EGM-GL'!$E$89</f>
        <v>18997.5</v>
      </c>
      <c r="D18" s="108">
        <f>C18-B18</f>
        <v>-43.5</v>
      </c>
      <c r="E18" s="31"/>
      <c r="F18" s="31">
        <f>'TX-HPL-GL '!G83</f>
        <v>0</v>
      </c>
      <c r="G18" s="31"/>
      <c r="H18" s="31"/>
    </row>
    <row r="19" spans="1:8" x14ac:dyDescent="0.2">
      <c r="A19" s="102" t="s">
        <v>20</v>
      </c>
      <c r="B19" s="145">
        <f>'WE-FLSH'!$M$82</f>
        <v>44566.674363455735</v>
      </c>
      <c r="C19" s="60">
        <f>'WE-GL '!$E$82</f>
        <v>-270168.81600002619</v>
      </c>
      <c r="D19" s="108">
        <f t="shared" si="0"/>
        <v>-314735.49036348192</v>
      </c>
      <c r="E19" s="31"/>
      <c r="F19" s="31">
        <f>'WE-GL '!G82</f>
        <v>1017534.4700000001</v>
      </c>
      <c r="G19" s="31"/>
      <c r="H19" s="31"/>
    </row>
    <row r="20" spans="1:8" x14ac:dyDescent="0.2">
      <c r="A20" s="102" t="s">
        <v>21</v>
      </c>
      <c r="B20" s="145">
        <f>STG_FLSH!$M$82</f>
        <v>164000</v>
      </c>
      <c r="C20" s="60">
        <f>STG_GL!$E$82</f>
        <v>1480112.6600000001</v>
      </c>
      <c r="D20" s="108">
        <f>C20-B20</f>
        <v>1316112.6600000001</v>
      </c>
      <c r="E20" s="31"/>
      <c r="F20" s="31">
        <f>STG_GL!G82</f>
        <v>7037468.6600000001</v>
      </c>
      <c r="G20" s="31"/>
      <c r="H20" s="31"/>
    </row>
    <row r="21" spans="1:8" x14ac:dyDescent="0.2">
      <c r="A21" s="102" t="s">
        <v>180</v>
      </c>
      <c r="B21" s="145">
        <f>ONT_FLSH!$M$82</f>
        <v>176228</v>
      </c>
      <c r="C21" s="60">
        <f>'ONT_GL '!$E$82</f>
        <v>175238</v>
      </c>
      <c r="D21" s="108">
        <f>C21-B21</f>
        <v>-990</v>
      </c>
      <c r="E21" s="31"/>
      <c r="F21" s="31">
        <f>'ONT_GL '!G82</f>
        <v>176228</v>
      </c>
      <c r="G21" s="31"/>
      <c r="H21" s="31"/>
    </row>
    <row r="22" spans="1:8" x14ac:dyDescent="0.2">
      <c r="A22" s="102" t="s">
        <v>188</v>
      </c>
      <c r="B22" s="145">
        <f>ONT_FLSH!$M$89</f>
        <v>129130</v>
      </c>
      <c r="C22" s="60">
        <f>'ONT_GL '!$E$89</f>
        <v>129130</v>
      </c>
      <c r="D22" s="108">
        <f>C22-B22</f>
        <v>0</v>
      </c>
      <c r="E22" s="31"/>
      <c r="F22" s="31">
        <f>'ONT_GL '!G83</f>
        <v>0</v>
      </c>
      <c r="G22" s="31"/>
      <c r="H22" s="31"/>
    </row>
    <row r="23" spans="1:8" x14ac:dyDescent="0.2">
      <c r="A23" s="171" t="s">
        <v>176</v>
      </c>
      <c r="B23" s="145">
        <f>+BGC_FLSH!M82</f>
        <v>79691</v>
      </c>
      <c r="C23" s="60">
        <f>+BGC_GL!E82</f>
        <v>668990.5100000042</v>
      </c>
      <c r="D23" s="108">
        <f>C23-B23</f>
        <v>589299.5100000042</v>
      </c>
      <c r="E23" s="31"/>
      <c r="F23" s="31">
        <f>+BGC_GL!G82</f>
        <v>-113999</v>
      </c>
      <c r="G23" s="31"/>
      <c r="H23" s="31"/>
    </row>
    <row r="24" spans="1:8" ht="21.75" customHeight="1" thickBot="1" x14ac:dyDescent="0.25">
      <c r="A24" s="102" t="s">
        <v>10</v>
      </c>
      <c r="B24" s="61">
        <f>SUM(B11:B23)</f>
        <v>-55488.270624798024</v>
      </c>
      <c r="C24" s="61">
        <f>SUM(C11:C23)</f>
        <v>1081057.4561999808</v>
      </c>
      <c r="D24" s="109">
        <f>SUM(D11:D23)</f>
        <v>1136545.7268247786</v>
      </c>
      <c r="E24" s="31"/>
      <c r="F24" s="61">
        <f>SUM(F11:F23)</f>
        <v>-29084746.070000004</v>
      </c>
      <c r="G24" s="31"/>
      <c r="H24" s="31"/>
    </row>
    <row r="25" spans="1:8" ht="21" customHeight="1" thickBot="1" x14ac:dyDescent="0.25">
      <c r="A25" s="103" t="s">
        <v>23</v>
      </c>
      <c r="B25" s="104">
        <f>TOTAL!$E$82</f>
        <v>-203659.27062478647</v>
      </c>
      <c r="C25" s="104">
        <f>TOTAL!$G$91</f>
        <v>1081057.4562000916</v>
      </c>
      <c r="D25" s="110">
        <f>TOTAL!$I$91</f>
        <v>1136545.7268248601</v>
      </c>
      <c r="E25" s="31"/>
      <c r="F25" s="31">
        <f>'TIE-OUT'!E82+RECLASS!E82</f>
        <v>-29084746.07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148170.99999998845</v>
      </c>
      <c r="C27" s="45">
        <f>+C24-C25</f>
        <v>-1.1082738637924194E-7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165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6">
        <f>+'[2]ST Warroom 99'!$B$40</f>
        <v>-230061</v>
      </c>
      <c r="C30" s="178">
        <f>C11</f>
        <v>-27430.000000002328</v>
      </c>
      <c r="D30" s="108">
        <f t="shared" ref="D30:D37" si="1">C30-B30</f>
        <v>202630.99999999767</v>
      </c>
    </row>
    <row r="31" spans="1:8" x14ac:dyDescent="0.2">
      <c r="A31" s="102" t="s">
        <v>15</v>
      </c>
      <c r="B31" s="146">
        <v>0</v>
      </c>
      <c r="C31" s="60">
        <f>C12</f>
        <v>0</v>
      </c>
      <c r="D31" s="108">
        <f t="shared" si="1"/>
        <v>0</v>
      </c>
    </row>
    <row r="32" spans="1:8" x14ac:dyDescent="0.2">
      <c r="A32" s="102" t="s">
        <v>173</v>
      </c>
      <c r="B32" s="145">
        <f>+'[2]ST Warroom 99'!$C$40+'[2]ST Warroom 99'!$D$40+'[2]ST Warroom 99'!$E$40+'[2]ST Warroom 99'!$G$40</f>
        <v>-783712</v>
      </c>
      <c r="C32" s="178">
        <f>C13+C14+C15</f>
        <v>-783713.81499998737</v>
      </c>
      <c r="D32" s="108">
        <f t="shared" si="1"/>
        <v>-1.8149999873712659</v>
      </c>
    </row>
    <row r="33" spans="1:4" x14ac:dyDescent="0.2">
      <c r="A33" s="102" t="s">
        <v>167</v>
      </c>
      <c r="B33" s="145">
        <f>+'[2]ST Warroom 99'!$H$40+'[2]ST Warroom 99'!$I$40+'[2]ST Warroom 99'!$J$40+'[2]ST Warroom 99'!$K$40</f>
        <v>-303651</v>
      </c>
      <c r="C33" s="60">
        <f>C16+C17+C18</f>
        <v>-291101.0828000076</v>
      </c>
      <c r="D33" s="108">
        <f t="shared" si="1"/>
        <v>12549.9171999924</v>
      </c>
    </row>
    <row r="34" spans="1:4" x14ac:dyDescent="0.2">
      <c r="A34" s="102" t="s">
        <v>20</v>
      </c>
      <c r="B34" s="145">
        <f>+'[2]ST Warroom 99'!$L$40</f>
        <v>-311510</v>
      </c>
      <c r="C34" s="178">
        <f>C19</f>
        <v>-270168.81600002619</v>
      </c>
      <c r="D34" s="108">
        <f t="shared" si="1"/>
        <v>41341.183999973815</v>
      </c>
    </row>
    <row r="35" spans="1:4" x14ac:dyDescent="0.2">
      <c r="A35" s="102" t="s">
        <v>21</v>
      </c>
      <c r="B35" s="145">
        <f>+'[2]ST Warroom 99'!$M$40</f>
        <v>1480113</v>
      </c>
      <c r="C35" s="60">
        <f>C20</f>
        <v>1480112.6600000001</v>
      </c>
      <c r="D35" s="108">
        <f t="shared" si="1"/>
        <v>-0.33999999985098839</v>
      </c>
    </row>
    <row r="36" spans="1:4" x14ac:dyDescent="0.2">
      <c r="A36" s="102" t="s">
        <v>180</v>
      </c>
      <c r="B36" s="145">
        <f>+'[2]ST Warroom 99'!$O$40</f>
        <v>304368</v>
      </c>
      <c r="C36" s="178">
        <f>+C21+C22</f>
        <v>304368</v>
      </c>
      <c r="D36" s="108">
        <f t="shared" si="1"/>
        <v>0</v>
      </c>
    </row>
    <row r="37" spans="1:4" x14ac:dyDescent="0.2">
      <c r="A37" s="171" t="s">
        <v>176</v>
      </c>
      <c r="B37" s="145">
        <f>+'[2]ST Warroom 99'!$F$40</f>
        <v>668991</v>
      </c>
      <c r="C37" s="178">
        <f>C23</f>
        <v>668990.5100000042</v>
      </c>
      <c r="D37" s="108">
        <f t="shared" si="1"/>
        <v>-0.48999999579973519</v>
      </c>
    </row>
    <row r="38" spans="1:4" ht="13.5" thickBot="1" x14ac:dyDescent="0.25">
      <c r="A38" s="102" t="s">
        <v>10</v>
      </c>
      <c r="B38" s="61">
        <f>SUM(B30:B37)</f>
        <v>824538</v>
      </c>
      <c r="C38" s="61">
        <f>SUM(C30:C37)</f>
        <v>1081057.4561999808</v>
      </c>
      <c r="D38" s="109">
        <f>SUM(D30:D37)</f>
        <v>256519.45619998086</v>
      </c>
    </row>
    <row r="39" spans="1:4" ht="13.5" thickBot="1" x14ac:dyDescent="0.25">
      <c r="A39" s="103" t="s">
        <v>168</v>
      </c>
      <c r="B39" s="104">
        <f>+B38</f>
        <v>824538</v>
      </c>
      <c r="C39" s="104">
        <f>TOTAL!$G$91</f>
        <v>1081057.4562000916</v>
      </c>
      <c r="D39" s="110">
        <f>C39-B39</f>
        <v>256519.45620009163</v>
      </c>
    </row>
    <row r="41" spans="1:4" x14ac:dyDescent="0.2">
      <c r="C41" s="45">
        <f>C39-[1]OAvsACT!$C$42</f>
        <v>-8.303799910005182</v>
      </c>
      <c r="D41" s="163">
        <f>-D39+[1]OAvsACT!$G$42</f>
        <v>8.303799910005182</v>
      </c>
    </row>
    <row r="42" spans="1:4" x14ac:dyDescent="0.2">
      <c r="C42" s="45"/>
      <c r="D42" s="164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8" spans="1:4" ht="13.5" thickBot="1" x14ac:dyDescent="0.25"/>
    <row r="99" spans="1:4" ht="18.75" thickBot="1" x14ac:dyDescent="0.3">
      <c r="A99" s="105" t="s">
        <v>12</v>
      </c>
      <c r="B99" s="106" t="s">
        <v>91</v>
      </c>
      <c r="C99" s="107" t="s">
        <v>8</v>
      </c>
      <c r="D99" s="107" t="s">
        <v>9</v>
      </c>
    </row>
    <row r="100" spans="1:4" x14ac:dyDescent="0.2">
      <c r="A100" s="102" t="s">
        <v>14</v>
      </c>
      <c r="B100" s="146">
        <f>'CE-FLSH'!$M$82</f>
        <v>322839.7495299885</v>
      </c>
      <c r="C100" s="60">
        <f>CE_GL!$E$82</f>
        <v>-27430.000000002328</v>
      </c>
      <c r="D100" s="108">
        <f t="shared" ref="D100:D109" si="2">C100-B100</f>
        <v>-350269.74952999083</v>
      </c>
    </row>
    <row r="101" spans="1:4" x14ac:dyDescent="0.2">
      <c r="A101" s="102" t="s">
        <v>15</v>
      </c>
      <c r="B101" s="146">
        <f>'NE-FLSH'!$M$82</f>
        <v>1177405.9056469535</v>
      </c>
      <c r="C101" s="60">
        <f>NE_GL!$E$82</f>
        <v>-1380345.0809999872</v>
      </c>
      <c r="D101" s="108">
        <f t="shared" si="2"/>
        <v>-2557750.9866469409</v>
      </c>
    </row>
    <row r="102" spans="1:4" x14ac:dyDescent="0.2">
      <c r="A102" s="102" t="s">
        <v>16</v>
      </c>
      <c r="B102" s="145">
        <f>'SE-EGM-FLSH'!$M$82</f>
        <v>0</v>
      </c>
      <c r="C102" s="60">
        <f>'SE-EGM-GL'!$E$82</f>
        <v>0</v>
      </c>
      <c r="D102" s="108">
        <f t="shared" si="2"/>
        <v>0</v>
      </c>
    </row>
    <row r="103" spans="1:4" x14ac:dyDescent="0.2">
      <c r="A103" s="102" t="s">
        <v>17</v>
      </c>
      <c r="B103" s="145">
        <f>'SE-LRC-FLSH'!$M$82</f>
        <v>-2396094.6487551928</v>
      </c>
      <c r="C103" s="60">
        <f>'SE-LRC-GL'!$E$82</f>
        <v>603537.30599999987</v>
      </c>
      <c r="D103" s="108">
        <f t="shared" si="2"/>
        <v>2999631.9547551926</v>
      </c>
    </row>
    <row r="104" spans="1:4" x14ac:dyDescent="0.2">
      <c r="A104" s="102" t="s">
        <v>18</v>
      </c>
      <c r="B104" s="145">
        <f>'TX-EGM-FLSH'!$M$82</f>
        <v>1426789.3441239614</v>
      </c>
      <c r="C104" s="60">
        <f>'TX-EGM-GL'!$E$82</f>
        <v>246135.31899999507</v>
      </c>
      <c r="D104" s="108">
        <f t="shared" si="2"/>
        <v>-1180654.0251239664</v>
      </c>
    </row>
    <row r="105" spans="1:4" x14ac:dyDescent="0.2">
      <c r="A105" s="102" t="s">
        <v>19</v>
      </c>
      <c r="B105" s="145">
        <f>'TX-HPL-FLSH'!$M$82</f>
        <v>-1199085.2955339644</v>
      </c>
      <c r="C105" s="60">
        <f>'TX-HPL-GL '!$E$82</f>
        <v>-556233.90180000267</v>
      </c>
      <c r="D105" s="108">
        <f t="shared" si="2"/>
        <v>642851.39373396174</v>
      </c>
    </row>
    <row r="106" spans="1:4" x14ac:dyDescent="0.2">
      <c r="A106" s="102" t="s">
        <v>20</v>
      </c>
      <c r="B106" s="145">
        <f>'WE-FLSH'!$M$82</f>
        <v>44566.674363455735</v>
      </c>
      <c r="C106" s="60">
        <f>'WE-GL '!$E$82</f>
        <v>-270168.81600002619</v>
      </c>
      <c r="D106" s="108">
        <f t="shared" si="2"/>
        <v>-314735.49036348192</v>
      </c>
    </row>
    <row r="107" spans="1:4" x14ac:dyDescent="0.2">
      <c r="A107" s="102" t="s">
        <v>21</v>
      </c>
      <c r="B107" s="145">
        <f>STG_FLSH!$M$82</f>
        <v>164000</v>
      </c>
      <c r="C107" s="60">
        <f>STG_GL!$E$82</f>
        <v>1480112.6600000001</v>
      </c>
      <c r="D107" s="108">
        <f t="shared" si="2"/>
        <v>1316112.6600000001</v>
      </c>
    </row>
    <row r="108" spans="1:4" x14ac:dyDescent="0.2">
      <c r="A108" s="102" t="s">
        <v>22</v>
      </c>
      <c r="B108" s="145">
        <f>ONT_FLSH!$M$82</f>
        <v>176228</v>
      </c>
      <c r="C108" s="60">
        <f>'ONT_GL '!$E$82</f>
        <v>175238</v>
      </c>
      <c r="D108" s="108">
        <f t="shared" si="2"/>
        <v>-990</v>
      </c>
    </row>
    <row r="109" spans="1:4" x14ac:dyDescent="0.2">
      <c r="A109" s="102" t="s">
        <v>175</v>
      </c>
      <c r="B109" s="145">
        <f>BGC_FLSH!$M$82</f>
        <v>79691</v>
      </c>
      <c r="C109" s="60">
        <f>BGC_GL!$E$82</f>
        <v>668990.5100000042</v>
      </c>
      <c r="D109" s="108">
        <f t="shared" si="2"/>
        <v>589299.5100000042</v>
      </c>
    </row>
    <row r="110" spans="1:4" ht="13.5" thickBot="1" x14ac:dyDescent="0.25">
      <c r="A110" s="102" t="s">
        <v>10</v>
      </c>
      <c r="B110" s="61">
        <f>SUM(B100:B109)</f>
        <v>-203659.27062479802</v>
      </c>
      <c r="C110" s="61">
        <f>SUM(C100:C109)</f>
        <v>939835.99619998084</v>
      </c>
      <c r="D110" s="109">
        <f>SUM(D100:D109)</f>
        <v>1143495.2668247786</v>
      </c>
    </row>
    <row r="111" spans="1:4" ht="13.5" thickBot="1" x14ac:dyDescent="0.25">
      <c r="A111" s="103" t="s">
        <v>23</v>
      </c>
      <c r="B111" s="104">
        <f>TOTAL!$E$82</f>
        <v>-203659.27062478647</v>
      </c>
      <c r="C111" s="104">
        <f>TOTAL!$G$82</f>
        <v>939835.99620009167</v>
      </c>
      <c r="D111" s="110">
        <f>TOTAL!$I$82</f>
        <v>1143495.2668248601</v>
      </c>
    </row>
    <row r="112" spans="1:4" x14ac:dyDescent="0.2">
      <c r="B112" s="45"/>
      <c r="C112" s="45"/>
      <c r="D112" s="45"/>
    </row>
    <row r="113" spans="1:4" x14ac:dyDescent="0.2">
      <c r="B113" s="45">
        <f>+B110-B111</f>
        <v>-1.155422069132328E-8</v>
      </c>
      <c r="C113" s="45">
        <f>+C110-C111</f>
        <v>-1.1082738637924194E-7</v>
      </c>
      <c r="D113" s="45"/>
    </row>
    <row r="114" spans="1:4" ht="13.5" thickBot="1" x14ac:dyDescent="0.25"/>
    <row r="115" spans="1:4" ht="18.75" thickBot="1" x14ac:dyDescent="0.3">
      <c r="A115" s="105" t="s">
        <v>12</v>
      </c>
      <c r="B115" s="106" t="s">
        <v>165</v>
      </c>
      <c r="C115" s="107" t="s">
        <v>8</v>
      </c>
      <c r="D115" s="107" t="s">
        <v>9</v>
      </c>
    </row>
    <row r="116" spans="1:4" x14ac:dyDescent="0.2">
      <c r="A116" s="102" t="s">
        <v>14</v>
      </c>
      <c r="B116" s="146">
        <f>'[1]ST Warroom 97&amp;98'!$B$89</f>
        <v>0</v>
      </c>
      <c r="C116" s="60">
        <f>C100</f>
        <v>-27430.000000002328</v>
      </c>
      <c r="D116" s="108">
        <f t="shared" ref="D116:D123" si="3">C116-B116</f>
        <v>-27430.000000002328</v>
      </c>
    </row>
    <row r="117" spans="1:4" x14ac:dyDescent="0.2">
      <c r="A117" s="102" t="s">
        <v>15</v>
      </c>
      <c r="B117" s="146">
        <f>'[1]ST Warroom 97&amp;98'!$C$89</f>
        <v>0</v>
      </c>
      <c r="C117" s="60">
        <f>C101</f>
        <v>-1380345.0809999872</v>
      </c>
      <c r="D117" s="108">
        <f t="shared" si="3"/>
        <v>-1380345.0809999872</v>
      </c>
    </row>
    <row r="118" spans="1:4" x14ac:dyDescent="0.2">
      <c r="A118" s="102" t="s">
        <v>166</v>
      </c>
      <c r="B118" s="145">
        <f>'[1]ST Warroom 97&amp;98'!$E$89</f>
        <v>0</v>
      </c>
      <c r="C118" s="60">
        <f>C102+C103</f>
        <v>603537.30599999987</v>
      </c>
      <c r="D118" s="108">
        <f t="shared" si="3"/>
        <v>603537.30599999987</v>
      </c>
    </row>
    <row r="119" spans="1:4" x14ac:dyDescent="0.2">
      <c r="A119" s="102" t="s">
        <v>167</v>
      </c>
      <c r="B119" s="145">
        <f>'[1]ST Warroom 97&amp;98'!$F$89</f>
        <v>0</v>
      </c>
      <c r="C119" s="60">
        <f>C104+C105</f>
        <v>-310098.5828000076</v>
      </c>
      <c r="D119" s="108">
        <f t="shared" si="3"/>
        <v>-310098.5828000076</v>
      </c>
    </row>
    <row r="120" spans="1:4" x14ac:dyDescent="0.2">
      <c r="A120" s="102" t="s">
        <v>20</v>
      </c>
      <c r="B120" s="145">
        <f>'[1]ST Warroom 97&amp;98'!$G$89</f>
        <v>0</v>
      </c>
      <c r="C120" s="60">
        <f>C106</f>
        <v>-270168.81600002619</v>
      </c>
      <c r="D120" s="108">
        <f t="shared" si="3"/>
        <v>-270168.81600002619</v>
      </c>
    </row>
    <row r="121" spans="1:4" x14ac:dyDescent="0.2">
      <c r="A121" s="102" t="s">
        <v>21</v>
      </c>
      <c r="B121" s="145">
        <f>'[1]ST Warroom 97&amp;98'!$H$89</f>
        <v>0</v>
      </c>
      <c r="C121" s="60">
        <f>C107</f>
        <v>1480112.6600000001</v>
      </c>
      <c r="D121" s="108">
        <f t="shared" si="3"/>
        <v>1480112.6600000001</v>
      </c>
    </row>
    <row r="122" spans="1:4" x14ac:dyDescent="0.2">
      <c r="A122" s="102" t="s">
        <v>22</v>
      </c>
      <c r="B122" s="145">
        <f>'[1]ST Warroom 97&amp;98'!$I$89</f>
        <v>0</v>
      </c>
      <c r="C122" s="60">
        <f>C108</f>
        <v>175238</v>
      </c>
      <c r="D122" s="108">
        <f t="shared" si="3"/>
        <v>175238</v>
      </c>
    </row>
    <row r="123" spans="1:4" x14ac:dyDescent="0.2">
      <c r="A123" s="102" t="s">
        <v>175</v>
      </c>
      <c r="B123" s="145">
        <f>'[1]ST Warroom 97&amp;98'!$D$89</f>
        <v>0</v>
      </c>
      <c r="C123" s="60">
        <f>C109</f>
        <v>668990.5100000042</v>
      </c>
      <c r="D123" s="108">
        <f t="shared" si="3"/>
        <v>668990.5100000042</v>
      </c>
    </row>
    <row r="124" spans="1:4" ht="13.5" thickBot="1" x14ac:dyDescent="0.25">
      <c r="A124" s="102" t="s">
        <v>10</v>
      </c>
      <c r="B124" s="61">
        <f>SUM(B116:B123)</f>
        <v>0</v>
      </c>
      <c r="C124" s="61">
        <f>SUM(C116:C123)</f>
        <v>939835.99619998084</v>
      </c>
      <c r="D124" s="109">
        <f>SUM(D116:D123)</f>
        <v>939835.99619998084</v>
      </c>
    </row>
    <row r="125" spans="1:4" ht="13.5" thickBot="1" x14ac:dyDescent="0.25">
      <c r="A125" s="103" t="s">
        <v>168</v>
      </c>
      <c r="B125" s="104">
        <f>'[1]ST Warroom 97&amp;98'!$M$89</f>
        <v>0</v>
      </c>
      <c r="C125" s="104">
        <f>TOTAL!$G$82</f>
        <v>939835.99620009167</v>
      </c>
      <c r="D125" s="110">
        <f>C125-B125</f>
        <v>939835.99620009167</v>
      </c>
    </row>
    <row r="127" spans="1:4" x14ac:dyDescent="0.2">
      <c r="C127" s="45">
        <f>C125-[1]OAvsACT!$C$39</f>
        <v>-27172188.783799909</v>
      </c>
      <c r="D127" s="163">
        <f>-D125+[1]OAvsACT!$G$39</f>
        <v>1732168.7837999095</v>
      </c>
    </row>
    <row r="129" spans="4:4" x14ac:dyDescent="0.2">
      <c r="D129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K187"/>
  <sheetViews>
    <sheetView zoomScale="75" workbookViewId="0">
      <pane xSplit="3" ySplit="9" topLeftCell="Z6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101715521</v>
      </c>
      <c r="E11" s="38">
        <f t="shared" si="0"/>
        <v>219252310.66000003</v>
      </c>
      <c r="F11" s="60">
        <f>'TIE-OUT'!H11+RECLASS!H11</f>
        <v>0</v>
      </c>
      <c r="G11" s="38">
        <f>'TIE-OUT'!I11+RECLASS!I11</f>
        <v>0</v>
      </c>
      <c r="H11" s="133">
        <f>+Actuals!E164</f>
        <v>101777747</v>
      </c>
      <c r="I11" s="134">
        <f>+Actuals!F164</f>
        <v>213982835.48000005</v>
      </c>
      <c r="J11" s="133">
        <f>+Actuals!G164</f>
        <v>-33056</v>
      </c>
      <c r="K11" s="153">
        <f>+Actuals!H164</f>
        <v>6500173.3500000015</v>
      </c>
      <c r="L11" s="133">
        <f>+Actuals!I164</f>
        <v>-25720</v>
      </c>
      <c r="M11" s="134">
        <f>+Actuals!J164</f>
        <v>-4943124.49</v>
      </c>
      <c r="N11" s="133">
        <f>+Actuals!K164</f>
        <v>1</v>
      </c>
      <c r="O11" s="134">
        <f>+Actuals!L164</f>
        <v>-84440.65</v>
      </c>
      <c r="P11" s="133">
        <f>+Actuals!M164</f>
        <v>-250</v>
      </c>
      <c r="Q11" s="134">
        <f>+Actuals!N164</f>
        <v>28733.85</v>
      </c>
      <c r="R11" s="133">
        <f>+Actuals!O164</f>
        <v>-3201</v>
      </c>
      <c r="S11" s="134">
        <f>+Actuals!P164</f>
        <v>-5411.38</v>
      </c>
      <c r="T11" s="133">
        <f>+Actuals!Q164</f>
        <v>0</v>
      </c>
      <c r="U11" s="134">
        <f>+Actuals!R164</f>
        <v>61667.5</v>
      </c>
      <c r="V11" s="133">
        <f>+Actuals!S164</f>
        <v>0</v>
      </c>
      <c r="W11" s="134">
        <f>+Actuals!T164</f>
        <v>0</v>
      </c>
      <c r="X11" s="133">
        <f>+Actuals!U164</f>
        <v>0</v>
      </c>
      <c r="Y11" s="134">
        <f>+Actuals!V164</f>
        <v>3711877</v>
      </c>
      <c r="Z11" s="133">
        <f>+Actuals!W164</f>
        <v>0</v>
      </c>
      <c r="AA11" s="134">
        <f>+Actuals!X164</f>
        <v>0</v>
      </c>
      <c r="AB11" s="133">
        <f>+Actuals!Y164</f>
        <v>0</v>
      </c>
      <c r="AC11" s="134">
        <f>+Actuals!Z164</f>
        <v>0</v>
      </c>
      <c r="AD11" s="133">
        <f>+Actuals!AA244</f>
        <v>0</v>
      </c>
      <c r="AE11" s="134">
        <f>+Actuals!AB244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  <c r="AJ11" s="133">
        <f>+Actuals!AG244</f>
        <v>0</v>
      </c>
      <c r="AK11" s="134">
        <f>+Actuals!AH244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-10594664.110000001</v>
      </c>
      <c r="F12" s="60">
        <f>'TIE-OUT'!H12+RECLASS!H12</f>
        <v>0</v>
      </c>
      <c r="G12" s="38">
        <f>'TIE-OUT'!I12+RECLASS!I12</f>
        <v>-10594664.110000001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</f>
        <v>0</v>
      </c>
      <c r="L12" s="133">
        <f>+Actuals!I165</f>
        <v>0</v>
      </c>
      <c r="M12" s="134">
        <f>+Actuals!J165</f>
        <v>0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+Actuals!Y165</f>
        <v>0</v>
      </c>
      <c r="AC12" s="134">
        <f>+Actuals!Z165</f>
        <v>0</v>
      </c>
      <c r="AD12" s="133">
        <f>+Actuals!AA245</f>
        <v>0</v>
      </c>
      <c r="AE12" s="134">
        <f>+Actuals!AB245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  <c r="AJ12" s="133">
        <f>+Actuals!AG245</f>
        <v>0</v>
      </c>
      <c r="AK12" s="134">
        <f>+Actuals!AH245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51679271</v>
      </c>
      <c r="E13" s="38">
        <f t="shared" si="0"/>
        <v>98255083</v>
      </c>
      <c r="F13" s="60">
        <f>'TIE-OUT'!H13+RECLASS!H13</f>
        <v>0</v>
      </c>
      <c r="G13" s="38">
        <f>'TIE-OUT'!I13+RECLASS!I13</f>
        <v>0</v>
      </c>
      <c r="H13" s="133">
        <f>+Actuals!E166</f>
        <v>51679271</v>
      </c>
      <c r="I13" s="134">
        <f>+Actuals!F166</f>
        <v>98255083</v>
      </c>
      <c r="J13" s="133">
        <f>+Actuals!G166</f>
        <v>0</v>
      </c>
      <c r="K13" s="153">
        <f>+Actuals!H166</f>
        <v>0</v>
      </c>
      <c r="L13" s="133">
        <f>+Actuals!I166</f>
        <v>-214075</v>
      </c>
      <c r="M13" s="134">
        <f>+Actuals!J166</f>
        <v>-374265</v>
      </c>
      <c r="N13" s="133">
        <f>+Actuals!K166</f>
        <v>0</v>
      </c>
      <c r="O13" s="134">
        <f>+Actuals!L166</f>
        <v>0</v>
      </c>
      <c r="P13" s="133">
        <f>+Actuals!M166</f>
        <v>-4494</v>
      </c>
      <c r="Q13" s="134">
        <f>+Actuals!N166</f>
        <v>-7707</v>
      </c>
      <c r="R13" s="133">
        <f>+Actuals!O166</f>
        <v>0</v>
      </c>
      <c r="S13" s="134">
        <f>+Actuals!P166</f>
        <v>0</v>
      </c>
      <c r="T13" s="133">
        <f>+Actuals!Q166</f>
        <v>0</v>
      </c>
      <c r="U13" s="134">
        <f>+Actuals!R166</f>
        <v>0</v>
      </c>
      <c r="V13" s="133">
        <f>+Actuals!S166</f>
        <v>0</v>
      </c>
      <c r="W13" s="134">
        <f>+Actuals!T166</f>
        <v>0</v>
      </c>
      <c r="X13" s="133">
        <f>+Actuals!U166</f>
        <v>212581</v>
      </c>
      <c r="Y13" s="134">
        <f>+Actuals!V166</f>
        <v>370643</v>
      </c>
      <c r="Z13" s="133">
        <f>+Actuals!W166</f>
        <v>258531</v>
      </c>
      <c r="AA13" s="134">
        <f>+Actuals!X166</f>
        <v>452217</v>
      </c>
      <c r="AB13" s="133">
        <f>+Actuals!Y166</f>
        <v>-252543</v>
      </c>
      <c r="AC13" s="134">
        <f>+Actuals!Z166</f>
        <v>-440888</v>
      </c>
      <c r="AD13" s="133">
        <f>+Actuals!AA246</f>
        <v>252543</v>
      </c>
      <c r="AE13" s="134">
        <f>+Actuals!AB246</f>
        <v>440888</v>
      </c>
      <c r="AF13" s="133">
        <f>+Actuals!AC246</f>
        <v>0</v>
      </c>
      <c r="AG13" s="134">
        <f>+Actuals!AD246</f>
        <v>0</v>
      </c>
      <c r="AH13" s="133">
        <f>+Actuals!AE246</f>
        <v>-252543</v>
      </c>
      <c r="AI13" s="134">
        <f>+Actuals!AF246</f>
        <v>-440888</v>
      </c>
      <c r="AJ13" s="133">
        <f>+Actuals!AG246</f>
        <v>0</v>
      </c>
      <c r="AK13" s="134">
        <f>+Actuals!AH246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+Actuals!Y167</f>
        <v>0</v>
      </c>
      <c r="AC14" s="134">
        <f>+Actuals!Z167</f>
        <v>0</v>
      </c>
      <c r="AD14" s="133">
        <f>+Actuals!AA247</f>
        <v>0</v>
      </c>
      <c r="AE14" s="134">
        <f>+Actuals!AB247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  <c r="AJ14" s="133">
        <f>+Actuals!AG247</f>
        <v>0</v>
      </c>
      <c r="AK14" s="134">
        <f>+Actuals!AH247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33">
        <f>+Actuals!E168</f>
        <v>0</v>
      </c>
      <c r="I15" s="134">
        <f>+Actuals!F168</f>
        <v>0</v>
      </c>
      <c r="J15" s="133">
        <f>+Actuals!G168</f>
        <v>0</v>
      </c>
      <c r="K15" s="153">
        <f>+Actuals!H168</f>
        <v>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+Actuals!Y168</f>
        <v>0</v>
      </c>
      <c r="AC15" s="134">
        <f>+Actuals!Z168</f>
        <v>0</v>
      </c>
      <c r="AD15" s="133">
        <f>+Actuals!AA248</f>
        <v>0</v>
      </c>
      <c r="AE15" s="134">
        <f>+Actuals!AB248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  <c r="AJ15" s="133">
        <f>+Actuals!AG248</f>
        <v>0</v>
      </c>
      <c r="AK15" s="134">
        <f>+Actuals!AH248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153394792</v>
      </c>
      <c r="E16" s="39">
        <f t="shared" si="1"/>
        <v>306912729.55000001</v>
      </c>
      <c r="F16" s="61">
        <f t="shared" si="1"/>
        <v>0</v>
      </c>
      <c r="G16" s="39">
        <f t="shared" si="1"/>
        <v>-10594664.110000001</v>
      </c>
      <c r="H16" s="61">
        <f t="shared" si="1"/>
        <v>153457018</v>
      </c>
      <c r="I16" s="39">
        <f t="shared" si="1"/>
        <v>312237918.48000002</v>
      </c>
      <c r="J16" s="61">
        <f t="shared" si="1"/>
        <v>-33056</v>
      </c>
      <c r="K16" s="154">
        <f t="shared" si="1"/>
        <v>6500173.3500000015</v>
      </c>
      <c r="L16" s="61">
        <f t="shared" si="1"/>
        <v>-239795</v>
      </c>
      <c r="M16" s="39">
        <f t="shared" si="1"/>
        <v>-5317389.49</v>
      </c>
      <c r="N16" s="61">
        <f t="shared" si="1"/>
        <v>1</v>
      </c>
      <c r="O16" s="39">
        <f t="shared" si="1"/>
        <v>-84440.65</v>
      </c>
      <c r="P16" s="61">
        <f t="shared" si="1"/>
        <v>-4744</v>
      </c>
      <c r="Q16" s="39">
        <f t="shared" si="1"/>
        <v>21026.85</v>
      </c>
      <c r="R16" s="61">
        <f t="shared" si="1"/>
        <v>-3201</v>
      </c>
      <c r="S16" s="39">
        <f t="shared" si="1"/>
        <v>-5411.38</v>
      </c>
      <c r="T16" s="61">
        <f t="shared" si="1"/>
        <v>0</v>
      </c>
      <c r="U16" s="39">
        <f t="shared" si="1"/>
        <v>61667.5</v>
      </c>
      <c r="V16" s="61">
        <f t="shared" si="1"/>
        <v>0</v>
      </c>
      <c r="W16" s="39">
        <f t="shared" si="1"/>
        <v>0</v>
      </c>
      <c r="X16" s="61">
        <f t="shared" si="1"/>
        <v>212581</v>
      </c>
      <c r="Y16" s="39">
        <f t="shared" si="1"/>
        <v>4082520</v>
      </c>
      <c r="Z16" s="61">
        <f t="shared" si="1"/>
        <v>258531</v>
      </c>
      <c r="AA16" s="39">
        <f t="shared" si="1"/>
        <v>452217</v>
      </c>
      <c r="AB16" s="61">
        <f t="shared" si="1"/>
        <v>-252543</v>
      </c>
      <c r="AC16" s="39">
        <f t="shared" si="1"/>
        <v>-440888</v>
      </c>
      <c r="AD16" s="61">
        <f t="shared" si="1"/>
        <v>252543</v>
      </c>
      <c r="AE16" s="39">
        <f t="shared" si="1"/>
        <v>440888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-252543</v>
      </c>
      <c r="AI16" s="39">
        <f t="shared" si="2"/>
        <v>-440888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-100742104</v>
      </c>
      <c r="E19" s="38">
        <f t="shared" si="3"/>
        <v>-190049504.99000001</v>
      </c>
      <c r="F19" s="64">
        <f>'TIE-OUT'!H19+RECLASS!H19</f>
        <v>0</v>
      </c>
      <c r="G19" s="68">
        <f>'TIE-OUT'!I19+RECLASS!I19</f>
        <v>0</v>
      </c>
      <c r="H19" s="133">
        <f>+Actuals!E169</f>
        <v>-100804275</v>
      </c>
      <c r="I19" s="134">
        <f>+Actuals!F169</f>
        <v>-187151056.24000001</v>
      </c>
      <c r="J19" s="133">
        <f>+Actuals!G169</f>
        <v>201126</v>
      </c>
      <c r="K19" s="153">
        <f>+Actuals!H169</f>
        <v>-2519806.14</v>
      </c>
      <c r="L19" s="133">
        <f>+Actuals!I169</f>
        <v>-91034</v>
      </c>
      <c r="M19" s="134">
        <f>+Actuals!J169</f>
        <v>-338678.19</v>
      </c>
      <c r="N19" s="133">
        <f>+Actuals!K169</f>
        <v>-20032</v>
      </c>
      <c r="O19" s="134">
        <f>+Actuals!L169</f>
        <v>-40530.03</v>
      </c>
      <c r="P19" s="133">
        <f>+Actuals!M169</f>
        <v>-2846</v>
      </c>
      <c r="Q19" s="134">
        <f>+Actuals!N169</f>
        <v>15375.9</v>
      </c>
      <c r="R19" s="133">
        <f>+Actuals!O169</f>
        <v>4611</v>
      </c>
      <c r="S19" s="134">
        <f>+Actuals!P169</f>
        <v>4728.29</v>
      </c>
      <c r="T19" s="133">
        <f>+Actuals!Q169</f>
        <v>2508</v>
      </c>
      <c r="U19" s="134">
        <f>+Actuals!R169</f>
        <v>26466.1</v>
      </c>
      <c r="V19" s="133">
        <f>+Actuals!S169</f>
        <v>2</v>
      </c>
      <c r="W19" s="134">
        <f>+Actuals!T169</f>
        <v>9.75</v>
      </c>
      <c r="X19" s="133">
        <f>+Actuals!U169</f>
        <v>-32164</v>
      </c>
      <c r="Y19" s="134">
        <f>+Actuals!V169</f>
        <v>-46014.43</v>
      </c>
      <c r="Z19" s="133">
        <f>+Actuals!W169</f>
        <v>0</v>
      </c>
      <c r="AA19" s="134">
        <f>+Actuals!X169</f>
        <v>0</v>
      </c>
      <c r="AB19" s="133">
        <f>+Actuals!Y169</f>
        <v>0</v>
      </c>
      <c r="AC19" s="134">
        <f>+Actuals!Z169</f>
        <v>0</v>
      </c>
      <c r="AD19" s="133">
        <f>+Actuals!AA249</f>
        <v>0</v>
      </c>
      <c r="AE19" s="134">
        <f>+Actuals!AB249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  <c r="AJ19" s="133">
        <f>+Actuals!AG249</f>
        <v>0</v>
      </c>
      <c r="AK19" s="134">
        <f>+Actuals!AH249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3776970.28</v>
      </c>
      <c r="F20" s="60">
        <f>'TIE-OUT'!H20+RECLASS!H20</f>
        <v>0</v>
      </c>
      <c r="G20" s="38">
        <f>'TIE-OUT'!I20+RECLASS!I20</f>
        <v>3776970.28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</f>
        <v>0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+Actuals!Y170</f>
        <v>0</v>
      </c>
      <c r="AC20" s="134">
        <f>+Actuals!Z170</f>
        <v>0</v>
      </c>
      <c r="AD20" s="133">
        <f>+Actuals!AA250</f>
        <v>0</v>
      </c>
      <c r="AE20" s="134">
        <f>+Actuals!AB250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  <c r="AJ20" s="133">
        <f>+Actuals!AG250</f>
        <v>0</v>
      </c>
      <c r="AK20" s="134">
        <f>+Actuals!AH250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-50191436</v>
      </c>
      <c r="E21" s="38">
        <f t="shared" si="3"/>
        <v>-95514268</v>
      </c>
      <c r="F21" s="60">
        <f>'TIE-OUT'!H21+RECLASS!H21</f>
        <v>0</v>
      </c>
      <c r="G21" s="38">
        <f>'TIE-OUT'!I21+RECLASS!I21</f>
        <v>0</v>
      </c>
      <c r="H21" s="133">
        <f>+Actuals!E171</f>
        <v>-50191436</v>
      </c>
      <c r="I21" s="134">
        <f>+Actuals!F171</f>
        <v>-95514268</v>
      </c>
      <c r="J21" s="133">
        <f>+Actuals!G171</f>
        <v>0</v>
      </c>
      <c r="K21" s="153">
        <f>+Actuals!H171</f>
        <v>0</v>
      </c>
      <c r="L21" s="133">
        <f>+Actuals!I171</f>
        <v>199516</v>
      </c>
      <c r="M21" s="134">
        <f>+Actuals!J171</f>
        <v>332885</v>
      </c>
      <c r="N21" s="133">
        <f>+Actuals!K171</f>
        <v>0</v>
      </c>
      <c r="O21" s="134">
        <f>+Actuals!L171</f>
        <v>0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0</v>
      </c>
      <c r="W21" s="134">
        <f>+Actuals!T171</f>
        <v>0</v>
      </c>
      <c r="X21" s="133">
        <f>+Actuals!U171</f>
        <v>-212581</v>
      </c>
      <c r="Y21" s="134">
        <f>+Actuals!V171</f>
        <v>-370643</v>
      </c>
      <c r="Z21" s="133">
        <f>+Actuals!W171</f>
        <v>-258531</v>
      </c>
      <c r="AA21" s="134">
        <f>+Actuals!X171</f>
        <v>-452217</v>
      </c>
      <c r="AB21" s="133">
        <f>+Actuals!Y171</f>
        <v>271596</v>
      </c>
      <c r="AC21" s="134">
        <f>+Actuals!Z171</f>
        <v>489975</v>
      </c>
      <c r="AD21" s="133">
        <f>+Actuals!AA251</f>
        <v>-271596</v>
      </c>
      <c r="AE21" s="134">
        <f>+Actuals!AB251</f>
        <v>-489975</v>
      </c>
      <c r="AF21" s="133">
        <f>+Actuals!AC251</f>
        <v>0</v>
      </c>
      <c r="AG21" s="134">
        <f>+Actuals!AD251</f>
        <v>0</v>
      </c>
      <c r="AH21" s="133">
        <f>+Actuals!AE251</f>
        <v>271596</v>
      </c>
      <c r="AI21" s="134">
        <f>+Actuals!AF251</f>
        <v>489975</v>
      </c>
      <c r="AJ21" s="133">
        <f>+Actuals!AG251</f>
        <v>0</v>
      </c>
      <c r="AK21" s="134">
        <f>+Actuals!AH251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+Actuals!Y172</f>
        <v>0</v>
      </c>
      <c r="AC22" s="134">
        <f>+Actuals!Z172</f>
        <v>0</v>
      </c>
      <c r="AD22" s="133">
        <f>+Actuals!AA252</f>
        <v>0</v>
      </c>
      <c r="AE22" s="134">
        <f>+Actuals!AB252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  <c r="AJ22" s="133">
        <f>+Actuals!AG252</f>
        <v>0</v>
      </c>
      <c r="AK22" s="134">
        <f>+Actuals!AH252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895129</v>
      </c>
      <c r="E23" s="38">
        <f t="shared" si="3"/>
        <v>1600490.656</v>
      </c>
      <c r="F23" s="81">
        <f>'TIE-OUT'!H23+RECLASS!H23</f>
        <v>0</v>
      </c>
      <c r="G23" s="82">
        <f>'TIE-OUT'!I23+RECLASS!I23</f>
        <v>0</v>
      </c>
      <c r="H23" s="133">
        <f>+Actuals!E173</f>
        <v>1038487</v>
      </c>
      <c r="I23" s="134">
        <f>+Actuals!F173</f>
        <v>1856814.76</v>
      </c>
      <c r="J23" s="133">
        <f>+Actuals!G173</f>
        <v>-175151</v>
      </c>
      <c r="K23" s="153">
        <f>+Actuals!H173</f>
        <v>-313169.98800000001</v>
      </c>
      <c r="L23" s="133">
        <f>+Actuals!I173</f>
        <v>34742</v>
      </c>
      <c r="M23" s="134">
        <f>+Actuals!J173</f>
        <v>62118.696000000004</v>
      </c>
      <c r="N23" s="133">
        <f>+Actuals!K173</f>
        <v>136</v>
      </c>
      <c r="O23" s="134">
        <f>+Actuals!L173</f>
        <v>243.16800000000001</v>
      </c>
      <c r="P23" s="133">
        <f>+Actuals!M173</f>
        <v>-3084</v>
      </c>
      <c r="Q23" s="134">
        <f>+Actuals!N173</f>
        <v>-5514.192</v>
      </c>
      <c r="R23" s="133">
        <f>+Actuals!O173</f>
        <v>-1</v>
      </c>
      <c r="S23" s="134">
        <f>+Actuals!P173</f>
        <v>-1.788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+Actuals!Y173</f>
        <v>0</v>
      </c>
      <c r="AC23" s="134">
        <f>+Actuals!Z173</f>
        <v>0</v>
      </c>
      <c r="AD23" s="133">
        <f>+Actuals!AA253</f>
        <v>0</v>
      </c>
      <c r="AE23" s="134">
        <f>+Actuals!AB253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  <c r="AJ23" s="133">
        <f>+Actuals!AG253</f>
        <v>0</v>
      </c>
      <c r="AK23" s="134">
        <f>+Actuals!AH253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-150038411</v>
      </c>
      <c r="E24" s="39">
        <f t="shared" si="4"/>
        <v>-280186312.05400002</v>
      </c>
      <c r="F24" s="61">
        <f t="shared" si="4"/>
        <v>0</v>
      </c>
      <c r="G24" s="39">
        <f t="shared" si="4"/>
        <v>3776970.28</v>
      </c>
      <c r="H24" s="61">
        <f t="shared" si="4"/>
        <v>-149957224</v>
      </c>
      <c r="I24" s="39">
        <f t="shared" si="4"/>
        <v>-280808509.48000002</v>
      </c>
      <c r="J24" s="61">
        <f t="shared" si="4"/>
        <v>25975</v>
      </c>
      <c r="K24" s="154">
        <f t="shared" si="4"/>
        <v>-2832976.128</v>
      </c>
      <c r="L24" s="61">
        <f t="shared" si="4"/>
        <v>143224</v>
      </c>
      <c r="M24" s="39">
        <f t="shared" si="4"/>
        <v>56325.506000000001</v>
      </c>
      <c r="N24" s="61">
        <f t="shared" si="4"/>
        <v>-19896</v>
      </c>
      <c r="O24" s="39">
        <f t="shared" si="4"/>
        <v>-40286.862000000001</v>
      </c>
      <c r="P24" s="61">
        <f t="shared" si="4"/>
        <v>-5930</v>
      </c>
      <c r="Q24" s="39">
        <f t="shared" si="4"/>
        <v>9861.7079999999987</v>
      </c>
      <c r="R24" s="61">
        <f t="shared" si="4"/>
        <v>4610</v>
      </c>
      <c r="S24" s="39">
        <f t="shared" si="4"/>
        <v>4726.5020000000004</v>
      </c>
      <c r="T24" s="61">
        <f t="shared" si="4"/>
        <v>2508</v>
      </c>
      <c r="U24" s="39">
        <f t="shared" si="4"/>
        <v>26466.1</v>
      </c>
      <c r="V24" s="61">
        <f t="shared" si="4"/>
        <v>2</v>
      </c>
      <c r="W24" s="39">
        <f t="shared" si="4"/>
        <v>9.75</v>
      </c>
      <c r="X24" s="61">
        <f t="shared" si="4"/>
        <v>-244745</v>
      </c>
      <c r="Y24" s="39">
        <f t="shared" si="4"/>
        <v>-416657.43</v>
      </c>
      <c r="Z24" s="61">
        <f t="shared" si="4"/>
        <v>-258531</v>
      </c>
      <c r="AA24" s="39">
        <f t="shared" si="4"/>
        <v>-452217</v>
      </c>
      <c r="AB24" s="61">
        <f t="shared" si="4"/>
        <v>271596</v>
      </c>
      <c r="AC24" s="39">
        <f t="shared" si="4"/>
        <v>489975</v>
      </c>
      <c r="AD24" s="61">
        <f t="shared" si="4"/>
        <v>-271596</v>
      </c>
      <c r="AE24" s="39">
        <f t="shared" si="4"/>
        <v>-489975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271596</v>
      </c>
      <c r="AI24" s="39">
        <f t="shared" si="5"/>
        <v>489975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8074037</v>
      </c>
      <c r="E27" s="38">
        <f>SUM(G27,I27,K27,M27,O27,Q27,S27,U27,W27,Y27,AA27,AC27,AE27,AG27,AI27,AK27)</f>
        <v>14398794.130000001</v>
      </c>
      <c r="F27" s="64">
        <f>'TIE-OUT'!H27+RECLASS!H27</f>
        <v>0</v>
      </c>
      <c r="G27" s="68">
        <f>'TIE-OUT'!I27+RECLASS!I27</f>
        <v>0</v>
      </c>
      <c r="H27" s="133">
        <f>+Actuals!E174</f>
        <v>8074037</v>
      </c>
      <c r="I27" s="134">
        <f>+Actuals!F174</f>
        <v>16143036.380000001</v>
      </c>
      <c r="J27" s="133">
        <f>+Actuals!G174</f>
        <v>0</v>
      </c>
      <c r="K27" s="153">
        <f>+Actuals!H174</f>
        <v>-1890126.68</v>
      </c>
      <c r="L27" s="133">
        <f>+Actuals!I174</f>
        <v>0</v>
      </c>
      <c r="M27" s="134">
        <f>+Actuals!J174</f>
        <v>112786.51</v>
      </c>
      <c r="N27" s="133">
        <f>+Actuals!K174</f>
        <v>0</v>
      </c>
      <c r="O27" s="134">
        <f>+Actuals!L174</f>
        <v>33097.919999999998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+Actuals!Y174</f>
        <v>0</v>
      </c>
      <c r="AC27" s="134">
        <f>+Actuals!Z174</f>
        <v>0</v>
      </c>
      <c r="AD27" s="133">
        <f>+Actuals!AA254</f>
        <v>0</v>
      </c>
      <c r="AE27" s="134">
        <f>+Actuals!AB254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  <c r="AJ27" s="133">
        <f>+Actuals!AG254</f>
        <v>0</v>
      </c>
      <c r="AK27" s="134">
        <f>+Actuals!AH254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-1763144</v>
      </c>
      <c r="E28" s="38">
        <f>SUM(G28,I28,K28,M28,O28,Q28,S28,U28,W28,Y28,AA28,AC28,AE28,AG28,AI28,AK28)</f>
        <v>-3119865.53</v>
      </c>
      <c r="F28" s="81">
        <f>'TIE-OUT'!H28+RECLASS!H28</f>
        <v>0</v>
      </c>
      <c r="G28" s="82">
        <f>'TIE-OUT'!I28+RECLASS!I28</f>
        <v>0</v>
      </c>
      <c r="H28" s="133">
        <f>+Actuals!E175</f>
        <v>-1820006</v>
      </c>
      <c r="I28" s="134">
        <f>+Actuals!F175</f>
        <v>-3602316</v>
      </c>
      <c r="J28" s="133">
        <f>+Actuals!G175</f>
        <v>43186</v>
      </c>
      <c r="K28" s="153">
        <f>+Actuals!H175</f>
        <v>78425.600000000006</v>
      </c>
      <c r="L28" s="133">
        <f>+Actuals!I175</f>
        <v>13676</v>
      </c>
      <c r="M28" s="134">
        <f>+Actuals!J175</f>
        <v>381774.39</v>
      </c>
      <c r="N28" s="133">
        <f>+Actuals!K175</f>
        <v>0</v>
      </c>
      <c r="O28" s="134">
        <f>+Actuals!L175</f>
        <v>19110.34</v>
      </c>
      <c r="P28" s="133">
        <f>+Actuals!M175</f>
        <v>0</v>
      </c>
      <c r="Q28" s="134">
        <f>+Actuals!N175</f>
        <v>3140.14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+Actuals!Y175</f>
        <v>0</v>
      </c>
      <c r="AC28" s="134">
        <f>+Actuals!Z175</f>
        <v>0</v>
      </c>
      <c r="AD28" s="133">
        <f>+Actuals!AA255</f>
        <v>0</v>
      </c>
      <c r="AE28" s="134">
        <f>+Actuals!AB255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  <c r="AJ28" s="133">
        <f>+Actuals!AG255</f>
        <v>0</v>
      </c>
      <c r="AK28" s="134">
        <f>+Actuals!AH255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6310893</v>
      </c>
      <c r="E29" s="39">
        <f t="shared" si="6"/>
        <v>11278928.600000001</v>
      </c>
      <c r="F29" s="61">
        <f t="shared" si="6"/>
        <v>0</v>
      </c>
      <c r="G29" s="39">
        <f t="shared" si="6"/>
        <v>0</v>
      </c>
      <c r="H29" s="61">
        <f t="shared" si="6"/>
        <v>6254031</v>
      </c>
      <c r="I29" s="39">
        <f t="shared" si="6"/>
        <v>12540720.380000001</v>
      </c>
      <c r="J29" s="61">
        <f t="shared" si="6"/>
        <v>43186</v>
      </c>
      <c r="K29" s="154">
        <f t="shared" si="6"/>
        <v>-1811701.0799999998</v>
      </c>
      <c r="L29" s="61">
        <f t="shared" si="6"/>
        <v>13676</v>
      </c>
      <c r="M29" s="39">
        <f t="shared" si="6"/>
        <v>494560.9</v>
      </c>
      <c r="N29" s="61">
        <f t="shared" si="6"/>
        <v>0</v>
      </c>
      <c r="O29" s="39">
        <f t="shared" si="6"/>
        <v>52208.259999999995</v>
      </c>
      <c r="P29" s="61">
        <f t="shared" si="6"/>
        <v>0</v>
      </c>
      <c r="Q29" s="39">
        <f t="shared" si="6"/>
        <v>3140.14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-93357</v>
      </c>
      <c r="E32" s="38">
        <f t="shared" si="8"/>
        <v>-166921.66299999997</v>
      </c>
      <c r="F32" s="64">
        <f>'TIE-OUT'!H32+RECLASS!H32</f>
        <v>0</v>
      </c>
      <c r="G32" s="68">
        <f>'TIE-OUT'!I32+RECLASS!I32</f>
        <v>0</v>
      </c>
      <c r="H32" s="133">
        <f>+Actuals!E176</f>
        <v>-25563</v>
      </c>
      <c r="I32" s="134">
        <f>+Actuals!F176</f>
        <v>-45706.64</v>
      </c>
      <c r="J32" s="133">
        <f>+Actuals!G176</f>
        <v>-909372</v>
      </c>
      <c r="K32" s="153">
        <f>+Actuals!H176</f>
        <v>-1465148.32</v>
      </c>
      <c r="L32" s="133">
        <f>+Actuals!I176</f>
        <v>69197</v>
      </c>
      <c r="M32" s="134">
        <f>+Actuals!J176</f>
        <v>-132315.764</v>
      </c>
      <c r="N32" s="133">
        <f>+Actuals!K176</f>
        <v>400923</v>
      </c>
      <c r="O32" s="134">
        <f>+Actuals!L176</f>
        <v>548531.39899999998</v>
      </c>
      <c r="P32" s="133">
        <f>+Actuals!M176</f>
        <v>42022</v>
      </c>
      <c r="Q32" s="134">
        <f>+Actuals!N176</f>
        <v>152233.728</v>
      </c>
      <c r="R32" s="133">
        <f>+Actuals!O176</f>
        <v>35302</v>
      </c>
      <c r="S32" s="134">
        <f>+Actuals!P176</f>
        <v>64738.482000000004</v>
      </c>
      <c r="T32" s="133">
        <f>+Actuals!Q176</f>
        <v>278040</v>
      </c>
      <c r="U32" s="134">
        <f>+Actuals!R176</f>
        <v>501155.67499999999</v>
      </c>
      <c r="V32" s="133">
        <f>+Actuals!S176</f>
        <v>3867</v>
      </c>
      <c r="W32" s="134">
        <f>+Actuals!T176</f>
        <v>34162.482000000004</v>
      </c>
      <c r="X32" s="133">
        <f>+Actuals!U176</f>
        <v>12227</v>
      </c>
      <c r="Y32" s="134">
        <f>+Actuals!V176</f>
        <v>175427.29500000001</v>
      </c>
      <c r="Z32" s="133">
        <f>+Actuals!W176</f>
        <v>0</v>
      </c>
      <c r="AA32" s="134">
        <f>+Actuals!X176</f>
        <v>0</v>
      </c>
      <c r="AB32" s="133">
        <f>+Actuals!Y176</f>
        <v>0</v>
      </c>
      <c r="AC32" s="134">
        <f>+Actuals!Z176</f>
        <v>0</v>
      </c>
      <c r="AD32" s="133">
        <f>+Actuals!AA256</f>
        <v>0</v>
      </c>
      <c r="AE32" s="134">
        <f>+Actuals!AB256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  <c r="AJ32" s="133">
        <f>+Actuals!AG256</f>
        <v>0</v>
      </c>
      <c r="AK32" s="134">
        <f>+Actuals!AH256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-103065</v>
      </c>
      <c r="E33" s="38">
        <f t="shared" si="8"/>
        <v>-179112.48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-567</v>
      </c>
      <c r="K33" s="153">
        <f>+Actuals!H177</f>
        <v>-1022.22</v>
      </c>
      <c r="L33" s="133">
        <f>+Actuals!I177</f>
        <v>-23655</v>
      </c>
      <c r="M33" s="134">
        <f>+Actuals!J177</f>
        <v>-41258.28</v>
      </c>
      <c r="N33" s="133">
        <f>+Actuals!K177</f>
        <v>-30214</v>
      </c>
      <c r="O33" s="134">
        <f>+Actuals!L177</f>
        <v>-53658.2</v>
      </c>
      <c r="P33" s="133">
        <f>+Actuals!M177</f>
        <v>-1251</v>
      </c>
      <c r="Q33" s="134">
        <f>+Actuals!N177</f>
        <v>-2203.04</v>
      </c>
      <c r="R33" s="133">
        <f>+Actuals!O177</f>
        <v>-43471</v>
      </c>
      <c r="S33" s="134">
        <f>+Actuals!P177</f>
        <v>-74097.27</v>
      </c>
      <c r="T33" s="133">
        <f>+Actuals!Q177</f>
        <v>0</v>
      </c>
      <c r="U33" s="134">
        <f>+Actuals!R177</f>
        <v>0</v>
      </c>
      <c r="V33" s="133">
        <f>+Actuals!S177</f>
        <v>-3869</v>
      </c>
      <c r="W33" s="134">
        <f>+Actuals!T177</f>
        <v>-6809.44</v>
      </c>
      <c r="X33" s="133">
        <f>+Actuals!U177</f>
        <v>-38</v>
      </c>
      <c r="Y33" s="134">
        <f>+Actuals!V177</f>
        <v>-64.03</v>
      </c>
      <c r="Z33" s="133">
        <f>+Actuals!W177</f>
        <v>0</v>
      </c>
      <c r="AA33" s="134">
        <f>+Actuals!X177</f>
        <v>0</v>
      </c>
      <c r="AB33" s="133">
        <f>+Actuals!Y177</f>
        <v>0</v>
      </c>
      <c r="AC33" s="134">
        <f>+Actuals!Z177</f>
        <v>0</v>
      </c>
      <c r="AD33" s="133">
        <f>+Actuals!AA257</f>
        <v>0</v>
      </c>
      <c r="AE33" s="134">
        <f>+Actuals!AB257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  <c r="AJ33" s="133">
        <f>+Actuals!AG257</f>
        <v>0</v>
      </c>
      <c r="AK33" s="134">
        <f>+Actuals!AH257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202782</v>
      </c>
      <c r="E34" s="38">
        <f t="shared" si="8"/>
        <v>350711.18999999994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162100</v>
      </c>
      <c r="K34" s="153">
        <f>+Actuals!H178</f>
        <v>281403.63</v>
      </c>
      <c r="L34" s="133">
        <f>+Actuals!I178</f>
        <v>956</v>
      </c>
      <c r="M34" s="134">
        <f>+Actuals!J178</f>
        <v>1696.91</v>
      </c>
      <c r="N34" s="133">
        <f>+Actuals!K178</f>
        <v>7</v>
      </c>
      <c r="O34" s="134">
        <f>+Actuals!L178</f>
        <v>12.11</v>
      </c>
      <c r="P34" s="133">
        <f>+Actuals!M178</f>
        <v>7121</v>
      </c>
      <c r="Q34" s="134">
        <f>+Actuals!N178</f>
        <v>12608.18</v>
      </c>
      <c r="R34" s="133">
        <f>+Actuals!O178</f>
        <v>396</v>
      </c>
      <c r="S34" s="134">
        <f>+Actuals!P178</f>
        <v>726.77</v>
      </c>
      <c r="T34" s="133">
        <f>+Actuals!Q178</f>
        <v>0</v>
      </c>
      <c r="U34" s="134">
        <f>+Actuals!R178</f>
        <v>0</v>
      </c>
      <c r="V34" s="133">
        <f>+Actuals!S178</f>
        <v>0</v>
      </c>
      <c r="W34" s="134">
        <f>+Actuals!T178</f>
        <v>0</v>
      </c>
      <c r="X34" s="133">
        <f>+Actuals!U178</f>
        <v>32202</v>
      </c>
      <c r="Y34" s="134">
        <f>+Actuals!V178</f>
        <v>54263.59</v>
      </c>
      <c r="Z34" s="133">
        <f>+Actuals!W178</f>
        <v>0</v>
      </c>
      <c r="AA34" s="134">
        <f>+Actuals!X178</f>
        <v>0</v>
      </c>
      <c r="AB34" s="133">
        <f>+Actuals!Y178</f>
        <v>0</v>
      </c>
      <c r="AC34" s="134">
        <f>+Actuals!Z178</f>
        <v>0</v>
      </c>
      <c r="AD34" s="133">
        <f>+Actuals!AA258</f>
        <v>0</v>
      </c>
      <c r="AE34" s="134">
        <f>+Actuals!AB258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  <c r="AJ34" s="133">
        <f>+Actuals!AG258</f>
        <v>0</v>
      </c>
      <c r="AK34" s="134">
        <f>+Actuals!AH258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-36367</v>
      </c>
      <c r="F35" s="81">
        <f>'TIE-OUT'!H35+RECLASS!H35</f>
        <v>0</v>
      </c>
      <c r="G35" s="82">
        <f>'TIE-OUT'!I35+RECLASS!I35</f>
        <v>0</v>
      </c>
      <c r="H35" s="133">
        <f>+Actuals!E179</f>
        <v>0</v>
      </c>
      <c r="I35" s="134">
        <f>+Actuals!F179</f>
        <v>0</v>
      </c>
      <c r="J35" s="133">
        <f>+Actuals!G179</f>
        <v>364400</v>
      </c>
      <c r="K35" s="153">
        <f>+Actuals!H179</f>
        <v>0</v>
      </c>
      <c r="L35" s="133">
        <f>+Actuals!I179</f>
        <v>0</v>
      </c>
      <c r="M35" s="134">
        <f>+Actuals!J179</f>
        <v>0</v>
      </c>
      <c r="N35" s="133">
        <f>+Actuals!K179</f>
        <v>-364400</v>
      </c>
      <c r="O35" s="134">
        <f>+Actuals!L179</f>
        <v>0</v>
      </c>
      <c r="P35" s="133">
        <f>+Actuals!M179</f>
        <v>0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0</v>
      </c>
      <c r="X35" s="133">
        <f>+Actuals!U179</f>
        <v>0</v>
      </c>
      <c r="Y35" s="134">
        <f>+Actuals!V179</f>
        <v>-36367</v>
      </c>
      <c r="Z35" s="133">
        <f>+Actuals!W179</f>
        <v>0</v>
      </c>
      <c r="AA35" s="134">
        <f>+Actuals!X179</f>
        <v>0</v>
      </c>
      <c r="AB35" s="133">
        <f>+Actuals!Y179</f>
        <v>0</v>
      </c>
      <c r="AC35" s="134">
        <f>+Actuals!Z179</f>
        <v>0</v>
      </c>
      <c r="AD35" s="133">
        <f>+Actuals!AA259</f>
        <v>0</v>
      </c>
      <c r="AE35" s="134">
        <f>+Actuals!AB259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  <c r="AJ35" s="133">
        <f>+Actuals!AG259</f>
        <v>0</v>
      </c>
      <c r="AK35" s="134">
        <f>+Actuals!AH259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6360</v>
      </c>
      <c r="E36" s="39">
        <f t="shared" si="9"/>
        <v>-31689.953000000038</v>
      </c>
      <c r="F36" s="61">
        <f t="shared" si="9"/>
        <v>0</v>
      </c>
      <c r="G36" s="39">
        <f t="shared" si="9"/>
        <v>0</v>
      </c>
      <c r="H36" s="61">
        <f t="shared" si="9"/>
        <v>-25563</v>
      </c>
      <c r="I36" s="39">
        <f t="shared" si="9"/>
        <v>-45706.64</v>
      </c>
      <c r="J36" s="61">
        <f t="shared" si="9"/>
        <v>-383439</v>
      </c>
      <c r="K36" s="154">
        <f t="shared" si="9"/>
        <v>-1184766.9100000001</v>
      </c>
      <c r="L36" s="61">
        <f t="shared" si="9"/>
        <v>46498</v>
      </c>
      <c r="M36" s="39">
        <f t="shared" si="9"/>
        <v>-171877.13399999999</v>
      </c>
      <c r="N36" s="61">
        <f t="shared" si="9"/>
        <v>6316</v>
      </c>
      <c r="O36" s="39">
        <f t="shared" si="9"/>
        <v>494885.30899999995</v>
      </c>
      <c r="P36" s="61">
        <f t="shared" si="9"/>
        <v>47892</v>
      </c>
      <c r="Q36" s="39">
        <f t="shared" si="9"/>
        <v>162638.86799999999</v>
      </c>
      <c r="R36" s="61">
        <f t="shared" si="9"/>
        <v>-7773</v>
      </c>
      <c r="S36" s="39">
        <f t="shared" si="9"/>
        <v>-8632.018</v>
      </c>
      <c r="T36" s="61">
        <f t="shared" si="9"/>
        <v>278040</v>
      </c>
      <c r="U36" s="39">
        <f t="shared" si="9"/>
        <v>501155.67499999999</v>
      </c>
      <c r="V36" s="61">
        <f t="shared" si="9"/>
        <v>-2</v>
      </c>
      <c r="W36" s="39">
        <f t="shared" si="9"/>
        <v>27353.042000000005</v>
      </c>
      <c r="X36" s="61">
        <f t="shared" si="9"/>
        <v>44391</v>
      </c>
      <c r="Y36" s="39">
        <f t="shared" si="9"/>
        <v>193259.85500000001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-5666</v>
      </c>
      <c r="E39" s="38">
        <f t="shared" si="11"/>
        <v>-13116.79</v>
      </c>
      <c r="F39" s="64">
        <f>'TIE-OUT'!H39+RECLASS!H39</f>
        <v>0</v>
      </c>
      <c r="G39" s="68">
        <f>'TIE-OUT'!I39+RECLASS!I39</f>
        <v>0</v>
      </c>
      <c r="H39" s="133">
        <f>+Actuals!E180</f>
        <v>0</v>
      </c>
      <c r="I39" s="134">
        <f>+Actuals!F180</f>
        <v>0</v>
      </c>
      <c r="J39" s="133">
        <f>+Actuals!G180</f>
        <v>0</v>
      </c>
      <c r="K39" s="153">
        <f>+Actuals!H180</f>
        <v>0</v>
      </c>
      <c r="L39" s="133">
        <f>+Actuals!I180</f>
        <v>0</v>
      </c>
      <c r="M39" s="134">
        <f>+Actuals!J180</f>
        <v>0</v>
      </c>
      <c r="N39" s="133">
        <f>+Actuals!K180</f>
        <v>0</v>
      </c>
      <c r="O39" s="134">
        <f>+Actuals!L180</f>
        <v>0</v>
      </c>
      <c r="P39" s="133">
        <f>+Actuals!M180</f>
        <v>-5666</v>
      </c>
      <c r="Q39" s="134">
        <f>+Actuals!N180</f>
        <v>-13116.79</v>
      </c>
      <c r="R39" s="133">
        <f>+Actuals!O180</f>
        <v>0</v>
      </c>
      <c r="S39" s="134">
        <f>+Actuals!P180</f>
        <v>0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+Actuals!Y180</f>
        <v>0</v>
      </c>
      <c r="AC39" s="134">
        <f>+Actuals!Z180</f>
        <v>0</v>
      </c>
      <c r="AD39" s="133">
        <f>+Actuals!AA260</f>
        <v>0</v>
      </c>
      <c r="AE39" s="134">
        <f>+Actuals!AB260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  <c r="AJ39" s="133">
        <f>+Actuals!AG260</f>
        <v>0</v>
      </c>
      <c r="AK39" s="134">
        <f>+Actuals!AH260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-8999127</v>
      </c>
      <c r="E40" s="38">
        <f t="shared" si="11"/>
        <v>-20191031.359999999</v>
      </c>
      <c r="F40" s="60">
        <f>'TIE-OUT'!H40+RECLASS!H40</f>
        <v>0</v>
      </c>
      <c r="G40" s="38">
        <f>'TIE-OUT'!I40+RECLASS!I40</f>
        <v>0</v>
      </c>
      <c r="H40" s="133">
        <f>+Actuals!E181</f>
        <v>-10091728</v>
      </c>
      <c r="I40" s="134">
        <f>+Actuals!F181</f>
        <v>-6970484.7400000002</v>
      </c>
      <c r="J40" s="133">
        <f>+Actuals!G181</f>
        <v>276407</v>
      </c>
      <c r="K40" s="153">
        <f>+Actuals!H181</f>
        <v>627077.6</v>
      </c>
      <c r="L40" s="133">
        <f>+Actuals!I181</f>
        <v>55915</v>
      </c>
      <c r="M40" s="134">
        <f>+Actuals!J181</f>
        <v>-15645931.83</v>
      </c>
      <c r="N40" s="133">
        <f>+Actuals!K181</f>
        <v>5666</v>
      </c>
      <c r="O40" s="134">
        <f>+Actuals!L181</f>
        <v>13116.79</v>
      </c>
      <c r="P40" s="133">
        <f>+Actuals!M181</f>
        <v>-37490</v>
      </c>
      <c r="Q40" s="134">
        <f>+Actuals!N181</f>
        <v>-75716.81</v>
      </c>
      <c r="R40" s="133">
        <f>+Actuals!O181</f>
        <v>0</v>
      </c>
      <c r="S40" s="134">
        <f>+Actuals!P181</f>
        <v>0</v>
      </c>
      <c r="T40" s="133">
        <f>+Actuals!Q181</f>
        <v>-278003</v>
      </c>
      <c r="U40" s="134">
        <f>+Actuals!R181</f>
        <v>1860907.59</v>
      </c>
      <c r="V40" s="133">
        <f>+Actuals!S181</f>
        <v>0</v>
      </c>
      <c r="W40" s="134">
        <f>+Actuals!T181</f>
        <v>0</v>
      </c>
      <c r="X40" s="133">
        <f>+Actuals!U181</f>
        <v>1070106</v>
      </c>
      <c r="Y40" s="134">
        <f>+Actuals!V181</f>
        <v>0.04</v>
      </c>
      <c r="Z40" s="133">
        <f>+Actuals!W181</f>
        <v>0</v>
      </c>
      <c r="AA40" s="134">
        <f>+Actuals!X181</f>
        <v>0</v>
      </c>
      <c r="AB40" s="133">
        <f>+Actuals!Y181</f>
        <v>0</v>
      </c>
      <c r="AC40" s="134">
        <f>+Actuals!Z181</f>
        <v>0</v>
      </c>
      <c r="AD40" s="133">
        <f>+Actuals!AA261</f>
        <v>0</v>
      </c>
      <c r="AE40" s="134">
        <f>+Actuals!AB261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  <c r="AJ40" s="133">
        <f>+Actuals!AG261</f>
        <v>0</v>
      </c>
      <c r="AK40" s="134">
        <f>+Actuals!AH261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117344</v>
      </c>
      <c r="F41" s="81">
        <f>'TIE-OUT'!H41+RECLASS!H41</f>
        <v>0</v>
      </c>
      <c r="G41" s="82">
        <f>'TIE-OUT'!I41+RECLASS!I41</f>
        <v>117344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+Actuals!Y182</f>
        <v>0</v>
      </c>
      <c r="AC41" s="134">
        <f>+Actuals!Z182</f>
        <v>0</v>
      </c>
      <c r="AD41" s="133">
        <f>+Actuals!AA262</f>
        <v>0</v>
      </c>
      <c r="AE41" s="134">
        <f>+Actuals!AB262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  <c r="AJ41" s="133">
        <f>+Actuals!AG262</f>
        <v>0</v>
      </c>
      <c r="AK41" s="134">
        <f>+Actuals!AH262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-8999127</v>
      </c>
      <c r="E42" s="39">
        <f t="shared" si="12"/>
        <v>-20073687.359999999</v>
      </c>
      <c r="F42" s="61">
        <f t="shared" si="12"/>
        <v>0</v>
      </c>
      <c r="G42" s="39">
        <f t="shared" si="12"/>
        <v>117344</v>
      </c>
      <c r="H42" s="61">
        <f t="shared" si="12"/>
        <v>-10091728</v>
      </c>
      <c r="I42" s="39">
        <f t="shared" si="12"/>
        <v>-6970484.7400000002</v>
      </c>
      <c r="J42" s="61">
        <f t="shared" si="12"/>
        <v>276407</v>
      </c>
      <c r="K42" s="154">
        <f t="shared" si="12"/>
        <v>627077.6</v>
      </c>
      <c r="L42" s="61">
        <f t="shared" si="12"/>
        <v>55915</v>
      </c>
      <c r="M42" s="39">
        <f t="shared" si="12"/>
        <v>-15645931.83</v>
      </c>
      <c r="N42" s="61">
        <f t="shared" si="12"/>
        <v>5666</v>
      </c>
      <c r="O42" s="39">
        <f t="shared" si="12"/>
        <v>13116.79</v>
      </c>
      <c r="P42" s="61">
        <f t="shared" si="12"/>
        <v>-37490</v>
      </c>
      <c r="Q42" s="39">
        <f t="shared" si="12"/>
        <v>-75716.81</v>
      </c>
      <c r="R42" s="61">
        <f t="shared" si="12"/>
        <v>0</v>
      </c>
      <c r="S42" s="39">
        <f t="shared" si="12"/>
        <v>0</v>
      </c>
      <c r="T42" s="61">
        <f t="shared" si="12"/>
        <v>-278003</v>
      </c>
      <c r="U42" s="39">
        <f t="shared" si="12"/>
        <v>1860907.59</v>
      </c>
      <c r="V42" s="61">
        <f t="shared" si="12"/>
        <v>0</v>
      </c>
      <c r="W42" s="39">
        <f t="shared" si="12"/>
        <v>0</v>
      </c>
      <c r="X42" s="61">
        <f t="shared" si="12"/>
        <v>1070106</v>
      </c>
      <c r="Y42" s="39">
        <f t="shared" si="12"/>
        <v>0.04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-9004793</v>
      </c>
      <c r="E43" s="39">
        <f t="shared" si="14"/>
        <v>-20086804.149999999</v>
      </c>
      <c r="F43" s="61">
        <f t="shared" si="14"/>
        <v>0</v>
      </c>
      <c r="G43" s="39">
        <f t="shared" si="14"/>
        <v>117344</v>
      </c>
      <c r="H43" s="61">
        <f t="shared" si="14"/>
        <v>-10091728</v>
      </c>
      <c r="I43" s="39">
        <f t="shared" si="14"/>
        <v>-6970484.7400000002</v>
      </c>
      <c r="J43" s="61">
        <f t="shared" si="14"/>
        <v>276407</v>
      </c>
      <c r="K43" s="154">
        <f t="shared" si="14"/>
        <v>627077.6</v>
      </c>
      <c r="L43" s="61">
        <f t="shared" si="14"/>
        <v>55915</v>
      </c>
      <c r="M43" s="39">
        <f t="shared" si="14"/>
        <v>-15645931.83</v>
      </c>
      <c r="N43" s="61">
        <f t="shared" si="14"/>
        <v>5666</v>
      </c>
      <c r="O43" s="39">
        <f t="shared" si="14"/>
        <v>13116.79</v>
      </c>
      <c r="P43" s="61">
        <f t="shared" si="14"/>
        <v>-43156</v>
      </c>
      <c r="Q43" s="39">
        <f t="shared" si="14"/>
        <v>-88833.600000000006</v>
      </c>
      <c r="R43" s="61">
        <f t="shared" si="14"/>
        <v>0</v>
      </c>
      <c r="S43" s="39">
        <f t="shared" si="14"/>
        <v>0</v>
      </c>
      <c r="T43" s="61">
        <f t="shared" si="14"/>
        <v>-278003</v>
      </c>
      <c r="U43" s="39">
        <f t="shared" si="14"/>
        <v>1860907.59</v>
      </c>
      <c r="V43" s="61">
        <f t="shared" si="14"/>
        <v>0</v>
      </c>
      <c r="W43" s="39">
        <f t="shared" si="14"/>
        <v>0</v>
      </c>
      <c r="X43" s="61">
        <f t="shared" si="14"/>
        <v>1070106</v>
      </c>
      <c r="Y43" s="39">
        <f t="shared" si="14"/>
        <v>0.04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+Actuals!Y183</f>
        <v>0</v>
      </c>
      <c r="AC45" s="134">
        <f>+Actuals!Z183</f>
        <v>0</v>
      </c>
      <c r="AD45" s="133">
        <f>+Actuals!AA263</f>
        <v>0</v>
      </c>
      <c r="AE45" s="134">
        <f>+Actuals!AB263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  <c r="AJ45" s="133">
        <f>+Actuals!AG263</f>
        <v>0</v>
      </c>
      <c r="AK45" s="134">
        <f>+Actuals!AH263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+Actuals!Y184</f>
        <v>0</v>
      </c>
      <c r="AC47" s="134">
        <f>+Actuals!Z184</f>
        <v>0</v>
      </c>
      <c r="AD47" s="133">
        <f>+Actuals!AA264</f>
        <v>0</v>
      </c>
      <c r="AE47" s="134">
        <f>+Actuals!AB264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  <c r="AJ47" s="133">
        <f>+Actuals!AG264</f>
        <v>0</v>
      </c>
      <c r="AK47" s="134">
        <f>+Actuals!AH264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-668841</v>
      </c>
      <c r="E49" s="38">
        <f t="shared" si="16"/>
        <v>-1196284.7279999999</v>
      </c>
      <c r="F49" s="60">
        <f>'TIE-OUT'!H49+RECLASS!H49</f>
        <v>0</v>
      </c>
      <c r="G49" s="38">
        <f>'TIE-OUT'!I49+RECLASS!I49</f>
        <v>0</v>
      </c>
      <c r="H49" s="133">
        <f>+Actuals!E185</f>
        <v>363466</v>
      </c>
      <c r="I49" s="134">
        <f>+Actuals!F185</f>
        <v>649877.20799999998</v>
      </c>
      <c r="J49" s="133">
        <f>+Actuals!G185</f>
        <v>70927</v>
      </c>
      <c r="K49" s="153">
        <f>+Actuals!H185</f>
        <v>126817.47599999979</v>
      </c>
      <c r="L49" s="133">
        <f>+Actuals!I185</f>
        <v>-19518</v>
      </c>
      <c r="M49" s="134">
        <f>+Actuals!J185</f>
        <v>2625350.7960000001</v>
      </c>
      <c r="N49" s="133">
        <f>+Actuals!K185</f>
        <v>7913</v>
      </c>
      <c r="O49" s="134">
        <f>+Actuals!L185</f>
        <v>-2646497.5559999999</v>
      </c>
      <c r="P49" s="133">
        <f>+Actuals!M185</f>
        <v>5938</v>
      </c>
      <c r="Q49" s="134">
        <f>+Actuals!N185</f>
        <v>10617.144</v>
      </c>
      <c r="R49" s="133">
        <f>+Actuals!O185</f>
        <v>6364</v>
      </c>
      <c r="S49" s="134">
        <f>+Actuals!P185</f>
        <v>11378.832</v>
      </c>
      <c r="T49" s="133">
        <f>+Actuals!Q185</f>
        <v>-2545</v>
      </c>
      <c r="U49" s="134">
        <f>+Actuals!R185</f>
        <v>-4550.46</v>
      </c>
      <c r="V49" s="133">
        <f>+Actuals!S185</f>
        <v>0</v>
      </c>
      <c r="W49" s="134">
        <f>+Actuals!T185</f>
        <v>0</v>
      </c>
      <c r="X49" s="133">
        <f>+Actuals!U185</f>
        <v>-1082333</v>
      </c>
      <c r="Y49" s="134">
        <f>+Actuals!V185</f>
        <v>-1935211.4040000001</v>
      </c>
      <c r="Z49" s="133">
        <f>+Actuals!W185</f>
        <v>0</v>
      </c>
      <c r="AA49" s="134">
        <f>+Actuals!X185</f>
        <v>0</v>
      </c>
      <c r="AB49" s="133">
        <f>+Actuals!Y185</f>
        <v>-19053</v>
      </c>
      <c r="AC49" s="134">
        <f>+Actuals!Z185</f>
        <v>-34066.764000000003</v>
      </c>
      <c r="AD49" s="133">
        <f>+Actuals!AA265</f>
        <v>19053</v>
      </c>
      <c r="AE49" s="134">
        <f>+Actuals!AB265</f>
        <v>34066.764000000003</v>
      </c>
      <c r="AF49" s="133">
        <f>+Actuals!AC265</f>
        <v>0</v>
      </c>
      <c r="AG49" s="134">
        <f>+Actuals!AD265</f>
        <v>0</v>
      </c>
      <c r="AH49" s="133">
        <f>+Actuals!AE265</f>
        <v>-19053</v>
      </c>
      <c r="AI49" s="134">
        <f>+Actuals!AF265</f>
        <v>-34066.764000000003</v>
      </c>
      <c r="AJ49" s="133">
        <f>+Actuals!AG265</f>
        <v>0</v>
      </c>
      <c r="AK49" s="134">
        <f>+Actuals!AH265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-1199008</v>
      </c>
      <c r="E51" s="38">
        <f t="shared" si="16"/>
        <v>-1600490.656</v>
      </c>
      <c r="F51" s="60">
        <f>'TIE-OUT'!H51+RECLASS!H51</f>
        <v>0</v>
      </c>
      <c r="G51" s="38">
        <f>'TIE-OUT'!I51+RECLASS!I51</f>
        <v>0</v>
      </c>
      <c r="H51" s="133">
        <f>+Actuals!E186</f>
        <v>-1038487</v>
      </c>
      <c r="I51" s="134">
        <f>+Actuals!F186</f>
        <v>-1856814.76</v>
      </c>
      <c r="J51" s="133">
        <f>+Actuals!G186</f>
        <v>175151</v>
      </c>
      <c r="K51" s="153">
        <f>+Actuals!H186</f>
        <v>313169.98800000001</v>
      </c>
      <c r="L51" s="133">
        <f>+Actuals!I186</f>
        <v>-34742</v>
      </c>
      <c r="M51" s="134">
        <f>+Actuals!J186</f>
        <v>-62118.696000000004</v>
      </c>
      <c r="N51" s="133">
        <f>+Actuals!K186</f>
        <v>-136</v>
      </c>
      <c r="O51" s="134">
        <f>+Actuals!L186</f>
        <v>-243.16800000000001</v>
      </c>
      <c r="P51" s="133">
        <f>+Actuals!M186</f>
        <v>3084</v>
      </c>
      <c r="Q51" s="134">
        <f>+Actuals!N186</f>
        <v>5514.192</v>
      </c>
      <c r="R51" s="133">
        <f>+Actuals!O186</f>
        <v>1</v>
      </c>
      <c r="S51" s="134">
        <f>+Actuals!P186</f>
        <v>1.788</v>
      </c>
      <c r="T51" s="133">
        <f>+Actuals!Q186</f>
        <v>0</v>
      </c>
      <c r="U51" s="134">
        <f>+Actuals!R186</f>
        <v>0</v>
      </c>
      <c r="V51" s="133">
        <f>+Actuals!S186</f>
        <v>0</v>
      </c>
      <c r="W51" s="134">
        <f>+Actuals!T186</f>
        <v>0</v>
      </c>
      <c r="X51" s="133">
        <f>+Actuals!U186</f>
        <v>-303879</v>
      </c>
      <c r="Y51" s="134">
        <f>+Actuals!V186</f>
        <v>0</v>
      </c>
      <c r="Z51" s="133">
        <f>+Actuals!W186</f>
        <v>0</v>
      </c>
      <c r="AA51" s="134">
        <f>+Actuals!X186</f>
        <v>0</v>
      </c>
      <c r="AB51" s="133">
        <f>+Actuals!Y186</f>
        <v>0</v>
      </c>
      <c r="AC51" s="134">
        <f>+Actuals!Z186</f>
        <v>0</v>
      </c>
      <c r="AD51" s="133">
        <f>+Actuals!AA266</f>
        <v>0</v>
      </c>
      <c r="AE51" s="134">
        <f>+Actuals!AB266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  <c r="AJ51" s="133">
        <f>+Actuals!AG266</f>
        <v>0</v>
      </c>
      <c r="AK51" s="134">
        <f>+Actuals!AH266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-47485773</v>
      </c>
      <c r="E54" s="38">
        <f>SUM(G54,I54,K54,M54,O54,Q54,S54,U54,W54,Y54,AA54,AC54,AE54,AG54,AI54,AK54)</f>
        <v>-1135895.81</v>
      </c>
      <c r="F54" s="64">
        <f>'TIE-OUT'!H54+RECLASS!H54</f>
        <v>0</v>
      </c>
      <c r="G54" s="68">
        <f>'TIE-OUT'!I54+RECLASS!I54</f>
        <v>0</v>
      </c>
      <c r="H54" s="133">
        <f>+Actuals!E187</f>
        <v>-50252924</v>
      </c>
      <c r="I54" s="134">
        <f>+Actuals!F187</f>
        <v>-2330384.9300000002</v>
      </c>
      <c r="J54" s="133">
        <f>+Actuals!G187</f>
        <v>2762839</v>
      </c>
      <c r="K54" s="153">
        <f>+Actuals!H187</f>
        <v>755204.55</v>
      </c>
      <c r="L54" s="133">
        <f>+Actuals!I187</f>
        <v>6517</v>
      </c>
      <c r="M54" s="134">
        <f>+Actuals!J187</f>
        <v>-38368.589999999997</v>
      </c>
      <c r="N54" s="133">
        <f>+Actuals!K187</f>
        <v>-30790</v>
      </c>
      <c r="O54" s="134">
        <f>+Actuals!L187</f>
        <v>-6283.65</v>
      </c>
      <c r="P54" s="133">
        <f>+Actuals!M187</f>
        <v>-1376</v>
      </c>
      <c r="Q54" s="134">
        <f>+Actuals!N187</f>
        <v>-13902.79</v>
      </c>
      <c r="R54" s="133">
        <f>+Actuals!O187</f>
        <v>30000</v>
      </c>
      <c r="S54" s="134">
        <f>+Actuals!P187</f>
        <v>53700</v>
      </c>
      <c r="T54" s="133">
        <f>+Actuals!Q187</f>
        <v>0</v>
      </c>
      <c r="U54" s="134">
        <f>+Actuals!R187</f>
        <v>0</v>
      </c>
      <c r="V54" s="133">
        <f>+Actuals!S187</f>
        <v>-39</v>
      </c>
      <c r="W54" s="134">
        <f>+Actuals!T187</f>
        <v>-6.4</v>
      </c>
      <c r="X54" s="133">
        <f>+Actuals!U187</f>
        <v>0</v>
      </c>
      <c r="Y54" s="134">
        <f>+Actuals!V187+444146</f>
        <v>444146</v>
      </c>
      <c r="Z54" s="133">
        <f>+Actuals!W187</f>
        <v>0</v>
      </c>
      <c r="AA54" s="134">
        <f>+Actuals!X187</f>
        <v>0</v>
      </c>
      <c r="AB54" s="133">
        <f>+Actuals!Y187</f>
        <v>0</v>
      </c>
      <c r="AC54" s="134">
        <f>+Actuals!Z187</f>
        <v>0</v>
      </c>
      <c r="AD54" s="133">
        <f>+Actuals!AA267</f>
        <v>0</v>
      </c>
      <c r="AE54" s="134">
        <f>+Actuals!AB267</f>
        <v>0</v>
      </c>
      <c r="AF54" s="133">
        <f>+Actuals!AC267</f>
        <v>0</v>
      </c>
      <c r="AG54" s="134">
        <f>+Actuals!AD267</f>
        <v>0</v>
      </c>
      <c r="AH54" s="133">
        <f>+Actuals!AE267</f>
        <v>0</v>
      </c>
      <c r="AI54" s="134">
        <f>+Actuals!AF267</f>
        <v>0</v>
      </c>
      <c r="AJ54" s="133">
        <f>+Actuals!AG267</f>
        <v>0</v>
      </c>
      <c r="AK54" s="134">
        <f>+Actuals!AH267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-15285348.920000002</v>
      </c>
      <c r="F55" s="81">
        <f>'TIE-OUT'!H55+RECLASS!H55</f>
        <v>0</v>
      </c>
      <c r="G55" s="82">
        <f>'TIE-OUT'!I55+RECLASS!I55</f>
        <v>637573.26</v>
      </c>
      <c r="H55" s="133">
        <f>+Actuals!E188</f>
        <v>0</v>
      </c>
      <c r="I55" s="134">
        <f>+Actuals!F188</f>
        <v>-15978696.720000001</v>
      </c>
      <c r="J55" s="133">
        <f>+Actuals!G188</f>
        <v>0</v>
      </c>
      <c r="K55" s="153">
        <f>+Actuals!H188</f>
        <v>-27036.05</v>
      </c>
      <c r="L55" s="133">
        <f>+Actuals!I188</f>
        <v>0</v>
      </c>
      <c r="M55" s="134">
        <f>+Actuals!J188</f>
        <v>77829.63</v>
      </c>
      <c r="N55" s="133">
        <f>+Actuals!K188</f>
        <v>0</v>
      </c>
      <c r="O55" s="134">
        <f>+Actuals!L188</f>
        <v>-543.05999999999995</v>
      </c>
      <c r="P55" s="133">
        <f>+Actuals!M188</f>
        <v>0</v>
      </c>
      <c r="Q55" s="134">
        <f>+Actuals!N188</f>
        <v>5524.02</v>
      </c>
      <c r="R55" s="133">
        <f>+Actuals!O188</f>
        <v>0</v>
      </c>
      <c r="S55" s="134">
        <f>+Actuals!P188</f>
        <v>-33.409999999999997</v>
      </c>
      <c r="T55" s="133">
        <f>+Actuals!Q188</f>
        <v>0</v>
      </c>
      <c r="U55" s="134">
        <f>+Actuals!R188</f>
        <v>33.409999999999997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+Actuals!Y188</f>
        <v>0</v>
      </c>
      <c r="AC55" s="134">
        <f>+Actuals!Z188</f>
        <v>0</v>
      </c>
      <c r="AD55" s="133">
        <f>+Actuals!AA268</f>
        <v>0</v>
      </c>
      <c r="AE55" s="134">
        <f>+Actuals!AB268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  <c r="AJ55" s="133">
        <f>+Actuals!AG268</f>
        <v>0</v>
      </c>
      <c r="AK55" s="134">
        <f>+Actuals!AH268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-47485773</v>
      </c>
      <c r="E56" s="39">
        <f t="shared" si="17"/>
        <v>-16421244.730000002</v>
      </c>
      <c r="F56" s="61">
        <f t="shared" si="17"/>
        <v>0</v>
      </c>
      <c r="G56" s="39">
        <f t="shared" si="17"/>
        <v>637573.26</v>
      </c>
      <c r="H56" s="61">
        <f t="shared" si="17"/>
        <v>-50252924</v>
      </c>
      <c r="I56" s="39">
        <f t="shared" si="17"/>
        <v>-18309081.650000002</v>
      </c>
      <c r="J56" s="61">
        <f t="shared" si="17"/>
        <v>2762839</v>
      </c>
      <c r="K56" s="154">
        <f t="shared" si="17"/>
        <v>728168.5</v>
      </c>
      <c r="L56" s="61">
        <f t="shared" si="17"/>
        <v>6517</v>
      </c>
      <c r="M56" s="39">
        <f t="shared" si="17"/>
        <v>39461.040000000008</v>
      </c>
      <c r="N56" s="61">
        <f t="shared" si="17"/>
        <v>-30790</v>
      </c>
      <c r="O56" s="39">
        <f t="shared" si="17"/>
        <v>-6826.7099999999991</v>
      </c>
      <c r="P56" s="61">
        <f t="shared" si="17"/>
        <v>-1376</v>
      </c>
      <c r="Q56" s="39">
        <f t="shared" si="17"/>
        <v>-8378.77</v>
      </c>
      <c r="R56" s="61">
        <f t="shared" si="17"/>
        <v>30000</v>
      </c>
      <c r="S56" s="39">
        <f t="shared" si="17"/>
        <v>53666.59</v>
      </c>
      <c r="T56" s="61">
        <f t="shared" si="17"/>
        <v>0</v>
      </c>
      <c r="U56" s="39">
        <f t="shared" si="17"/>
        <v>33.409999999999997</v>
      </c>
      <c r="V56" s="61">
        <f t="shared" si="17"/>
        <v>-39</v>
      </c>
      <c r="W56" s="39">
        <f t="shared" si="17"/>
        <v>-6.4</v>
      </c>
      <c r="X56" s="61">
        <f t="shared" si="17"/>
        <v>0</v>
      </c>
      <c r="Y56" s="39">
        <f t="shared" si="17"/>
        <v>444146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+Actuals!Y189</f>
        <v>0</v>
      </c>
      <c r="AC59" s="134">
        <f>+Actuals!Z189</f>
        <v>0</v>
      </c>
      <c r="AD59" s="133">
        <f>+Actuals!AA269</f>
        <v>0</v>
      </c>
      <c r="AE59" s="134">
        <f>+Actuals!AB269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  <c r="AJ59" s="133">
        <f>+Actuals!AG269</f>
        <v>0</v>
      </c>
      <c r="AK59" s="134">
        <f>+Actuals!AH269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+Actuals!Y190</f>
        <v>0</v>
      </c>
      <c r="AC60" s="134">
        <f>+Actuals!Z190</f>
        <v>0</v>
      </c>
      <c r="AD60" s="133">
        <f>+Actuals!AA270</f>
        <v>0</v>
      </c>
      <c r="AE60" s="134">
        <f>+Actuals!AB270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  <c r="AJ60" s="133">
        <f>+Actuals!AG270</f>
        <v>0</v>
      </c>
      <c r="AK60" s="134">
        <f>+Actuals!AH270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154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27083</v>
      </c>
      <c r="F64" s="64">
        <f>'TIE-OUT'!H64+RECLASS!H64</f>
        <v>0</v>
      </c>
      <c r="G64" s="68">
        <f>'TIE-OUT'!I64+RECLASS!I64</f>
        <v>27083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+Actuals!Y191</f>
        <v>0</v>
      </c>
      <c r="AC64" s="134">
        <f>+Actuals!Z191</f>
        <v>0</v>
      </c>
      <c r="AD64" s="133">
        <f>+Actuals!AA271</f>
        <v>0</v>
      </c>
      <c r="AE64" s="134">
        <f>+Actuals!AB271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  <c r="AJ64" s="133">
        <f>+Actuals!AG271</f>
        <v>0</v>
      </c>
      <c r="AK64" s="134">
        <f>+Actuals!AH271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-410000</v>
      </c>
      <c r="F65" s="81">
        <f>'TIE-OUT'!H65+RECLASS!H65</f>
        <v>0</v>
      </c>
      <c r="G65" s="82">
        <f>'TIE-OUT'!I65+RECLASS!I65</f>
        <v>-410000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+Actuals!Y192</f>
        <v>0</v>
      </c>
      <c r="AC65" s="134">
        <f>+Actuals!Z192</f>
        <v>0</v>
      </c>
      <c r="AD65" s="133">
        <f>+Actuals!AA272</f>
        <v>0</v>
      </c>
      <c r="AE65" s="134">
        <f>+Actuals!AB272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  <c r="AJ65" s="133">
        <f>+Actuals!AG272</f>
        <v>0</v>
      </c>
      <c r="AK65" s="134">
        <f>+Actuals!AH272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0</v>
      </c>
      <c r="E66" s="39">
        <f t="shared" si="21"/>
        <v>-382917</v>
      </c>
      <c r="F66" s="61">
        <f t="shared" si="21"/>
        <v>0</v>
      </c>
      <c r="G66" s="39">
        <f t="shared" si="21"/>
        <v>-382917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154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-3030699.9600000009</v>
      </c>
      <c r="F70" s="64">
        <f>'TIE-OUT'!H70+RECLASS!H70</f>
        <v>0</v>
      </c>
      <c r="G70" s="68">
        <f>'TIE-OUT'!I70+RECLASS!I70</f>
        <v>-9262457.9600000009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10759654</v>
      </c>
      <c r="L70" s="133">
        <f>+Actuals!I193</f>
        <v>0</v>
      </c>
      <c r="M70" s="134">
        <f>+Actuals!J193</f>
        <v>0</v>
      </c>
      <c r="N70" s="133">
        <f>+Actuals!K193</f>
        <v>0</v>
      </c>
      <c r="O70" s="172">
        <v>-4527896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+Actuals!Y193</f>
        <v>0</v>
      </c>
      <c r="AC70" s="134">
        <f>+Actuals!Z193</f>
        <v>0</v>
      </c>
      <c r="AD70" s="133">
        <f>+Actuals!AA273</f>
        <v>0</v>
      </c>
      <c r="AE70" s="134">
        <f>+Actuals!AB273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  <c r="AJ70" s="133">
        <f>+Actuals!AG273</f>
        <v>0</v>
      </c>
      <c r="AK70" s="134">
        <f>+Actuals!AH273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+Actuals!Y194</f>
        <v>0</v>
      </c>
      <c r="AC71" s="134">
        <f>+Actuals!Z194</f>
        <v>0</v>
      </c>
      <c r="AD71" s="133">
        <f>+Actuals!AA274</f>
        <v>0</v>
      </c>
      <c r="AE71" s="134">
        <f>+Actuals!AB274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  <c r="AJ71" s="133">
        <f>+Actuals!AG274</f>
        <v>0</v>
      </c>
      <c r="AK71" s="134">
        <f>+Actuals!AH274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-3030699.9600000009</v>
      </c>
      <c r="F72" s="61">
        <f t="shared" si="23"/>
        <v>0</v>
      </c>
      <c r="G72" s="39">
        <f t="shared" si="23"/>
        <v>-9262457.9600000009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10759654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-4527896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+Actuals!Y195</f>
        <v>0</v>
      </c>
      <c r="AC73" s="134">
        <f>+Actuals!Z195</f>
        <v>0</v>
      </c>
      <c r="AD73" s="133">
        <f>+Actuals!AA275</f>
        <v>0</v>
      </c>
      <c r="AE73" s="134">
        <f>+Actuals!AB275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  <c r="AJ73" s="133">
        <f>+Actuals!AG275</f>
        <v>0</v>
      </c>
      <c r="AK73" s="134">
        <f>+Actuals!AH275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6332587.0399999991</v>
      </c>
      <c r="F74" s="60">
        <f>'TIE-OUT'!H74+RECLASS!H74</f>
        <v>0</v>
      </c>
      <c r="G74" s="60">
        <f>'TIE-OUT'!I74+RECLASS!I74</f>
        <v>6332587.0399999991</v>
      </c>
      <c r="H74" s="133">
        <f>+Actuals!E196</f>
        <v>0</v>
      </c>
      <c r="I74" s="134">
        <f>+Actuals!F196</f>
        <v>0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34">
        <f>+Actuals!J196</f>
        <v>0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+Actuals!Y196</f>
        <v>0</v>
      </c>
      <c r="AC74" s="134">
        <f>+Actuals!Z196</f>
        <v>0</v>
      </c>
      <c r="AD74" s="133">
        <f>+Actuals!AA276</f>
        <v>0</v>
      </c>
      <c r="AE74" s="134">
        <f>+Actuals!AB276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  <c r="AJ74" s="133">
        <f>+Actuals!AG276</f>
        <v>0</v>
      </c>
      <c r="AK74" s="134">
        <f>+Actuals!AH276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16300</v>
      </c>
      <c r="F75" s="60">
        <f>'TIE-OUT'!H75+RECLASS!H75</f>
        <v>0</v>
      </c>
      <c r="G75" s="60">
        <f>'TIE-OUT'!I75+RECLASS!I75</f>
        <v>16300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+Actuals!Y197</f>
        <v>0</v>
      </c>
      <c r="AC75" s="134">
        <f>+Actuals!Z197</f>
        <v>0</v>
      </c>
      <c r="AD75" s="133">
        <f>+Actuals!AA277</f>
        <v>0</v>
      </c>
      <c r="AE75" s="134">
        <f>+Actuals!AB277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  <c r="AJ75" s="133">
        <f>+Actuals!AG277</f>
        <v>0</v>
      </c>
      <c r="AK75" s="134">
        <f>+Actuals!AH277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-184499.99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0</v>
      </c>
      <c r="J76" s="133">
        <f>+Actuals!G198</f>
        <v>0</v>
      </c>
      <c r="K76" s="153">
        <f>+Actuals!H198</f>
        <v>-184499.99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+Actuals!Y198</f>
        <v>0</v>
      </c>
      <c r="AC76" s="134">
        <f>+Actuals!Z198</f>
        <v>0</v>
      </c>
      <c r="AD76" s="133">
        <f>+Actuals!AA278</f>
        <v>0</v>
      </c>
      <c r="AE76" s="134">
        <f>+Actuals!AB278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  <c r="AJ76" s="133">
        <f>+Actuals!AG278</f>
        <v>0</v>
      </c>
      <c r="AK76" s="134">
        <f>+Actuals!AH278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-3276809</v>
      </c>
      <c r="F77" s="60">
        <f>'TIE-OUT'!H77+RECLASS!H77</f>
        <v>0</v>
      </c>
      <c r="G77" s="60">
        <f>'TIE-OUT'!I77+RECLASS!I77</f>
        <v>-3276809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+Actuals!Y199</f>
        <v>0</v>
      </c>
      <c r="AC77" s="134">
        <f>+Actuals!Z199</f>
        <v>0</v>
      </c>
      <c r="AD77" s="133">
        <f>+Actuals!AA279</f>
        <v>0</v>
      </c>
      <c r="AE77" s="134">
        <f>+Actuals!AB279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  <c r="AJ77" s="133">
        <f>+Actuals!AG279</f>
        <v>0</v>
      </c>
      <c r="AK77" s="134">
        <f>+Actuals!AH279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+Actuals!Y200</f>
        <v>0</v>
      </c>
      <c r="AC78" s="134">
        <f>+Actuals!Z200</f>
        <v>0</v>
      </c>
      <c r="AD78" s="133">
        <f>+Actuals!AA280</f>
        <v>0</v>
      </c>
      <c r="AE78" s="134">
        <f>+Actuals!AB280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  <c r="AJ78" s="133">
        <f>+Actuals!AG280</f>
        <v>0</v>
      </c>
      <c r="AK78" s="134">
        <f>+Actuals!AH280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+Actuals!Y201</f>
        <v>0</v>
      </c>
      <c r="AC79" s="134">
        <f>+Actuals!Z201</f>
        <v>0</v>
      </c>
      <c r="AD79" s="133">
        <f>+Actuals!AA281</f>
        <v>0</v>
      </c>
      <c r="AE79" s="134">
        <f>+Actuals!AB281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  <c r="AJ79" s="133">
        <f>+Actuals!AG281</f>
        <v>0</v>
      </c>
      <c r="AK79" s="134">
        <f>+Actuals!AH281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+Actuals!Y202</f>
        <v>0</v>
      </c>
      <c r="AC80" s="134">
        <f>+Actuals!Z202</f>
        <v>0</v>
      </c>
      <c r="AD80" s="133">
        <f>+Actuals!AA282</f>
        <v>0</v>
      </c>
      <c r="AE80" s="134">
        <f>+Actuals!AB282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  <c r="AJ80" s="133">
        <f>+Actuals!AG282</f>
        <v>0</v>
      </c>
      <c r="AK80" s="134">
        <f>+Actuals!AH282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476861.95</v>
      </c>
      <c r="F81" s="60">
        <f>'TIE-OUT'!H81+RECLASS!H81</f>
        <v>0</v>
      </c>
      <c r="G81" s="60">
        <f>'TIE-OUT'!I81+RECLASS!I81</f>
        <v>0</v>
      </c>
      <c r="H81" s="133">
        <f>+Actuals!E203</f>
        <v>0</v>
      </c>
      <c r="I81" s="134">
        <f>+Actuals!F203</f>
        <v>287432.57</v>
      </c>
      <c r="J81" s="133">
        <f>+Actuals!G203</f>
        <v>0</v>
      </c>
      <c r="K81" s="153">
        <f>+Actuals!H203</f>
        <v>189429.38</v>
      </c>
      <c r="L81" s="133">
        <f>+Actuals!I203</f>
        <v>0</v>
      </c>
      <c r="M81" s="134">
        <f>+Actuals!J203</f>
        <v>0</v>
      </c>
      <c r="N81" s="133">
        <f>+Actuals!K203</f>
        <v>0</v>
      </c>
      <c r="O81" s="134">
        <f>+Actuals!L203</f>
        <v>0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+Actuals!Y203</f>
        <v>0</v>
      </c>
      <c r="AC81" s="134">
        <f>+Actuals!Z203</f>
        <v>0</v>
      </c>
      <c r="AD81" s="133">
        <f>+Actuals!AA283</f>
        <v>0</v>
      </c>
      <c r="AE81" s="134">
        <f>+Actuals!AB283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  <c r="AJ81" s="133">
        <f>+Actuals!AG283</f>
        <v>0</v>
      </c>
      <c r="AK81" s="134">
        <f>+Actuals!AH283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-1380345.0809999872</v>
      </c>
      <c r="F82" s="92">
        <f>F16+F24+F29+F36+F43+F45+F47+F49</f>
        <v>0</v>
      </c>
      <c r="G82" s="93">
        <f>SUM(G72:G81)+G16+G24+G29+G36+G43+G45+G47+G49+G51+G56+G61+G66</f>
        <v>-12636073.490000002</v>
      </c>
      <c r="H82" s="92">
        <f>H16+H24+H29+H36+H43+H45+H47+H49</f>
        <v>0</v>
      </c>
      <c r="I82" s="93">
        <f>SUM(I72:I81)+I16+I24+I29+I36+I43+I45+I47+I49+I51+I56+I61+I66</f>
        <v>17725351.36799999</v>
      </c>
      <c r="J82" s="92">
        <f>J16+J24+J29+J36+J43+J45+J47+J49</f>
        <v>0</v>
      </c>
      <c r="K82" s="166">
        <f>SUM(K72:K81)+K16+K24+K29+K36+K43+K45+K47+K49+K51+K56+K61+K66</f>
        <v>13230546.186000001</v>
      </c>
      <c r="L82" s="92">
        <f>L16+L24+L29+L36+L43+L45+L47+L49</f>
        <v>0</v>
      </c>
      <c r="M82" s="93">
        <f>SUM(M72:M81)+M16+M24+M29+M36+M43+M45+M47+M49+M51+M56+M61+M66</f>
        <v>-17981618.908</v>
      </c>
      <c r="N82" s="92">
        <f>N16+N24+N29+N36+N43+N45+N47+N49</f>
        <v>0</v>
      </c>
      <c r="O82" s="93">
        <f>SUM(O72:O81)+O16+O24+O29+O36+O43+O45+O47+O49+O51+O56+O61+O66</f>
        <v>-6745980.5870000003</v>
      </c>
      <c r="P82" s="92">
        <f>P16+P24+P29+P36+P43+P45+P47+P49</f>
        <v>0</v>
      </c>
      <c r="Q82" s="93">
        <f>SUM(Q72:Q81)+Q16+Q24+Q29+Q36+Q43+Q45+Q47+Q49+Q51+Q56+Q61+Q66</f>
        <v>115586.53199999998</v>
      </c>
      <c r="R82" s="92">
        <f>R16+R24+R29+R36+R43+R45+R47+R49</f>
        <v>0</v>
      </c>
      <c r="S82" s="93">
        <f>SUM(S72:S81)+S16+S24+S29+S36+S43+S45+S47+S49+S51+S56+S61+S66</f>
        <v>55730.313999999998</v>
      </c>
      <c r="T82" s="92">
        <f>T16+T24+T29+T36+T43+T45+T47+T49</f>
        <v>0</v>
      </c>
      <c r="U82" s="93">
        <f>SUM(U72:U81)+U16+U24+U29+U36+U43+U45+U47+U49+U51+U56+U61+U66</f>
        <v>2445679.8150000004</v>
      </c>
      <c r="V82" s="92">
        <f>V16+V24+V29+V36+V43+V45+V47+V49</f>
        <v>0</v>
      </c>
      <c r="W82" s="93">
        <f>SUM(W72:W81)+W16+W24+W29+W36+W43+W45+W47+W49+W51+W56+W61+W66</f>
        <v>27356.392000000003</v>
      </c>
      <c r="X82" s="92">
        <f>X16+X24+X29+X36+X43+X45+X47+X49</f>
        <v>0</v>
      </c>
      <c r="Y82" s="93">
        <f>SUM(Y72:Y81)+Y16+Y24+Y29+Y36+Y43+Y45+Y47+Y49+Y51+Y56+Y61+Y66</f>
        <v>2368057.0609999998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15020.235999999997</v>
      </c>
      <c r="AD82" s="92">
        <f>AD16+AD24+AD29+AD36+AD43+AD45+AD47+AD49</f>
        <v>0</v>
      </c>
      <c r="AE82" s="93">
        <f>SUM(AE72:AE81)+AE16+AE24+AE29+AE36+AE43+AE45+AE47+AE49+AE51+AE56+AE61+AE66</f>
        <v>-15020.235999999997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15020.235999999997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 t="s">
        <v>193</v>
      </c>
      <c r="B85" s="3"/>
      <c r="F85" s="31"/>
      <c r="G85" s="31"/>
      <c r="H85" s="31"/>
      <c r="I85" s="31"/>
      <c r="K85"/>
      <c r="L85" s="45"/>
    </row>
    <row r="86" spans="1:37" s="3" customFormat="1" x14ac:dyDescent="0.2">
      <c r="A86" s="183"/>
      <c r="C86" s="10" t="s">
        <v>189</v>
      </c>
      <c r="D86" s="184">
        <f t="shared" ref="D86:E88" si="27">SUM(F86,H86,J86,L86,N86,P86,R86,T86,V86,X86,Z86,AB86,AD86)</f>
        <v>0</v>
      </c>
      <c r="E86" s="184">
        <f t="shared" si="27"/>
        <v>-6906.04</v>
      </c>
      <c r="F86" s="184">
        <f>'TIE-OUT'!H86+RECLASS!H86</f>
        <v>0</v>
      </c>
      <c r="G86" s="184">
        <f>'TIE-OUT'!I86+RECLASS!I86</f>
        <v>-6906.04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0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</row>
    <row r="87" spans="1:37" s="3" customFormat="1" x14ac:dyDescent="0.2">
      <c r="A87" s="183"/>
      <c r="C87" s="10" t="s">
        <v>75</v>
      </c>
      <c r="D87" s="185">
        <f t="shared" si="27"/>
        <v>0</v>
      </c>
      <c r="E87" s="185">
        <f t="shared" si="27"/>
        <v>0</v>
      </c>
      <c r="F87" s="185">
        <f>'TIE-OUT'!H87+RECLASS!H87</f>
        <v>0</v>
      </c>
      <c r="G87" s="185">
        <f>'TIE-OUT'!I87+RECLASS!I87</f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5">
        <v>0</v>
      </c>
      <c r="Z87" s="185">
        <v>0</v>
      </c>
      <c r="AA87" s="185">
        <v>0</v>
      </c>
      <c r="AB87" s="185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185">
        <v>0</v>
      </c>
      <c r="AJ87" s="185">
        <v>0</v>
      </c>
      <c r="AK87" s="185">
        <v>0</v>
      </c>
    </row>
    <row r="88" spans="1:37" s="3" customFormat="1" x14ac:dyDescent="0.2">
      <c r="A88" s="183"/>
      <c r="C88" s="10" t="s">
        <v>76</v>
      </c>
      <c r="D88" s="186">
        <f t="shared" si="27"/>
        <v>0</v>
      </c>
      <c r="E88" s="186">
        <f t="shared" si="27"/>
        <v>0</v>
      </c>
      <c r="F88" s="186">
        <f>'TIE-OUT'!H88+RECLASS!H88</f>
        <v>0</v>
      </c>
      <c r="G88" s="186">
        <f>'TIE-OUT'!I88+RECLASS!I88</f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</row>
    <row r="89" spans="1:37" s="149" customFormat="1" ht="20.25" customHeight="1" x14ac:dyDescent="0.2">
      <c r="A89" s="187"/>
      <c r="B89" s="188"/>
      <c r="C89" s="189" t="s">
        <v>190</v>
      </c>
      <c r="D89" s="190">
        <f>SUM(D86:D88)</f>
        <v>0</v>
      </c>
      <c r="E89" s="190">
        <f t="shared" ref="E89:AE89" si="28">SUM(E86:E88)</f>
        <v>-6906.04</v>
      </c>
      <c r="F89" s="190">
        <f t="shared" si="28"/>
        <v>0</v>
      </c>
      <c r="G89" s="190">
        <f t="shared" si="28"/>
        <v>-6906.04</v>
      </c>
      <c r="H89" s="190">
        <f t="shared" si="28"/>
        <v>0</v>
      </c>
      <c r="I89" s="190">
        <f t="shared" si="28"/>
        <v>0</v>
      </c>
      <c r="J89" s="190">
        <f t="shared" si="28"/>
        <v>0</v>
      </c>
      <c r="K89" s="190">
        <f t="shared" si="28"/>
        <v>0</v>
      </c>
      <c r="L89" s="190">
        <f t="shared" si="28"/>
        <v>0</v>
      </c>
      <c r="M89" s="190">
        <f t="shared" si="28"/>
        <v>0</v>
      </c>
      <c r="N89" s="190">
        <f t="shared" si="28"/>
        <v>0</v>
      </c>
      <c r="O89" s="190">
        <f t="shared" si="28"/>
        <v>0</v>
      </c>
      <c r="P89" s="190">
        <f t="shared" si="28"/>
        <v>0</v>
      </c>
      <c r="Q89" s="190">
        <f t="shared" si="28"/>
        <v>0</v>
      </c>
      <c r="R89" s="190">
        <f t="shared" si="28"/>
        <v>0</v>
      </c>
      <c r="S89" s="190">
        <f t="shared" si="28"/>
        <v>0</v>
      </c>
      <c r="T89" s="190">
        <f t="shared" si="28"/>
        <v>0</v>
      </c>
      <c r="U89" s="190">
        <f t="shared" si="28"/>
        <v>0</v>
      </c>
      <c r="V89" s="190">
        <f t="shared" si="28"/>
        <v>0</v>
      </c>
      <c r="W89" s="190">
        <f t="shared" si="28"/>
        <v>0</v>
      </c>
      <c r="X89" s="190">
        <f t="shared" si="28"/>
        <v>0</v>
      </c>
      <c r="Y89" s="190">
        <f t="shared" si="28"/>
        <v>0</v>
      </c>
      <c r="Z89" s="190">
        <f t="shared" si="28"/>
        <v>0</v>
      </c>
      <c r="AA89" s="190">
        <f t="shared" si="28"/>
        <v>0</v>
      </c>
      <c r="AB89" s="190">
        <f t="shared" si="28"/>
        <v>0</v>
      </c>
      <c r="AC89" s="190">
        <f t="shared" si="28"/>
        <v>0</v>
      </c>
      <c r="AD89" s="190">
        <f t="shared" si="28"/>
        <v>0</v>
      </c>
      <c r="AE89" s="190">
        <f t="shared" si="28"/>
        <v>0</v>
      </c>
      <c r="AF89" s="190">
        <f t="shared" ref="AF89:AK89" si="29">SUM(AF86:AF88)</f>
        <v>0</v>
      </c>
      <c r="AG89" s="190">
        <f t="shared" si="29"/>
        <v>0</v>
      </c>
      <c r="AH89" s="190">
        <f t="shared" si="29"/>
        <v>0</v>
      </c>
      <c r="AI89" s="190">
        <f t="shared" si="29"/>
        <v>0</v>
      </c>
      <c r="AJ89" s="190">
        <f t="shared" si="29"/>
        <v>0</v>
      </c>
      <c r="AK89" s="190">
        <f t="shared" si="29"/>
        <v>0</v>
      </c>
    </row>
    <row r="90" spans="1:37" x14ac:dyDescent="0.2">
      <c r="A90" s="4"/>
      <c r="B90" s="3"/>
      <c r="F90" s="31"/>
      <c r="G90" s="31"/>
      <c r="H90" s="31"/>
      <c r="I90" s="31"/>
      <c r="K90"/>
    </row>
    <row r="91" spans="1:37" s="149" customFormat="1" ht="20.25" customHeight="1" x14ac:dyDescent="0.2">
      <c r="A91" s="187"/>
      <c r="B91" s="188"/>
      <c r="C91" s="189" t="s">
        <v>191</v>
      </c>
      <c r="D91" s="190">
        <f>+D82+D89</f>
        <v>0</v>
      </c>
      <c r="E91" s="190">
        <f t="shared" ref="E91:AE91" si="30">+E82+E89</f>
        <v>-1387251.1209999872</v>
      </c>
      <c r="F91" s="190">
        <f t="shared" si="30"/>
        <v>0</v>
      </c>
      <c r="G91" s="190">
        <f t="shared" si="30"/>
        <v>-12642979.530000001</v>
      </c>
      <c r="H91" s="190">
        <f t="shared" si="30"/>
        <v>0</v>
      </c>
      <c r="I91" s="190">
        <f t="shared" si="30"/>
        <v>17725351.36799999</v>
      </c>
      <c r="J91" s="190">
        <f t="shared" si="30"/>
        <v>0</v>
      </c>
      <c r="K91" s="190">
        <f t="shared" si="30"/>
        <v>13230546.186000001</v>
      </c>
      <c r="L91" s="190">
        <f t="shared" si="30"/>
        <v>0</v>
      </c>
      <c r="M91" s="190">
        <f t="shared" si="30"/>
        <v>-17981618.908</v>
      </c>
      <c r="N91" s="190">
        <f t="shared" si="30"/>
        <v>0</v>
      </c>
      <c r="O91" s="190">
        <f t="shared" si="30"/>
        <v>-6745980.5870000003</v>
      </c>
      <c r="P91" s="190">
        <f t="shared" si="30"/>
        <v>0</v>
      </c>
      <c r="Q91" s="190">
        <f t="shared" si="30"/>
        <v>115586.53199999998</v>
      </c>
      <c r="R91" s="190">
        <f t="shared" si="30"/>
        <v>0</v>
      </c>
      <c r="S91" s="190">
        <f t="shared" si="30"/>
        <v>55730.313999999998</v>
      </c>
      <c r="T91" s="190">
        <f t="shared" si="30"/>
        <v>0</v>
      </c>
      <c r="U91" s="190">
        <f t="shared" si="30"/>
        <v>2445679.8150000004</v>
      </c>
      <c r="V91" s="190">
        <f t="shared" si="30"/>
        <v>0</v>
      </c>
      <c r="W91" s="190">
        <f t="shared" si="30"/>
        <v>27356.392000000003</v>
      </c>
      <c r="X91" s="190">
        <f t="shared" si="30"/>
        <v>0</v>
      </c>
      <c r="Y91" s="190">
        <f t="shared" si="30"/>
        <v>2368057.0609999998</v>
      </c>
      <c r="Z91" s="190">
        <f t="shared" si="30"/>
        <v>0</v>
      </c>
      <c r="AA91" s="190">
        <f t="shared" si="30"/>
        <v>0</v>
      </c>
      <c r="AB91" s="190">
        <f t="shared" si="30"/>
        <v>0</v>
      </c>
      <c r="AC91" s="190">
        <f t="shared" si="30"/>
        <v>15020.235999999997</v>
      </c>
      <c r="AD91" s="190">
        <f t="shared" si="30"/>
        <v>0</v>
      </c>
      <c r="AE91" s="190">
        <f t="shared" si="30"/>
        <v>-15020.235999999997</v>
      </c>
      <c r="AF91" s="190">
        <f t="shared" ref="AF91:AK91" si="31">+AF82+AF89</f>
        <v>0</v>
      </c>
      <c r="AG91" s="190">
        <f t="shared" si="31"/>
        <v>0</v>
      </c>
      <c r="AH91" s="190">
        <f t="shared" si="31"/>
        <v>0</v>
      </c>
      <c r="AI91" s="190">
        <f t="shared" si="31"/>
        <v>15020.235999999997</v>
      </c>
      <c r="AJ91" s="190">
        <f t="shared" si="31"/>
        <v>0</v>
      </c>
      <c r="AK91" s="190">
        <f t="shared" si="31"/>
        <v>0</v>
      </c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87"/>
  <sheetViews>
    <sheetView zoomScale="75" workbookViewId="0">
      <pane xSplit="3" ySplit="9" topLeftCell="D1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  <c r="AJ11" s="133">
        <f>+Actuals!AG204</f>
        <v>0</v>
      </c>
      <c r="AK11" s="134">
        <f>+Actuals!AH204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  <c r="AJ12" s="133">
        <f>+Actuals!AG205</f>
        <v>0</v>
      </c>
      <c r="AK12" s="134">
        <f>+Actuals!AH205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  <c r="AJ13" s="133">
        <f>+Actuals!AG206</f>
        <v>0</v>
      </c>
      <c r="AK13" s="134">
        <f>+Actuals!AH206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  <c r="AJ14" s="133">
        <f>+Actuals!AG207</f>
        <v>0</v>
      </c>
      <c r="AK14" s="134">
        <f>+Actuals!AH207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  <c r="AJ15" s="133">
        <f>+Actuals!AG208</f>
        <v>0</v>
      </c>
      <c r="AK15" s="134">
        <f>+Actuals!AH208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  <c r="AJ19" s="133">
        <f>+Actuals!AG209</f>
        <v>0</v>
      </c>
      <c r="AK19" s="134">
        <f>+Actuals!AH209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  <c r="AJ20" s="133">
        <f>+Actuals!AG210</f>
        <v>0</v>
      </c>
      <c r="AK20" s="134">
        <f>+Actuals!AH210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  <c r="AJ21" s="133">
        <f>+Actuals!AG211</f>
        <v>0</v>
      </c>
      <c r="AK21" s="134">
        <f>+Actuals!AH211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  <c r="AJ22" s="133">
        <f>+Actuals!AG212</f>
        <v>0</v>
      </c>
      <c r="AK22" s="134">
        <f>+Actuals!AH212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  <c r="AJ23" s="133">
        <f>+Actuals!AG213</f>
        <v>0</v>
      </c>
      <c r="AK23" s="134">
        <f>+Actuals!AH213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  <c r="AJ27" s="133">
        <f>+Actuals!AG214</f>
        <v>0</v>
      </c>
      <c r="AK27" s="134">
        <f>+Actuals!AH214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  <c r="AJ28" s="133">
        <f>+Actuals!AG215</f>
        <v>0</v>
      </c>
      <c r="AK28" s="134">
        <f>+Actuals!AH215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  <c r="AJ32" s="133">
        <f>+Actuals!AG216</f>
        <v>0</v>
      </c>
      <c r="AK32" s="134">
        <f>+Actuals!AH216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  <c r="AJ33" s="133">
        <f>+Actuals!AG217</f>
        <v>0</v>
      </c>
      <c r="AK33" s="134">
        <f>+Actuals!AH217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  <c r="AJ34" s="133">
        <f>+Actuals!AG218</f>
        <v>0</v>
      </c>
      <c r="AK34" s="134">
        <f>+Actuals!AH218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  <c r="AJ35" s="133">
        <f>+Actuals!AG219</f>
        <v>0</v>
      </c>
      <c r="AK35" s="134">
        <f>+Actuals!AH219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  <c r="AJ39" s="133">
        <f>+Actuals!AG220</f>
        <v>0</v>
      </c>
      <c r="AK39" s="134">
        <f>+Actuals!AH220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  <c r="AJ40" s="133">
        <f>+Actuals!AG221</f>
        <v>0</v>
      </c>
      <c r="AK40" s="134">
        <f>+Actuals!AH221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  <c r="AJ41" s="133">
        <f>+Actuals!AG222</f>
        <v>0</v>
      </c>
      <c r="AK41" s="134">
        <f>+Actuals!AH222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  <c r="AJ45" s="133">
        <f>+Actuals!AG223</f>
        <v>0</v>
      </c>
      <c r="AK45" s="134">
        <f>+Actuals!AH223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  <c r="AJ47" s="133">
        <f>+Actuals!AG224</f>
        <v>0</v>
      </c>
      <c r="AK47" s="134">
        <f>+Actuals!AH224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0</v>
      </c>
      <c r="E49" s="38">
        <f t="shared" si="16"/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  <c r="AJ49" s="133">
        <f>+Actuals!AG225</f>
        <v>0</v>
      </c>
      <c r="AK49" s="134">
        <f>+Actuals!AH225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0</v>
      </c>
      <c r="E51" s="38">
        <f t="shared" si="16"/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  <c r="AJ51" s="133">
        <f>+Actuals!AG226</f>
        <v>0</v>
      </c>
      <c r="AK51" s="134">
        <f>+Actuals!AH226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  <c r="AJ54" s="133">
        <f>+Actuals!AG227</f>
        <v>0</v>
      </c>
      <c r="AK54" s="134">
        <f>+Actuals!AH227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  <c r="AJ55" s="133">
        <f>+Actuals!AG228</f>
        <v>0</v>
      </c>
      <c r="AK55" s="134">
        <f>+Actuals!AH228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0</v>
      </c>
      <c r="E56" s="39">
        <f t="shared" si="17"/>
        <v>0</v>
      </c>
      <c r="F56" s="61">
        <f t="shared" si="17"/>
        <v>0</v>
      </c>
      <c r="G56" s="39">
        <f t="shared" si="17"/>
        <v>0</v>
      </c>
      <c r="H56" s="61">
        <f t="shared" si="17"/>
        <v>0</v>
      </c>
      <c r="I56" s="39">
        <f t="shared" si="17"/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  <c r="AJ59" s="133">
        <f>+Actuals!AG229</f>
        <v>0</v>
      </c>
      <c r="AK59" s="134">
        <f>+Actuals!AH229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  <c r="AJ60" s="133">
        <f>+Actuals!AG230</f>
        <v>0</v>
      </c>
      <c r="AK60" s="134">
        <f>+Actuals!AH230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  <c r="AJ64" s="133">
        <f>+Actuals!AG231</f>
        <v>0</v>
      </c>
      <c r="AK64" s="134">
        <f>+Actuals!AH231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  <c r="AJ65" s="133">
        <f>+Actuals!AG232</f>
        <v>0</v>
      </c>
      <c r="AK65" s="134">
        <f>+Actuals!AH232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  <c r="AJ70" s="133">
        <f>+Actuals!AG233</f>
        <v>0</v>
      </c>
      <c r="AK70" s="134">
        <f>+Actuals!AH233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  <c r="AJ71" s="133">
        <f>+Actuals!AG234</f>
        <v>0</v>
      </c>
      <c r="AK71" s="134">
        <f>+Actuals!AH234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  <c r="AJ73" s="133">
        <f>+Actuals!AG235</f>
        <v>0</v>
      </c>
      <c r="AK73" s="134">
        <f>+Actuals!AH235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  <c r="AJ74" s="133">
        <f>+Actuals!AG236</f>
        <v>0</v>
      </c>
      <c r="AK74" s="134">
        <f>+Actuals!AH236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  <c r="AJ75" s="133">
        <f>+Actuals!AG237</f>
        <v>0</v>
      </c>
      <c r="AK75" s="134">
        <f>+Actuals!AH237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  <c r="AJ76" s="133">
        <f>+Actuals!AG238</f>
        <v>0</v>
      </c>
      <c r="AK76" s="134">
        <f>+Actuals!AH238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  <c r="AJ77" s="133">
        <f>+Actuals!AG239</f>
        <v>0</v>
      </c>
      <c r="AK77" s="134">
        <f>+Actuals!AH239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  <c r="AJ78" s="133">
        <f>+Actuals!AG240</f>
        <v>0</v>
      </c>
      <c r="AK78" s="134">
        <f>+Actuals!AH240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  <c r="AJ79" s="133">
        <f>+Actuals!AG241</f>
        <v>0</v>
      </c>
      <c r="AK79" s="134">
        <f>+Actuals!AH241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  <c r="AJ80" s="133">
        <f>+Actuals!AG242</f>
        <v>0</v>
      </c>
      <c r="AK80" s="134">
        <f>+Actuals!AH242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  <c r="AJ81" s="133">
        <f>+Actuals!AG243</f>
        <v>0</v>
      </c>
      <c r="AK81" s="134">
        <f>+Actuals!AH243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K187"/>
  <sheetViews>
    <sheetView zoomScale="75" workbookViewId="0">
      <pane xSplit="3" ySplit="9" topLeftCell="T75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9" customWidth="1"/>
    <col min="12" max="37" width="15.42578125" customWidth="1"/>
    <col min="75" max="98" width="0" hidden="1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8810649</v>
      </c>
      <c r="E11" s="38">
        <f t="shared" si="0"/>
        <v>17116005.479999997</v>
      </c>
      <c r="F11" s="58">
        <f>'TIE-OUT'!J11+RECLASS!J11</f>
        <v>0</v>
      </c>
      <c r="G11" s="15">
        <f>'TIE-OUT'!K11+RECLASS!K11</f>
        <v>0</v>
      </c>
      <c r="H11" s="133">
        <f>+Actuals!E44</f>
        <v>8726924</v>
      </c>
      <c r="I11" s="134">
        <f>+Actuals!F44</f>
        <v>17753340.109999999</v>
      </c>
      <c r="J11" s="133">
        <f>+Actuals!G44</f>
        <v>62587</v>
      </c>
      <c r="K11" s="153">
        <f>+Actuals!H44</f>
        <v>-1430616.39</v>
      </c>
      <c r="L11" s="133">
        <f>+Actuals!I44</f>
        <v>0</v>
      </c>
      <c r="M11" s="134">
        <f>+Actuals!J44</f>
        <v>743539.46</v>
      </c>
      <c r="N11" s="133">
        <f>+Actuals!K44</f>
        <v>0</v>
      </c>
      <c r="O11" s="134">
        <f>+Actuals!L44</f>
        <v>12352.83</v>
      </c>
      <c r="P11" s="133">
        <f>+Actuals!M44</f>
        <v>-44182</v>
      </c>
      <c r="Q11" s="134">
        <f>+Actuals!N44</f>
        <v>-79966.44</v>
      </c>
      <c r="R11" s="133">
        <f>+Actuals!O44</f>
        <v>52875</v>
      </c>
      <c r="S11" s="134">
        <f>+Actuals!P44</f>
        <v>95703.75</v>
      </c>
      <c r="T11" s="133">
        <f>+Actuals!Q44</f>
        <v>0</v>
      </c>
      <c r="U11" s="134">
        <f>+Actuals!R44</f>
        <v>0.99</v>
      </c>
      <c r="V11" s="133">
        <f>+Actuals!S44</f>
        <v>0</v>
      </c>
      <c r="W11" s="134">
        <f>+Actuals!T44</f>
        <v>-3.13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0</v>
      </c>
      <c r="AC11" s="134">
        <f>+Actuals!Z44</f>
        <v>0</v>
      </c>
      <c r="AD11" s="133">
        <f>+Actuals!AA44</f>
        <v>12445</v>
      </c>
      <c r="AE11" s="134">
        <f>+Actuals!AB44</f>
        <v>21654.3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  <c r="AJ11" s="133">
        <f>+Actuals!AG44</f>
        <v>0</v>
      </c>
      <c r="AK11" s="134">
        <f>+Actuals!AH44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  <c r="AJ12" s="133">
        <f>+Actuals!AG45</f>
        <v>0</v>
      </c>
      <c r="AK12" s="134">
        <f>+Actuals!AH45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  <c r="AJ13" s="133">
        <f>+Actuals!AG46</f>
        <v>0</v>
      </c>
      <c r="AK13" s="134">
        <f>+Actuals!AH46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  <c r="AJ14" s="133">
        <f>+Actuals!AG47</f>
        <v>0</v>
      </c>
      <c r="AK14" s="134">
        <f>+Actuals!AH47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  <c r="AJ15" s="133">
        <f>+Actuals!AG48</f>
        <v>0</v>
      </c>
      <c r="AK15" s="134">
        <f>+Actuals!AH48</f>
        <v>0</v>
      </c>
    </row>
    <row r="16" spans="1:37" x14ac:dyDescent="0.2">
      <c r="A16" s="9"/>
      <c r="B16" s="7" t="s">
        <v>34</v>
      </c>
      <c r="C16" s="6"/>
      <c r="D16" s="61">
        <f>SUM(D11:D15)</f>
        <v>8810649</v>
      </c>
      <c r="E16" s="39">
        <f>SUM(E11:E15)</f>
        <v>17116005.479999997</v>
      </c>
      <c r="F16" s="59">
        <f t="shared" ref="F16:AE16" si="1">SUM(F11:F15)</f>
        <v>0</v>
      </c>
      <c r="G16" s="23">
        <f t="shared" si="1"/>
        <v>0</v>
      </c>
      <c r="H16" s="61">
        <f t="shared" si="1"/>
        <v>8726924</v>
      </c>
      <c r="I16" s="39">
        <f t="shared" si="1"/>
        <v>17753340.109999999</v>
      </c>
      <c r="J16" s="61">
        <f t="shared" si="1"/>
        <v>62587</v>
      </c>
      <c r="K16" s="154">
        <f t="shared" si="1"/>
        <v>-1430616.39</v>
      </c>
      <c r="L16" s="61">
        <f t="shared" si="1"/>
        <v>0</v>
      </c>
      <c r="M16" s="39">
        <f t="shared" si="1"/>
        <v>743539.46</v>
      </c>
      <c r="N16" s="61">
        <f t="shared" si="1"/>
        <v>0</v>
      </c>
      <c r="O16" s="39">
        <f t="shared" si="1"/>
        <v>12352.83</v>
      </c>
      <c r="P16" s="61">
        <f t="shared" si="1"/>
        <v>-44182</v>
      </c>
      <c r="Q16" s="39">
        <f t="shared" si="1"/>
        <v>-79966.44</v>
      </c>
      <c r="R16" s="61">
        <f t="shared" si="1"/>
        <v>52875</v>
      </c>
      <c r="S16" s="39">
        <f t="shared" si="1"/>
        <v>95703.75</v>
      </c>
      <c r="T16" s="61">
        <f t="shared" si="1"/>
        <v>0</v>
      </c>
      <c r="U16" s="39">
        <f t="shared" si="1"/>
        <v>0.99</v>
      </c>
      <c r="V16" s="61">
        <f t="shared" si="1"/>
        <v>0</v>
      </c>
      <c r="W16" s="39">
        <f t="shared" si="1"/>
        <v>-3.13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12445</v>
      </c>
      <c r="AE16" s="39">
        <f t="shared" si="1"/>
        <v>21654.3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-3643430</v>
      </c>
      <c r="E19" s="38">
        <f t="shared" si="3"/>
        <v>-6449666.7599999998</v>
      </c>
      <c r="F19" s="84">
        <f>'TIE-OUT'!J19+RECLASS!J19</f>
        <v>0</v>
      </c>
      <c r="G19" s="85">
        <f>'TIE-OUT'!K19+RECLASS!K19</f>
        <v>0</v>
      </c>
      <c r="H19" s="133">
        <f>+Actuals!E49+29391</f>
        <v>-2666137</v>
      </c>
      <c r="I19" s="134">
        <f>+Actuals!F49+52051</f>
        <v>-4591756.54</v>
      </c>
      <c r="J19" s="133">
        <f>+Actuals!G49</f>
        <v>-977293</v>
      </c>
      <c r="K19" s="153">
        <f>+Actuals!H49</f>
        <v>-1863662.83</v>
      </c>
      <c r="L19" s="133">
        <f>+Actuals!I49</f>
        <v>0</v>
      </c>
      <c r="M19" s="134">
        <f>+Actuals!J49</f>
        <v>17666.919999999998</v>
      </c>
      <c r="N19" s="133">
        <f>+Actuals!K49</f>
        <v>0</v>
      </c>
      <c r="O19" s="134">
        <f>+Actuals!L49</f>
        <v>-12115.53</v>
      </c>
      <c r="P19" s="133">
        <f>+Actuals!M49</f>
        <v>0</v>
      </c>
      <c r="Q19" s="134">
        <f>+Actuals!N49</f>
        <v>0</v>
      </c>
      <c r="R19" s="133">
        <f>+Actuals!O49</f>
        <v>0</v>
      </c>
      <c r="S19" s="134">
        <f>+Actuals!P49</f>
        <v>0</v>
      </c>
      <c r="T19" s="133">
        <f>+Actuals!Q49</f>
        <v>0</v>
      </c>
      <c r="U19" s="134">
        <f>+Actuals!R49</f>
        <v>0</v>
      </c>
      <c r="V19" s="133">
        <f>+Actuals!S49</f>
        <v>-2</v>
      </c>
      <c r="W19" s="134">
        <f>+Actuals!T49</f>
        <v>101.53</v>
      </c>
      <c r="X19" s="133">
        <f>+Actuals!U49</f>
        <v>2</v>
      </c>
      <c r="Y19" s="134">
        <f>+Actuals!V49</f>
        <v>3.5</v>
      </c>
      <c r="Z19" s="133">
        <f>+Actuals!W49</f>
        <v>0</v>
      </c>
      <c r="AA19" s="134">
        <f>+Actuals!X49</f>
        <v>96.19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0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  <c r="AJ19" s="133">
        <f>+Actuals!AG49</f>
        <v>0</v>
      </c>
      <c r="AK19" s="134">
        <f>+Actuals!AH49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-1135706.29</v>
      </c>
      <c r="F20" s="58">
        <f>'TIE-OUT'!J20+RECLASS!J20</f>
        <v>0</v>
      </c>
      <c r="G20" s="15">
        <f>'TIE-OUT'!K20+RECLASS!K20</f>
        <v>-1135706.29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  <c r="AJ20" s="133">
        <f>+Actuals!AG50</f>
        <v>0</v>
      </c>
      <c r="AK20" s="134">
        <f>+Actuals!AH50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  <c r="AJ21" s="133">
        <f>+Actuals!AG51</f>
        <v>0</v>
      </c>
      <c r="AK21" s="134">
        <f>+Actuals!AH51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  <c r="AJ22" s="133">
        <f>+Actuals!AG52</f>
        <v>0</v>
      </c>
      <c r="AK22" s="134">
        <f>+Actuals!AH52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-154</v>
      </c>
      <c r="E23" s="38">
        <f t="shared" si="3"/>
        <v>2047.83</v>
      </c>
      <c r="F23" s="98">
        <f>'TIE-OUT'!J23+RECLASS!J23</f>
        <v>0</v>
      </c>
      <c r="G23" s="99">
        <f>'TIE-OUT'!K23+RECLASS!K23</f>
        <v>0</v>
      </c>
      <c r="H23" s="133">
        <f>+Actuals!E53</f>
        <v>0</v>
      </c>
      <c r="I23" s="134">
        <f>+Actuals!F53</f>
        <v>0</v>
      </c>
      <c r="J23" s="133">
        <f>+Actuals!G53</f>
        <v>-1629</v>
      </c>
      <c r="K23" s="153">
        <f>+Actuals!H53</f>
        <v>-3685.33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</f>
        <v>0</v>
      </c>
      <c r="X23" s="133">
        <f>+Actuals!U53</f>
        <v>1500</v>
      </c>
      <c r="Y23" s="134">
        <f>+Actuals!V53+2057</f>
        <v>5776.41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-25</v>
      </c>
      <c r="AE23" s="134">
        <f>+Actuals!AB53</f>
        <v>-43.25</v>
      </c>
      <c r="AF23" s="133">
        <f>+Actuals!AC53</f>
        <v>0</v>
      </c>
      <c r="AG23" s="134">
        <f>+Actuals!AD53</f>
        <v>0</v>
      </c>
      <c r="AH23" s="133">
        <f>+Actuals!AE53</f>
        <v>-25</v>
      </c>
      <c r="AI23" s="134">
        <f>+Actuals!AF53</f>
        <v>-43.25</v>
      </c>
      <c r="AJ23" s="133">
        <f>+Actuals!AG53</f>
        <v>25</v>
      </c>
      <c r="AK23" s="134">
        <f>+Actuals!AH53</f>
        <v>43.25</v>
      </c>
    </row>
    <row r="24" spans="1:37" x14ac:dyDescent="0.2">
      <c r="A24" s="9"/>
      <c r="B24" s="7" t="s">
        <v>37</v>
      </c>
      <c r="C24" s="6"/>
      <c r="D24" s="61">
        <f>SUM(D19:D23)</f>
        <v>-3643584</v>
      </c>
      <c r="E24" s="39">
        <f>SUM(E19:E23)</f>
        <v>-7583325.2199999997</v>
      </c>
      <c r="F24" s="59">
        <f t="shared" ref="F24:AE24" si="4">SUM(F19:F23)</f>
        <v>0</v>
      </c>
      <c r="G24" s="23">
        <f t="shared" si="4"/>
        <v>-1135706.29</v>
      </c>
      <c r="H24" s="61">
        <f t="shared" si="4"/>
        <v>-2666137</v>
      </c>
      <c r="I24" s="39">
        <f t="shared" si="4"/>
        <v>-4591756.54</v>
      </c>
      <c r="J24" s="61">
        <f t="shared" si="4"/>
        <v>-978922</v>
      </c>
      <c r="K24" s="154">
        <f t="shared" si="4"/>
        <v>-1867348.1600000001</v>
      </c>
      <c r="L24" s="61">
        <f t="shared" si="4"/>
        <v>0</v>
      </c>
      <c r="M24" s="39">
        <f t="shared" si="4"/>
        <v>17666.919999999998</v>
      </c>
      <c r="N24" s="61">
        <f t="shared" si="4"/>
        <v>0</v>
      </c>
      <c r="O24" s="39">
        <f t="shared" si="4"/>
        <v>-12115.53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-2</v>
      </c>
      <c r="W24" s="39">
        <f t="shared" si="4"/>
        <v>101.53</v>
      </c>
      <c r="X24" s="61">
        <f t="shared" si="4"/>
        <v>1502</v>
      </c>
      <c r="Y24" s="39">
        <f t="shared" si="4"/>
        <v>5779.91</v>
      </c>
      <c r="Z24" s="61">
        <f t="shared" si="4"/>
        <v>0</v>
      </c>
      <c r="AA24" s="39">
        <f t="shared" si="4"/>
        <v>96.19</v>
      </c>
      <c r="AB24" s="61">
        <f t="shared" si="4"/>
        <v>0</v>
      </c>
      <c r="AC24" s="39">
        <f t="shared" si="4"/>
        <v>0</v>
      </c>
      <c r="AD24" s="61">
        <f t="shared" si="4"/>
        <v>-25</v>
      </c>
      <c r="AE24" s="39">
        <f t="shared" si="4"/>
        <v>-43.25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-25</v>
      </c>
      <c r="AI24" s="39">
        <f t="shared" si="5"/>
        <v>-43.25</v>
      </c>
      <c r="AJ24" s="61">
        <f t="shared" si="5"/>
        <v>25</v>
      </c>
      <c r="AK24" s="39">
        <f t="shared" si="5"/>
        <v>43.25</v>
      </c>
    </row>
    <row r="25" spans="1:37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2715487</v>
      </c>
      <c r="E27" s="38">
        <f>SUM(G27,I27,K27,M27,O27,Q27,S27,U27,W27,Y27,AA27,AC27,AE27,AG27,AI27,AK27)</f>
        <v>4857225.72</v>
      </c>
      <c r="F27" s="84">
        <f>'TIE-OUT'!J27+RECLASS!J27</f>
        <v>0</v>
      </c>
      <c r="G27" s="85">
        <f>'TIE-OUT'!K27+RECLASS!K27</f>
        <v>0</v>
      </c>
      <c r="H27" s="133">
        <f>+Actuals!E54</f>
        <v>2414397</v>
      </c>
      <c r="I27" s="134">
        <f>+Actuals!F54</f>
        <v>4682567.46</v>
      </c>
      <c r="J27" s="133">
        <f>+Actuals!G54</f>
        <v>298857</v>
      </c>
      <c r="K27" s="153">
        <f>+Actuals!H54</f>
        <v>159911.51999999999</v>
      </c>
      <c r="L27" s="133">
        <f>+Actuals!I54</f>
        <v>-144281</v>
      </c>
      <c r="M27" s="134">
        <f>+Actuals!J54</f>
        <v>-250858.27</v>
      </c>
      <c r="N27" s="133">
        <f>+Actuals!K54</f>
        <v>7979</v>
      </c>
      <c r="O27" s="134">
        <f>+Actuals!L54</f>
        <v>21488.66</v>
      </c>
      <c r="P27" s="133">
        <f>+Actuals!M54</f>
        <v>0</v>
      </c>
      <c r="Q27" s="134">
        <f>+Actuals!N54</f>
        <v>0.05</v>
      </c>
      <c r="R27" s="133">
        <f>+Actuals!O54</f>
        <v>0</v>
      </c>
      <c r="S27" s="134">
        <f>+Actuals!P54</f>
        <v>0</v>
      </c>
      <c r="T27" s="133">
        <f>+Actuals!Q54</f>
        <v>0</v>
      </c>
      <c r="U27" s="134">
        <f>+Actuals!R54</f>
        <v>0</v>
      </c>
      <c r="V27" s="133">
        <f>+Actuals!S54</f>
        <v>-101055</v>
      </c>
      <c r="W27" s="134">
        <f>+Actuals!T54</f>
        <v>-202110</v>
      </c>
      <c r="X27" s="133">
        <f>+Actuals!U54</f>
        <v>44577</v>
      </c>
      <c r="Y27" s="134">
        <f>+Actuals!V54</f>
        <v>99172.55</v>
      </c>
      <c r="Z27" s="133">
        <f>+Actuals!W54</f>
        <v>0</v>
      </c>
      <c r="AA27" s="134">
        <f>+Actuals!X54</f>
        <v>0</v>
      </c>
      <c r="AB27" s="133">
        <f>+Actuals!Y54</f>
        <v>277117</v>
      </c>
      <c r="AC27" s="134">
        <f>+Actuals!Z54</f>
        <v>511261.51</v>
      </c>
      <c r="AD27" s="133">
        <f>+Actuals!AA54</f>
        <v>-82104</v>
      </c>
      <c r="AE27" s="134">
        <f>+Actuals!AB54</f>
        <v>-164208</v>
      </c>
      <c r="AF27" s="133">
        <f>+Actuals!AC54</f>
        <v>0</v>
      </c>
      <c r="AG27" s="134">
        <f>+Actuals!AD54</f>
        <v>0.24</v>
      </c>
      <c r="AH27" s="133">
        <f>+Actuals!AE54</f>
        <v>0</v>
      </c>
      <c r="AI27" s="134">
        <f>+Actuals!AF54</f>
        <v>0</v>
      </c>
      <c r="AJ27" s="133">
        <f>+Actuals!AG54</f>
        <v>0</v>
      </c>
      <c r="AK27" s="134">
        <f>+Actuals!AH54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-8644052</v>
      </c>
      <c r="E28" s="38">
        <f>SUM(G28,I28,K28,M28,O28,Q28,S28,U28,W28,Y28,AA28,AC28,AE28,AG28,AI28,AK28)</f>
        <v>-15414020.459999999</v>
      </c>
      <c r="F28" s="98">
        <f>'TIE-OUT'!J28+RECLASS!J28</f>
        <v>0</v>
      </c>
      <c r="G28" s="99">
        <f>'TIE-OUT'!K28+RECLASS!K28</f>
        <v>0</v>
      </c>
      <c r="H28" s="133">
        <f>+Actuals!E55</f>
        <v>-8440837</v>
      </c>
      <c r="I28" s="134">
        <f>+Actuals!F55</f>
        <v>-16794030.91</v>
      </c>
      <c r="J28" s="133">
        <f>+Actuals!G55</f>
        <v>-46971</v>
      </c>
      <c r="K28" s="153">
        <f>+Actuals!H55</f>
        <v>1653235.31</v>
      </c>
      <c r="L28" s="133">
        <f>+Actuals!I55</f>
        <v>6294</v>
      </c>
      <c r="M28" s="134">
        <f>+Actuals!J55</f>
        <v>43981.49</v>
      </c>
      <c r="N28" s="133">
        <f>+Actuals!K55</f>
        <v>0</v>
      </c>
      <c r="O28" s="134">
        <f>+Actuals!L55</f>
        <v>-33097.86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-8693</v>
      </c>
      <c r="U28" s="134">
        <f>+Actuals!R55</f>
        <v>-17386</v>
      </c>
      <c r="V28" s="133">
        <f>+Actuals!S55</f>
        <v>38955</v>
      </c>
      <c r="W28" s="134">
        <f>+Actuals!T55</f>
        <v>77910</v>
      </c>
      <c r="X28" s="133">
        <f>+Actuals!U55</f>
        <v>2213</v>
      </c>
      <c r="Y28" s="134">
        <f>+Actuals!V55-2057</f>
        <v>2421.2299999999996</v>
      </c>
      <c r="Z28" s="133">
        <f>+Actuals!W55</f>
        <v>0</v>
      </c>
      <c r="AA28" s="134">
        <f>+Actuals!X55</f>
        <v>0</v>
      </c>
      <c r="AB28" s="133">
        <f>+Actuals!Y55</f>
        <v>-195013</v>
      </c>
      <c r="AC28" s="134">
        <f>+Actuals!Z55</f>
        <v>-347053.48</v>
      </c>
      <c r="AD28" s="133">
        <f>+Actuals!AA55</f>
        <v>0</v>
      </c>
      <c r="AE28" s="134">
        <f>+Actuals!AB55</f>
        <v>0</v>
      </c>
      <c r="AF28" s="133">
        <f>+Actuals!AC55</f>
        <v>0</v>
      </c>
      <c r="AG28" s="134">
        <f>+Actuals!AD55</f>
        <v>-0.24</v>
      </c>
      <c r="AH28" s="133">
        <f>+Actuals!AE55</f>
        <v>0</v>
      </c>
      <c r="AI28" s="134">
        <f>+Actuals!AF55</f>
        <v>0</v>
      </c>
      <c r="AJ28" s="133">
        <f>+Actuals!AG55</f>
        <v>0</v>
      </c>
      <c r="AK28" s="134">
        <f>+Actuals!AH55</f>
        <v>0</v>
      </c>
    </row>
    <row r="29" spans="1:37" x14ac:dyDescent="0.2">
      <c r="A29" s="9"/>
      <c r="B29" s="7" t="s">
        <v>41</v>
      </c>
      <c r="C29" s="18"/>
      <c r="D29" s="61">
        <f>SUM(D27:D28)</f>
        <v>-5928565</v>
      </c>
      <c r="E29" s="39">
        <f>SUM(E27:E28)</f>
        <v>-10556794.739999998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-6026440</v>
      </c>
      <c r="I29" s="39">
        <f t="shared" si="6"/>
        <v>-12111463.449999999</v>
      </c>
      <c r="J29" s="61">
        <f t="shared" si="6"/>
        <v>251886</v>
      </c>
      <c r="K29" s="154">
        <f t="shared" si="6"/>
        <v>1813146.83</v>
      </c>
      <c r="L29" s="61">
        <f t="shared" si="6"/>
        <v>-137987</v>
      </c>
      <c r="M29" s="39">
        <f t="shared" si="6"/>
        <v>-206876.78</v>
      </c>
      <c r="N29" s="61">
        <f t="shared" si="6"/>
        <v>7979</v>
      </c>
      <c r="O29" s="39">
        <f t="shared" si="6"/>
        <v>-11609.2</v>
      </c>
      <c r="P29" s="61">
        <f t="shared" si="6"/>
        <v>0</v>
      </c>
      <c r="Q29" s="39">
        <f t="shared" si="6"/>
        <v>0.05</v>
      </c>
      <c r="R29" s="61">
        <f t="shared" si="6"/>
        <v>0</v>
      </c>
      <c r="S29" s="39">
        <f t="shared" si="6"/>
        <v>0</v>
      </c>
      <c r="T29" s="61">
        <f t="shared" si="6"/>
        <v>-8693</v>
      </c>
      <c r="U29" s="39">
        <f t="shared" si="6"/>
        <v>-17386</v>
      </c>
      <c r="V29" s="61">
        <f t="shared" si="6"/>
        <v>-62100</v>
      </c>
      <c r="W29" s="39">
        <f t="shared" si="6"/>
        <v>-124200</v>
      </c>
      <c r="X29" s="61">
        <f t="shared" si="6"/>
        <v>46790</v>
      </c>
      <c r="Y29" s="39">
        <f t="shared" si="6"/>
        <v>101593.78</v>
      </c>
      <c r="Z29" s="61">
        <f t="shared" si="6"/>
        <v>0</v>
      </c>
      <c r="AA29" s="39">
        <f t="shared" si="6"/>
        <v>0</v>
      </c>
      <c r="AB29" s="61">
        <f t="shared" si="6"/>
        <v>82104</v>
      </c>
      <c r="AC29" s="39">
        <f t="shared" si="6"/>
        <v>164208.03000000003</v>
      </c>
      <c r="AD29" s="61">
        <f t="shared" si="6"/>
        <v>-82104</v>
      </c>
      <c r="AE29" s="39">
        <f t="shared" si="6"/>
        <v>-164208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182593</v>
      </c>
      <c r="E32" s="38">
        <f t="shared" si="8"/>
        <v>326476.28400000004</v>
      </c>
      <c r="F32" s="84">
        <f>'TIE-OUT'!J32+RECLASS!J32</f>
        <v>0</v>
      </c>
      <c r="G32" s="85">
        <f>'TIE-OUT'!K32+RECLASS!K32</f>
        <v>0</v>
      </c>
      <c r="H32" s="133">
        <f>+Actuals!E56</f>
        <v>0</v>
      </c>
      <c r="I32" s="134">
        <f>+Actuals!F56</f>
        <v>0</v>
      </c>
      <c r="J32" s="133">
        <f>+Actuals!G56</f>
        <v>204286</v>
      </c>
      <c r="K32" s="153">
        <f>+Actuals!H56</f>
        <v>365263.36800000002</v>
      </c>
      <c r="L32" s="133">
        <f>+Actuals!I56</f>
        <v>-192556</v>
      </c>
      <c r="M32" s="134">
        <f>+Actuals!J56</f>
        <v>-346307.68800000002</v>
      </c>
      <c r="N32" s="133">
        <f>+Actuals!K56</f>
        <v>0</v>
      </c>
      <c r="O32" s="134">
        <f>+Actuals!L56</f>
        <v>3307.86</v>
      </c>
      <c r="P32" s="133">
        <f>+Actuals!M56</f>
        <v>0</v>
      </c>
      <c r="Q32" s="134">
        <f>+Actuals!N56</f>
        <v>5360.61</v>
      </c>
      <c r="R32" s="133">
        <f>+Actuals!O56</f>
        <v>0</v>
      </c>
      <c r="S32" s="134">
        <f>+Actuals!P56</f>
        <v>-1477.98</v>
      </c>
      <c r="T32" s="133">
        <f>+Actuals!Q56</f>
        <v>0</v>
      </c>
      <c r="U32" s="134">
        <f>+Actuals!R56</f>
        <v>422.28</v>
      </c>
      <c r="V32" s="133">
        <f>+Actuals!S56</f>
        <v>0</v>
      </c>
      <c r="W32" s="134">
        <f>+Actuals!T56</f>
        <v>4093.77</v>
      </c>
      <c r="X32" s="133">
        <f>+Actuals!U56</f>
        <v>0</v>
      </c>
      <c r="Y32" s="134">
        <f>+Actuals!V56</f>
        <v>3331.32</v>
      </c>
      <c r="Z32" s="133">
        <f>+Actuals!W56</f>
        <v>0</v>
      </c>
      <c r="AA32" s="134">
        <f>+Actuals!X56</f>
        <v>-13020.3</v>
      </c>
      <c r="AB32" s="133">
        <f>+Actuals!Y56</f>
        <v>0</v>
      </c>
      <c r="AC32" s="134">
        <f>+Actuals!Z56</f>
        <v>0</v>
      </c>
      <c r="AD32" s="133">
        <f>+Actuals!AA56</f>
        <v>-12445</v>
      </c>
      <c r="AE32" s="134">
        <f>+Actuals!AB56</f>
        <v>-22251.66</v>
      </c>
      <c r="AF32" s="133">
        <f>+Actuals!AC56</f>
        <v>183308</v>
      </c>
      <c r="AG32" s="134">
        <f>+Actuals!AD56</f>
        <v>327754.70400000003</v>
      </c>
      <c r="AH32" s="133">
        <f>+Actuals!AE56</f>
        <v>0</v>
      </c>
      <c r="AI32" s="134">
        <f>+Actuals!AF56</f>
        <v>0</v>
      </c>
      <c r="AJ32" s="133">
        <f>+Actuals!AG56</f>
        <v>0</v>
      </c>
      <c r="AK32" s="134">
        <f>+Actuals!AH56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  <c r="AJ33" s="133">
        <f>+Actuals!AG57</f>
        <v>0</v>
      </c>
      <c r="AK33" s="134">
        <f>+Actuals!AH57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  <c r="AJ34" s="133">
        <f>+Actuals!AG58</f>
        <v>0</v>
      </c>
      <c r="AK34" s="134">
        <f>+Actuals!AH58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  <c r="AJ35" s="133">
        <f>+Actuals!AG59</f>
        <v>0</v>
      </c>
      <c r="AK35" s="134">
        <f>+Actuals!AH59</f>
        <v>0</v>
      </c>
    </row>
    <row r="36" spans="1:37" x14ac:dyDescent="0.2">
      <c r="A36" s="9"/>
      <c r="B36" s="7" t="s">
        <v>47</v>
      </c>
      <c r="C36" s="6"/>
      <c r="D36" s="61">
        <f>SUM(D32:D35)</f>
        <v>182593</v>
      </c>
      <c r="E36" s="39">
        <f>SUM(E32:E35)</f>
        <v>326476.28400000004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204286</v>
      </c>
      <c r="K36" s="154">
        <f t="shared" si="9"/>
        <v>365263.36800000002</v>
      </c>
      <c r="L36" s="61">
        <f t="shared" si="9"/>
        <v>-192556</v>
      </c>
      <c r="M36" s="39">
        <f t="shared" si="9"/>
        <v>-346307.68800000002</v>
      </c>
      <c r="N36" s="61">
        <f t="shared" si="9"/>
        <v>0</v>
      </c>
      <c r="O36" s="39">
        <f t="shared" si="9"/>
        <v>3307.86</v>
      </c>
      <c r="P36" s="61">
        <f t="shared" si="9"/>
        <v>0</v>
      </c>
      <c r="Q36" s="39">
        <f t="shared" si="9"/>
        <v>5360.61</v>
      </c>
      <c r="R36" s="61">
        <f t="shared" si="9"/>
        <v>0</v>
      </c>
      <c r="S36" s="39">
        <f t="shared" si="9"/>
        <v>-1477.98</v>
      </c>
      <c r="T36" s="61">
        <f t="shared" si="9"/>
        <v>0</v>
      </c>
      <c r="U36" s="39">
        <f t="shared" si="9"/>
        <v>422.28</v>
      </c>
      <c r="V36" s="61">
        <f t="shared" si="9"/>
        <v>0</v>
      </c>
      <c r="W36" s="39">
        <f t="shared" si="9"/>
        <v>4093.77</v>
      </c>
      <c r="X36" s="61">
        <f t="shared" si="9"/>
        <v>0</v>
      </c>
      <c r="Y36" s="39">
        <f t="shared" si="9"/>
        <v>3331.32</v>
      </c>
      <c r="Z36" s="61">
        <f t="shared" si="9"/>
        <v>0</v>
      </c>
      <c r="AA36" s="39">
        <f t="shared" si="9"/>
        <v>-13020.3</v>
      </c>
      <c r="AB36" s="61">
        <f t="shared" si="9"/>
        <v>0</v>
      </c>
      <c r="AC36" s="39">
        <f t="shared" si="9"/>
        <v>0</v>
      </c>
      <c r="AD36" s="61">
        <f t="shared" si="9"/>
        <v>-12445</v>
      </c>
      <c r="AE36" s="39">
        <f t="shared" si="9"/>
        <v>-22251.66</v>
      </c>
      <c r="AF36" s="61">
        <f t="shared" ref="AF36:AK36" si="10">SUM(AF32:AF35)</f>
        <v>183308</v>
      </c>
      <c r="AG36" s="39">
        <f t="shared" si="10"/>
        <v>327754.70400000003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1518213</v>
      </c>
      <c r="E39" s="38">
        <f t="shared" si="11"/>
        <v>2755556.61</v>
      </c>
      <c r="F39" s="84">
        <f>'TIE-OUT'!J39+RECLASS!J39</f>
        <v>0</v>
      </c>
      <c r="G39" s="85">
        <f>'TIE-OUT'!K39+RECLASS!K39</f>
        <v>0</v>
      </c>
      <c r="H39" s="133">
        <f>+Actuals!E60</f>
        <v>0</v>
      </c>
      <c r="I39" s="134">
        <f>+Actuals!F60</f>
        <v>0</v>
      </c>
      <c r="J39" s="133">
        <f>+Actuals!G60</f>
        <v>347235</v>
      </c>
      <c r="K39" s="153">
        <f>+Actuals!H60</f>
        <v>630231.53</v>
      </c>
      <c r="L39" s="133">
        <f>+Actuals!I60</f>
        <v>1017685</v>
      </c>
      <c r="M39" s="134">
        <f>+Actuals!J60</f>
        <v>1847098.28</v>
      </c>
      <c r="N39" s="133">
        <f>+Actuals!K60</f>
        <v>153293</v>
      </c>
      <c r="O39" s="134">
        <f>+Actuals!L60</f>
        <v>278226.8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  <c r="AJ39" s="133">
        <f>+Actuals!AG60</f>
        <v>0</v>
      </c>
      <c r="AK39" s="134">
        <f>+Actuals!AH60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-905645</v>
      </c>
      <c r="E40" s="38">
        <f t="shared" si="11"/>
        <v>-1643745.6800000002</v>
      </c>
      <c r="F40" s="58">
        <f>'TIE-OUT'!J40+RECLASS!J40</f>
        <v>0</v>
      </c>
      <c r="G40" s="15">
        <f>'TIE-OUT'!K40+RECLASS!K40</f>
        <v>0</v>
      </c>
      <c r="H40" s="133">
        <f>+Actuals!E61</f>
        <v>-80069</v>
      </c>
      <c r="I40" s="134">
        <f>+Actuals!F61</f>
        <v>-145325.24</v>
      </c>
      <c r="J40" s="133">
        <f>+Actuals!G61</f>
        <v>80069</v>
      </c>
      <c r="K40" s="153">
        <f>+Actuals!H61</f>
        <v>145325.24</v>
      </c>
      <c r="L40" s="133">
        <f>+Actuals!I61</f>
        <v>-744373</v>
      </c>
      <c r="M40" s="134">
        <f>+Actuals!J61</f>
        <v>-1351037</v>
      </c>
      <c r="N40" s="133">
        <f>+Actuals!K61</f>
        <v>-161272</v>
      </c>
      <c r="O40" s="134">
        <f>+Actuals!L61</f>
        <v>292708.68</v>
      </c>
      <c r="P40" s="133">
        <f>+Actuals!M61</f>
        <v>0</v>
      </c>
      <c r="Q40" s="134">
        <f>+Actuals!N61</f>
        <v>-585417.36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  <c r="AJ40" s="133">
        <f>+Actuals!AG61</f>
        <v>0</v>
      </c>
      <c r="AK40" s="134">
        <f>+Actuals!AH61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  <c r="AJ41" s="133">
        <f>+Actuals!AG62</f>
        <v>0</v>
      </c>
      <c r="AK41" s="134">
        <f>+Actuals!AH62</f>
        <v>0</v>
      </c>
    </row>
    <row r="42" spans="1:37" x14ac:dyDescent="0.2">
      <c r="A42" s="9"/>
      <c r="B42" s="7"/>
      <c r="C42" s="53" t="s">
        <v>52</v>
      </c>
      <c r="D42" s="61">
        <f>SUM(D40:D41)</f>
        <v>-905645</v>
      </c>
      <c r="E42" s="39">
        <f>SUM(E40:E41)</f>
        <v>-1643745.6800000002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-80069</v>
      </c>
      <c r="I42" s="39">
        <f t="shared" si="12"/>
        <v>-145325.24</v>
      </c>
      <c r="J42" s="61">
        <f t="shared" si="12"/>
        <v>80069</v>
      </c>
      <c r="K42" s="154">
        <f t="shared" si="12"/>
        <v>145325.24</v>
      </c>
      <c r="L42" s="61">
        <f t="shared" si="12"/>
        <v>-744373</v>
      </c>
      <c r="M42" s="39">
        <f t="shared" si="12"/>
        <v>-1351037</v>
      </c>
      <c r="N42" s="61">
        <f t="shared" si="12"/>
        <v>-161272</v>
      </c>
      <c r="O42" s="39">
        <f t="shared" si="12"/>
        <v>292708.68</v>
      </c>
      <c r="P42" s="61">
        <f t="shared" si="12"/>
        <v>0</v>
      </c>
      <c r="Q42" s="39">
        <f t="shared" si="12"/>
        <v>-585417.36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612568</v>
      </c>
      <c r="E43" s="39">
        <f>E42+E39</f>
        <v>1111810.9299999997</v>
      </c>
      <c r="F43" s="59">
        <f t="shared" ref="F43:AE43" si="14">F42+F39</f>
        <v>0</v>
      </c>
      <c r="G43" s="23">
        <f t="shared" si="14"/>
        <v>0</v>
      </c>
      <c r="H43" s="61">
        <f t="shared" si="14"/>
        <v>-80069</v>
      </c>
      <c r="I43" s="39">
        <f t="shared" si="14"/>
        <v>-145325.24</v>
      </c>
      <c r="J43" s="61">
        <f t="shared" si="14"/>
        <v>427304</v>
      </c>
      <c r="K43" s="154">
        <f t="shared" si="14"/>
        <v>775556.77</v>
      </c>
      <c r="L43" s="61">
        <f t="shared" si="14"/>
        <v>273312</v>
      </c>
      <c r="M43" s="39">
        <f t="shared" si="14"/>
        <v>496061.28</v>
      </c>
      <c r="N43" s="61">
        <f t="shared" si="14"/>
        <v>-7979</v>
      </c>
      <c r="O43" s="39">
        <f t="shared" si="14"/>
        <v>570935.48</v>
      </c>
      <c r="P43" s="61">
        <f t="shared" si="14"/>
        <v>0</v>
      </c>
      <c r="Q43" s="39">
        <f t="shared" si="14"/>
        <v>-585417.36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5865</v>
      </c>
      <c r="E45" s="38">
        <f>SUM(G45,I45,K45,M45,O45,Q45,S45,U45,W45,Y45,AA45,AC45,AE45,AG45,AI45,AK45)</f>
        <v>10025.870000000001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12255</v>
      </c>
      <c r="K45" s="153">
        <f>+Actuals!H63</f>
        <v>23652.15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0</v>
      </c>
      <c r="X45" s="133">
        <f>+Actuals!U63</f>
        <v>-6390</v>
      </c>
      <c r="Y45" s="134">
        <f>+Actuals!V63</f>
        <v>-13626.52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0</v>
      </c>
      <c r="AF45" s="133">
        <f>+Actuals!AC63</f>
        <v>0</v>
      </c>
      <c r="AG45" s="134">
        <f>+Actuals!AD63</f>
        <v>0.24</v>
      </c>
      <c r="AH45" s="133">
        <f>+Actuals!AE63</f>
        <v>0</v>
      </c>
      <c r="AI45" s="134">
        <f>+Actuals!AF63</f>
        <v>0</v>
      </c>
      <c r="AJ45" s="133">
        <f>+Actuals!AG63</f>
        <v>0</v>
      </c>
      <c r="AK45" s="134">
        <f>+Actuals!AH63</f>
        <v>0</v>
      </c>
    </row>
    <row r="46" spans="1:37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1.4551915228366852E-11</v>
      </c>
      <c r="F47" s="58">
        <f>'TIE-OUT'!J47+RECLASS!J47</f>
        <v>0</v>
      </c>
      <c r="G47" s="15">
        <f>'TIE-OUT'!K47+RECLASS!K47</f>
        <v>0</v>
      </c>
      <c r="H47" s="133">
        <f>+Actuals!E64</f>
        <v>45722</v>
      </c>
      <c r="I47" s="134">
        <f>+Actuals!F64</f>
        <v>82757.02</v>
      </c>
      <c r="J47" s="133">
        <f>+Actuals!G64</f>
        <v>16161</v>
      </c>
      <c r="K47" s="153">
        <f>+Actuals!H64</f>
        <v>29251.41</v>
      </c>
      <c r="L47" s="133">
        <f>+Actuals!I64</f>
        <v>-9008</v>
      </c>
      <c r="M47" s="134">
        <f>+Actuals!J64</f>
        <v>-16304.48</v>
      </c>
      <c r="N47" s="133">
        <f>+Actuals!K64</f>
        <v>0</v>
      </c>
      <c r="O47" s="134">
        <f>+Actuals!L64</f>
        <v>0</v>
      </c>
      <c r="P47" s="133">
        <f>+Actuals!M64</f>
        <v>0</v>
      </c>
      <c r="Q47" s="134">
        <f>+Actuals!N64</f>
        <v>0</v>
      </c>
      <c r="R47" s="133">
        <f>+Actuals!O64</f>
        <v>-52875</v>
      </c>
      <c r="S47" s="134">
        <f>+Actuals!P64</f>
        <v>-95703.95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  <c r="AJ47" s="133">
        <f>+Actuals!AG64</f>
        <v>0</v>
      </c>
      <c r="AK47" s="134">
        <f>+Actuals!AH64</f>
        <v>0</v>
      </c>
    </row>
    <row r="48" spans="1:37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-39526</v>
      </c>
      <c r="E49" s="38">
        <f t="shared" si="16"/>
        <v>-70672.488000000012</v>
      </c>
      <c r="F49" s="58">
        <f>'TIE-OUT'!J49+RECLASS!J49</f>
        <v>0</v>
      </c>
      <c r="G49" s="15">
        <f>'TIE-OUT'!K49+RECLASS!K49</f>
        <v>0</v>
      </c>
      <c r="H49" s="133">
        <f>+Actuals!E65</f>
        <v>0</v>
      </c>
      <c r="I49" s="134">
        <f>+Actuals!F65</f>
        <v>0</v>
      </c>
      <c r="J49" s="133">
        <f>+Actuals!G65</f>
        <v>4443</v>
      </c>
      <c r="K49" s="153">
        <f>+Actuals!H65</f>
        <v>7944.0839999999998</v>
      </c>
      <c r="L49" s="133">
        <f>+Actuals!I65</f>
        <v>66239</v>
      </c>
      <c r="M49" s="134">
        <f>+Actuals!J65</f>
        <v>118435.33199999999</v>
      </c>
      <c r="N49" s="133">
        <f>+Actuals!K65</f>
        <v>0</v>
      </c>
      <c r="O49" s="134">
        <f>+Actuals!L65</f>
        <v>0</v>
      </c>
      <c r="P49" s="133">
        <f>+Actuals!M65</f>
        <v>44182</v>
      </c>
      <c r="Q49" s="134">
        <f>+Actuals!N65</f>
        <v>78997.415999999997</v>
      </c>
      <c r="R49" s="133">
        <f>+Actuals!O65</f>
        <v>0</v>
      </c>
      <c r="S49" s="134">
        <f>+Actuals!P65</f>
        <v>0</v>
      </c>
      <c r="T49" s="133">
        <f>+Actuals!Q65</f>
        <v>8693</v>
      </c>
      <c r="U49" s="134">
        <f>+Actuals!R65</f>
        <v>15543.084000000001</v>
      </c>
      <c r="V49" s="133">
        <f>+Actuals!S65</f>
        <v>62102</v>
      </c>
      <c r="W49" s="134">
        <f>+Actuals!T65</f>
        <v>111038.376</v>
      </c>
      <c r="X49" s="133">
        <f>+Actuals!U65</f>
        <v>-41902</v>
      </c>
      <c r="Y49" s="134">
        <f>+Actuals!V65</f>
        <v>-74920.775999999998</v>
      </c>
      <c r="Z49" s="133">
        <f>+Actuals!W65</f>
        <v>0</v>
      </c>
      <c r="AA49" s="134">
        <f>+Actuals!X65</f>
        <v>0</v>
      </c>
      <c r="AB49" s="133">
        <f>+Actuals!Y65</f>
        <v>-82104</v>
      </c>
      <c r="AC49" s="134">
        <f>+Actuals!Z65</f>
        <v>-146801.95199999999</v>
      </c>
      <c r="AD49" s="133">
        <f>+Actuals!AA65</f>
        <v>82129</v>
      </c>
      <c r="AE49" s="134">
        <f>+Actuals!AB65</f>
        <v>146846.652</v>
      </c>
      <c r="AF49" s="133">
        <f>+Actuals!AC65</f>
        <v>-183308</v>
      </c>
      <c r="AG49" s="134">
        <f>+Actuals!AD65</f>
        <v>-327754.70400000003</v>
      </c>
      <c r="AH49" s="133">
        <f>+Actuals!AE65</f>
        <v>25</v>
      </c>
      <c r="AI49" s="134">
        <f>+Actuals!AF65</f>
        <v>44.7</v>
      </c>
      <c r="AJ49" s="133">
        <f>+Actuals!AG65</f>
        <v>-25</v>
      </c>
      <c r="AK49" s="134">
        <f>+Actuals!AH65</f>
        <v>-44.7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-27551</v>
      </c>
      <c r="E51" s="38">
        <f t="shared" si="16"/>
        <v>-50720.54</v>
      </c>
      <c r="F51" s="58">
        <f>'TIE-OUT'!J51+RECLASS!J51</f>
        <v>0</v>
      </c>
      <c r="G51" s="15">
        <f>'TIE-OUT'!K51+RECLASS!K51</f>
        <v>0</v>
      </c>
      <c r="H51" s="133">
        <f>+Actuals!E66</f>
        <v>0</v>
      </c>
      <c r="I51" s="134">
        <f>+Actuals!F66</f>
        <v>0</v>
      </c>
      <c r="J51" s="133">
        <f>+Actuals!G66</f>
        <v>-27551</v>
      </c>
      <c r="K51" s="153">
        <f>+Actuals!H66</f>
        <v>-47998.53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0</v>
      </c>
      <c r="W51" s="134">
        <f>+Actuals!T66</f>
        <v>0</v>
      </c>
      <c r="X51" s="133">
        <f>+Actuals!U66</f>
        <v>0</v>
      </c>
      <c r="Y51" s="134">
        <f>+Actuals!V66-2057</f>
        <v>-2722.01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  <c r="AJ51" s="133">
        <f>+Actuals!AG66</f>
        <v>0</v>
      </c>
      <c r="AK51" s="134">
        <f>+Actuals!AH66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886869</v>
      </c>
      <c r="E54" s="38">
        <f>SUM(G54,I54,K54,M54,O54,Q54,S54,U54,W54,Y54,AA54,AC54,AE54,AG54,AI54,AK54)</f>
        <v>1136642.72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24138.22</v>
      </c>
      <c r="J54" s="133">
        <f>+Actuals!G67</f>
        <v>886869</v>
      </c>
      <c r="K54" s="153">
        <f>+Actuals!H67</f>
        <v>1112504.5</v>
      </c>
      <c r="L54" s="133">
        <f>+Actuals!I67</f>
        <v>0</v>
      </c>
      <c r="M54" s="134">
        <f>+Actuals!J67</f>
        <v>0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  <c r="AJ54" s="133">
        <f>+Actuals!AG67</f>
        <v>0</v>
      </c>
      <c r="AK54" s="134">
        <f>+Actuals!AH67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</f>
        <v>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  <c r="AJ55" s="133">
        <f>+Actuals!AG68</f>
        <v>0</v>
      </c>
      <c r="AK55" s="134">
        <f>+Actuals!AH68</f>
        <v>0</v>
      </c>
    </row>
    <row r="56" spans="1:37" x14ac:dyDescent="0.2">
      <c r="A56" s="9"/>
      <c r="B56" s="7" t="s">
        <v>61</v>
      </c>
      <c r="C56" s="6"/>
      <c r="D56" s="61">
        <f>SUM(D54:D55)</f>
        <v>886869</v>
      </c>
      <c r="E56" s="39">
        <f>SUM(E54:E55)</f>
        <v>1136642.72</v>
      </c>
      <c r="F56" s="59">
        <f t="shared" ref="F56:AE56" si="17">SUM(F54:F55)</f>
        <v>0</v>
      </c>
      <c r="G56" s="23">
        <f t="shared" si="17"/>
        <v>0</v>
      </c>
      <c r="H56" s="61">
        <f t="shared" si="17"/>
        <v>0</v>
      </c>
      <c r="I56" s="39">
        <f t="shared" si="17"/>
        <v>24138.22</v>
      </c>
      <c r="J56" s="61">
        <f t="shared" si="17"/>
        <v>886869</v>
      </c>
      <c r="K56" s="154">
        <f t="shared" si="17"/>
        <v>1112504.5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3300586</v>
      </c>
      <c r="E59" s="38">
        <f>SUM(G59,I59,K59,M59,O59,Q59,S59,U59,W59,Y59,AA59,AC59,AE59,AG59,AI59,AK59)</f>
        <v>122122.00999999989</v>
      </c>
      <c r="F59" s="84">
        <f>'TIE-OUT'!J59+RECLASS!J59</f>
        <v>0</v>
      </c>
      <c r="G59" s="85">
        <f>'TIE-OUT'!K59+RECLASS!K59</f>
        <v>0</v>
      </c>
      <c r="H59" s="133">
        <f>+Actuals!E69+3283843</f>
        <v>3284215</v>
      </c>
      <c r="I59" s="134">
        <f>+Actuals!F69+788646</f>
        <v>788653.44</v>
      </c>
      <c r="J59" s="133">
        <f>+Actuals!G69</f>
        <v>3926</v>
      </c>
      <c r="K59" s="153">
        <f>+Actuals!H69</f>
        <v>-676256.43</v>
      </c>
      <c r="L59" s="133">
        <f>+Actuals!I69</f>
        <v>0</v>
      </c>
      <c r="M59" s="134">
        <f>+Actuals!J69</f>
        <v>9725</v>
      </c>
      <c r="N59" s="133">
        <f>+Actuals!K69</f>
        <v>0</v>
      </c>
      <c r="O59" s="134">
        <f>+Actuals!L69</f>
        <v>0</v>
      </c>
      <c r="P59" s="133">
        <f>+Actuals!M69</f>
        <v>0</v>
      </c>
      <c r="Q59" s="134">
        <f>+Actuals!N69</f>
        <v>0</v>
      </c>
      <c r="R59" s="133">
        <f>+Actuals!O69</f>
        <v>8693</v>
      </c>
      <c r="S59" s="134">
        <f>+Actuals!P69</f>
        <v>0</v>
      </c>
      <c r="T59" s="133">
        <f>+Actuals!Q69</f>
        <v>-8693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0</v>
      </c>
      <c r="AC59" s="134">
        <f>+Actuals!Z69</f>
        <v>0</v>
      </c>
      <c r="AD59" s="133">
        <f>+Actuals!AA69</f>
        <v>12445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  <c r="AJ59" s="133">
        <f>+Actuals!AG69</f>
        <v>0</v>
      </c>
      <c r="AK59" s="134">
        <f>+Actuals!AH69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606099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+Actuals!F70+170000</f>
        <v>170000</v>
      </c>
      <c r="J60" s="133">
        <f>+Actuals!G70</f>
        <v>0</v>
      </c>
      <c r="K60" s="153">
        <f>+Actuals!H70+301099</f>
        <v>301099</v>
      </c>
      <c r="L60" s="133">
        <f>+Actuals!I70</f>
        <v>0</v>
      </c>
      <c r="M60" s="134">
        <f>+Actuals!J70+315000+135000</f>
        <v>450000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+Actuals!N70-315000</f>
        <v>-315000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  <c r="AJ60" s="133">
        <f>+Actuals!AG70</f>
        <v>0</v>
      </c>
      <c r="AK60" s="134">
        <f>+Actuals!AH70</f>
        <v>0</v>
      </c>
    </row>
    <row r="61" spans="1:37" x14ac:dyDescent="0.2">
      <c r="A61" s="9"/>
      <c r="B61" s="62" t="s">
        <v>65</v>
      </c>
      <c r="C61" s="6"/>
      <c r="D61" s="61">
        <f>SUM(D59:D60)</f>
        <v>3300586</v>
      </c>
      <c r="E61" s="39">
        <f>SUM(E59:E60)</f>
        <v>728221.00999999989</v>
      </c>
      <c r="F61" s="59">
        <f t="shared" ref="F61:AE61" si="19">SUM(F59:F60)</f>
        <v>0</v>
      </c>
      <c r="G61" s="23">
        <f t="shared" si="19"/>
        <v>0</v>
      </c>
      <c r="H61" s="61">
        <f t="shared" si="19"/>
        <v>3284215</v>
      </c>
      <c r="I61" s="39">
        <f t="shared" si="19"/>
        <v>958653.43999999994</v>
      </c>
      <c r="J61" s="61">
        <f t="shared" si="19"/>
        <v>3926</v>
      </c>
      <c r="K61" s="154">
        <f t="shared" si="19"/>
        <v>-375157.43000000005</v>
      </c>
      <c r="L61" s="61">
        <f t="shared" si="19"/>
        <v>0</v>
      </c>
      <c r="M61" s="39">
        <f t="shared" si="19"/>
        <v>459725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-315000</v>
      </c>
      <c r="R61" s="61">
        <f t="shared" si="19"/>
        <v>8693</v>
      </c>
      <c r="S61" s="39">
        <f t="shared" si="19"/>
        <v>0</v>
      </c>
      <c r="T61" s="61">
        <f t="shared" si="19"/>
        <v>-8693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12445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-20499921</v>
      </c>
      <c r="E64" s="38">
        <f>SUM(G64,I64,K64,M64,O64,Q64,S64,U64,W64,Y64,AA64,AC64,AE64,AG64,AI64,AK64)</f>
        <v>-3513725.3499999992</v>
      </c>
      <c r="F64" s="84">
        <f>'TIE-OUT'!J64+RECLASS!J64</f>
        <v>0</v>
      </c>
      <c r="G64" s="85">
        <f>'TIE-OUT'!K64+RECLASS!K64</f>
        <v>0</v>
      </c>
      <c r="H64" s="133">
        <f>+Actuals!E71</f>
        <v>-886869</v>
      </c>
      <c r="I64" s="134">
        <f>+Actuals!F71</f>
        <v>-1246212</v>
      </c>
      <c r="J64" s="133">
        <f>+Actuals!G71</f>
        <v>-12665248</v>
      </c>
      <c r="K64" s="153">
        <f>+Actuals!H71</f>
        <v>-2193760.2999999998</v>
      </c>
      <c r="L64" s="133">
        <f>+Actuals!I71</f>
        <v>192646</v>
      </c>
      <c r="M64" s="134">
        <f>+Actuals!J71</f>
        <v>-7743.48</v>
      </c>
      <c r="N64" s="133">
        <f>+Actuals!K71</f>
        <v>-21296</v>
      </c>
      <c r="O64" s="134">
        <f>+Actuals!L71</f>
        <v>-450000.01</v>
      </c>
      <c r="P64" s="133">
        <f>+Actuals!M71</f>
        <v>-7196170</v>
      </c>
      <c r="Q64" s="134">
        <f>+Actuals!N71</f>
        <v>244531.95</v>
      </c>
      <c r="R64" s="133">
        <f>+Actuals!O71</f>
        <v>0</v>
      </c>
      <c r="S64" s="134">
        <f>+Actuals!P71</f>
        <v>-323.11</v>
      </c>
      <c r="T64" s="133">
        <f>+Actuals!Q71</f>
        <v>78267</v>
      </c>
      <c r="U64" s="134">
        <f>+Actuals!R71</f>
        <v>139906.70000000001</v>
      </c>
      <c r="V64" s="133">
        <f>+Actuals!S71</f>
        <v>-2</v>
      </c>
      <c r="W64" s="134">
        <f>+Actuals!T71</f>
        <v>-0.19</v>
      </c>
      <c r="X64" s="133">
        <f>+Actuals!U71</f>
        <v>8695</v>
      </c>
      <c r="Y64" s="134">
        <f>+Actuals!V71</f>
        <v>986510.99</v>
      </c>
      <c r="Z64" s="133">
        <f>+Actuals!W71</f>
        <v>-9944</v>
      </c>
      <c r="AA64" s="134">
        <f>+Actuals!X71</f>
        <v>-986635.9</v>
      </c>
      <c r="AB64" s="133">
        <f>+Actuals!Y71</f>
        <v>0</v>
      </c>
      <c r="AC64" s="134">
        <f>+Actuals!Z71</f>
        <v>0.01</v>
      </c>
      <c r="AD64" s="133">
        <f>+Actuals!AA71</f>
        <v>0</v>
      </c>
      <c r="AE64" s="134">
        <f>+Actuals!AB71</f>
        <v>-0.01</v>
      </c>
      <c r="AF64" s="133">
        <f>+Actuals!AC71</f>
        <v>0</v>
      </c>
      <c r="AG64" s="134">
        <f>+Actuals!AD71</f>
        <v>0</v>
      </c>
      <c r="AH64" s="133">
        <f>+Actuals!AE71</f>
        <v>0</v>
      </c>
      <c r="AI64" s="134">
        <f>+Actuals!AF71</f>
        <v>0</v>
      </c>
      <c r="AJ64" s="133">
        <f>+Actuals!AG71</f>
        <v>0</v>
      </c>
      <c r="AK64" s="134">
        <f>+Actuals!AH71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19865068</v>
      </c>
      <c r="E65" s="38">
        <f>SUM(G65,I65,K65,M65,O65,Q65,S65,U65,W65,Y65,AA65,AC65,AE65,AG65,AI65,AK65)</f>
        <v>1949593.35</v>
      </c>
      <c r="F65" s="98">
        <f>'TIE-OUT'!J65+RECLASS!J65</f>
        <v>0</v>
      </c>
      <c r="G65" s="99">
        <f>'TIE-OUT'!K65+RECLASS!K65</f>
        <v>0</v>
      </c>
      <c r="H65" s="133">
        <f>+Actuals!E72</f>
        <v>886869</v>
      </c>
      <c r="I65" s="134">
        <f>+Actuals!F72</f>
        <v>1246212</v>
      </c>
      <c r="J65" s="133">
        <f>+Actuals!G72</f>
        <v>18974549</v>
      </c>
      <c r="K65" s="153">
        <f>+Actuals!H72</f>
        <v>703016.35</v>
      </c>
      <c r="L65" s="133">
        <f>+Actuals!I72</f>
        <v>-6294</v>
      </c>
      <c r="M65" s="134">
        <f>+Actuals!J72</f>
        <v>-629.4</v>
      </c>
      <c r="N65" s="133">
        <f>+Actuals!K72</f>
        <v>0</v>
      </c>
      <c r="O65" s="134">
        <f>+Actuals!L72</f>
        <v>0.01</v>
      </c>
      <c r="P65" s="133">
        <f>+Actuals!M72</f>
        <v>0</v>
      </c>
      <c r="Q65" s="134">
        <f>+Actuals!N72</f>
        <v>-0.01</v>
      </c>
      <c r="R65" s="133">
        <f>+Actuals!O72</f>
        <v>0</v>
      </c>
      <c r="S65" s="134">
        <f>+Actuals!P72</f>
        <v>0.01</v>
      </c>
      <c r="T65" s="133">
        <f>+Actuals!Q72</f>
        <v>8693</v>
      </c>
      <c r="U65" s="134">
        <f>+Actuals!R72</f>
        <v>869.29</v>
      </c>
      <c r="V65" s="133">
        <f>+Actuals!S72</f>
        <v>0</v>
      </c>
      <c r="W65" s="134">
        <f>+Actuals!T72</f>
        <v>0</v>
      </c>
      <c r="X65" s="133">
        <f>+Actuals!U72</f>
        <v>-8693</v>
      </c>
      <c r="Y65" s="134">
        <f>+Actuals!V72</f>
        <v>-986510.8</v>
      </c>
      <c r="Z65" s="133">
        <f>+Actuals!W72</f>
        <v>9944</v>
      </c>
      <c r="AA65" s="134">
        <f>+Actuals!X72</f>
        <v>986635.9</v>
      </c>
      <c r="AB65" s="133">
        <f>+Actuals!Y72</f>
        <v>0</v>
      </c>
      <c r="AC65" s="134">
        <f>+Actuals!Z72</f>
        <v>0</v>
      </c>
      <c r="AD65" s="133">
        <f>+Actuals!AA72</f>
        <v>0</v>
      </c>
      <c r="AE65" s="134">
        <f>+Actuals!AB72</f>
        <v>0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  <c r="AJ65" s="133">
        <f>+Actuals!AG72</f>
        <v>0</v>
      </c>
      <c r="AK65" s="134">
        <f>+Actuals!AH72</f>
        <v>0</v>
      </c>
    </row>
    <row r="66" spans="1:37" x14ac:dyDescent="0.2">
      <c r="A66" s="9"/>
      <c r="B66" s="7" t="s">
        <v>68</v>
      </c>
      <c r="C66" s="6"/>
      <c r="D66" s="61">
        <f>SUM(D64:D65)</f>
        <v>-634853</v>
      </c>
      <c r="E66" s="39">
        <f>SUM(E64:E65)</f>
        <v>-1564131.9999999991</v>
      </c>
      <c r="F66" s="59">
        <f t="shared" ref="F66:AE66" si="21">SUM(F64:F65)</f>
        <v>0</v>
      </c>
      <c r="G66" s="23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6309301</v>
      </c>
      <c r="K66" s="154">
        <f t="shared" si="21"/>
        <v>-1490743.9499999997</v>
      </c>
      <c r="L66" s="61">
        <f t="shared" si="21"/>
        <v>186352</v>
      </c>
      <c r="M66" s="39">
        <f t="shared" si="21"/>
        <v>-8372.8799999999992</v>
      </c>
      <c r="N66" s="61">
        <f t="shared" si="21"/>
        <v>-21296</v>
      </c>
      <c r="O66" s="39">
        <f t="shared" si="21"/>
        <v>-450000</v>
      </c>
      <c r="P66" s="61">
        <f t="shared" si="21"/>
        <v>-7196170</v>
      </c>
      <c r="Q66" s="39">
        <f t="shared" si="21"/>
        <v>244531.94</v>
      </c>
      <c r="R66" s="61">
        <f t="shared" si="21"/>
        <v>0</v>
      </c>
      <c r="S66" s="39">
        <f t="shared" si="21"/>
        <v>-323.10000000000002</v>
      </c>
      <c r="T66" s="61">
        <f t="shared" si="21"/>
        <v>86960</v>
      </c>
      <c r="U66" s="39">
        <f t="shared" si="21"/>
        <v>140775.99000000002</v>
      </c>
      <c r="V66" s="61">
        <f t="shared" si="21"/>
        <v>-2</v>
      </c>
      <c r="W66" s="39">
        <f t="shared" si="21"/>
        <v>-0.19</v>
      </c>
      <c r="X66" s="61">
        <f t="shared" si="21"/>
        <v>2</v>
      </c>
      <c r="Y66" s="39">
        <f t="shared" si="21"/>
        <v>0.18999999994412065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0.01</v>
      </c>
      <c r="AD66" s="61">
        <f t="shared" si="21"/>
        <v>0</v>
      </c>
      <c r="AE66" s="39">
        <f t="shared" si="21"/>
        <v>-0.01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  <c r="AJ70" s="133">
        <f>+Actuals!AG73</f>
        <v>0</v>
      </c>
      <c r="AK70" s="134">
        <f>+Actuals!AH73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  <c r="AJ71" s="133">
        <f>+Actuals!AG74</f>
        <v>0</v>
      </c>
      <c r="AK71" s="134">
        <f>+Actuals!AH74</f>
        <v>0</v>
      </c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E72" si="23">SUM(F70:F71)</f>
        <v>0</v>
      </c>
      <c r="G72" s="23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  <c r="AJ73" s="133">
        <f>+Actuals!AG75</f>
        <v>0</v>
      </c>
      <c r="AK73" s="134">
        <f>+Actuals!AH75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  <c r="AJ74" s="133">
        <f>+Actuals!AG76</f>
        <v>0</v>
      </c>
      <c r="AK74" s="134">
        <f>+Actuals!AH76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  <c r="AJ75" s="133">
        <f>+Actuals!AG77</f>
        <v>0</v>
      </c>
      <c r="AK75" s="134">
        <f>+Actuals!AH77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  <c r="AJ76" s="133">
        <f>+Actuals!AG78</f>
        <v>0</v>
      </c>
      <c r="AK76" s="134">
        <f>+Actuals!AH78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  <c r="AJ77" s="133">
        <f>+Actuals!AG79</f>
        <v>0</v>
      </c>
      <c r="AK77" s="134">
        <f>+Actuals!AH79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  <c r="AJ78" s="133">
        <f>+Actuals!AG80</f>
        <v>0</v>
      </c>
      <c r="AK78" s="134">
        <f>+Actuals!AH80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  <c r="AJ79" s="133">
        <f>+Actuals!AG81</f>
        <v>0</v>
      </c>
      <c r="AK79" s="134">
        <f>+Actuals!AH81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  <c r="AJ80" s="133">
        <f>+Actuals!AG82</f>
        <v>0</v>
      </c>
      <c r="AK80" s="134">
        <f>+Actuals!AH82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  <c r="AJ81" s="133">
        <f>+Actuals!AG83</f>
        <v>0</v>
      </c>
      <c r="AK81" s="134">
        <f>+Actuals!AH83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603537.30599999987</v>
      </c>
      <c r="F82" s="92">
        <f>F16+F24+F29+F36+F43+F45+F47+F49</f>
        <v>0</v>
      </c>
      <c r="G82" s="93">
        <f>SUM(G72:G81)+G16+G24+G29+G36+G43+G45+G47+G49+G51+G56+G61+G66</f>
        <v>-1135706.29</v>
      </c>
      <c r="H82" s="92">
        <f>H16+H24+H29+H36+H43+H45+H47+H49</f>
        <v>0</v>
      </c>
      <c r="I82" s="93">
        <f>SUM(I72:I81)+I16+I24+I29+I36+I43+I45+I47+I49+I51+I56+I61+I66</f>
        <v>1970343.560000001</v>
      </c>
      <c r="J82" s="92">
        <f>J16+J24+J29+J36+J43+J45+J47+J49</f>
        <v>0</v>
      </c>
      <c r="K82" s="118">
        <f>SUM(K72:K81)+K16+K24+K29+K36+K43+K45+K47+K49+K51+K56+K61+K66</f>
        <v>-1084545.3479999995</v>
      </c>
      <c r="L82" s="92">
        <f>L16+L24+L29+L36+L43+L45+L47+L49</f>
        <v>0</v>
      </c>
      <c r="M82" s="93">
        <f>SUM(M72:M81)+M16+M24+M29+M36+M43+M45+M47+M49+M51+M56+M61+M66</f>
        <v>1257566.1640000001</v>
      </c>
      <c r="N82" s="92">
        <f>N16+N24+N29+N36+N43+N45+N47+N49</f>
        <v>0</v>
      </c>
      <c r="O82" s="93">
        <f>SUM(O72:O81)+O16+O24+O29+O36+O43+O45+O47+O49+O51+O56+O61+O66</f>
        <v>112871.43999999994</v>
      </c>
      <c r="P82" s="92">
        <f>P16+P24+P29+P36+P43+P45+P47+P49</f>
        <v>0</v>
      </c>
      <c r="Q82" s="93">
        <f>SUM(Q72:Q81)+Q16+Q24+Q29+Q36+Q43+Q45+Q47+Q49+Q51+Q56+Q61+Q66</f>
        <v>-651493.78399999999</v>
      </c>
      <c r="R82" s="92">
        <f>R16+R24+R29+R36+R43+R45+R47+R49</f>
        <v>0</v>
      </c>
      <c r="S82" s="93">
        <f>SUM(S72:S81)+S16+S24+S29+S36+S43+S45+S47+S49+S51+S56+S61+S66</f>
        <v>-1801.2799999999929</v>
      </c>
      <c r="T82" s="92">
        <f>T16+T24+T29+T36+T43+T45+T47+T49</f>
        <v>0</v>
      </c>
      <c r="U82" s="93">
        <f>SUM(U72:U81)+U16+U24+U29+U36+U43+U45+U47+U49+U51+U56+U61+U66</f>
        <v>139356.34400000001</v>
      </c>
      <c r="V82" s="92">
        <f>V16+V24+V29+V36+V43+V45+V47+V49</f>
        <v>0</v>
      </c>
      <c r="W82" s="93">
        <f>SUM(W72:W81)+W16+W24+W29+W36+W43+W45+W47+W49+W51+W56+W61+W66</f>
        <v>-8969.6439999999984</v>
      </c>
      <c r="X82" s="92">
        <f>X16+X24+X29+X36+X43+X45+X47+X49</f>
        <v>0</v>
      </c>
      <c r="Y82" s="93">
        <f>SUM(Y72:Y81)+Y16+Y24+Y29+Y36+Y43+Y45+Y47+Y49+Y51+Y56+Y61+Y66</f>
        <v>19435.893999999949</v>
      </c>
      <c r="Z82" s="92">
        <f>Z16+Z24+Z29+Z36+Z43+Z45+Z47+Z49</f>
        <v>0</v>
      </c>
      <c r="AA82" s="93">
        <f>SUM(AA72:AA81)+AA16+AA24+AA29+AA36+AA43+AA45+AA47+AA49+AA51+AA56+AA61+AA66</f>
        <v>-12924.109999999999</v>
      </c>
      <c r="AB82" s="92">
        <f>AB16+AB24+AB29+AB36+AB43+AB45+AB47+AB49</f>
        <v>0</v>
      </c>
      <c r="AC82" s="93">
        <f>SUM(AC72:AC81)+AC16+AC24+AC29+AC36+AC43+AC45+AC47+AC49+AC51+AC56+AC61+AC66</f>
        <v>17406.088000000036</v>
      </c>
      <c r="AD82" s="92">
        <f>AD16+AD24+AD29+AD36+AD43+AD45+AD47+AD49</f>
        <v>0</v>
      </c>
      <c r="AE82" s="93">
        <f>SUM(AE72:AE81)+AE16+AE24+AE29+AE36+AE43+AE45+AE47+AE49+AE51+AE56+AE61+AE66</f>
        <v>-18001.968000000012</v>
      </c>
      <c r="AF82" s="92">
        <f>AF16+AF24+AF29+AF36+AF43+AF45+AF47+AF49</f>
        <v>0</v>
      </c>
      <c r="AG82" s="93">
        <f>SUM(AG72:AG81)+AG16+AG24+AG29+AG36+AG43+AG45+AG47+AG49+AG51+AG56+AG61+AG66</f>
        <v>0.23999999999068677</v>
      </c>
      <c r="AH82" s="92">
        <f>AH16+AH24+AH29+AH36+AH43+AH45+AH47+AH49</f>
        <v>0</v>
      </c>
      <c r="AI82" s="93">
        <f>SUM(AI72:AI81)+AI16+AI24+AI29+AI36+AI43+AI45+AI47+AI49+AI51+AI56+AI61+AI66</f>
        <v>1.4500000000000028</v>
      </c>
      <c r="AJ82" s="92">
        <f>AJ16+AJ24+AJ29+AJ36+AJ43+AJ45+AJ47+AJ49</f>
        <v>0</v>
      </c>
      <c r="AK82" s="93">
        <f>SUM(AK72:AK81)+AK16+AK24+AK29+AK36+AK43+AK45+AK47+AK49+AK51+AK56+AK61+AK66</f>
        <v>-1.4500000000000028</v>
      </c>
    </row>
    <row r="83" spans="1:37" ht="13.5" thickTop="1" x14ac:dyDescent="0.2">
      <c r="A83" s="4"/>
      <c r="B83" s="3"/>
    </row>
    <row r="84" spans="1:37" x14ac:dyDescent="0.2">
      <c r="A84" s="4"/>
      <c r="B84" s="3"/>
      <c r="I84" s="45"/>
      <c r="K84" s="155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K187"/>
  <sheetViews>
    <sheetView zoomScale="75" workbookViewId="0">
      <pane xSplit="3" ySplit="9" topLeftCell="F75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8810649</v>
      </c>
      <c r="E11" s="38">
        <f t="shared" si="0"/>
        <v>17116005.479999997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8726924</v>
      </c>
      <c r="I11" s="38">
        <f>'SE-EGM-GL'!I11+'SE-LRC-GL'!I11</f>
        <v>17753340.109999999</v>
      </c>
      <c r="J11" s="60">
        <f>'SE-EGM-GL'!J11+'SE-LRC-GL'!J11</f>
        <v>62587</v>
      </c>
      <c r="K11" s="38">
        <f>'SE-EGM-GL'!K11+'SE-LRC-GL'!K11</f>
        <v>-1430616.39</v>
      </c>
      <c r="L11" s="60">
        <f>'SE-EGM-GL'!L11+'SE-LRC-GL'!L11</f>
        <v>0</v>
      </c>
      <c r="M11" s="38">
        <f>'SE-EGM-GL'!M11+'SE-LRC-GL'!M11</f>
        <v>743539.46</v>
      </c>
      <c r="N11" s="60">
        <f>'SE-EGM-GL'!N11+'SE-LRC-GL'!N11</f>
        <v>0</v>
      </c>
      <c r="O11" s="38">
        <f>'SE-EGM-GL'!O11+'SE-LRC-GL'!O11</f>
        <v>12352.83</v>
      </c>
      <c r="P11" s="60">
        <f>'SE-EGM-GL'!P11+'SE-LRC-GL'!P11</f>
        <v>-44182</v>
      </c>
      <c r="Q11" s="38">
        <f>'SE-EGM-GL'!Q11+'SE-LRC-GL'!Q11</f>
        <v>-79966.44</v>
      </c>
      <c r="R11" s="60">
        <f>'SE-EGM-GL'!R11+'SE-LRC-GL'!R11</f>
        <v>52875</v>
      </c>
      <c r="S11" s="38">
        <f>'SE-EGM-GL'!S11+'SE-LRC-GL'!S11</f>
        <v>95703.75</v>
      </c>
      <c r="T11" s="60">
        <f>'SE-EGM-GL'!T11+'SE-LRC-GL'!T11</f>
        <v>0</v>
      </c>
      <c r="U11" s="38">
        <f>'SE-EGM-GL'!U11+'SE-LRC-GL'!U11</f>
        <v>0.99</v>
      </c>
      <c r="V11" s="60">
        <f>'SE-EGM-GL'!V11+'SE-LRC-GL'!V11</f>
        <v>0</v>
      </c>
      <c r="W11" s="38">
        <f>'SE-EGM-GL'!W11+'SE-LRC-GL'!W11</f>
        <v>-3.13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12445</v>
      </c>
      <c r="AE11" s="38">
        <f>'SE-EGM-GL'!AE11+'SE-LRC-GL'!AE11</f>
        <v>21654.3</v>
      </c>
      <c r="AF11" s="60">
        <f>'SE-EGM-GL'!AL11+'SE-LRC-GL'!AL11</f>
        <v>0</v>
      </c>
      <c r="AG11" s="38">
        <f>'SE-EGM-GL'!AM11+'SE-LRC-GL'!AM11</f>
        <v>0</v>
      </c>
      <c r="AH11" s="60">
        <f>'SE-EGM-GL'!AN11+'SE-LRC-GL'!AN11</f>
        <v>0</v>
      </c>
      <c r="AI11" s="38">
        <f>'SE-EGM-GL'!AO11+'SE-LRC-GL'!AO11</f>
        <v>0</v>
      </c>
      <c r="AJ11" s="60">
        <f>'SE-EGM-GL'!AP11+'SE-LRC-GL'!AP11</f>
        <v>0</v>
      </c>
      <c r="AK11" s="38">
        <f>'SE-EGM-GL'!AQ11+'SE-LRC-GL'!AQ11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'SE-EGM-GL'!AL12+'SE-LRC-GL'!AL12</f>
        <v>0</v>
      </c>
      <c r="AG12" s="38">
        <f>'SE-EGM-GL'!AM12+'SE-LRC-GL'!AM12</f>
        <v>0</v>
      </c>
      <c r="AH12" s="60">
        <f>'SE-EGM-GL'!AN12+'SE-LRC-GL'!AN12</f>
        <v>0</v>
      </c>
      <c r="AI12" s="38">
        <f>'SE-EGM-GL'!AO12+'SE-LRC-GL'!AO12</f>
        <v>0</v>
      </c>
      <c r="AJ12" s="60">
        <f>'SE-EGM-GL'!AP12+'SE-LRC-GL'!AP12</f>
        <v>0</v>
      </c>
      <c r="AK12" s="38">
        <f>'SE-EGM-GL'!AQ12+'SE-LRC-GL'!AQ12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'SE-EGM-GL'!AL13+'SE-LRC-GL'!AL13</f>
        <v>0</v>
      </c>
      <c r="AG13" s="38">
        <f>'SE-EGM-GL'!AM13+'SE-LRC-GL'!AM13</f>
        <v>0</v>
      </c>
      <c r="AH13" s="60">
        <f>'SE-EGM-GL'!AN13+'SE-LRC-GL'!AN13</f>
        <v>0</v>
      </c>
      <c r="AI13" s="38">
        <f>'SE-EGM-GL'!AO13+'SE-LRC-GL'!AO13</f>
        <v>0</v>
      </c>
      <c r="AJ13" s="60">
        <f>'SE-EGM-GL'!AP13+'SE-LRC-GL'!AP13</f>
        <v>0</v>
      </c>
      <c r="AK13" s="38">
        <f>'SE-EGM-GL'!AQ13+'SE-LRC-GL'!AQ13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'SE-EGM-GL'!AL14+'SE-LRC-GL'!AL14</f>
        <v>0</v>
      </c>
      <c r="AG14" s="38">
        <f>'SE-EGM-GL'!AM14+'SE-LRC-GL'!AM14</f>
        <v>0</v>
      </c>
      <c r="AH14" s="60">
        <f>'SE-EGM-GL'!AN14+'SE-LRC-GL'!AN14</f>
        <v>0</v>
      </c>
      <c r="AI14" s="38">
        <f>'SE-EGM-GL'!AO14+'SE-LRC-GL'!AO14</f>
        <v>0</v>
      </c>
      <c r="AJ14" s="60">
        <f>'SE-EGM-GL'!AP14+'SE-LRC-GL'!AP14</f>
        <v>0</v>
      </c>
      <c r="AK14" s="38">
        <f>'SE-EGM-GL'!AQ14+'SE-LRC-GL'!AQ14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'SE-EGM-GL'!AL15+'SE-LRC-GL'!AL15</f>
        <v>0</v>
      </c>
      <c r="AG15" s="38">
        <f>'SE-EGM-GL'!AM15+'SE-LRC-GL'!AM15</f>
        <v>0</v>
      </c>
      <c r="AH15" s="60">
        <f>'SE-EGM-GL'!AN15+'SE-LRC-GL'!AN15</f>
        <v>0</v>
      </c>
      <c r="AI15" s="38">
        <f>'SE-EGM-GL'!AO15+'SE-LRC-GL'!AO15</f>
        <v>0</v>
      </c>
      <c r="AJ15" s="60">
        <f>'SE-EGM-GL'!AP15+'SE-LRC-GL'!AP15</f>
        <v>0</v>
      </c>
      <c r="AK15" s="38">
        <f>'SE-EGM-GL'!AQ15+'SE-LRC-GL'!AQ15</f>
        <v>0</v>
      </c>
    </row>
    <row r="16" spans="1:37" x14ac:dyDescent="0.2">
      <c r="A16" s="9"/>
      <c r="B16" s="7" t="s">
        <v>34</v>
      </c>
      <c r="C16" s="6"/>
      <c r="D16" s="61">
        <f>SUM(D11:D15)</f>
        <v>8810649</v>
      </c>
      <c r="E16" s="39">
        <f>SUM(E11:E15)</f>
        <v>17116005.479999997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8726924</v>
      </c>
      <c r="I16" s="39">
        <f t="shared" si="1"/>
        <v>17753340.109999999</v>
      </c>
      <c r="J16" s="61">
        <f t="shared" si="1"/>
        <v>62587</v>
      </c>
      <c r="K16" s="39">
        <f t="shared" si="1"/>
        <v>-1430616.39</v>
      </c>
      <c r="L16" s="61">
        <f t="shared" si="1"/>
        <v>0</v>
      </c>
      <c r="M16" s="39">
        <f t="shared" si="1"/>
        <v>743539.46</v>
      </c>
      <c r="N16" s="61">
        <f t="shared" si="1"/>
        <v>0</v>
      </c>
      <c r="O16" s="39">
        <f t="shared" si="1"/>
        <v>12352.83</v>
      </c>
      <c r="P16" s="61">
        <f t="shared" si="1"/>
        <v>-44182</v>
      </c>
      <c r="Q16" s="39">
        <f t="shared" si="1"/>
        <v>-79966.44</v>
      </c>
      <c r="R16" s="61">
        <f t="shared" si="1"/>
        <v>52875</v>
      </c>
      <c r="S16" s="39">
        <f t="shared" si="1"/>
        <v>95703.75</v>
      </c>
      <c r="T16" s="61">
        <f t="shared" si="1"/>
        <v>0</v>
      </c>
      <c r="U16" s="39">
        <f t="shared" si="1"/>
        <v>0.99</v>
      </c>
      <c r="V16" s="61">
        <f t="shared" si="1"/>
        <v>0</v>
      </c>
      <c r="W16" s="39">
        <f t="shared" si="1"/>
        <v>-3.13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12445</v>
      </c>
      <c r="AE16" s="39">
        <f t="shared" ref="AE16:AK16" si="2">SUM(AE11:AE15)</f>
        <v>21654.3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-3643430</v>
      </c>
      <c r="E19" s="38">
        <f t="shared" si="3"/>
        <v>-6449666.7599999998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-2666137</v>
      </c>
      <c r="I19" s="38">
        <f>'SE-EGM-GL'!I19+'SE-LRC-GL'!I19</f>
        <v>-4591756.54</v>
      </c>
      <c r="J19" s="60">
        <f>'SE-EGM-GL'!J19+'SE-LRC-GL'!J19</f>
        <v>-977293</v>
      </c>
      <c r="K19" s="38">
        <f>'SE-EGM-GL'!K19+'SE-LRC-GL'!K19</f>
        <v>-1863662.83</v>
      </c>
      <c r="L19" s="60">
        <f>'SE-EGM-GL'!L19+'SE-LRC-GL'!L19</f>
        <v>0</v>
      </c>
      <c r="M19" s="38">
        <f>'SE-EGM-GL'!M19+'SE-LRC-GL'!M19</f>
        <v>17666.919999999998</v>
      </c>
      <c r="N19" s="60">
        <f>'SE-EGM-GL'!N19+'SE-LRC-GL'!N19</f>
        <v>0</v>
      </c>
      <c r="O19" s="38">
        <f>'SE-EGM-GL'!O19+'SE-LRC-GL'!O19</f>
        <v>-12115.53</v>
      </c>
      <c r="P19" s="60">
        <f>'SE-EGM-GL'!P19+'SE-LRC-GL'!P19</f>
        <v>0</v>
      </c>
      <c r="Q19" s="38">
        <f>'SE-EGM-GL'!Q19+'SE-LRC-GL'!Q19</f>
        <v>0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-2</v>
      </c>
      <c r="W19" s="38">
        <f>'SE-EGM-GL'!W19+'SE-LRC-GL'!W19</f>
        <v>101.53</v>
      </c>
      <c r="X19" s="60">
        <f>'SE-EGM-GL'!X19+'SE-LRC-GL'!X19</f>
        <v>2</v>
      </c>
      <c r="Y19" s="38">
        <f>'SE-EGM-GL'!Y19+'SE-LRC-GL'!Y19</f>
        <v>3.5</v>
      </c>
      <c r="Z19" s="60">
        <f>'SE-EGM-GL'!Z19+'SE-LRC-GL'!Z19</f>
        <v>0</v>
      </c>
      <c r="AA19" s="38">
        <f>'SE-EGM-GL'!AA19+'SE-LRC-GL'!AA19</f>
        <v>96.19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'SE-EGM-GL'!AL19+'SE-LRC-GL'!AL19</f>
        <v>0</v>
      </c>
      <c r="AG19" s="38">
        <f>'SE-EGM-GL'!AM19+'SE-LRC-GL'!AM19</f>
        <v>0</v>
      </c>
      <c r="AH19" s="60">
        <f>'SE-EGM-GL'!AN19+'SE-LRC-GL'!AN19</f>
        <v>0</v>
      </c>
      <c r="AI19" s="38">
        <f>'SE-EGM-GL'!AO19+'SE-LRC-GL'!AO19</f>
        <v>0</v>
      </c>
      <c r="AJ19" s="60">
        <f>'SE-EGM-GL'!AP19+'SE-LRC-GL'!AP19</f>
        <v>0</v>
      </c>
      <c r="AK19" s="38">
        <f>'SE-EGM-GL'!AQ19+'SE-LRC-GL'!AQ19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-1135706.29</v>
      </c>
      <c r="F20" s="60">
        <f>('TIE-OUT'!J20+'TIE-OUT'!L20)+(RECLASS!J20+RECLASS!L20)</f>
        <v>0</v>
      </c>
      <c r="G20" s="38">
        <f>('TIE-OUT'!K20+'TIE-OUT'!M20)+(RECLASS!K20+RECLASS!M20)</f>
        <v>-1135706.29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'SE-EGM-GL'!AL20+'SE-LRC-GL'!AL20</f>
        <v>0</v>
      </c>
      <c r="AG20" s="38">
        <f>'SE-EGM-GL'!AM20+'SE-LRC-GL'!AM20</f>
        <v>0</v>
      </c>
      <c r="AH20" s="60">
        <f>'SE-EGM-GL'!AN20+'SE-LRC-GL'!AN20</f>
        <v>0</v>
      </c>
      <c r="AI20" s="38">
        <f>'SE-EGM-GL'!AO20+'SE-LRC-GL'!AO20</f>
        <v>0</v>
      </c>
      <c r="AJ20" s="60">
        <f>'SE-EGM-GL'!AP20+'SE-LRC-GL'!AP20</f>
        <v>0</v>
      </c>
      <c r="AK20" s="38">
        <f>'SE-EGM-GL'!AQ20+'SE-LRC-GL'!AQ20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'SE-EGM-GL'!AL21+'SE-LRC-GL'!AL21</f>
        <v>0</v>
      </c>
      <c r="AG21" s="38">
        <f>'SE-EGM-GL'!AM21+'SE-LRC-GL'!AM21</f>
        <v>0</v>
      </c>
      <c r="AH21" s="60">
        <f>'SE-EGM-GL'!AN21+'SE-LRC-GL'!AN21</f>
        <v>0</v>
      </c>
      <c r="AI21" s="38">
        <f>'SE-EGM-GL'!AO21+'SE-LRC-GL'!AO21</f>
        <v>0</v>
      </c>
      <c r="AJ21" s="60">
        <f>'SE-EGM-GL'!AP21+'SE-LRC-GL'!AP21</f>
        <v>0</v>
      </c>
      <c r="AK21" s="38">
        <f>'SE-EGM-GL'!AQ21+'SE-LRC-GL'!AQ21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'SE-EGM-GL'!AL22+'SE-LRC-GL'!AL22</f>
        <v>0</v>
      </c>
      <c r="AG22" s="38">
        <f>'SE-EGM-GL'!AM22+'SE-LRC-GL'!AM22</f>
        <v>0</v>
      </c>
      <c r="AH22" s="60">
        <f>'SE-EGM-GL'!AN22+'SE-LRC-GL'!AN22</f>
        <v>0</v>
      </c>
      <c r="AI22" s="38">
        <f>'SE-EGM-GL'!AO22+'SE-LRC-GL'!AO22</f>
        <v>0</v>
      </c>
      <c r="AJ22" s="60">
        <f>'SE-EGM-GL'!AP22+'SE-LRC-GL'!AP22</f>
        <v>0</v>
      </c>
      <c r="AK22" s="38">
        <f>'SE-EGM-GL'!AQ22+'SE-LRC-GL'!AQ22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-154</v>
      </c>
      <c r="E23" s="38">
        <f t="shared" si="3"/>
        <v>2047.83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0</v>
      </c>
      <c r="I23" s="38">
        <f>'SE-EGM-GL'!I23+'SE-LRC-GL'!I23</f>
        <v>0</v>
      </c>
      <c r="J23" s="60">
        <f>'SE-EGM-GL'!J23+'SE-LRC-GL'!J23</f>
        <v>-1629</v>
      </c>
      <c r="K23" s="38">
        <f>'SE-EGM-GL'!K23+'SE-LRC-GL'!K23</f>
        <v>-3685.33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1500</v>
      </c>
      <c r="Y23" s="38">
        <f>'SE-EGM-GL'!Y23+'SE-LRC-GL'!Y23</f>
        <v>5776.41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-25</v>
      </c>
      <c r="AE23" s="38">
        <f>'SE-EGM-GL'!AE23+'SE-LRC-GL'!AE23</f>
        <v>-43.25</v>
      </c>
      <c r="AF23" s="60">
        <f>'SE-EGM-GL'!AL23+'SE-LRC-GL'!AL23</f>
        <v>0</v>
      </c>
      <c r="AG23" s="38">
        <f>'SE-EGM-GL'!AM23+'SE-LRC-GL'!AM23</f>
        <v>0</v>
      </c>
      <c r="AH23" s="60">
        <f>'SE-EGM-GL'!AN23+'SE-LRC-GL'!AN23</f>
        <v>0</v>
      </c>
      <c r="AI23" s="38">
        <f>'SE-EGM-GL'!AO23+'SE-LRC-GL'!AO23</f>
        <v>0</v>
      </c>
      <c r="AJ23" s="60">
        <f>'SE-EGM-GL'!AP23+'SE-LRC-GL'!AP23</f>
        <v>0</v>
      </c>
      <c r="AK23" s="38">
        <f>'SE-EGM-GL'!AQ23+'SE-LRC-GL'!AQ23</f>
        <v>0</v>
      </c>
    </row>
    <row r="24" spans="1:37" x14ac:dyDescent="0.2">
      <c r="A24" s="9"/>
      <c r="B24" s="7" t="s">
        <v>37</v>
      </c>
      <c r="C24" s="6"/>
      <c r="D24" s="61">
        <f>SUM(D19:D23)</f>
        <v>-3643584</v>
      </c>
      <c r="E24" s="39">
        <f>SUM(E19:E23)</f>
        <v>-7583325.2199999997</v>
      </c>
      <c r="F24" s="61">
        <f t="shared" ref="F24:AD24" si="4">SUM(F19:F23)</f>
        <v>0</v>
      </c>
      <c r="G24" s="39">
        <f t="shared" si="4"/>
        <v>-1135706.29</v>
      </c>
      <c r="H24" s="61">
        <f t="shared" si="4"/>
        <v>-2666137</v>
      </c>
      <c r="I24" s="39">
        <f t="shared" si="4"/>
        <v>-4591756.54</v>
      </c>
      <c r="J24" s="61">
        <f t="shared" si="4"/>
        <v>-978922</v>
      </c>
      <c r="K24" s="39">
        <f t="shared" si="4"/>
        <v>-1867348.1600000001</v>
      </c>
      <c r="L24" s="61">
        <f t="shared" si="4"/>
        <v>0</v>
      </c>
      <c r="M24" s="39">
        <f t="shared" si="4"/>
        <v>17666.919999999998</v>
      </c>
      <c r="N24" s="61">
        <f t="shared" si="4"/>
        <v>0</v>
      </c>
      <c r="O24" s="39">
        <f t="shared" si="4"/>
        <v>-12115.53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-2</v>
      </c>
      <c r="W24" s="39">
        <f t="shared" si="4"/>
        <v>101.53</v>
      </c>
      <c r="X24" s="61">
        <f t="shared" si="4"/>
        <v>1502</v>
      </c>
      <c r="Y24" s="39">
        <f t="shared" si="4"/>
        <v>5779.91</v>
      </c>
      <c r="Z24" s="61">
        <f t="shared" si="4"/>
        <v>0</v>
      </c>
      <c r="AA24" s="39">
        <f t="shared" si="4"/>
        <v>96.19</v>
      </c>
      <c r="AB24" s="61">
        <f t="shared" si="4"/>
        <v>0</v>
      </c>
      <c r="AC24" s="39">
        <f t="shared" si="4"/>
        <v>0</v>
      </c>
      <c r="AD24" s="61">
        <f t="shared" si="4"/>
        <v>-25</v>
      </c>
      <c r="AE24" s="39">
        <f t="shared" ref="AE24:AK24" si="5">SUM(AE19:AE23)</f>
        <v>-43.25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2715487</v>
      </c>
      <c r="E27" s="38">
        <f>SUM(G27,I27,K27,M27,O27,Q27,S27,U27,W27,Y27,AA27,AC27,AE27,AG27,AI27,AK27)</f>
        <v>4857225.4799999995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2414397</v>
      </c>
      <c r="I27" s="38">
        <f>'SE-EGM-GL'!I27+'SE-LRC-GL'!I27</f>
        <v>4682567.46</v>
      </c>
      <c r="J27" s="60">
        <f>'SE-EGM-GL'!J27+'SE-LRC-GL'!J27</f>
        <v>298857</v>
      </c>
      <c r="K27" s="38">
        <f>'SE-EGM-GL'!K27+'SE-LRC-GL'!K27</f>
        <v>159911.51999999999</v>
      </c>
      <c r="L27" s="60">
        <f>'SE-EGM-GL'!L27+'SE-LRC-GL'!L27</f>
        <v>-144281</v>
      </c>
      <c r="M27" s="38">
        <f>'SE-EGM-GL'!M27+'SE-LRC-GL'!M27</f>
        <v>-250858.27</v>
      </c>
      <c r="N27" s="60">
        <f>'SE-EGM-GL'!N27+'SE-LRC-GL'!N27</f>
        <v>7979</v>
      </c>
      <c r="O27" s="38">
        <f>'SE-EGM-GL'!O27+'SE-LRC-GL'!O27</f>
        <v>21488.66</v>
      </c>
      <c r="P27" s="60">
        <f>'SE-EGM-GL'!P27+'SE-LRC-GL'!P27</f>
        <v>0</v>
      </c>
      <c r="Q27" s="38">
        <f>'SE-EGM-GL'!Q27+'SE-LRC-GL'!Q27</f>
        <v>0.05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-101055</v>
      </c>
      <c r="W27" s="38">
        <f>'SE-EGM-GL'!W27+'SE-LRC-GL'!W27</f>
        <v>-202110</v>
      </c>
      <c r="X27" s="60">
        <f>'SE-EGM-GL'!X27+'SE-LRC-GL'!X27</f>
        <v>44577</v>
      </c>
      <c r="Y27" s="38">
        <f>'SE-EGM-GL'!Y27+'SE-LRC-GL'!Y27</f>
        <v>99172.55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277117</v>
      </c>
      <c r="AC27" s="38">
        <f>'SE-EGM-GL'!AC27+'SE-LRC-GL'!AC27</f>
        <v>511261.51</v>
      </c>
      <c r="AD27" s="60">
        <f>'SE-EGM-GL'!AD27+'SE-LRC-GL'!AD27</f>
        <v>-82104</v>
      </c>
      <c r="AE27" s="38">
        <f>'SE-EGM-GL'!AE27+'SE-LRC-GL'!AE27</f>
        <v>-164208</v>
      </c>
      <c r="AF27" s="60">
        <f>'SE-EGM-GL'!AL27+'SE-LRC-GL'!AL27</f>
        <v>0</v>
      </c>
      <c r="AG27" s="38">
        <f>'SE-EGM-GL'!AM27+'SE-LRC-GL'!AM27</f>
        <v>0</v>
      </c>
      <c r="AH27" s="60">
        <f>'SE-EGM-GL'!AN27+'SE-LRC-GL'!AN27</f>
        <v>0</v>
      </c>
      <c r="AI27" s="38">
        <f>'SE-EGM-GL'!AO27+'SE-LRC-GL'!AO27</f>
        <v>0</v>
      </c>
      <c r="AJ27" s="60">
        <f>'SE-EGM-GL'!AP27+'SE-LRC-GL'!AP27</f>
        <v>0</v>
      </c>
      <c r="AK27" s="38">
        <f>'SE-EGM-GL'!AQ27+'SE-LRC-GL'!AQ27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-8644052</v>
      </c>
      <c r="E28" s="38">
        <f>SUM(G28,I28,K28,M28,O28,Q28,S28,U28,W28,Y28,AA28,AC28,AE28,AG28,AI28,AK28)</f>
        <v>-15414020.219999999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-8440837</v>
      </c>
      <c r="I28" s="38">
        <f>'SE-EGM-GL'!I28+'SE-LRC-GL'!I28</f>
        <v>-16794030.91</v>
      </c>
      <c r="J28" s="60">
        <f>'SE-EGM-GL'!J28+'SE-LRC-GL'!J28</f>
        <v>-46971</v>
      </c>
      <c r="K28" s="38">
        <f>'SE-EGM-GL'!K28+'SE-LRC-GL'!K28</f>
        <v>1653235.31</v>
      </c>
      <c r="L28" s="60">
        <f>'SE-EGM-GL'!L28+'SE-LRC-GL'!L28</f>
        <v>6294</v>
      </c>
      <c r="M28" s="38">
        <f>'SE-EGM-GL'!M28+'SE-LRC-GL'!M28</f>
        <v>43981.49</v>
      </c>
      <c r="N28" s="60">
        <f>'SE-EGM-GL'!N28+'SE-LRC-GL'!N28</f>
        <v>0</v>
      </c>
      <c r="O28" s="38">
        <f>'SE-EGM-GL'!O28+'SE-LRC-GL'!O28</f>
        <v>-33097.86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-8693</v>
      </c>
      <c r="U28" s="38">
        <f>'SE-EGM-GL'!U28+'SE-LRC-GL'!U28</f>
        <v>-17386</v>
      </c>
      <c r="V28" s="60">
        <f>'SE-EGM-GL'!V28+'SE-LRC-GL'!V28</f>
        <v>38955</v>
      </c>
      <c r="W28" s="38">
        <f>'SE-EGM-GL'!W28+'SE-LRC-GL'!W28</f>
        <v>77910</v>
      </c>
      <c r="X28" s="60">
        <f>'SE-EGM-GL'!X28+'SE-LRC-GL'!X28</f>
        <v>2213</v>
      </c>
      <c r="Y28" s="38">
        <f>'SE-EGM-GL'!Y28+'SE-LRC-GL'!Y28</f>
        <v>2421.2299999999996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-195013</v>
      </c>
      <c r="AC28" s="38">
        <f>'SE-EGM-GL'!AC28+'SE-LRC-GL'!AC28</f>
        <v>-347053.48</v>
      </c>
      <c r="AD28" s="60">
        <f>'SE-EGM-GL'!AD28+'SE-LRC-GL'!AD28</f>
        <v>0</v>
      </c>
      <c r="AE28" s="38">
        <f>'SE-EGM-GL'!AE28+'SE-LRC-GL'!AE28</f>
        <v>0</v>
      </c>
      <c r="AF28" s="60">
        <f>'SE-EGM-GL'!AL28+'SE-LRC-GL'!AL28</f>
        <v>0</v>
      </c>
      <c r="AG28" s="38">
        <f>'SE-EGM-GL'!AM28+'SE-LRC-GL'!AM28</f>
        <v>0</v>
      </c>
      <c r="AH28" s="60">
        <f>'SE-EGM-GL'!AN28+'SE-LRC-GL'!AN28</f>
        <v>0</v>
      </c>
      <c r="AI28" s="38">
        <f>'SE-EGM-GL'!AO28+'SE-LRC-GL'!AO28</f>
        <v>0</v>
      </c>
      <c r="AJ28" s="60">
        <f>'SE-EGM-GL'!AP28+'SE-LRC-GL'!AP28</f>
        <v>0</v>
      </c>
      <c r="AK28" s="38">
        <f>'SE-EGM-GL'!AQ28+'SE-LRC-GL'!AQ28</f>
        <v>0</v>
      </c>
    </row>
    <row r="29" spans="1:37" x14ac:dyDescent="0.2">
      <c r="A29" s="9"/>
      <c r="B29" s="7" t="s">
        <v>41</v>
      </c>
      <c r="C29" s="18"/>
      <c r="D29" s="61">
        <f>SUM(D27:D28)</f>
        <v>-5928565</v>
      </c>
      <c r="E29" s="39">
        <f>SUM(E27:E28)</f>
        <v>-10556794.739999998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-6026440</v>
      </c>
      <c r="I29" s="39">
        <f t="shared" si="6"/>
        <v>-12111463.449999999</v>
      </c>
      <c r="J29" s="61">
        <f t="shared" si="6"/>
        <v>251886</v>
      </c>
      <c r="K29" s="39">
        <f t="shared" si="6"/>
        <v>1813146.83</v>
      </c>
      <c r="L29" s="61">
        <f t="shared" si="6"/>
        <v>-137987</v>
      </c>
      <c r="M29" s="39">
        <f t="shared" si="6"/>
        <v>-206876.78</v>
      </c>
      <c r="N29" s="61">
        <f t="shared" si="6"/>
        <v>7979</v>
      </c>
      <c r="O29" s="39">
        <f t="shared" si="6"/>
        <v>-11609.2</v>
      </c>
      <c r="P29" s="61">
        <f t="shared" si="6"/>
        <v>0</v>
      </c>
      <c r="Q29" s="39">
        <f t="shared" si="6"/>
        <v>0.05</v>
      </c>
      <c r="R29" s="61">
        <f t="shared" si="6"/>
        <v>0</v>
      </c>
      <c r="S29" s="39">
        <f t="shared" si="6"/>
        <v>0</v>
      </c>
      <c r="T29" s="61">
        <f t="shared" si="6"/>
        <v>-8693</v>
      </c>
      <c r="U29" s="39">
        <f t="shared" si="6"/>
        <v>-17386</v>
      </c>
      <c r="V29" s="61">
        <f t="shared" si="6"/>
        <v>-62100</v>
      </c>
      <c r="W29" s="39">
        <f t="shared" si="6"/>
        <v>-124200</v>
      </c>
      <c r="X29" s="61">
        <f t="shared" si="6"/>
        <v>46790</v>
      </c>
      <c r="Y29" s="39">
        <f t="shared" si="6"/>
        <v>101593.78</v>
      </c>
      <c r="Z29" s="61">
        <f t="shared" si="6"/>
        <v>0</v>
      </c>
      <c r="AA29" s="39">
        <f t="shared" si="6"/>
        <v>0</v>
      </c>
      <c r="AB29" s="61">
        <f t="shared" si="6"/>
        <v>82104</v>
      </c>
      <c r="AC29" s="39">
        <f t="shared" si="6"/>
        <v>164208.03000000003</v>
      </c>
      <c r="AD29" s="61">
        <f t="shared" si="6"/>
        <v>-82104</v>
      </c>
      <c r="AE29" s="39">
        <f t="shared" ref="AE29:AK29" si="7">SUM(AE27:AE28)</f>
        <v>-164208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-715</v>
      </c>
      <c r="E32" s="38">
        <f t="shared" si="8"/>
        <v>-1278.4200000000055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0</v>
      </c>
      <c r="I32" s="38">
        <f>'SE-EGM-GL'!I32+'SE-LRC-GL'!I32</f>
        <v>0</v>
      </c>
      <c r="J32" s="60">
        <f>'SE-EGM-GL'!J32+'SE-LRC-GL'!J32</f>
        <v>204286</v>
      </c>
      <c r="K32" s="38">
        <f>'SE-EGM-GL'!K32+'SE-LRC-GL'!K32</f>
        <v>365263.36800000002</v>
      </c>
      <c r="L32" s="60">
        <f>'SE-EGM-GL'!L32+'SE-LRC-GL'!L32</f>
        <v>-192556</v>
      </c>
      <c r="M32" s="38">
        <f>'SE-EGM-GL'!M32+'SE-LRC-GL'!M32</f>
        <v>-346307.68800000002</v>
      </c>
      <c r="N32" s="60">
        <f>'SE-EGM-GL'!N32+'SE-LRC-GL'!N32</f>
        <v>0</v>
      </c>
      <c r="O32" s="38">
        <f>'SE-EGM-GL'!O32+'SE-LRC-GL'!O32</f>
        <v>3307.86</v>
      </c>
      <c r="P32" s="60">
        <f>'SE-EGM-GL'!P32+'SE-LRC-GL'!P32</f>
        <v>0</v>
      </c>
      <c r="Q32" s="38">
        <f>'SE-EGM-GL'!Q32+'SE-LRC-GL'!Q32</f>
        <v>5360.61</v>
      </c>
      <c r="R32" s="60">
        <f>'SE-EGM-GL'!R32+'SE-LRC-GL'!R32</f>
        <v>0</v>
      </c>
      <c r="S32" s="38">
        <f>'SE-EGM-GL'!S32+'SE-LRC-GL'!S32</f>
        <v>-1477.98</v>
      </c>
      <c r="T32" s="60">
        <f>'SE-EGM-GL'!T32+'SE-LRC-GL'!T32</f>
        <v>0</v>
      </c>
      <c r="U32" s="38">
        <f>'SE-EGM-GL'!U32+'SE-LRC-GL'!U32</f>
        <v>422.28</v>
      </c>
      <c r="V32" s="60">
        <f>'SE-EGM-GL'!V32+'SE-LRC-GL'!V32</f>
        <v>0</v>
      </c>
      <c r="W32" s="38">
        <f>'SE-EGM-GL'!W32+'SE-LRC-GL'!W32</f>
        <v>4093.77</v>
      </c>
      <c r="X32" s="60">
        <f>'SE-EGM-GL'!X32+'SE-LRC-GL'!X32</f>
        <v>0</v>
      </c>
      <c r="Y32" s="38">
        <f>'SE-EGM-GL'!Y32+'SE-LRC-GL'!Y32</f>
        <v>3331.32</v>
      </c>
      <c r="Z32" s="60">
        <f>'SE-EGM-GL'!Z32+'SE-LRC-GL'!Z32</f>
        <v>0</v>
      </c>
      <c r="AA32" s="38">
        <f>'SE-EGM-GL'!AA32+'SE-LRC-GL'!AA32</f>
        <v>-13020.3</v>
      </c>
      <c r="AB32" s="60">
        <f>'SE-EGM-GL'!AB32+'SE-LRC-GL'!AB32</f>
        <v>0</v>
      </c>
      <c r="AC32" s="38">
        <f>'SE-EGM-GL'!AC32+'SE-LRC-GL'!AC32</f>
        <v>0</v>
      </c>
      <c r="AD32" s="60">
        <f>'SE-EGM-GL'!AD32+'SE-LRC-GL'!AD32</f>
        <v>-12445</v>
      </c>
      <c r="AE32" s="38">
        <f>'SE-EGM-GL'!AE32+'SE-LRC-GL'!AE32</f>
        <v>-22251.66</v>
      </c>
      <c r="AF32" s="60">
        <f>'SE-EGM-GL'!AL32+'SE-LRC-GL'!AL32</f>
        <v>0</v>
      </c>
      <c r="AG32" s="38">
        <f>'SE-EGM-GL'!AM32+'SE-LRC-GL'!AM32</f>
        <v>0</v>
      </c>
      <c r="AH32" s="60">
        <f>'SE-EGM-GL'!AN32+'SE-LRC-GL'!AN32</f>
        <v>0</v>
      </c>
      <c r="AI32" s="38">
        <f>'SE-EGM-GL'!AO32+'SE-LRC-GL'!AO32</f>
        <v>0</v>
      </c>
      <c r="AJ32" s="60">
        <f>'SE-EGM-GL'!AP32+'SE-LRC-GL'!AP32</f>
        <v>0</v>
      </c>
      <c r="AK32" s="38">
        <f>'SE-EGM-GL'!AQ32+'SE-LRC-GL'!AQ32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'SE-EGM-GL'!AL33+'SE-LRC-GL'!AL33</f>
        <v>0</v>
      </c>
      <c r="AG33" s="38">
        <f>'SE-EGM-GL'!AM33+'SE-LRC-GL'!AM33</f>
        <v>0</v>
      </c>
      <c r="AH33" s="60">
        <f>'SE-EGM-GL'!AN33+'SE-LRC-GL'!AN33</f>
        <v>0</v>
      </c>
      <c r="AI33" s="38">
        <f>'SE-EGM-GL'!AO33+'SE-LRC-GL'!AO33</f>
        <v>0</v>
      </c>
      <c r="AJ33" s="60">
        <f>'SE-EGM-GL'!AP33+'SE-LRC-GL'!AP33</f>
        <v>0</v>
      </c>
      <c r="AK33" s="38">
        <f>'SE-EGM-GL'!AQ33+'SE-LRC-GL'!AQ33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'SE-EGM-GL'!AL34+'SE-LRC-GL'!AL34</f>
        <v>0</v>
      </c>
      <c r="AG34" s="38">
        <f>'SE-EGM-GL'!AM34+'SE-LRC-GL'!AM34</f>
        <v>0</v>
      </c>
      <c r="AH34" s="60">
        <f>'SE-EGM-GL'!AN34+'SE-LRC-GL'!AN34</f>
        <v>0</v>
      </c>
      <c r="AI34" s="38">
        <f>'SE-EGM-GL'!AO34+'SE-LRC-GL'!AO34</f>
        <v>0</v>
      </c>
      <c r="AJ34" s="60">
        <f>'SE-EGM-GL'!AP34+'SE-LRC-GL'!AP34</f>
        <v>0</v>
      </c>
      <c r="AK34" s="38">
        <f>'SE-EGM-GL'!AQ34+'SE-LRC-GL'!AQ34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'SE-EGM-GL'!AL35+'SE-LRC-GL'!AL35</f>
        <v>0</v>
      </c>
      <c r="AG35" s="38">
        <f>'SE-EGM-GL'!AM35+'SE-LRC-GL'!AM35</f>
        <v>0</v>
      </c>
      <c r="AH35" s="60">
        <f>'SE-EGM-GL'!AN35+'SE-LRC-GL'!AN35</f>
        <v>0</v>
      </c>
      <c r="AI35" s="38">
        <f>'SE-EGM-GL'!AO35+'SE-LRC-GL'!AO35</f>
        <v>0</v>
      </c>
      <c r="AJ35" s="60">
        <f>'SE-EGM-GL'!AP35+'SE-LRC-GL'!AP35</f>
        <v>0</v>
      </c>
      <c r="AK35" s="38">
        <f>'SE-EGM-GL'!AQ35+'SE-LRC-GL'!AQ35</f>
        <v>0</v>
      </c>
    </row>
    <row r="36" spans="1:37" x14ac:dyDescent="0.2">
      <c r="A36" s="9"/>
      <c r="B36" s="7" t="s">
        <v>47</v>
      </c>
      <c r="C36" s="6"/>
      <c r="D36" s="61">
        <f>SUM(D32:D35)</f>
        <v>-715</v>
      </c>
      <c r="E36" s="39">
        <f>SUM(E32:E35)</f>
        <v>-1278.4200000000055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204286</v>
      </c>
      <c r="K36" s="39">
        <f t="shared" si="9"/>
        <v>365263.36800000002</v>
      </c>
      <c r="L36" s="61">
        <f t="shared" si="9"/>
        <v>-192556</v>
      </c>
      <c r="M36" s="39">
        <f t="shared" si="9"/>
        <v>-346307.68800000002</v>
      </c>
      <c r="N36" s="61">
        <f t="shared" si="9"/>
        <v>0</v>
      </c>
      <c r="O36" s="39">
        <f t="shared" si="9"/>
        <v>3307.86</v>
      </c>
      <c r="P36" s="61">
        <f t="shared" si="9"/>
        <v>0</v>
      </c>
      <c r="Q36" s="39">
        <f t="shared" si="9"/>
        <v>5360.61</v>
      </c>
      <c r="R36" s="61">
        <f t="shared" si="9"/>
        <v>0</v>
      </c>
      <c r="S36" s="39">
        <f t="shared" si="9"/>
        <v>-1477.98</v>
      </c>
      <c r="T36" s="61">
        <f t="shared" si="9"/>
        <v>0</v>
      </c>
      <c r="U36" s="39">
        <f t="shared" si="9"/>
        <v>422.28</v>
      </c>
      <c r="V36" s="61">
        <f t="shared" si="9"/>
        <v>0</v>
      </c>
      <c r="W36" s="39">
        <f t="shared" si="9"/>
        <v>4093.77</v>
      </c>
      <c r="X36" s="61">
        <f t="shared" si="9"/>
        <v>0</v>
      </c>
      <c r="Y36" s="39">
        <f t="shared" si="9"/>
        <v>3331.32</v>
      </c>
      <c r="Z36" s="61">
        <f t="shared" si="9"/>
        <v>0</v>
      </c>
      <c r="AA36" s="39">
        <f t="shared" si="9"/>
        <v>-13020.3</v>
      </c>
      <c r="AB36" s="61">
        <f t="shared" si="9"/>
        <v>0</v>
      </c>
      <c r="AC36" s="39">
        <f t="shared" si="9"/>
        <v>0</v>
      </c>
      <c r="AD36" s="61">
        <f t="shared" si="9"/>
        <v>-12445</v>
      </c>
      <c r="AE36" s="39">
        <f t="shared" ref="AE36:AK36" si="10">SUM(AE32:AE35)</f>
        <v>-22251.66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1518213</v>
      </c>
      <c r="E39" s="38">
        <f t="shared" si="11"/>
        <v>2755556.61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0</v>
      </c>
      <c r="I39" s="38">
        <f>'SE-EGM-GL'!I39+'SE-LRC-GL'!I39</f>
        <v>0</v>
      </c>
      <c r="J39" s="60">
        <f>'SE-EGM-GL'!J39+'SE-LRC-GL'!J39</f>
        <v>347235</v>
      </c>
      <c r="K39" s="38">
        <f>'SE-EGM-GL'!K39+'SE-LRC-GL'!K39</f>
        <v>630231.53</v>
      </c>
      <c r="L39" s="60">
        <f>'SE-EGM-GL'!L39+'SE-LRC-GL'!L39</f>
        <v>1017685</v>
      </c>
      <c r="M39" s="38">
        <f>'SE-EGM-GL'!M39+'SE-LRC-GL'!M39</f>
        <v>1847098.28</v>
      </c>
      <c r="N39" s="60">
        <f>'SE-EGM-GL'!N39+'SE-LRC-GL'!N39</f>
        <v>153293</v>
      </c>
      <c r="O39" s="38">
        <f>'SE-EGM-GL'!O39+'SE-LRC-GL'!O39</f>
        <v>278226.8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'SE-EGM-GL'!AL39+'SE-LRC-GL'!AL39</f>
        <v>0</v>
      </c>
      <c r="AG39" s="38">
        <f>'SE-EGM-GL'!AM39+'SE-LRC-GL'!AM39</f>
        <v>0</v>
      </c>
      <c r="AH39" s="60">
        <f>'SE-EGM-GL'!AN39+'SE-LRC-GL'!AN39</f>
        <v>0</v>
      </c>
      <c r="AI39" s="38">
        <f>'SE-EGM-GL'!AO39+'SE-LRC-GL'!AO39</f>
        <v>0</v>
      </c>
      <c r="AJ39" s="60">
        <f>'SE-EGM-GL'!AP39+'SE-LRC-GL'!AP39</f>
        <v>0</v>
      </c>
      <c r="AK39" s="38">
        <f>'SE-EGM-GL'!AQ39+'SE-LRC-GL'!AQ39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-905645</v>
      </c>
      <c r="E40" s="38">
        <f t="shared" si="11"/>
        <v>-1643745.6800000002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-80069</v>
      </c>
      <c r="I40" s="38">
        <f>'SE-EGM-GL'!I40+'SE-LRC-GL'!I40</f>
        <v>-145325.24</v>
      </c>
      <c r="J40" s="60">
        <f>'SE-EGM-GL'!J40+'SE-LRC-GL'!J40</f>
        <v>80069</v>
      </c>
      <c r="K40" s="38">
        <f>'SE-EGM-GL'!K40+'SE-LRC-GL'!K40</f>
        <v>145325.24</v>
      </c>
      <c r="L40" s="60">
        <f>'SE-EGM-GL'!L40+'SE-LRC-GL'!L40</f>
        <v>-744373</v>
      </c>
      <c r="M40" s="38">
        <f>'SE-EGM-GL'!M40+'SE-LRC-GL'!M40</f>
        <v>-1351037</v>
      </c>
      <c r="N40" s="60">
        <f>'SE-EGM-GL'!N40+'SE-LRC-GL'!N40</f>
        <v>-161272</v>
      </c>
      <c r="O40" s="38">
        <f>'SE-EGM-GL'!O40+'SE-LRC-GL'!O40</f>
        <v>292708.68</v>
      </c>
      <c r="P40" s="60">
        <f>'SE-EGM-GL'!P40+'SE-LRC-GL'!P40</f>
        <v>0</v>
      </c>
      <c r="Q40" s="38">
        <f>'SE-EGM-GL'!Q40+'SE-LRC-GL'!Q40</f>
        <v>-585417.36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'SE-EGM-GL'!AL40+'SE-LRC-GL'!AL40</f>
        <v>0</v>
      </c>
      <c r="AG40" s="38">
        <f>'SE-EGM-GL'!AM40+'SE-LRC-GL'!AM40</f>
        <v>0</v>
      </c>
      <c r="AH40" s="60">
        <f>'SE-EGM-GL'!AN40+'SE-LRC-GL'!AN40</f>
        <v>0</v>
      </c>
      <c r="AI40" s="38">
        <f>'SE-EGM-GL'!AO40+'SE-LRC-GL'!AO40</f>
        <v>0</v>
      </c>
      <c r="AJ40" s="60">
        <f>'SE-EGM-GL'!AP40+'SE-LRC-GL'!AP40</f>
        <v>0</v>
      </c>
      <c r="AK40" s="38">
        <f>'SE-EGM-GL'!AQ40+'SE-LRC-GL'!AQ40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'SE-EGM-GL'!AL41+'SE-LRC-GL'!AL41</f>
        <v>0</v>
      </c>
      <c r="AG41" s="38">
        <f>'SE-EGM-GL'!AM41+'SE-LRC-GL'!AM41</f>
        <v>0</v>
      </c>
      <c r="AH41" s="60">
        <f>'SE-EGM-GL'!AN41+'SE-LRC-GL'!AN41</f>
        <v>0</v>
      </c>
      <c r="AI41" s="38">
        <f>'SE-EGM-GL'!AO41+'SE-LRC-GL'!AO41</f>
        <v>0</v>
      </c>
      <c r="AJ41" s="60">
        <f>'SE-EGM-GL'!AP41+'SE-LRC-GL'!AP41</f>
        <v>0</v>
      </c>
      <c r="AK41" s="38">
        <f>'SE-EGM-GL'!AQ41+'SE-LRC-GL'!AQ41</f>
        <v>0</v>
      </c>
    </row>
    <row r="42" spans="1:37" x14ac:dyDescent="0.2">
      <c r="A42" s="9"/>
      <c r="B42" s="7"/>
      <c r="C42" s="53" t="s">
        <v>52</v>
      </c>
      <c r="D42" s="61">
        <f>SUM(D40:D41)</f>
        <v>-905645</v>
      </c>
      <c r="E42" s="39">
        <f>SUM(E40:E41)</f>
        <v>-1643745.6800000002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-80069</v>
      </c>
      <c r="I42" s="39">
        <f t="shared" si="12"/>
        <v>-145325.24</v>
      </c>
      <c r="J42" s="61">
        <f t="shared" si="12"/>
        <v>80069</v>
      </c>
      <c r="K42" s="39">
        <f t="shared" si="12"/>
        <v>145325.24</v>
      </c>
      <c r="L42" s="61">
        <f t="shared" si="12"/>
        <v>-744373</v>
      </c>
      <c r="M42" s="39">
        <f t="shared" si="12"/>
        <v>-1351037</v>
      </c>
      <c r="N42" s="61">
        <f t="shared" si="12"/>
        <v>-161272</v>
      </c>
      <c r="O42" s="39">
        <f t="shared" si="12"/>
        <v>292708.68</v>
      </c>
      <c r="P42" s="61">
        <f t="shared" si="12"/>
        <v>0</v>
      </c>
      <c r="Q42" s="39">
        <f t="shared" si="12"/>
        <v>-585417.36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ref="AE42:AK42" si="13">SUM(AE40:AE41)</f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612568</v>
      </c>
      <c r="E43" s="39">
        <f>E42+E39</f>
        <v>1111810.9299999997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-80069</v>
      </c>
      <c r="I43" s="39">
        <f t="shared" si="14"/>
        <v>-145325.24</v>
      </c>
      <c r="J43" s="61">
        <f t="shared" si="14"/>
        <v>427304</v>
      </c>
      <c r="K43" s="39">
        <f t="shared" si="14"/>
        <v>775556.77</v>
      </c>
      <c r="L43" s="61">
        <f t="shared" si="14"/>
        <v>273312</v>
      </c>
      <c r="M43" s="39">
        <f t="shared" si="14"/>
        <v>496061.28</v>
      </c>
      <c r="N43" s="61">
        <f t="shared" si="14"/>
        <v>-7979</v>
      </c>
      <c r="O43" s="39">
        <f t="shared" si="14"/>
        <v>570935.48</v>
      </c>
      <c r="P43" s="61">
        <f t="shared" si="14"/>
        <v>0</v>
      </c>
      <c r="Q43" s="39">
        <f t="shared" si="14"/>
        <v>-585417.36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ref="AE43:AK43" si="15">AE42+AE39</f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5865</v>
      </c>
      <c r="E45" s="38">
        <f>SUM(G45,I45,K45,M45,O45,Q45,S45,U45,W45,Y45,AA45,AC45,AE45,AG45,AI45,AK45)</f>
        <v>10025.630000000001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12255</v>
      </c>
      <c r="K45" s="38">
        <f>'SE-EGM-GL'!K45+'SE-LRC-GL'!K45</f>
        <v>23652.15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-6390</v>
      </c>
      <c r="Y45" s="38">
        <f>'SE-EGM-GL'!Y45+'SE-LRC-GL'!Y45</f>
        <v>-13626.52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'SE-EGM-GL'!AL45+'SE-LRC-GL'!AL45</f>
        <v>0</v>
      </c>
      <c r="AG45" s="38">
        <f>'SE-EGM-GL'!AM45+'SE-LRC-GL'!AM45</f>
        <v>0</v>
      </c>
      <c r="AH45" s="60">
        <f>'SE-EGM-GL'!AN45+'SE-LRC-GL'!AN45</f>
        <v>0</v>
      </c>
      <c r="AI45" s="38">
        <f>'SE-EGM-GL'!AO45+'SE-LRC-GL'!AO45</f>
        <v>0</v>
      </c>
      <c r="AJ45" s="60">
        <f>'SE-EGM-GL'!AP45+'SE-LRC-GL'!AP45</f>
        <v>0</v>
      </c>
      <c r="AK45" s="38">
        <f>'SE-EGM-GL'!AQ45+'SE-LRC-GL'!AQ45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1.4551915228366852E-11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45722</v>
      </c>
      <c r="I47" s="38">
        <f>'SE-EGM-GL'!I47+'SE-LRC-GL'!I47</f>
        <v>82757.02</v>
      </c>
      <c r="J47" s="60">
        <f>'SE-EGM-GL'!J47+'SE-LRC-GL'!J47</f>
        <v>16161</v>
      </c>
      <c r="K47" s="38">
        <f>'SE-EGM-GL'!K47+'SE-LRC-GL'!K47</f>
        <v>29251.41</v>
      </c>
      <c r="L47" s="60">
        <f>'SE-EGM-GL'!L47+'SE-LRC-GL'!L47</f>
        <v>-9008</v>
      </c>
      <c r="M47" s="38">
        <f>'SE-EGM-GL'!M47+'SE-LRC-GL'!M47</f>
        <v>-16304.48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-52875</v>
      </c>
      <c r="S47" s="38">
        <f>'SE-EGM-GL'!S47+'SE-LRC-GL'!S47</f>
        <v>-95703.95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'SE-EGM-GL'!AL47+'SE-LRC-GL'!AL47</f>
        <v>0</v>
      </c>
      <c r="AG47" s="38">
        <f>'SE-EGM-GL'!AM47+'SE-LRC-GL'!AM47</f>
        <v>0</v>
      </c>
      <c r="AH47" s="60">
        <f>'SE-EGM-GL'!AN47+'SE-LRC-GL'!AN47</f>
        <v>0</v>
      </c>
      <c r="AI47" s="38">
        <f>'SE-EGM-GL'!AO47+'SE-LRC-GL'!AO47</f>
        <v>0</v>
      </c>
      <c r="AJ47" s="60">
        <f>'SE-EGM-GL'!AP47+'SE-LRC-GL'!AP47</f>
        <v>0</v>
      </c>
      <c r="AK47" s="38">
        <f>'SE-EGM-GL'!AQ47+'SE-LRC-GL'!AQ47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143782</v>
      </c>
      <c r="E49" s="38">
        <f t="shared" si="16"/>
        <v>257082.21600000001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0</v>
      </c>
      <c r="I49" s="38">
        <f>'SE-EGM-GL'!I49+'SE-LRC-GL'!I49</f>
        <v>0</v>
      </c>
      <c r="J49" s="60">
        <f>'SE-EGM-GL'!J49+'SE-LRC-GL'!J49</f>
        <v>4443</v>
      </c>
      <c r="K49" s="38">
        <f>'SE-EGM-GL'!K49+'SE-LRC-GL'!K49</f>
        <v>7944.0839999999998</v>
      </c>
      <c r="L49" s="60">
        <f>'SE-EGM-GL'!L49+'SE-LRC-GL'!L49</f>
        <v>66239</v>
      </c>
      <c r="M49" s="38">
        <f>'SE-EGM-GL'!M49+'SE-LRC-GL'!M49</f>
        <v>118435.33199999999</v>
      </c>
      <c r="N49" s="60">
        <f>'SE-EGM-GL'!N49+'SE-LRC-GL'!N49</f>
        <v>0</v>
      </c>
      <c r="O49" s="38">
        <f>'SE-EGM-GL'!O49+'SE-LRC-GL'!O49</f>
        <v>0</v>
      </c>
      <c r="P49" s="60">
        <f>'SE-EGM-GL'!P49+'SE-LRC-GL'!P49</f>
        <v>44182</v>
      </c>
      <c r="Q49" s="38">
        <f>'SE-EGM-GL'!Q49+'SE-LRC-GL'!Q49</f>
        <v>78997.415999999997</v>
      </c>
      <c r="R49" s="60">
        <f>'SE-EGM-GL'!R49+'SE-LRC-GL'!R49</f>
        <v>0</v>
      </c>
      <c r="S49" s="38">
        <f>'SE-EGM-GL'!S49+'SE-LRC-GL'!S49</f>
        <v>0</v>
      </c>
      <c r="T49" s="60">
        <f>'SE-EGM-GL'!T49+'SE-LRC-GL'!T49</f>
        <v>8693</v>
      </c>
      <c r="U49" s="38">
        <f>'SE-EGM-GL'!U49+'SE-LRC-GL'!U49</f>
        <v>15543.084000000001</v>
      </c>
      <c r="V49" s="60">
        <f>'SE-EGM-GL'!V49+'SE-LRC-GL'!V49</f>
        <v>62102</v>
      </c>
      <c r="W49" s="38">
        <f>'SE-EGM-GL'!W49+'SE-LRC-GL'!W49</f>
        <v>111038.376</v>
      </c>
      <c r="X49" s="60">
        <f>'SE-EGM-GL'!X49+'SE-LRC-GL'!X49</f>
        <v>-41902</v>
      </c>
      <c r="Y49" s="38">
        <f>'SE-EGM-GL'!Y49+'SE-LRC-GL'!Y49</f>
        <v>-74920.775999999998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-82104</v>
      </c>
      <c r="AC49" s="38">
        <f>'SE-EGM-GL'!AC49+'SE-LRC-GL'!AC49</f>
        <v>-146801.95199999999</v>
      </c>
      <c r="AD49" s="60">
        <f>'SE-EGM-GL'!AD49+'SE-LRC-GL'!AD49</f>
        <v>82129</v>
      </c>
      <c r="AE49" s="38">
        <f>'SE-EGM-GL'!AE49+'SE-LRC-GL'!AE49</f>
        <v>146846.652</v>
      </c>
      <c r="AF49" s="60">
        <f>'SE-EGM-GL'!AL49+'SE-LRC-GL'!AL49</f>
        <v>0</v>
      </c>
      <c r="AG49" s="38">
        <f>'SE-EGM-GL'!AM49+'SE-LRC-GL'!AM49</f>
        <v>0</v>
      </c>
      <c r="AH49" s="60">
        <f>'SE-EGM-GL'!AN49+'SE-LRC-GL'!AN49</f>
        <v>0</v>
      </c>
      <c r="AI49" s="38">
        <f>'SE-EGM-GL'!AO49+'SE-LRC-GL'!AO49</f>
        <v>0</v>
      </c>
      <c r="AJ49" s="60">
        <f>'SE-EGM-GL'!AP49+'SE-LRC-GL'!AP49</f>
        <v>0</v>
      </c>
      <c r="AK49" s="38">
        <f>'SE-EGM-GL'!AQ49+'SE-LRC-GL'!AQ49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-27551</v>
      </c>
      <c r="E51" s="38">
        <f t="shared" si="16"/>
        <v>-50720.54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0</v>
      </c>
      <c r="I51" s="38">
        <f>'SE-EGM-GL'!I51+'SE-LRC-GL'!I51</f>
        <v>0</v>
      </c>
      <c r="J51" s="60">
        <f>'SE-EGM-GL'!J51+'SE-LRC-GL'!J51</f>
        <v>-27551</v>
      </c>
      <c r="K51" s="38">
        <f>'SE-EGM-GL'!K51+'SE-LRC-GL'!K51</f>
        <v>-47998.53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-2722.01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'SE-EGM-GL'!AL51+'SE-LRC-GL'!AL51</f>
        <v>0</v>
      </c>
      <c r="AG51" s="38">
        <f>'SE-EGM-GL'!AM51+'SE-LRC-GL'!AM51</f>
        <v>0</v>
      </c>
      <c r="AH51" s="60">
        <f>'SE-EGM-GL'!AN51+'SE-LRC-GL'!AN51</f>
        <v>0</v>
      </c>
      <c r="AI51" s="38">
        <f>'SE-EGM-GL'!AO51+'SE-LRC-GL'!AO51</f>
        <v>0</v>
      </c>
      <c r="AJ51" s="60">
        <f>'SE-EGM-GL'!AP51+'SE-LRC-GL'!AP51</f>
        <v>0</v>
      </c>
      <c r="AK51" s="38">
        <f>'SE-EGM-GL'!AQ51+'SE-LRC-GL'!AQ51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886869</v>
      </c>
      <c r="E54" s="38">
        <f>SUM(G54,I54,K54,M54,O54,Q54,S54,U54,W54,Y54,AA54,AC54,AE54,AG54,AI54,AK54)</f>
        <v>1136642.72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24138.22</v>
      </c>
      <c r="J54" s="60">
        <f>'SE-EGM-GL'!J54+'SE-LRC-GL'!J54</f>
        <v>886869</v>
      </c>
      <c r="K54" s="38">
        <f>'SE-EGM-GL'!K54+'SE-LRC-GL'!K54</f>
        <v>1112504.5</v>
      </c>
      <c r="L54" s="60">
        <f>'SE-EGM-GL'!L54+'SE-LRC-GL'!L54</f>
        <v>0</v>
      </c>
      <c r="M54" s="38">
        <f>'SE-EGM-GL'!M54+'SE-LRC-GL'!M54</f>
        <v>0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'SE-EGM-GL'!AL54+'SE-LRC-GL'!AL54</f>
        <v>0</v>
      </c>
      <c r="AG54" s="38">
        <f>'SE-EGM-GL'!AM54+'SE-LRC-GL'!AM54</f>
        <v>0</v>
      </c>
      <c r="AH54" s="60">
        <f>'SE-EGM-GL'!AN54+'SE-LRC-GL'!AN54</f>
        <v>0</v>
      </c>
      <c r="AI54" s="38">
        <f>'SE-EGM-GL'!AO54+'SE-LRC-GL'!AO54</f>
        <v>0</v>
      </c>
      <c r="AJ54" s="60">
        <f>'SE-EGM-GL'!AP54+'SE-LRC-GL'!AP54</f>
        <v>0</v>
      </c>
      <c r="AK54" s="38">
        <f>'SE-EGM-GL'!AQ54+'SE-LRC-GL'!AQ54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'SE-EGM-GL'!AL55+'SE-LRC-GL'!AL55</f>
        <v>0</v>
      </c>
      <c r="AG55" s="38">
        <f>'SE-EGM-GL'!AM55+'SE-LRC-GL'!AM55</f>
        <v>0</v>
      </c>
      <c r="AH55" s="60">
        <f>'SE-EGM-GL'!AN55+'SE-LRC-GL'!AN55</f>
        <v>0</v>
      </c>
      <c r="AI55" s="38">
        <f>'SE-EGM-GL'!AO55+'SE-LRC-GL'!AO55</f>
        <v>0</v>
      </c>
      <c r="AJ55" s="60">
        <f>'SE-EGM-GL'!AP55+'SE-LRC-GL'!AP55</f>
        <v>0</v>
      </c>
      <c r="AK55" s="38">
        <f>'SE-EGM-GL'!AQ55+'SE-LRC-GL'!AQ55</f>
        <v>0</v>
      </c>
    </row>
    <row r="56" spans="1:37" x14ac:dyDescent="0.2">
      <c r="A56" s="9"/>
      <c r="B56" s="7" t="s">
        <v>61</v>
      </c>
      <c r="C56" s="6"/>
      <c r="D56" s="61">
        <f>SUM(D54:D55)</f>
        <v>886869</v>
      </c>
      <c r="E56" s="39">
        <f>SUM(E54:E55)</f>
        <v>1136642.72</v>
      </c>
      <c r="F56" s="61">
        <f t="shared" ref="F56:AD56" si="17">SUM(F54:F55)</f>
        <v>0</v>
      </c>
      <c r="G56" s="39">
        <f t="shared" si="17"/>
        <v>0</v>
      </c>
      <c r="H56" s="61">
        <f t="shared" si="17"/>
        <v>0</v>
      </c>
      <c r="I56" s="39">
        <f t="shared" si="17"/>
        <v>24138.22</v>
      </c>
      <c r="J56" s="61">
        <f t="shared" si="17"/>
        <v>886869</v>
      </c>
      <c r="K56" s="39">
        <f t="shared" si="17"/>
        <v>1112504.5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ref="AE56:AK56" si="18">SUM(AE54:AE55)</f>
        <v>0</v>
      </c>
      <c r="AF56" s="61">
        <f t="shared" si="18"/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3300586</v>
      </c>
      <c r="E59" s="38">
        <f>SUM(G59,I59,K59,M59,O59,Q59,S59,U59,W59,Y59,AA59,AC59,AE59,AG59,AI59,AK59)</f>
        <v>122122.00999999989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3284215</v>
      </c>
      <c r="I59" s="38">
        <f>'SE-EGM-GL'!I59+'SE-LRC-GL'!I59</f>
        <v>788653.44</v>
      </c>
      <c r="J59" s="60">
        <f>'SE-EGM-GL'!J59+'SE-LRC-GL'!J59</f>
        <v>3926</v>
      </c>
      <c r="K59" s="38">
        <f>'SE-EGM-GL'!K59+'SE-LRC-GL'!K59</f>
        <v>-676256.43</v>
      </c>
      <c r="L59" s="60">
        <f>'SE-EGM-GL'!L59+'SE-LRC-GL'!L59</f>
        <v>0</v>
      </c>
      <c r="M59" s="38">
        <f>'SE-EGM-GL'!M59+'SE-LRC-GL'!M59</f>
        <v>9725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8693</v>
      </c>
      <c r="S59" s="38">
        <f>'SE-EGM-GL'!S59+'SE-LRC-GL'!S59</f>
        <v>0</v>
      </c>
      <c r="T59" s="60">
        <f>'SE-EGM-GL'!T59+'SE-LRC-GL'!T59</f>
        <v>-8693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12445</v>
      </c>
      <c r="AE59" s="38">
        <f>'SE-EGM-GL'!AE59+'SE-LRC-GL'!AE59</f>
        <v>0</v>
      </c>
      <c r="AF59" s="60">
        <f>'SE-EGM-GL'!AL59+'SE-LRC-GL'!AL59</f>
        <v>0</v>
      </c>
      <c r="AG59" s="38">
        <f>'SE-EGM-GL'!AM59+'SE-LRC-GL'!AM59</f>
        <v>0</v>
      </c>
      <c r="AH59" s="60">
        <f>'SE-EGM-GL'!AN59+'SE-LRC-GL'!AN59</f>
        <v>0</v>
      </c>
      <c r="AI59" s="38">
        <f>'SE-EGM-GL'!AO59+'SE-LRC-GL'!AO59</f>
        <v>0</v>
      </c>
      <c r="AJ59" s="60">
        <f>'SE-EGM-GL'!AP59+'SE-LRC-GL'!AP59</f>
        <v>0</v>
      </c>
      <c r="AK59" s="38">
        <f>'SE-EGM-GL'!AQ59+'SE-LRC-GL'!AQ59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606099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170000</v>
      </c>
      <c r="J60" s="60">
        <f>'SE-EGM-GL'!J60+'SE-LRC-GL'!J60</f>
        <v>0</v>
      </c>
      <c r="K60" s="38">
        <f>'SE-EGM-GL'!K60+'SE-LRC-GL'!K60</f>
        <v>301099</v>
      </c>
      <c r="L60" s="60">
        <f>'SE-EGM-GL'!L60+'SE-LRC-GL'!L60</f>
        <v>0</v>
      </c>
      <c r="M60" s="38">
        <f>'SE-EGM-GL'!M60+'SE-LRC-GL'!M60</f>
        <v>450000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-315000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'SE-EGM-GL'!AL60+'SE-LRC-GL'!AL60</f>
        <v>0</v>
      </c>
      <c r="AG60" s="38">
        <f>'SE-EGM-GL'!AM60+'SE-LRC-GL'!AM60</f>
        <v>0</v>
      </c>
      <c r="AH60" s="60">
        <f>'SE-EGM-GL'!AN60+'SE-LRC-GL'!AN60</f>
        <v>0</v>
      </c>
      <c r="AI60" s="38">
        <f>'SE-EGM-GL'!AO60+'SE-LRC-GL'!AO60</f>
        <v>0</v>
      </c>
      <c r="AJ60" s="60">
        <f>'SE-EGM-GL'!AP60+'SE-LRC-GL'!AP60</f>
        <v>0</v>
      </c>
      <c r="AK60" s="38">
        <f>'SE-EGM-GL'!AQ60+'SE-LRC-GL'!AQ60</f>
        <v>0</v>
      </c>
    </row>
    <row r="61" spans="1:37" x14ac:dyDescent="0.2">
      <c r="A61" s="9"/>
      <c r="B61" s="62" t="s">
        <v>65</v>
      </c>
      <c r="C61" s="6"/>
      <c r="D61" s="61">
        <f>SUM(D59:D60)</f>
        <v>3300586</v>
      </c>
      <c r="E61" s="39">
        <f>SUM(E59:E60)</f>
        <v>728221.00999999989</v>
      </c>
      <c r="F61" s="61">
        <f t="shared" ref="F61:AD61" si="19">SUM(F59:F60)</f>
        <v>0</v>
      </c>
      <c r="G61" s="39">
        <f t="shared" si="19"/>
        <v>0</v>
      </c>
      <c r="H61" s="61">
        <f t="shared" si="19"/>
        <v>3284215</v>
      </c>
      <c r="I61" s="39">
        <f t="shared" si="19"/>
        <v>958653.43999999994</v>
      </c>
      <c r="J61" s="61">
        <f t="shared" si="19"/>
        <v>3926</v>
      </c>
      <c r="K61" s="39">
        <f t="shared" si="19"/>
        <v>-375157.43000000005</v>
      </c>
      <c r="L61" s="61">
        <f t="shared" si="19"/>
        <v>0</v>
      </c>
      <c r="M61" s="39">
        <f t="shared" si="19"/>
        <v>459725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-315000</v>
      </c>
      <c r="R61" s="61">
        <f t="shared" si="19"/>
        <v>8693</v>
      </c>
      <c r="S61" s="39">
        <f t="shared" si="19"/>
        <v>0</v>
      </c>
      <c r="T61" s="61">
        <f t="shared" si="19"/>
        <v>-8693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12445</v>
      </c>
      <c r="AE61" s="39">
        <f t="shared" ref="AE61:AK61" si="20">SUM(AE59:AE60)</f>
        <v>0</v>
      </c>
      <c r="AF61" s="61">
        <f t="shared" si="20"/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-13552117</v>
      </c>
      <c r="E64" s="38">
        <f>SUM(G64,I64,K64,M64,O64,Q64,S64,U64,W64,Y64,AA64,AC64,AE64,AG64,AI64,AK64)</f>
        <v>-3439972.3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-886869</v>
      </c>
      <c r="I64" s="38">
        <f>'SE-EGM-GL'!I64+'SE-LRC-GL'!I64</f>
        <v>-1246212</v>
      </c>
      <c r="J64" s="60">
        <f>'SE-EGM-GL'!J64+'SE-LRC-GL'!J64</f>
        <v>-12665248</v>
      </c>
      <c r="K64" s="38">
        <f>'SE-EGM-GL'!K64+'SE-LRC-GL'!K64</f>
        <v>-2193760.2999999998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19861418</v>
      </c>
      <c r="E65" s="38">
        <f>SUM(G65,I65,K65,M65,O65,Q65,S65,U65,W65,Y65,AA65,AC65,AE65,AG65,AI65,AK65)</f>
        <v>1949228.35</v>
      </c>
      <c r="F65" s="81">
        <f>('TIE-OUT'!J65+'TIE-OUT'!L65)+(RECLASS!J65+RECLASS!L65)</f>
        <v>0</v>
      </c>
      <c r="G65" s="82">
        <f>('TIE-OUT'!K65+'TIE-OUT'!M65)+(RECLASS!K65+RECLASS!M65)</f>
        <v>0</v>
      </c>
      <c r="H65" s="60">
        <f>'SE-EGM-GL'!H65+'SE-LRC-GL'!H65</f>
        <v>886869</v>
      </c>
      <c r="I65" s="38">
        <f>'SE-EGM-GL'!I65+'SE-LRC-GL'!I65</f>
        <v>1246212</v>
      </c>
      <c r="J65" s="60">
        <f>'SE-EGM-GL'!J65+'SE-LRC-GL'!J65</f>
        <v>18974549</v>
      </c>
      <c r="K65" s="38">
        <f>'SE-EGM-GL'!K65+'SE-LRC-GL'!K65</f>
        <v>703016.35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68</v>
      </c>
      <c r="C66" s="6"/>
      <c r="D66" s="61">
        <f>SUM(D64:D65)</f>
        <v>6309301</v>
      </c>
      <c r="E66" s="39">
        <f>SUM(E64:E65)</f>
        <v>-1490743.9499999997</v>
      </c>
      <c r="F66" s="61">
        <f t="shared" ref="F66:AD66" si="21">SUM(F64:F65)</f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6309301</v>
      </c>
      <c r="K66" s="39">
        <f t="shared" si="21"/>
        <v>-1490743.9499999997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ref="AE66:AK66" si="22">SUM(AE64:AE65)</f>
        <v>0</v>
      </c>
      <c r="AF66" s="61">
        <f t="shared" si="22"/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'SE-EGM-GL'!AL70+'SE-LRC-GL'!AL70</f>
        <v>0</v>
      </c>
      <c r="AG70" s="38">
        <f>'SE-EGM-GL'!AM70+'SE-LRC-GL'!AM70</f>
        <v>0</v>
      </c>
      <c r="AH70" s="60">
        <f>'SE-EGM-GL'!AN70+'SE-LRC-GL'!AN70</f>
        <v>0</v>
      </c>
      <c r="AI70" s="38">
        <f>'SE-EGM-GL'!AO70+'SE-LRC-GL'!AO70</f>
        <v>0</v>
      </c>
      <c r="AJ70" s="60">
        <f>'SE-EGM-GL'!AP70+'SE-LRC-GL'!AP70</f>
        <v>0</v>
      </c>
      <c r="AK70" s="38">
        <f>'SE-EGM-GL'!AQ70+'SE-LRC-GL'!AQ70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'SE-EGM-GL'!AL71+'SE-LRC-GL'!AL71</f>
        <v>0</v>
      </c>
      <c r="AG71" s="38">
        <f>'SE-EGM-GL'!AM71+'SE-LRC-GL'!AM71</f>
        <v>0</v>
      </c>
      <c r="AH71" s="60">
        <f>'SE-EGM-GL'!AN71+'SE-LRC-GL'!AN71</f>
        <v>0</v>
      </c>
      <c r="AI71" s="38">
        <f>'SE-EGM-GL'!AO71+'SE-LRC-GL'!AO71</f>
        <v>0</v>
      </c>
      <c r="AJ71" s="60">
        <f>'SE-EGM-GL'!AP71+'SE-LRC-GL'!AP71</f>
        <v>0</v>
      </c>
      <c r="AK71" s="38">
        <f>'SE-EGM-GL'!AQ71+'SE-LRC-GL'!AQ71</f>
        <v>0</v>
      </c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23">SUM(F70:F71)</f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ref="AE72:AK72" si="24">SUM(AE70:AE71)</f>
        <v>0</v>
      </c>
      <c r="AF72" s="61">
        <f t="shared" si="24"/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'SE-EGM-GL'!AL73+'SE-LRC-GL'!AL73</f>
        <v>0</v>
      </c>
      <c r="AG73" s="38">
        <f>'SE-EGM-GL'!AM73+'SE-LRC-GL'!AM73</f>
        <v>0</v>
      </c>
      <c r="AH73" s="60">
        <f>'SE-EGM-GL'!AN73+'SE-LRC-GL'!AN73</f>
        <v>0</v>
      </c>
      <c r="AI73" s="38">
        <f>'SE-EGM-GL'!AO73+'SE-LRC-GL'!AO73</f>
        <v>0</v>
      </c>
      <c r="AJ73" s="60">
        <f>'SE-EGM-GL'!AP73+'SE-LRC-GL'!AP73</f>
        <v>0</v>
      </c>
      <c r="AK73" s="38">
        <f>'SE-EGM-GL'!AQ73+'SE-LRC-GL'!AQ73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'SE-EGM-GL'!AL74+'SE-LRC-GL'!AL74</f>
        <v>0</v>
      </c>
      <c r="AG74" s="38">
        <f>'SE-EGM-GL'!AM74+'SE-LRC-GL'!AM74</f>
        <v>0</v>
      </c>
      <c r="AH74" s="60">
        <f>'SE-EGM-GL'!AN74+'SE-LRC-GL'!AN74</f>
        <v>0</v>
      </c>
      <c r="AI74" s="38">
        <f>'SE-EGM-GL'!AO74+'SE-LRC-GL'!AO74</f>
        <v>0</v>
      </c>
      <c r="AJ74" s="60">
        <f>'SE-EGM-GL'!AP74+'SE-LRC-GL'!AP74</f>
        <v>0</v>
      </c>
      <c r="AK74" s="38">
        <f>'SE-EGM-GL'!AQ74+'SE-LRC-GL'!AQ74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'SE-EGM-GL'!AL75+'SE-LRC-GL'!AL75</f>
        <v>0</v>
      </c>
      <c r="AG75" s="38">
        <f>'SE-EGM-GL'!AM75+'SE-LRC-GL'!AM75</f>
        <v>0</v>
      </c>
      <c r="AH75" s="60">
        <f>'SE-EGM-GL'!AN75+'SE-LRC-GL'!AN75</f>
        <v>0</v>
      </c>
      <c r="AI75" s="38">
        <f>'SE-EGM-GL'!AO75+'SE-LRC-GL'!AO75</f>
        <v>0</v>
      </c>
      <c r="AJ75" s="60">
        <f>'SE-EGM-GL'!AP75+'SE-LRC-GL'!AP75</f>
        <v>0</v>
      </c>
      <c r="AK75" s="38">
        <f>'SE-EGM-GL'!AQ75+'SE-LRC-GL'!AQ75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'SE-EGM-GL'!AL76+'SE-LRC-GL'!AL76</f>
        <v>0</v>
      </c>
      <c r="AG76" s="38">
        <f>'SE-EGM-GL'!AM76+'SE-LRC-GL'!AM76</f>
        <v>0</v>
      </c>
      <c r="AH76" s="60">
        <f>'SE-EGM-GL'!AN76+'SE-LRC-GL'!AN76</f>
        <v>0</v>
      </c>
      <c r="AI76" s="38">
        <f>'SE-EGM-GL'!AO76+'SE-LRC-GL'!AO76</f>
        <v>0</v>
      </c>
      <c r="AJ76" s="60">
        <f>'SE-EGM-GL'!AP76+'SE-LRC-GL'!AP76</f>
        <v>0</v>
      </c>
      <c r="AK76" s="38">
        <f>'SE-EGM-GL'!AQ76+'SE-LRC-GL'!AQ76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'SE-EGM-GL'!AL77+'SE-LRC-GL'!AL77</f>
        <v>0</v>
      </c>
      <c r="AG77" s="38">
        <f>'SE-EGM-GL'!AM77+'SE-LRC-GL'!AM77</f>
        <v>0</v>
      </c>
      <c r="AH77" s="60">
        <f>'SE-EGM-GL'!AN77+'SE-LRC-GL'!AN77</f>
        <v>0</v>
      </c>
      <c r="AI77" s="38">
        <f>'SE-EGM-GL'!AO77+'SE-LRC-GL'!AO77</f>
        <v>0</v>
      </c>
      <c r="AJ77" s="60">
        <f>'SE-EGM-GL'!AP77+'SE-LRC-GL'!AP77</f>
        <v>0</v>
      </c>
      <c r="AK77" s="38">
        <f>'SE-EGM-GL'!AQ77+'SE-LRC-GL'!AQ77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'SE-EGM-GL'!AL78+'SE-LRC-GL'!AL78</f>
        <v>0</v>
      </c>
      <c r="AG78" s="38">
        <f>'SE-EGM-GL'!AM78+'SE-LRC-GL'!AM78</f>
        <v>0</v>
      </c>
      <c r="AH78" s="60">
        <f>'SE-EGM-GL'!AN78+'SE-LRC-GL'!AN78</f>
        <v>0</v>
      </c>
      <c r="AI78" s="38">
        <f>'SE-EGM-GL'!AO78+'SE-LRC-GL'!AO78</f>
        <v>0</v>
      </c>
      <c r="AJ78" s="60">
        <f>'SE-EGM-GL'!AP78+'SE-LRC-GL'!AP78</f>
        <v>0</v>
      </c>
      <c r="AK78" s="38">
        <f>'SE-EGM-GL'!AQ78+'SE-LRC-GL'!AQ78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'SE-EGM-GL'!AL79+'SE-LRC-GL'!AL79</f>
        <v>0</v>
      </c>
      <c r="AG79" s="38">
        <f>'SE-EGM-GL'!AM79+'SE-LRC-GL'!AM79</f>
        <v>0</v>
      </c>
      <c r="AH79" s="60">
        <f>'SE-EGM-GL'!AN79+'SE-LRC-GL'!AN79</f>
        <v>0</v>
      </c>
      <c r="AI79" s="38">
        <f>'SE-EGM-GL'!AO79+'SE-LRC-GL'!AO79</f>
        <v>0</v>
      </c>
      <c r="AJ79" s="60">
        <f>'SE-EGM-GL'!AP79+'SE-LRC-GL'!AP79</f>
        <v>0</v>
      </c>
      <c r="AK79" s="38">
        <f>'SE-EGM-GL'!AQ79+'SE-LRC-GL'!AQ79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'SE-EGM-GL'!AL80+'SE-LRC-GL'!AL80</f>
        <v>0</v>
      </c>
      <c r="AG80" s="38">
        <f>'SE-EGM-GL'!AM80+'SE-LRC-GL'!AM80</f>
        <v>0</v>
      </c>
      <c r="AH80" s="60">
        <f>'SE-EGM-GL'!AN80+'SE-LRC-GL'!AN80</f>
        <v>0</v>
      </c>
      <c r="AI80" s="38">
        <f>'SE-EGM-GL'!AO80+'SE-LRC-GL'!AO80</f>
        <v>0</v>
      </c>
      <c r="AJ80" s="60">
        <f>'SE-EGM-GL'!AP80+'SE-LRC-GL'!AP80</f>
        <v>0</v>
      </c>
      <c r="AK80" s="38">
        <f>'SE-EGM-GL'!AQ80+'SE-LRC-GL'!AQ80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'SE-EGM-GL'!AL81+'SE-LRC-GL'!AL81</f>
        <v>0</v>
      </c>
      <c r="AG81" s="38">
        <f>'SE-EGM-GL'!AM81+'SE-LRC-GL'!AM81</f>
        <v>0</v>
      </c>
      <c r="AH81" s="60">
        <f>'SE-EGM-GL'!AN81+'SE-LRC-GL'!AN81</f>
        <v>0</v>
      </c>
      <c r="AI81" s="38">
        <f>'SE-EGM-GL'!AO81+'SE-LRC-GL'!AO81</f>
        <v>0</v>
      </c>
      <c r="AJ81" s="60">
        <f>'SE-EGM-GL'!AP81+'SE-LRC-GL'!AP81</f>
        <v>0</v>
      </c>
      <c r="AK81" s="38">
        <f>'SE-EGM-GL'!AQ81+'SE-LRC-GL'!AQ81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676925.11599999946</v>
      </c>
      <c r="F82" s="92">
        <f>F16+F24+F29+F36+F43+F45+F47+F49</f>
        <v>0</v>
      </c>
      <c r="G82" s="93">
        <f>SUM(G72:G81)+G16+G24+G29+G36+G43+G45+G47+G49+G51+G56+G61+G66</f>
        <v>-1135706.29</v>
      </c>
      <c r="H82" s="92">
        <f>H16+H24+H29+H36+H43+H45+H47+H49</f>
        <v>0</v>
      </c>
      <c r="I82" s="93">
        <f>SUM(I72:I81)+I16+I24+I29+I36+I43+I45+I47+I49+I51+I56+I61+I66</f>
        <v>1970343.560000001</v>
      </c>
      <c r="J82" s="92">
        <f>J16+J24+J29+J36+J43+J45+J47+J49</f>
        <v>0</v>
      </c>
      <c r="K82" s="93">
        <f>SUM(K72:K81)+K16+K24+K29+K36+K43+K45+K47+K49+K51+K56+K61+K66</f>
        <v>-1084545.3479999995</v>
      </c>
      <c r="L82" s="92">
        <f>L16+L24+L29+L36+L43+L45+L47+L49</f>
        <v>0</v>
      </c>
      <c r="M82" s="93">
        <f>SUM(M72:M81)+M16+M24+M29+M36+M43+M45+M47+M49+M51+M56+M61+M66</f>
        <v>1265939.044</v>
      </c>
      <c r="N82" s="92">
        <f>N16+N24+N29+N36+N43+N45+N47+N49</f>
        <v>0</v>
      </c>
      <c r="O82" s="93">
        <f>SUM(O72:O81)+O16+O24+O29+O36+O43+O45+O47+O49+O51+O56+O61+O66</f>
        <v>562871.43999999994</v>
      </c>
      <c r="P82" s="92">
        <f>P16+P24+P29+P36+P43+P45+P47+P49</f>
        <v>0</v>
      </c>
      <c r="Q82" s="93">
        <f>SUM(Q72:Q81)+Q16+Q24+Q29+Q36+Q43+Q45+Q47+Q49+Q51+Q56+Q61+Q66</f>
        <v>-896025.72400000005</v>
      </c>
      <c r="R82" s="92">
        <f>R16+R24+R29+R36+R43+R45+R47+R49</f>
        <v>0</v>
      </c>
      <c r="S82" s="93">
        <f>SUM(S72:S81)+S16+S24+S29+S36+S43+S45+S47+S49+S51+S56+S61+S66</f>
        <v>-1478.179999999993</v>
      </c>
      <c r="T82" s="92">
        <f>T16+T24+T29+T36+T43+T45+T47+T49</f>
        <v>0</v>
      </c>
      <c r="U82" s="93">
        <f>SUM(U72:U81)+U16+U24+U29+U36+U43+U45+U47+U49+U51+U56+U61+U66</f>
        <v>-1419.6459999999988</v>
      </c>
      <c r="V82" s="92">
        <f>V16+V24+V29+V36+V43+V45+V47+V49</f>
        <v>0</v>
      </c>
      <c r="W82" s="93">
        <f>SUM(W72:W81)+W16+W24+W29+W36+W43+W45+W47+W49+W51+W56+W61+W66</f>
        <v>-8969.4539999999979</v>
      </c>
      <c r="X82" s="92">
        <f>X16+X24+X29+X36+X43+X45+X47+X49</f>
        <v>0</v>
      </c>
      <c r="Y82" s="93">
        <f>SUM(Y72:Y81)+Y16+Y24+Y29+Y36+Y43+Y45+Y47+Y49+Y51+Y56+Y61+Y66</f>
        <v>19435.704000000005</v>
      </c>
      <c r="Z82" s="92">
        <f>Z16+Z24+Z29+Z36+Z43+Z45+Z47+Z49</f>
        <v>0</v>
      </c>
      <c r="AA82" s="93">
        <f>SUM(AA72:AA81)+AA16+AA24+AA29+AA36+AA43+AA45+AA47+AA49+AA51+AA56+AA61+AA66</f>
        <v>-12924.109999999999</v>
      </c>
      <c r="AB82" s="92">
        <f>AB16+AB24+AB29+AB36+AB43+AB45+AB47+AB49</f>
        <v>0</v>
      </c>
      <c r="AC82" s="93">
        <f>SUM(AC72:AC81)+AC16+AC24+AC29+AC36+AC43+AC45+AC47+AC49+AC51+AC56+AC61+AC66</f>
        <v>17406.078000000038</v>
      </c>
      <c r="AD82" s="92">
        <f>AD16+AD24+AD29+AD36+AD43+AD45+AD47+AD49</f>
        <v>0</v>
      </c>
      <c r="AE82" s="93">
        <f>SUM(AE72:AE81)+AE16+AE24+AE29+AE36+AE43+AE45+AE47+AE49+AE51+AE56+AE61+AE66</f>
        <v>-18001.958000000013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G84" s="14">
        <f>+'SE-LRC-GL'!G82+'SE-EGM-GL'!G82</f>
        <v>-1135706.29</v>
      </c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7"/>
  <sheetViews>
    <sheetView topLeftCell="A66" zoomScale="75" workbookViewId="0">
      <selection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116536014</v>
      </c>
      <c r="E11" s="38">
        <f t="shared" si="0"/>
        <v>243771993.70000011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116510269</v>
      </c>
      <c r="I11" s="38">
        <f>+BGC_GL!I11+'SE-LRC-GL'!I11+NE_GL!I11+'SE-EGM-GL'!I11</f>
        <v>239140401.19000006</v>
      </c>
      <c r="J11" s="60">
        <f>+BGC_GL!J11+'SE-LRC-GL'!J11+NE_GL!J11+'SE-EGM-GL'!J11</f>
        <v>30331</v>
      </c>
      <c r="K11" s="38">
        <f>+BGC_GL!K11+'SE-LRC-GL'!K11+NE_GL!K11+'SE-EGM-GL'!K11</f>
        <v>8730064.4400000013</v>
      </c>
      <c r="L11" s="60">
        <f>+BGC_GL!L11+'SE-LRC-GL'!L11+NE_GL!L11+'SE-EGM-GL'!L11</f>
        <v>-25724</v>
      </c>
      <c r="M11" s="38">
        <f>+BGC_GL!M11+'SE-LRC-GL'!M11+NE_GL!M11+'SE-EGM-GL'!M11</f>
        <v>-4148214.2300000004</v>
      </c>
      <c r="N11" s="60">
        <f>'SE-EGM-GL'!N11+'SE-LRC-GL'!N11</f>
        <v>0</v>
      </c>
      <c r="O11" s="38">
        <f>'SE-EGM-GL'!O11+'SE-LRC-GL'!O11</f>
        <v>12352.83</v>
      </c>
      <c r="P11" s="60">
        <f>'SE-EGM-GL'!P11+'SE-LRC-GL'!P11</f>
        <v>-44182</v>
      </c>
      <c r="Q11" s="38">
        <f>'SE-EGM-GL'!Q11+'SE-LRC-GL'!Q11</f>
        <v>-79966.44</v>
      </c>
      <c r="R11" s="60">
        <f>'SE-EGM-GL'!R11+'SE-LRC-GL'!R11</f>
        <v>52875</v>
      </c>
      <c r="S11" s="38">
        <f>'SE-EGM-GL'!S11+'SE-LRC-GL'!S11</f>
        <v>95703.75</v>
      </c>
      <c r="T11" s="60">
        <f>'SE-EGM-GL'!T11+'SE-LRC-GL'!T11</f>
        <v>0</v>
      </c>
      <c r="U11" s="38">
        <f>'SE-EGM-GL'!U11+'SE-LRC-GL'!U11</f>
        <v>0.99</v>
      </c>
      <c r="V11" s="60">
        <f>'SE-EGM-GL'!V11+'SE-LRC-GL'!V11</f>
        <v>0</v>
      </c>
      <c r="W11" s="38">
        <f>'SE-EGM-GL'!W11+'SE-LRC-GL'!W11</f>
        <v>-3.13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12445</v>
      </c>
      <c r="AE11" s="38">
        <f>'SE-EGM-GL'!AE11+'SE-LRC-GL'!AE11</f>
        <v>21654.3</v>
      </c>
      <c r="AF11" s="60">
        <f>'SE-EGM-GL'!AL11+'SE-LRC-GL'!AL11</f>
        <v>0</v>
      </c>
      <c r="AG11" s="38">
        <f>'SE-EGM-GL'!AM11+'SE-LRC-GL'!AM11</f>
        <v>0</v>
      </c>
      <c r="AH11" s="60">
        <f>'SE-EGM-GL'!AN11+'SE-LRC-GL'!AN11</f>
        <v>0</v>
      </c>
      <c r="AI11" s="38">
        <f>'SE-EGM-GL'!AO11+'SE-LRC-GL'!AO11</f>
        <v>0</v>
      </c>
      <c r="AJ11" s="60">
        <f>'SE-EGM-GL'!AP11+'SE-LRC-GL'!AP11</f>
        <v>0</v>
      </c>
      <c r="AK11" s="38">
        <f>'SE-EGM-GL'!AQ11+'SE-LRC-GL'!AQ11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-10594664.110000001</v>
      </c>
      <c r="F12" s="60">
        <f>+BGC_GL!F12+'SE-LRC-GL'!F12+NE_GL!F12+'SE-EGM-GL'!F12</f>
        <v>0</v>
      </c>
      <c r="G12" s="38">
        <f>+BGC_GL!G12+'SE-LRC-GL'!G12+NE_GL!G12+'SE-EGM-GL'!G12</f>
        <v>-10594664.110000001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0</v>
      </c>
      <c r="L12" s="60">
        <f>+BGC_GL!L12+'SE-LRC-GL'!L12+NE_GL!L12+'SE-EGM-GL'!L12</f>
        <v>0</v>
      </c>
      <c r="M12" s="38">
        <f>+BGC_GL!M12+'SE-LRC-GL'!M12+NE_GL!M12+'SE-EGM-GL'!M12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'SE-EGM-GL'!AL12+'SE-LRC-GL'!AL12</f>
        <v>0</v>
      </c>
      <c r="AG12" s="38">
        <f>'SE-EGM-GL'!AM12+'SE-LRC-GL'!AM12</f>
        <v>0</v>
      </c>
      <c r="AH12" s="60">
        <f>'SE-EGM-GL'!AN12+'SE-LRC-GL'!AN12</f>
        <v>0</v>
      </c>
      <c r="AI12" s="38">
        <f>'SE-EGM-GL'!AO12+'SE-LRC-GL'!AO12</f>
        <v>0</v>
      </c>
      <c r="AJ12" s="60">
        <f>'SE-EGM-GL'!AP12+'SE-LRC-GL'!AP12</f>
        <v>0</v>
      </c>
      <c r="AK12" s="38">
        <f>'SE-EGM-GL'!AQ12+'SE-LRC-GL'!AQ12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62509996</v>
      </c>
      <c r="E13" s="38">
        <f t="shared" si="0"/>
        <v>120063718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62724071</v>
      </c>
      <c r="I13" s="38">
        <f>+BGC_GL!I13+'SE-LRC-GL'!I13+NE_GL!I13+'SE-EGM-GL'!I13</f>
        <v>120437983</v>
      </c>
      <c r="J13" s="60">
        <f>+BGC_GL!J13+'SE-LRC-GL'!J13+NE_GL!J13+'SE-EGM-GL'!J13</f>
        <v>0</v>
      </c>
      <c r="K13" s="38">
        <f>+BGC_GL!K13+'SE-LRC-GL'!K13+NE_GL!K13+'SE-EGM-GL'!K13</f>
        <v>0</v>
      </c>
      <c r="L13" s="60">
        <f>+BGC_GL!L13+'SE-LRC-GL'!L13+NE_GL!L13+'SE-EGM-GL'!L13</f>
        <v>-214075</v>
      </c>
      <c r="M13" s="38">
        <f>+BGC_GL!M13+'SE-LRC-GL'!M13+NE_GL!M13+'SE-EGM-GL'!M13</f>
        <v>-374265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'SE-EGM-GL'!AL13+'SE-LRC-GL'!AL13</f>
        <v>0</v>
      </c>
      <c r="AG13" s="38">
        <f>'SE-EGM-GL'!AM13+'SE-LRC-GL'!AM13</f>
        <v>0</v>
      </c>
      <c r="AH13" s="60">
        <f>'SE-EGM-GL'!AN13+'SE-LRC-GL'!AN13</f>
        <v>0</v>
      </c>
      <c r="AI13" s="38">
        <f>'SE-EGM-GL'!AO13+'SE-LRC-GL'!AO13</f>
        <v>0</v>
      </c>
      <c r="AJ13" s="60">
        <f>'SE-EGM-GL'!AP13+'SE-LRC-GL'!AP13</f>
        <v>0</v>
      </c>
      <c r="AK13" s="38">
        <f>'SE-EGM-GL'!AQ13+'SE-LRC-GL'!AQ13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+BGC_GL!L14+'SE-LRC-GL'!L14+NE_GL!L14+'SE-EGM-GL'!L14</f>
        <v>0</v>
      </c>
      <c r="M14" s="38">
        <f>+BGC_GL!M14+'SE-LRC-GL'!M14+NE_GL!M14+'SE-EGM-GL'!M14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'SE-EGM-GL'!AL14+'SE-LRC-GL'!AL14</f>
        <v>0</v>
      </c>
      <c r="AG14" s="38">
        <f>'SE-EGM-GL'!AM14+'SE-LRC-GL'!AM14</f>
        <v>0</v>
      </c>
      <c r="AH14" s="60">
        <f>'SE-EGM-GL'!AN14+'SE-LRC-GL'!AN14</f>
        <v>0</v>
      </c>
      <c r="AI14" s="38">
        <f>'SE-EGM-GL'!AO14+'SE-LRC-GL'!AO14</f>
        <v>0</v>
      </c>
      <c r="AJ14" s="60">
        <f>'SE-EGM-GL'!AP14+'SE-LRC-GL'!AP14</f>
        <v>0</v>
      </c>
      <c r="AK14" s="38">
        <f>'SE-EGM-GL'!AQ14+'SE-LRC-GL'!AQ14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+BGC_GL!F15+'SE-LRC-GL'!F15+NE_GL!F15+'SE-EGM-GL'!F15</f>
        <v>0</v>
      </c>
      <c r="G15" s="82">
        <f>+BGC_GL!G15+'SE-LRC-GL'!G15+NE_GL!G15+'SE-EGM-GL'!G15</f>
        <v>0</v>
      </c>
      <c r="H15" s="81">
        <f>+BGC_GL!H15+'SE-LRC-GL'!H15+NE_GL!H15+'SE-EGM-GL'!H15</f>
        <v>0</v>
      </c>
      <c r="I15" s="82">
        <f>+BGC_GL!I15+'SE-LRC-GL'!I15+NE_GL!I15+'SE-EGM-GL'!I15</f>
        <v>0</v>
      </c>
      <c r="J15" s="81">
        <f>+BGC_GL!J15+'SE-LRC-GL'!J15+NE_GL!J15+'SE-EGM-GL'!J15</f>
        <v>0</v>
      </c>
      <c r="K15" s="82">
        <f>+BGC_GL!K15+'SE-LRC-GL'!K15+NE_GL!K15+'SE-EGM-GL'!K15</f>
        <v>0</v>
      </c>
      <c r="L15" s="81">
        <f>+BGC_GL!L15+'SE-LRC-GL'!L15+NE_GL!L15+'SE-EGM-GL'!L15</f>
        <v>0</v>
      </c>
      <c r="M15" s="82">
        <f>+BGC_GL!M15+'SE-LRC-GL'!M15+NE_GL!M15+'SE-EGM-GL'!M15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'SE-EGM-GL'!AL15+'SE-LRC-GL'!AL15</f>
        <v>0</v>
      </c>
      <c r="AG15" s="38">
        <f>'SE-EGM-GL'!AM15+'SE-LRC-GL'!AM15</f>
        <v>0</v>
      </c>
      <c r="AH15" s="60">
        <f>'SE-EGM-GL'!AN15+'SE-LRC-GL'!AN15</f>
        <v>0</v>
      </c>
      <c r="AI15" s="38">
        <f>'SE-EGM-GL'!AO15+'SE-LRC-GL'!AO15</f>
        <v>0</v>
      </c>
      <c r="AJ15" s="60">
        <f>'SE-EGM-GL'!AP15+'SE-LRC-GL'!AP15</f>
        <v>0</v>
      </c>
      <c r="AK15" s="38">
        <f>'SE-EGM-GL'!AQ15+'SE-LRC-GL'!AQ15</f>
        <v>0</v>
      </c>
    </row>
    <row r="16" spans="1:37" x14ac:dyDescent="0.2">
      <c r="A16" s="9"/>
      <c r="B16" s="7" t="s">
        <v>34</v>
      </c>
      <c r="C16" s="6"/>
      <c r="D16" s="61">
        <f>SUM(D11:D15)</f>
        <v>179046010</v>
      </c>
      <c r="E16" s="39">
        <f>SUM(E11:E15)</f>
        <v>353241047.59000009</v>
      </c>
      <c r="F16" s="61">
        <f t="shared" ref="F16:AD16" si="1">SUM(F11:F15)</f>
        <v>0</v>
      </c>
      <c r="G16" s="39">
        <f t="shared" si="1"/>
        <v>-10594664.110000001</v>
      </c>
      <c r="H16" s="61">
        <f t="shared" ref="H16:M16" si="2">SUM(H11:H15)</f>
        <v>179234340</v>
      </c>
      <c r="I16" s="39">
        <f t="shared" si="2"/>
        <v>359578384.19000006</v>
      </c>
      <c r="J16" s="61">
        <f t="shared" si="2"/>
        <v>30331</v>
      </c>
      <c r="K16" s="39">
        <f t="shared" si="2"/>
        <v>8730064.4400000013</v>
      </c>
      <c r="L16" s="61">
        <f t="shared" si="2"/>
        <v>-239799</v>
      </c>
      <c r="M16" s="39">
        <f t="shared" si="2"/>
        <v>-4522479.2300000004</v>
      </c>
      <c r="N16" s="61">
        <f t="shared" si="1"/>
        <v>0</v>
      </c>
      <c r="O16" s="39">
        <f t="shared" si="1"/>
        <v>12352.83</v>
      </c>
      <c r="P16" s="61">
        <f t="shared" si="1"/>
        <v>-44182</v>
      </c>
      <c r="Q16" s="39">
        <f t="shared" si="1"/>
        <v>-79966.44</v>
      </c>
      <c r="R16" s="61">
        <f t="shared" si="1"/>
        <v>52875</v>
      </c>
      <c r="S16" s="39">
        <f t="shared" si="1"/>
        <v>95703.75</v>
      </c>
      <c r="T16" s="61">
        <f t="shared" si="1"/>
        <v>0</v>
      </c>
      <c r="U16" s="39">
        <f t="shared" si="1"/>
        <v>0.99</v>
      </c>
      <c r="V16" s="61">
        <f t="shared" si="1"/>
        <v>0</v>
      </c>
      <c r="W16" s="39">
        <f t="shared" si="1"/>
        <v>-3.13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12445</v>
      </c>
      <c r="AE16" s="39">
        <f t="shared" ref="AE16:AK16" si="3">SUM(AE11:AE15)</f>
        <v>21654.3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-107567578</v>
      </c>
      <c r="E19" s="38">
        <f t="shared" si="4"/>
        <v>-199560528.14000002</v>
      </c>
      <c r="F19" s="64">
        <f>+BGC_GL!F19+'SE-LRC-GL'!F19+NE_GL!F19+'SE-EGM-GL'!F19</f>
        <v>0</v>
      </c>
      <c r="G19" s="68">
        <f>+BGC_GL!G19+'SE-LRC-GL'!G19+NE_GL!G19+'SE-EGM-GL'!G19</f>
        <v>0</v>
      </c>
      <c r="H19" s="64">
        <f>+BGC_GL!H19+'SE-LRC-GL'!H19+NE_GL!H19+'SE-EGM-GL'!H19</f>
        <v>-106700377</v>
      </c>
      <c r="I19" s="68">
        <f>+BGC_GL!I19+'SE-LRC-GL'!I19+NE_GL!I19+'SE-EGM-GL'!I19</f>
        <v>-194845433.59</v>
      </c>
      <c r="J19" s="64">
        <f>+BGC_GL!J19+'SE-LRC-GL'!J19+NE_GL!J19+'SE-EGM-GL'!J19</f>
        <v>-776167</v>
      </c>
      <c r="K19" s="68">
        <f>+BGC_GL!K19+'SE-LRC-GL'!K19+NE_GL!K19+'SE-EGM-GL'!K19</f>
        <v>-4382168.9700000007</v>
      </c>
      <c r="L19" s="64">
        <f>+BGC_GL!L19+'SE-LRC-GL'!L19+NE_GL!L19+'SE-EGM-GL'!L19</f>
        <v>-91034</v>
      </c>
      <c r="M19" s="68">
        <f>+BGC_GL!M19+'SE-LRC-GL'!M19+NE_GL!M19+'SE-EGM-GL'!M19</f>
        <v>-321011.27</v>
      </c>
      <c r="N19" s="60">
        <f>'SE-EGM-GL'!N19+'SE-LRC-GL'!N19</f>
        <v>0</v>
      </c>
      <c r="O19" s="38">
        <f>'SE-EGM-GL'!O19+'SE-LRC-GL'!O19</f>
        <v>-12115.53</v>
      </c>
      <c r="P19" s="60">
        <f>'SE-EGM-GL'!P19+'SE-LRC-GL'!P19</f>
        <v>0</v>
      </c>
      <c r="Q19" s="38">
        <f>'SE-EGM-GL'!Q19+'SE-LRC-GL'!Q19</f>
        <v>0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-2</v>
      </c>
      <c r="W19" s="38">
        <f>'SE-EGM-GL'!W19+'SE-LRC-GL'!W19</f>
        <v>101.53</v>
      </c>
      <c r="X19" s="60">
        <f>'SE-EGM-GL'!X19+'SE-LRC-GL'!X19</f>
        <v>2</v>
      </c>
      <c r="Y19" s="38">
        <f>'SE-EGM-GL'!Y19+'SE-LRC-GL'!Y19</f>
        <v>3.5</v>
      </c>
      <c r="Z19" s="60">
        <f>'SE-EGM-GL'!Z19+'SE-LRC-GL'!Z19</f>
        <v>0</v>
      </c>
      <c r="AA19" s="38">
        <f>'SE-EGM-GL'!AA19+'SE-LRC-GL'!AA19</f>
        <v>96.19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'SE-EGM-GL'!AL19+'SE-LRC-GL'!AL19</f>
        <v>0</v>
      </c>
      <c r="AG19" s="38">
        <f>'SE-EGM-GL'!AM19+'SE-LRC-GL'!AM19</f>
        <v>0</v>
      </c>
      <c r="AH19" s="60">
        <f>'SE-EGM-GL'!AN19+'SE-LRC-GL'!AN19</f>
        <v>0</v>
      </c>
      <c r="AI19" s="38">
        <f>'SE-EGM-GL'!AO19+'SE-LRC-GL'!AO19</f>
        <v>0</v>
      </c>
      <c r="AJ19" s="60">
        <f>'SE-EGM-GL'!AP19+'SE-LRC-GL'!AP19</f>
        <v>0</v>
      </c>
      <c r="AK19" s="38">
        <f>'SE-EGM-GL'!AQ19+'SE-LRC-GL'!AQ19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2641263.9899999998</v>
      </c>
      <c r="F20" s="60">
        <f>+BGC_GL!F20+'SE-LRC-GL'!F20+NE_GL!F20+'SE-EGM-GL'!F20</f>
        <v>0</v>
      </c>
      <c r="G20" s="38">
        <f>+BGC_GL!G20+'SE-LRC-GL'!G20+NE_GL!G20+'SE-EGM-GL'!G20</f>
        <v>2641263.9899999998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0</v>
      </c>
      <c r="L20" s="60">
        <f>+BGC_GL!L20+'SE-LRC-GL'!L20+NE_GL!L20+'SE-EGM-GL'!L20</f>
        <v>0</v>
      </c>
      <c r="M20" s="38">
        <f>+BGC_GL!M20+'SE-LRC-GL'!M20+NE_GL!M20+'SE-EGM-GL'!M20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'SE-EGM-GL'!AL20+'SE-LRC-GL'!AL20</f>
        <v>0</v>
      </c>
      <c r="AG20" s="38">
        <f>'SE-EGM-GL'!AM20+'SE-LRC-GL'!AM20</f>
        <v>0</v>
      </c>
      <c r="AH20" s="60">
        <f>'SE-EGM-GL'!AN20+'SE-LRC-GL'!AN20</f>
        <v>0</v>
      </c>
      <c r="AI20" s="38">
        <f>'SE-EGM-GL'!AO20+'SE-LRC-GL'!AO20</f>
        <v>0</v>
      </c>
      <c r="AJ20" s="60">
        <f>'SE-EGM-GL'!AP20+'SE-LRC-GL'!AP20</f>
        <v>0</v>
      </c>
      <c r="AK20" s="38">
        <f>'SE-EGM-GL'!AQ20+'SE-LRC-GL'!AQ20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4"/>
        <v>-63062698</v>
      </c>
      <c r="E21" s="38">
        <f t="shared" si="4"/>
        <v>-121005117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-63262214</v>
      </c>
      <c r="I21" s="38">
        <f>+BGC_GL!I21+'SE-LRC-GL'!I21+NE_GL!I21+'SE-EGM-GL'!I21</f>
        <v>-121338002</v>
      </c>
      <c r="J21" s="60">
        <f>+BGC_GL!J21+'SE-LRC-GL'!J21+NE_GL!J21+'SE-EGM-GL'!J21</f>
        <v>0</v>
      </c>
      <c r="K21" s="38">
        <f>+BGC_GL!K21+'SE-LRC-GL'!K21+NE_GL!K21+'SE-EGM-GL'!K21</f>
        <v>0</v>
      </c>
      <c r="L21" s="60">
        <f>+BGC_GL!L21+'SE-LRC-GL'!L21+NE_GL!L21+'SE-EGM-GL'!L21</f>
        <v>199516</v>
      </c>
      <c r="M21" s="38">
        <f>+BGC_GL!M21+'SE-LRC-GL'!M21+NE_GL!M21+'SE-EGM-GL'!M21</f>
        <v>332885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'SE-EGM-GL'!AL21+'SE-LRC-GL'!AL21</f>
        <v>0</v>
      </c>
      <c r="AG21" s="38">
        <f>'SE-EGM-GL'!AM21+'SE-LRC-GL'!AM21</f>
        <v>0</v>
      </c>
      <c r="AH21" s="60">
        <f>'SE-EGM-GL'!AN21+'SE-LRC-GL'!AN21</f>
        <v>0</v>
      </c>
      <c r="AI21" s="38">
        <f>'SE-EGM-GL'!AO21+'SE-LRC-GL'!AO21</f>
        <v>0</v>
      </c>
      <c r="AJ21" s="60">
        <f>'SE-EGM-GL'!AP21+'SE-LRC-GL'!AP21</f>
        <v>0</v>
      </c>
      <c r="AK21" s="38">
        <f>'SE-EGM-GL'!AQ21+'SE-LRC-GL'!AQ21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+BGC_GL!L22+'SE-LRC-GL'!L22+NE_GL!L22+'SE-EGM-GL'!L22</f>
        <v>0</v>
      </c>
      <c r="M22" s="38">
        <f>+BGC_GL!M22+'SE-LRC-GL'!M22+NE_GL!M22+'SE-EGM-GL'!M22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'SE-EGM-GL'!AL22+'SE-LRC-GL'!AL22</f>
        <v>0</v>
      </c>
      <c r="AG22" s="38">
        <f>'SE-EGM-GL'!AM22+'SE-LRC-GL'!AM22</f>
        <v>0</v>
      </c>
      <c r="AH22" s="60">
        <f>'SE-EGM-GL'!AN22+'SE-LRC-GL'!AN22</f>
        <v>0</v>
      </c>
      <c r="AI22" s="38">
        <f>'SE-EGM-GL'!AO22+'SE-LRC-GL'!AO22</f>
        <v>0</v>
      </c>
      <c r="AJ22" s="60">
        <f>'SE-EGM-GL'!AP22+'SE-LRC-GL'!AP22</f>
        <v>0</v>
      </c>
      <c r="AK22" s="38">
        <f>'SE-EGM-GL'!AQ22+'SE-LRC-GL'!AQ22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4"/>
        <v>897924</v>
      </c>
      <c r="E23" s="38">
        <f t="shared" si="4"/>
        <v>1607811.3019999999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1038489</v>
      </c>
      <c r="I23" s="82">
        <f>+BGC_GL!I23+'SE-LRC-GL'!I23+NE_GL!I23+'SE-EGM-GL'!I23</f>
        <v>1856818.34</v>
      </c>
      <c r="J23" s="81">
        <f>+BGC_GL!J23+'SE-LRC-GL'!J23+NE_GL!J23+'SE-EGM-GL'!J23</f>
        <v>-176782</v>
      </c>
      <c r="K23" s="82">
        <f>+BGC_GL!K23+'SE-LRC-GL'!K23+NE_GL!K23+'SE-EGM-GL'!K23</f>
        <v>-316858.89400000003</v>
      </c>
      <c r="L23" s="81">
        <f>+BGC_GL!L23+'SE-LRC-GL'!L23+NE_GL!L23+'SE-EGM-GL'!L23</f>
        <v>34742</v>
      </c>
      <c r="M23" s="82">
        <f>+BGC_GL!M23+'SE-LRC-GL'!M23+NE_GL!M23+'SE-EGM-GL'!M23</f>
        <v>62118.696000000004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1500</v>
      </c>
      <c r="Y23" s="38">
        <f>'SE-EGM-GL'!Y23+'SE-LRC-GL'!Y23</f>
        <v>5776.41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-25</v>
      </c>
      <c r="AE23" s="38">
        <f>'SE-EGM-GL'!AE23+'SE-LRC-GL'!AE23</f>
        <v>-43.25</v>
      </c>
      <c r="AF23" s="60">
        <f>'SE-EGM-GL'!AL23+'SE-LRC-GL'!AL23</f>
        <v>0</v>
      </c>
      <c r="AG23" s="38">
        <f>'SE-EGM-GL'!AM23+'SE-LRC-GL'!AM23</f>
        <v>0</v>
      </c>
      <c r="AH23" s="60">
        <f>'SE-EGM-GL'!AN23+'SE-LRC-GL'!AN23</f>
        <v>0</v>
      </c>
      <c r="AI23" s="38">
        <f>'SE-EGM-GL'!AO23+'SE-LRC-GL'!AO23</f>
        <v>0</v>
      </c>
      <c r="AJ23" s="60">
        <f>'SE-EGM-GL'!AP23+'SE-LRC-GL'!AP23</f>
        <v>0</v>
      </c>
      <c r="AK23" s="38">
        <f>'SE-EGM-GL'!AQ23+'SE-LRC-GL'!AQ23</f>
        <v>0</v>
      </c>
    </row>
    <row r="24" spans="1:37" x14ac:dyDescent="0.2">
      <c r="A24" s="9"/>
      <c r="B24" s="7" t="s">
        <v>37</v>
      </c>
      <c r="C24" s="6"/>
      <c r="D24" s="61">
        <f>SUM(D19:D23)</f>
        <v>-169732352</v>
      </c>
      <c r="E24" s="39">
        <f>SUM(E19:E23)</f>
        <v>-316316569.84799999</v>
      </c>
      <c r="F24" s="61">
        <f t="shared" ref="F24:AD24" si="5">SUM(F19:F23)</f>
        <v>0</v>
      </c>
      <c r="G24" s="39">
        <f t="shared" si="5"/>
        <v>2641263.9899999998</v>
      </c>
      <c r="H24" s="61">
        <f t="shared" ref="H24:M24" si="6">SUM(H19:H23)</f>
        <v>-168924102</v>
      </c>
      <c r="I24" s="39">
        <f t="shared" si="6"/>
        <v>-314326617.25000006</v>
      </c>
      <c r="J24" s="61">
        <f t="shared" si="6"/>
        <v>-952949</v>
      </c>
      <c r="K24" s="39">
        <f t="shared" si="6"/>
        <v>-4699027.864000001</v>
      </c>
      <c r="L24" s="61">
        <f t="shared" si="6"/>
        <v>143224</v>
      </c>
      <c r="M24" s="39">
        <f t="shared" si="6"/>
        <v>73992.425999999978</v>
      </c>
      <c r="N24" s="61">
        <f t="shared" si="5"/>
        <v>0</v>
      </c>
      <c r="O24" s="39">
        <f t="shared" si="5"/>
        <v>-12115.53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-2</v>
      </c>
      <c r="W24" s="39">
        <f t="shared" si="5"/>
        <v>101.53</v>
      </c>
      <c r="X24" s="61">
        <f t="shared" si="5"/>
        <v>1502</v>
      </c>
      <c r="Y24" s="39">
        <f t="shared" si="5"/>
        <v>5779.91</v>
      </c>
      <c r="Z24" s="61">
        <f t="shared" si="5"/>
        <v>0</v>
      </c>
      <c r="AA24" s="39">
        <f t="shared" si="5"/>
        <v>96.19</v>
      </c>
      <c r="AB24" s="61">
        <f t="shared" si="5"/>
        <v>0</v>
      </c>
      <c r="AC24" s="39">
        <f t="shared" si="5"/>
        <v>0</v>
      </c>
      <c r="AD24" s="61">
        <f t="shared" si="5"/>
        <v>-25</v>
      </c>
      <c r="AE24" s="39">
        <f t="shared" ref="AE24:AK24" si="7">SUM(AE19:AE23)</f>
        <v>-43.25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10789524</v>
      </c>
      <c r="E27" s="38">
        <f>SUM(G27,I27,K27,M27,O27,Q27,S27,U27,W27,Y27,AA27,AC27,AE27,AG27,AI27,AK27)</f>
        <v>19222921.690000001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10488434</v>
      </c>
      <c r="I27" s="68">
        <f>+BGC_GL!I27+'SE-LRC-GL'!I27+NE_GL!I27+'SE-EGM-GL'!I27</f>
        <v>20825603.84</v>
      </c>
      <c r="J27" s="64">
        <f>+BGC_GL!J27+'SE-LRC-GL'!J27+NE_GL!J27+'SE-EGM-GL'!J27</f>
        <v>298857</v>
      </c>
      <c r="K27" s="68">
        <f>+BGC_GL!K27+'SE-LRC-GL'!K27+NE_GL!K27+'SE-EGM-GL'!K27</f>
        <v>-1730215.16</v>
      </c>
      <c r="L27" s="64">
        <f>+BGC_GL!L27+'SE-LRC-GL'!L27+NE_GL!L27+'SE-EGM-GL'!L27</f>
        <v>-144281</v>
      </c>
      <c r="M27" s="68">
        <f>+BGC_GL!M27+'SE-LRC-GL'!M27+NE_GL!M27+'SE-EGM-GL'!M27</f>
        <v>-138071.76</v>
      </c>
      <c r="N27" s="60">
        <f>'SE-EGM-GL'!N27+'SE-LRC-GL'!N27</f>
        <v>7979</v>
      </c>
      <c r="O27" s="38">
        <f>'SE-EGM-GL'!O27+'SE-LRC-GL'!O27</f>
        <v>21488.66</v>
      </c>
      <c r="P27" s="60">
        <f>'SE-EGM-GL'!P27+'SE-LRC-GL'!P27</f>
        <v>0</v>
      </c>
      <c r="Q27" s="38">
        <f>'SE-EGM-GL'!Q27+'SE-LRC-GL'!Q27</f>
        <v>0.05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-101055</v>
      </c>
      <c r="W27" s="38">
        <f>'SE-EGM-GL'!W27+'SE-LRC-GL'!W27</f>
        <v>-202110</v>
      </c>
      <c r="X27" s="60">
        <f>'SE-EGM-GL'!X27+'SE-LRC-GL'!X27</f>
        <v>44577</v>
      </c>
      <c r="Y27" s="38">
        <f>'SE-EGM-GL'!Y27+'SE-LRC-GL'!Y27</f>
        <v>99172.55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277117</v>
      </c>
      <c r="AC27" s="38">
        <f>'SE-EGM-GL'!AC27+'SE-LRC-GL'!AC27</f>
        <v>511261.51</v>
      </c>
      <c r="AD27" s="60">
        <f>'SE-EGM-GL'!AD27+'SE-LRC-GL'!AD27</f>
        <v>-82104</v>
      </c>
      <c r="AE27" s="38">
        <f>'SE-EGM-GL'!AE27+'SE-LRC-GL'!AE27</f>
        <v>-164208</v>
      </c>
      <c r="AF27" s="60">
        <f>'SE-EGM-GL'!AL27+'SE-LRC-GL'!AL27</f>
        <v>0</v>
      </c>
      <c r="AG27" s="38">
        <f>'SE-EGM-GL'!AM27+'SE-LRC-GL'!AM27</f>
        <v>0</v>
      </c>
      <c r="AH27" s="60">
        <f>'SE-EGM-GL'!AN27+'SE-LRC-GL'!AN27</f>
        <v>0</v>
      </c>
      <c r="AI27" s="38">
        <f>'SE-EGM-GL'!AO27+'SE-LRC-GL'!AO27</f>
        <v>0</v>
      </c>
      <c r="AJ27" s="60">
        <f>'SE-EGM-GL'!AP27+'SE-LRC-GL'!AP27</f>
        <v>0</v>
      </c>
      <c r="AK27" s="38">
        <f>'SE-EGM-GL'!AQ27+'SE-LRC-GL'!AQ27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-10407196</v>
      </c>
      <c r="E28" s="38">
        <f>SUM(G28,I28,K28,M28,O28,Q28,S28,U28,W28,Y28,AA28,AC28,AE28,AG28,AI28,AK28)</f>
        <v>-18556136.23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-10260843</v>
      </c>
      <c r="I28" s="82">
        <f>+BGC_GL!I28+'SE-LRC-GL'!I28+NE_GL!I28+'SE-EGM-GL'!I28</f>
        <v>-20396346.91</v>
      </c>
      <c r="J28" s="81">
        <f>+BGC_GL!J28+'SE-LRC-GL'!J28+NE_GL!J28+'SE-EGM-GL'!J28</f>
        <v>-3785</v>
      </c>
      <c r="K28" s="82">
        <f>+BGC_GL!K28+'SE-LRC-GL'!K28+NE_GL!K28+'SE-EGM-GL'!K28</f>
        <v>1731660.9100000001</v>
      </c>
      <c r="L28" s="81">
        <f>+BGC_GL!L28+'SE-LRC-GL'!L28+NE_GL!L28+'SE-EGM-GL'!L28</f>
        <v>19970</v>
      </c>
      <c r="M28" s="82">
        <f>+BGC_GL!M28+'SE-LRC-GL'!M28+NE_GL!M28+'SE-EGM-GL'!M28</f>
        <v>425755.88</v>
      </c>
      <c r="N28" s="60">
        <f>'SE-EGM-GL'!N28+'SE-LRC-GL'!N28</f>
        <v>0</v>
      </c>
      <c r="O28" s="38">
        <f>'SE-EGM-GL'!O28+'SE-LRC-GL'!O28</f>
        <v>-33097.86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-8693</v>
      </c>
      <c r="U28" s="38">
        <f>'SE-EGM-GL'!U28+'SE-LRC-GL'!U28</f>
        <v>-17386</v>
      </c>
      <c r="V28" s="60">
        <f>'SE-EGM-GL'!V28+'SE-LRC-GL'!V28</f>
        <v>38955</v>
      </c>
      <c r="W28" s="38">
        <f>'SE-EGM-GL'!W28+'SE-LRC-GL'!W28</f>
        <v>77910</v>
      </c>
      <c r="X28" s="60">
        <f>'SE-EGM-GL'!X28+'SE-LRC-GL'!X28</f>
        <v>2213</v>
      </c>
      <c r="Y28" s="38">
        <f>'SE-EGM-GL'!Y28+'SE-LRC-GL'!Y28</f>
        <v>2421.2299999999996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-195013</v>
      </c>
      <c r="AC28" s="38">
        <f>'SE-EGM-GL'!AC28+'SE-LRC-GL'!AC28</f>
        <v>-347053.48</v>
      </c>
      <c r="AD28" s="60">
        <f>'SE-EGM-GL'!AD28+'SE-LRC-GL'!AD28</f>
        <v>0</v>
      </c>
      <c r="AE28" s="38">
        <f>'SE-EGM-GL'!AE28+'SE-LRC-GL'!AE28</f>
        <v>0</v>
      </c>
      <c r="AF28" s="60">
        <f>'SE-EGM-GL'!AL28+'SE-LRC-GL'!AL28</f>
        <v>0</v>
      </c>
      <c r="AG28" s="38">
        <f>'SE-EGM-GL'!AM28+'SE-LRC-GL'!AM28</f>
        <v>0</v>
      </c>
      <c r="AH28" s="60">
        <f>'SE-EGM-GL'!AN28+'SE-LRC-GL'!AN28</f>
        <v>0</v>
      </c>
      <c r="AI28" s="38">
        <f>'SE-EGM-GL'!AO28+'SE-LRC-GL'!AO28</f>
        <v>0</v>
      </c>
      <c r="AJ28" s="60">
        <f>'SE-EGM-GL'!AP28+'SE-LRC-GL'!AP28</f>
        <v>0</v>
      </c>
      <c r="AK28" s="38">
        <f>'SE-EGM-GL'!AQ28+'SE-LRC-GL'!AQ28</f>
        <v>0</v>
      </c>
    </row>
    <row r="29" spans="1:37" x14ac:dyDescent="0.2">
      <c r="A29" s="9"/>
      <c r="B29" s="7" t="s">
        <v>41</v>
      </c>
      <c r="C29" s="18"/>
      <c r="D29" s="61">
        <f>SUM(D27:D28)</f>
        <v>382328</v>
      </c>
      <c r="E29" s="39">
        <f>SUM(E27:E28)</f>
        <v>666785.46000000089</v>
      </c>
      <c r="F29" s="61">
        <f t="shared" ref="F29:AD29" si="8">SUM(F27:F28)</f>
        <v>0</v>
      </c>
      <c r="G29" s="39">
        <f t="shared" si="8"/>
        <v>0</v>
      </c>
      <c r="H29" s="61">
        <f t="shared" ref="H29:M29" si="9">SUM(H27:H28)</f>
        <v>227591</v>
      </c>
      <c r="I29" s="39">
        <f t="shared" si="9"/>
        <v>429256.9299999997</v>
      </c>
      <c r="J29" s="61">
        <f t="shared" si="9"/>
        <v>295072</v>
      </c>
      <c r="K29" s="39">
        <f t="shared" si="9"/>
        <v>1445.7500000002328</v>
      </c>
      <c r="L29" s="61">
        <f t="shared" si="9"/>
        <v>-124311</v>
      </c>
      <c r="M29" s="39">
        <f t="shared" si="9"/>
        <v>287684.12</v>
      </c>
      <c r="N29" s="61">
        <f t="shared" si="8"/>
        <v>7979</v>
      </c>
      <c r="O29" s="39">
        <f t="shared" si="8"/>
        <v>-11609.2</v>
      </c>
      <c r="P29" s="61">
        <f t="shared" si="8"/>
        <v>0</v>
      </c>
      <c r="Q29" s="39">
        <f t="shared" si="8"/>
        <v>0.05</v>
      </c>
      <c r="R29" s="61">
        <f t="shared" si="8"/>
        <v>0</v>
      </c>
      <c r="S29" s="39">
        <f t="shared" si="8"/>
        <v>0</v>
      </c>
      <c r="T29" s="61">
        <f t="shared" si="8"/>
        <v>-8693</v>
      </c>
      <c r="U29" s="39">
        <f t="shared" si="8"/>
        <v>-17386</v>
      </c>
      <c r="V29" s="61">
        <f t="shared" si="8"/>
        <v>-62100</v>
      </c>
      <c r="W29" s="39">
        <f t="shared" si="8"/>
        <v>-124200</v>
      </c>
      <c r="X29" s="61">
        <f t="shared" si="8"/>
        <v>46790</v>
      </c>
      <c r="Y29" s="39">
        <f t="shared" si="8"/>
        <v>101593.78</v>
      </c>
      <c r="Z29" s="61">
        <f t="shared" si="8"/>
        <v>0</v>
      </c>
      <c r="AA29" s="39">
        <f t="shared" si="8"/>
        <v>0</v>
      </c>
      <c r="AB29" s="61">
        <f t="shared" si="8"/>
        <v>82104</v>
      </c>
      <c r="AC29" s="39">
        <f t="shared" si="8"/>
        <v>164208.03000000003</v>
      </c>
      <c r="AD29" s="61">
        <f t="shared" si="8"/>
        <v>-82104</v>
      </c>
      <c r="AE29" s="39">
        <f t="shared" ref="AE29:AK29" si="10">SUM(AE27:AE28)</f>
        <v>-164208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-866453</v>
      </c>
      <c r="E32" s="38">
        <f t="shared" si="11"/>
        <v>-1644449.1439999996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-25565</v>
      </c>
      <c r="I32" s="68">
        <f>+BGC_GL!I32+'SE-LRC-GL'!I32+NE_GL!I32+'SE-EGM-GL'!I32</f>
        <v>-45710.22</v>
      </c>
      <c r="J32" s="64">
        <f>+BGC_GL!J32+'SE-LRC-GL'!J32+NE_GL!J32+'SE-EGM-GL'!J32</f>
        <v>-705084</v>
      </c>
      <c r="K32" s="68">
        <f>+BGC_GL!K32+'SE-LRC-GL'!K32+NE_GL!K32+'SE-EGM-GL'!K32</f>
        <v>-1099881.372</v>
      </c>
      <c r="L32" s="64">
        <f>+BGC_GL!L32+'SE-LRC-GL'!L32+NE_GL!L32+'SE-EGM-GL'!L32</f>
        <v>-123359</v>
      </c>
      <c r="M32" s="68">
        <f>+BGC_GL!M32+'SE-LRC-GL'!M32+NE_GL!M32+'SE-EGM-GL'!M32</f>
        <v>-478623.45200000005</v>
      </c>
      <c r="N32" s="60">
        <f>'SE-EGM-GL'!N32+'SE-LRC-GL'!N32</f>
        <v>0</v>
      </c>
      <c r="O32" s="38">
        <f>'SE-EGM-GL'!O32+'SE-LRC-GL'!O32</f>
        <v>3307.86</v>
      </c>
      <c r="P32" s="60">
        <f>'SE-EGM-GL'!P32+'SE-LRC-GL'!P32</f>
        <v>0</v>
      </c>
      <c r="Q32" s="38">
        <f>'SE-EGM-GL'!Q32+'SE-LRC-GL'!Q32</f>
        <v>5360.61</v>
      </c>
      <c r="R32" s="60">
        <f>'SE-EGM-GL'!R32+'SE-LRC-GL'!R32</f>
        <v>0</v>
      </c>
      <c r="S32" s="38">
        <f>'SE-EGM-GL'!S32+'SE-LRC-GL'!S32</f>
        <v>-1477.98</v>
      </c>
      <c r="T32" s="60">
        <f>'SE-EGM-GL'!T32+'SE-LRC-GL'!T32</f>
        <v>0</v>
      </c>
      <c r="U32" s="38">
        <f>'SE-EGM-GL'!U32+'SE-LRC-GL'!U32</f>
        <v>422.28</v>
      </c>
      <c r="V32" s="60">
        <f>'SE-EGM-GL'!V32+'SE-LRC-GL'!V32</f>
        <v>0</v>
      </c>
      <c r="W32" s="38">
        <f>'SE-EGM-GL'!W32+'SE-LRC-GL'!W32</f>
        <v>4093.77</v>
      </c>
      <c r="X32" s="60">
        <f>'SE-EGM-GL'!X32+'SE-LRC-GL'!X32</f>
        <v>0</v>
      </c>
      <c r="Y32" s="38">
        <f>'SE-EGM-GL'!Y32+'SE-LRC-GL'!Y32</f>
        <v>3331.32</v>
      </c>
      <c r="Z32" s="60">
        <f>'SE-EGM-GL'!Z32+'SE-LRC-GL'!Z32</f>
        <v>0</v>
      </c>
      <c r="AA32" s="38">
        <f>'SE-EGM-GL'!AA32+'SE-LRC-GL'!AA32</f>
        <v>-13020.3</v>
      </c>
      <c r="AB32" s="60">
        <f>'SE-EGM-GL'!AB32+'SE-LRC-GL'!AB32</f>
        <v>0</v>
      </c>
      <c r="AC32" s="38">
        <f>'SE-EGM-GL'!AC32+'SE-LRC-GL'!AC32</f>
        <v>0</v>
      </c>
      <c r="AD32" s="60">
        <f>'SE-EGM-GL'!AD32+'SE-LRC-GL'!AD32</f>
        <v>-12445</v>
      </c>
      <c r="AE32" s="38">
        <f>'SE-EGM-GL'!AE32+'SE-LRC-GL'!AE32</f>
        <v>-22251.66</v>
      </c>
      <c r="AF32" s="60">
        <f>'SE-EGM-GL'!AL32+'SE-LRC-GL'!AL32</f>
        <v>0</v>
      </c>
      <c r="AG32" s="38">
        <f>'SE-EGM-GL'!AM32+'SE-LRC-GL'!AM32</f>
        <v>0</v>
      </c>
      <c r="AH32" s="60">
        <f>'SE-EGM-GL'!AN32+'SE-LRC-GL'!AN32</f>
        <v>0</v>
      </c>
      <c r="AI32" s="38">
        <f>'SE-EGM-GL'!AO32+'SE-LRC-GL'!AO32</f>
        <v>0</v>
      </c>
      <c r="AJ32" s="60">
        <f>'SE-EGM-GL'!AP32+'SE-LRC-GL'!AP32</f>
        <v>0</v>
      </c>
      <c r="AK32" s="38">
        <f>'SE-EGM-GL'!AQ32+'SE-LRC-GL'!AQ32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11"/>
        <v>-24222</v>
      </c>
      <c r="E33" s="38">
        <f t="shared" si="11"/>
        <v>-42280.5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-567</v>
      </c>
      <c r="K33" s="38">
        <f>+BGC_GL!K33+'SE-LRC-GL'!K33+NE_GL!K33+'SE-EGM-GL'!K33</f>
        <v>-1022.22</v>
      </c>
      <c r="L33" s="60">
        <f>+BGC_GL!L33+'SE-LRC-GL'!L33+NE_GL!L33+'SE-EGM-GL'!L33</f>
        <v>-23655</v>
      </c>
      <c r="M33" s="38">
        <f>+BGC_GL!M33+'SE-LRC-GL'!M33+NE_GL!M33+'SE-EGM-GL'!M33</f>
        <v>-41258.28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'SE-EGM-GL'!AL33+'SE-LRC-GL'!AL33</f>
        <v>0</v>
      </c>
      <c r="AG33" s="38">
        <f>'SE-EGM-GL'!AM33+'SE-LRC-GL'!AM33</f>
        <v>0</v>
      </c>
      <c r="AH33" s="60">
        <f>'SE-EGM-GL'!AN33+'SE-LRC-GL'!AN33</f>
        <v>0</v>
      </c>
      <c r="AI33" s="38">
        <f>'SE-EGM-GL'!AO33+'SE-LRC-GL'!AO33</f>
        <v>0</v>
      </c>
      <c r="AJ33" s="60">
        <f>'SE-EGM-GL'!AP33+'SE-LRC-GL'!AP33</f>
        <v>0</v>
      </c>
      <c r="AK33" s="38">
        <f>'SE-EGM-GL'!AQ33+'SE-LRC-GL'!AQ33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11"/>
        <v>163056</v>
      </c>
      <c r="E34" s="38">
        <f t="shared" si="11"/>
        <v>283100.53999999998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162100</v>
      </c>
      <c r="K34" s="38">
        <f>+BGC_GL!K34+'SE-LRC-GL'!K34+NE_GL!K34+'SE-EGM-GL'!K34</f>
        <v>281403.63</v>
      </c>
      <c r="L34" s="60">
        <f>+BGC_GL!L34+'SE-LRC-GL'!L34+NE_GL!L34+'SE-EGM-GL'!L34</f>
        <v>956</v>
      </c>
      <c r="M34" s="38">
        <f>+BGC_GL!M34+'SE-LRC-GL'!M34+NE_GL!M34+'SE-EGM-GL'!M34</f>
        <v>1696.91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'SE-EGM-GL'!AL34+'SE-LRC-GL'!AL34</f>
        <v>0</v>
      </c>
      <c r="AG34" s="38">
        <f>'SE-EGM-GL'!AM34+'SE-LRC-GL'!AM34</f>
        <v>0</v>
      </c>
      <c r="AH34" s="60">
        <f>'SE-EGM-GL'!AN34+'SE-LRC-GL'!AN34</f>
        <v>0</v>
      </c>
      <c r="AI34" s="38">
        <f>'SE-EGM-GL'!AO34+'SE-LRC-GL'!AO34</f>
        <v>0</v>
      </c>
      <c r="AJ34" s="60">
        <f>'SE-EGM-GL'!AP34+'SE-LRC-GL'!AP34</f>
        <v>0</v>
      </c>
      <c r="AK34" s="38">
        <f>'SE-EGM-GL'!AQ34+'SE-LRC-GL'!AQ34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11"/>
        <v>364400</v>
      </c>
      <c r="E35" s="38">
        <f t="shared" si="11"/>
        <v>0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0</v>
      </c>
      <c r="I35" s="82">
        <f>+BGC_GL!I35+'SE-LRC-GL'!I35+NE_GL!I35+'SE-EGM-GL'!I35</f>
        <v>0</v>
      </c>
      <c r="J35" s="81">
        <f>+BGC_GL!J35+'SE-LRC-GL'!J35+NE_GL!J35+'SE-EGM-GL'!J35</f>
        <v>364400</v>
      </c>
      <c r="K35" s="82">
        <f>+BGC_GL!K35+'SE-LRC-GL'!K35+NE_GL!K35+'SE-EGM-GL'!K35</f>
        <v>0</v>
      </c>
      <c r="L35" s="81">
        <f>+BGC_GL!L35+'SE-LRC-GL'!L35+NE_GL!L35+'SE-EGM-GL'!L35</f>
        <v>0</v>
      </c>
      <c r="M35" s="82">
        <f>+BGC_GL!M35+'SE-LRC-GL'!M35+NE_GL!M35+'SE-EGM-GL'!M35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'SE-EGM-GL'!AL35+'SE-LRC-GL'!AL35</f>
        <v>0</v>
      </c>
      <c r="AG35" s="38">
        <f>'SE-EGM-GL'!AM35+'SE-LRC-GL'!AM35</f>
        <v>0</v>
      </c>
      <c r="AH35" s="60">
        <f>'SE-EGM-GL'!AN35+'SE-LRC-GL'!AN35</f>
        <v>0</v>
      </c>
      <c r="AI35" s="38">
        <f>'SE-EGM-GL'!AO35+'SE-LRC-GL'!AO35</f>
        <v>0</v>
      </c>
      <c r="AJ35" s="60">
        <f>'SE-EGM-GL'!AP35+'SE-LRC-GL'!AP35</f>
        <v>0</v>
      </c>
      <c r="AK35" s="38">
        <f>'SE-EGM-GL'!AQ35+'SE-LRC-GL'!AQ35</f>
        <v>0</v>
      </c>
    </row>
    <row r="36" spans="1:37" x14ac:dyDescent="0.2">
      <c r="A36" s="9"/>
      <c r="B36" s="7" t="s">
        <v>47</v>
      </c>
      <c r="C36" s="6"/>
      <c r="D36" s="61">
        <f>SUM(D32:D35)</f>
        <v>-363219</v>
      </c>
      <c r="E36" s="39">
        <f>SUM(E32:E35)</f>
        <v>-1403629.1039999996</v>
      </c>
      <c r="F36" s="61">
        <f t="shared" ref="F36:AD36" si="12">SUM(F32:F35)</f>
        <v>0</v>
      </c>
      <c r="G36" s="39">
        <f t="shared" si="12"/>
        <v>0</v>
      </c>
      <c r="H36" s="61">
        <f t="shared" ref="H36:M36" si="13">SUM(H32:H35)</f>
        <v>-25565</v>
      </c>
      <c r="I36" s="39">
        <f t="shared" si="13"/>
        <v>-45710.22</v>
      </c>
      <c r="J36" s="61">
        <f t="shared" si="13"/>
        <v>-179151</v>
      </c>
      <c r="K36" s="39">
        <f t="shared" si="13"/>
        <v>-819499.96199999994</v>
      </c>
      <c r="L36" s="61">
        <f t="shared" si="13"/>
        <v>-146058</v>
      </c>
      <c r="M36" s="39">
        <f t="shared" si="13"/>
        <v>-518184.8220000001</v>
      </c>
      <c r="N36" s="61">
        <f t="shared" si="12"/>
        <v>0</v>
      </c>
      <c r="O36" s="39">
        <f t="shared" si="12"/>
        <v>3307.86</v>
      </c>
      <c r="P36" s="61">
        <f t="shared" si="12"/>
        <v>0</v>
      </c>
      <c r="Q36" s="39">
        <f t="shared" si="12"/>
        <v>5360.61</v>
      </c>
      <c r="R36" s="61">
        <f t="shared" si="12"/>
        <v>0</v>
      </c>
      <c r="S36" s="39">
        <f t="shared" si="12"/>
        <v>-1477.98</v>
      </c>
      <c r="T36" s="61">
        <f t="shared" si="12"/>
        <v>0</v>
      </c>
      <c r="U36" s="39">
        <f t="shared" si="12"/>
        <v>422.28</v>
      </c>
      <c r="V36" s="61">
        <f t="shared" si="12"/>
        <v>0</v>
      </c>
      <c r="W36" s="39">
        <f t="shared" si="12"/>
        <v>4093.77</v>
      </c>
      <c r="X36" s="61">
        <f t="shared" si="12"/>
        <v>0</v>
      </c>
      <c r="Y36" s="39">
        <f t="shared" si="12"/>
        <v>3331.32</v>
      </c>
      <c r="Z36" s="61">
        <f t="shared" si="12"/>
        <v>0</v>
      </c>
      <c r="AA36" s="39">
        <f t="shared" si="12"/>
        <v>-13020.3</v>
      </c>
      <c r="AB36" s="61">
        <f t="shared" si="12"/>
        <v>0</v>
      </c>
      <c r="AC36" s="39">
        <f t="shared" si="12"/>
        <v>0</v>
      </c>
      <c r="AD36" s="61">
        <f t="shared" si="12"/>
        <v>-12445</v>
      </c>
      <c r="AE36" s="39">
        <f t="shared" ref="AE36:AK36" si="14">SUM(AE32:AE35)</f>
        <v>-22251.66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1518213</v>
      </c>
      <c r="E39" s="38">
        <f t="shared" si="15"/>
        <v>2755556.61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0</v>
      </c>
      <c r="I39" s="68">
        <f>+BGC_GL!I39+'SE-LRC-GL'!I39+NE_GL!I39+'SE-EGM-GL'!I39</f>
        <v>0</v>
      </c>
      <c r="J39" s="64">
        <f>+BGC_GL!J39+'SE-LRC-GL'!J39+NE_GL!J39+'SE-EGM-GL'!J39</f>
        <v>347235</v>
      </c>
      <c r="K39" s="68">
        <f>+BGC_GL!K39+'SE-LRC-GL'!K39+NE_GL!K39+'SE-EGM-GL'!K39</f>
        <v>630231.53</v>
      </c>
      <c r="L39" s="64">
        <f>+BGC_GL!L39+'SE-LRC-GL'!L39+NE_GL!L39+'SE-EGM-GL'!L39</f>
        <v>1017685</v>
      </c>
      <c r="M39" s="68">
        <f>+BGC_GL!M39+'SE-LRC-GL'!M39+NE_GL!M39+'SE-EGM-GL'!M39</f>
        <v>1847098.28</v>
      </c>
      <c r="N39" s="60">
        <f>'SE-EGM-GL'!N39+'SE-LRC-GL'!N39</f>
        <v>153293</v>
      </c>
      <c r="O39" s="38">
        <f>'SE-EGM-GL'!O39+'SE-LRC-GL'!O39</f>
        <v>278226.8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'SE-EGM-GL'!AL39+'SE-LRC-GL'!AL39</f>
        <v>0</v>
      </c>
      <c r="AG39" s="38">
        <f>'SE-EGM-GL'!AM39+'SE-LRC-GL'!AM39</f>
        <v>0</v>
      </c>
      <c r="AH39" s="60">
        <f>'SE-EGM-GL'!AN39+'SE-LRC-GL'!AN39</f>
        <v>0</v>
      </c>
      <c r="AI39" s="38">
        <f>'SE-EGM-GL'!AO39+'SE-LRC-GL'!AO39</f>
        <v>0</v>
      </c>
      <c r="AJ39" s="60">
        <f>'SE-EGM-GL'!AP39+'SE-LRC-GL'!AP39</f>
        <v>0</v>
      </c>
      <c r="AK39" s="38">
        <f>'SE-EGM-GL'!AQ39+'SE-LRC-GL'!AQ39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-10665051</v>
      </c>
      <c r="E40" s="38">
        <f t="shared" si="15"/>
        <v>-23633084.649999999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-10171797</v>
      </c>
      <c r="I40" s="38">
        <f>+BGC_GL!I40+'SE-LRC-GL'!I40+NE_GL!I40+'SE-EGM-GL'!I40</f>
        <v>-7115809.9800000004</v>
      </c>
      <c r="J40" s="60">
        <f>+BGC_GL!J40+'SE-LRC-GL'!J40+NE_GL!J40+'SE-EGM-GL'!J40</f>
        <v>356476</v>
      </c>
      <c r="K40" s="38">
        <f>+BGC_GL!K40+'SE-LRC-GL'!K40+NE_GL!K40+'SE-EGM-GL'!K40</f>
        <v>772402.84</v>
      </c>
      <c r="L40" s="60">
        <f>+BGC_GL!L40+'SE-LRC-GL'!L40+NE_GL!L40+'SE-EGM-GL'!L40</f>
        <v>-688458</v>
      </c>
      <c r="M40" s="38">
        <f>+BGC_GL!M40+'SE-LRC-GL'!M40+NE_GL!M40+'SE-EGM-GL'!M40</f>
        <v>-16996968.829999998</v>
      </c>
      <c r="N40" s="60">
        <f>'SE-EGM-GL'!N40+'SE-LRC-GL'!N40</f>
        <v>-161272</v>
      </c>
      <c r="O40" s="38">
        <f>'SE-EGM-GL'!O40+'SE-LRC-GL'!O40</f>
        <v>292708.68</v>
      </c>
      <c r="P40" s="60">
        <f>'SE-EGM-GL'!P40+'SE-LRC-GL'!P40</f>
        <v>0</v>
      </c>
      <c r="Q40" s="38">
        <f>'SE-EGM-GL'!Q40+'SE-LRC-GL'!Q40</f>
        <v>-585417.36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'SE-EGM-GL'!AL40+'SE-LRC-GL'!AL40</f>
        <v>0</v>
      </c>
      <c r="AG40" s="38">
        <f>'SE-EGM-GL'!AM40+'SE-LRC-GL'!AM40</f>
        <v>0</v>
      </c>
      <c r="AH40" s="60">
        <f>'SE-EGM-GL'!AN40+'SE-LRC-GL'!AN40</f>
        <v>0</v>
      </c>
      <c r="AI40" s="38">
        <f>'SE-EGM-GL'!AO40+'SE-LRC-GL'!AO40</f>
        <v>0</v>
      </c>
      <c r="AJ40" s="60">
        <f>'SE-EGM-GL'!AP40+'SE-LRC-GL'!AP40</f>
        <v>0</v>
      </c>
      <c r="AK40" s="38">
        <f>'SE-EGM-GL'!AQ40+'SE-LRC-GL'!AQ40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117344</v>
      </c>
      <c r="F41" s="81">
        <f>+BGC_GL!F41+'SE-LRC-GL'!F41+NE_GL!F41+'SE-EGM-GL'!F41</f>
        <v>0</v>
      </c>
      <c r="G41" s="82">
        <f>+BGC_GL!G41+'SE-LRC-GL'!G41+NE_GL!G41+'SE-EGM-GL'!G41</f>
        <v>117344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81">
        <f>+BGC_GL!L41+'SE-LRC-GL'!L41+NE_GL!L41+'SE-EGM-GL'!L41</f>
        <v>0</v>
      </c>
      <c r="M41" s="82">
        <f>+BGC_GL!M41+'SE-LRC-GL'!M41+NE_GL!M41+'SE-EGM-GL'!M41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'SE-EGM-GL'!AL41+'SE-LRC-GL'!AL41</f>
        <v>0</v>
      </c>
      <c r="AG41" s="38">
        <f>'SE-EGM-GL'!AM41+'SE-LRC-GL'!AM41</f>
        <v>0</v>
      </c>
      <c r="AH41" s="60">
        <f>'SE-EGM-GL'!AN41+'SE-LRC-GL'!AN41</f>
        <v>0</v>
      </c>
      <c r="AI41" s="38">
        <f>'SE-EGM-GL'!AO41+'SE-LRC-GL'!AO41</f>
        <v>0</v>
      </c>
      <c r="AJ41" s="60">
        <f>'SE-EGM-GL'!AP41+'SE-LRC-GL'!AP41</f>
        <v>0</v>
      </c>
      <c r="AK41" s="38">
        <f>'SE-EGM-GL'!AQ41+'SE-LRC-GL'!AQ41</f>
        <v>0</v>
      </c>
    </row>
    <row r="42" spans="1:37" x14ac:dyDescent="0.2">
      <c r="A42" s="9"/>
      <c r="B42" s="7"/>
      <c r="C42" s="53" t="s">
        <v>52</v>
      </c>
      <c r="D42" s="61">
        <f>SUM(D40:D41)</f>
        <v>-10665051</v>
      </c>
      <c r="E42" s="39">
        <f>SUM(E40:E41)</f>
        <v>-23515740.649999999</v>
      </c>
      <c r="F42" s="61">
        <f t="shared" ref="F42:AD42" si="16">SUM(F40:F41)</f>
        <v>0</v>
      </c>
      <c r="G42" s="39">
        <f t="shared" si="16"/>
        <v>117344</v>
      </c>
      <c r="H42" s="61">
        <f t="shared" ref="H42:M42" si="17">SUM(H40:H41)</f>
        <v>-10171797</v>
      </c>
      <c r="I42" s="39">
        <f t="shared" si="17"/>
        <v>-7115809.9800000004</v>
      </c>
      <c r="J42" s="61">
        <f t="shared" si="17"/>
        <v>356476</v>
      </c>
      <c r="K42" s="39">
        <f t="shared" si="17"/>
        <v>772402.84</v>
      </c>
      <c r="L42" s="61">
        <f t="shared" si="17"/>
        <v>-688458</v>
      </c>
      <c r="M42" s="39">
        <f t="shared" si="17"/>
        <v>-16996968.829999998</v>
      </c>
      <c r="N42" s="61">
        <f t="shared" si="16"/>
        <v>-161272</v>
      </c>
      <c r="O42" s="39">
        <f t="shared" si="16"/>
        <v>292708.68</v>
      </c>
      <c r="P42" s="61">
        <f t="shared" si="16"/>
        <v>0</v>
      </c>
      <c r="Q42" s="39">
        <f t="shared" si="16"/>
        <v>-585417.36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ref="AE42:AK42" si="18">SUM(AE40:AE41)</f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-9146838</v>
      </c>
      <c r="E43" s="39">
        <f>E42+E39</f>
        <v>-20760184.039999999</v>
      </c>
      <c r="F43" s="61">
        <f t="shared" ref="F43:AD43" si="19">F42+F39</f>
        <v>0</v>
      </c>
      <c r="G43" s="39">
        <f t="shared" si="19"/>
        <v>117344</v>
      </c>
      <c r="H43" s="61">
        <f t="shared" ref="H43:M43" si="20">H42+H39</f>
        <v>-10171797</v>
      </c>
      <c r="I43" s="39">
        <f t="shared" si="20"/>
        <v>-7115809.9800000004</v>
      </c>
      <c r="J43" s="61">
        <f t="shared" si="20"/>
        <v>703711</v>
      </c>
      <c r="K43" s="39">
        <f t="shared" si="20"/>
        <v>1402634.37</v>
      </c>
      <c r="L43" s="61">
        <f t="shared" si="20"/>
        <v>329227</v>
      </c>
      <c r="M43" s="39">
        <f t="shared" si="20"/>
        <v>-15149870.549999999</v>
      </c>
      <c r="N43" s="61">
        <f t="shared" si="19"/>
        <v>-7979</v>
      </c>
      <c r="O43" s="39">
        <f t="shared" si="19"/>
        <v>570935.48</v>
      </c>
      <c r="P43" s="61">
        <f t="shared" si="19"/>
        <v>0</v>
      </c>
      <c r="Q43" s="39">
        <f t="shared" si="19"/>
        <v>-585417.36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ref="AE43:AK43" si="21">AE42+AE39</f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5865</v>
      </c>
      <c r="E45" s="38">
        <f>SUM(G45,I45,K45,M45,O45,Q45,S45,U45,W45,Y45,AA45,AC45,AE45,AG45,AI45,AK45)</f>
        <v>10025.630000000001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12255</v>
      </c>
      <c r="K45" s="68">
        <f>+BGC_GL!K45+'SE-LRC-GL'!K45+NE_GL!K45+'SE-EGM-GL'!K45</f>
        <v>23652.15</v>
      </c>
      <c r="L45" s="64">
        <f>+BGC_GL!L45+'SE-LRC-GL'!L45+NE_GL!L45+'SE-EGM-GL'!L45</f>
        <v>0</v>
      </c>
      <c r="M45" s="68">
        <f>+BGC_GL!M45+'SE-LRC-GL'!M45+NE_GL!M45+'SE-EGM-GL'!M45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-6390</v>
      </c>
      <c r="Y45" s="38">
        <f>'SE-EGM-GL'!Y45+'SE-LRC-GL'!Y45</f>
        <v>-13626.52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'SE-EGM-GL'!AL45+'SE-LRC-GL'!AL45</f>
        <v>0</v>
      </c>
      <c r="AG45" s="38">
        <f>'SE-EGM-GL'!AM45+'SE-LRC-GL'!AM45</f>
        <v>0</v>
      </c>
      <c r="AH45" s="60">
        <f>'SE-EGM-GL'!AN45+'SE-LRC-GL'!AN45</f>
        <v>0</v>
      </c>
      <c r="AI45" s="38">
        <f>'SE-EGM-GL'!AO45+'SE-LRC-GL'!AO45</f>
        <v>0</v>
      </c>
      <c r="AJ45" s="60">
        <f>'SE-EGM-GL'!AP45+'SE-LRC-GL'!AP45</f>
        <v>0</v>
      </c>
      <c r="AK45" s="38">
        <f>'SE-EGM-GL'!AQ45+'SE-LRC-GL'!AQ45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1.4551915228366852E-11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45722</v>
      </c>
      <c r="I47" s="38">
        <f>+BGC_GL!I47+'SE-LRC-GL'!I47+NE_GL!I47+'SE-EGM-GL'!I47</f>
        <v>82757.02</v>
      </c>
      <c r="J47" s="60">
        <f>+BGC_GL!J47+'SE-LRC-GL'!J47+NE_GL!J47+'SE-EGM-GL'!J47</f>
        <v>16161</v>
      </c>
      <c r="K47" s="38">
        <f>+BGC_GL!K47+'SE-LRC-GL'!K47+NE_GL!K47+'SE-EGM-GL'!K47</f>
        <v>29251.41</v>
      </c>
      <c r="L47" s="60">
        <f>+BGC_GL!L47+'SE-LRC-GL'!L47+NE_GL!L47+'SE-EGM-GL'!L47</f>
        <v>-9008</v>
      </c>
      <c r="M47" s="38">
        <f>+BGC_GL!M47+'SE-LRC-GL'!M47+NE_GL!M47+'SE-EGM-GL'!M47</f>
        <v>-16304.48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-52875</v>
      </c>
      <c r="S47" s="38">
        <f>'SE-EGM-GL'!S47+'SE-LRC-GL'!S47</f>
        <v>-95703.95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'SE-EGM-GL'!AL47+'SE-LRC-GL'!AL47</f>
        <v>0</v>
      </c>
      <c r="AG47" s="38">
        <f>'SE-EGM-GL'!AM47+'SE-LRC-GL'!AM47</f>
        <v>0</v>
      </c>
      <c r="AH47" s="60">
        <f>'SE-EGM-GL'!AN47+'SE-LRC-GL'!AN47</f>
        <v>0</v>
      </c>
      <c r="AI47" s="38">
        <f>'SE-EGM-GL'!AO47+'SE-LRC-GL'!AO47</f>
        <v>0</v>
      </c>
      <c r="AJ47" s="60">
        <f>'SE-EGM-GL'!AP47+'SE-LRC-GL'!AP47</f>
        <v>0</v>
      </c>
      <c r="AK47" s="38">
        <f>'SE-EGM-GL'!AQ47+'SE-LRC-GL'!AQ47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-191794</v>
      </c>
      <c r="E49" s="38">
        <f t="shared" si="22"/>
        <v>-1305127.3520000009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-386189</v>
      </c>
      <c r="I49" s="38">
        <f>+BGC_GL!I49+'SE-LRC-GL'!I49+NE_GL!I49+'SE-EGM-GL'!I49</f>
        <v>-690505.93199999991</v>
      </c>
      <c r="J49" s="60">
        <f>+BGC_GL!J49+'SE-LRC-GL'!J49+NE_GL!J49+'SE-EGM-GL'!J49</f>
        <v>74570</v>
      </c>
      <c r="K49" s="38">
        <f>+BGC_GL!K49+'SE-LRC-GL'!K49+NE_GL!K49+'SE-EGM-GL'!K49</f>
        <v>133331.15999999942</v>
      </c>
      <c r="L49" s="60">
        <f>+BGC_GL!L49+'SE-LRC-GL'!L49+NE_GL!L49+'SE-EGM-GL'!L49</f>
        <v>46725</v>
      </c>
      <c r="M49" s="38">
        <f>+BGC_GL!M49+'SE-LRC-GL'!M49+NE_GL!M49+'SE-EGM-GL'!M49</f>
        <v>-878655.38000000035</v>
      </c>
      <c r="N49" s="60">
        <f>'SE-EGM-GL'!N49+'SE-LRC-GL'!N49</f>
        <v>0</v>
      </c>
      <c r="O49" s="38">
        <f>'SE-EGM-GL'!O49+'SE-LRC-GL'!O49</f>
        <v>0</v>
      </c>
      <c r="P49" s="60">
        <f>'SE-EGM-GL'!P49+'SE-LRC-GL'!P49</f>
        <v>44182</v>
      </c>
      <c r="Q49" s="38">
        <f>'SE-EGM-GL'!Q49+'SE-LRC-GL'!Q49</f>
        <v>78997.415999999997</v>
      </c>
      <c r="R49" s="60">
        <f>'SE-EGM-GL'!R49+'SE-LRC-GL'!R49</f>
        <v>0</v>
      </c>
      <c r="S49" s="38">
        <f>'SE-EGM-GL'!S49+'SE-LRC-GL'!S49</f>
        <v>0</v>
      </c>
      <c r="T49" s="60">
        <f>'SE-EGM-GL'!T49+'SE-LRC-GL'!T49</f>
        <v>8693</v>
      </c>
      <c r="U49" s="38">
        <f>'SE-EGM-GL'!U49+'SE-LRC-GL'!U49</f>
        <v>15543.084000000001</v>
      </c>
      <c r="V49" s="60">
        <f>'SE-EGM-GL'!V49+'SE-LRC-GL'!V49</f>
        <v>62102</v>
      </c>
      <c r="W49" s="38">
        <f>'SE-EGM-GL'!W49+'SE-LRC-GL'!W49</f>
        <v>111038.376</v>
      </c>
      <c r="X49" s="60">
        <f>'SE-EGM-GL'!X49+'SE-LRC-GL'!X49</f>
        <v>-41902</v>
      </c>
      <c r="Y49" s="38">
        <f>'SE-EGM-GL'!Y49+'SE-LRC-GL'!Y49</f>
        <v>-74920.775999999998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-82104</v>
      </c>
      <c r="AC49" s="38">
        <f>'SE-EGM-GL'!AC49+'SE-LRC-GL'!AC49</f>
        <v>-146801.95199999999</v>
      </c>
      <c r="AD49" s="60">
        <f>'SE-EGM-GL'!AD49+'SE-LRC-GL'!AD49</f>
        <v>82129</v>
      </c>
      <c r="AE49" s="38">
        <f>'SE-EGM-GL'!AE49+'SE-LRC-GL'!AE49</f>
        <v>146846.652</v>
      </c>
      <c r="AF49" s="60">
        <f>'SE-EGM-GL'!AL49+'SE-LRC-GL'!AL49</f>
        <v>0</v>
      </c>
      <c r="AG49" s="38">
        <f>'SE-EGM-GL'!AM49+'SE-LRC-GL'!AM49</f>
        <v>0</v>
      </c>
      <c r="AH49" s="60">
        <f>'SE-EGM-GL'!AN49+'SE-LRC-GL'!AN49</f>
        <v>0</v>
      </c>
      <c r="AI49" s="38">
        <f>'SE-EGM-GL'!AO49+'SE-LRC-GL'!AO49</f>
        <v>0</v>
      </c>
      <c r="AJ49" s="60">
        <f>'SE-EGM-GL'!AP49+'SE-LRC-GL'!AP49</f>
        <v>0</v>
      </c>
      <c r="AK49" s="38">
        <f>'SE-EGM-GL'!AQ49+'SE-LRC-GL'!AQ49</f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-925629</v>
      </c>
      <c r="E51" s="38">
        <f t="shared" si="22"/>
        <v>-1656484.0120000001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-1038489</v>
      </c>
      <c r="I51" s="38">
        <f>+BGC_GL!I51+'SE-LRC-GL'!I51+NE_GL!I51+'SE-EGM-GL'!I51</f>
        <v>-1856818.34</v>
      </c>
      <c r="J51" s="60">
        <f>+BGC_GL!J51+'SE-LRC-GL'!J51+NE_GL!J51+'SE-EGM-GL'!J51</f>
        <v>147602</v>
      </c>
      <c r="K51" s="38">
        <f>+BGC_GL!K51+'SE-LRC-GL'!K51+NE_GL!K51+'SE-EGM-GL'!K51</f>
        <v>265175.03399999999</v>
      </c>
      <c r="L51" s="60">
        <f>+BGC_GL!L51+'SE-LRC-GL'!L51+NE_GL!L51+'SE-EGM-GL'!L51</f>
        <v>-34742</v>
      </c>
      <c r="M51" s="38">
        <f>+BGC_GL!M51+'SE-LRC-GL'!M51+NE_GL!M51+'SE-EGM-GL'!M51</f>
        <v>-62118.696000000004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-2722.01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'SE-EGM-GL'!AL51+'SE-LRC-GL'!AL51</f>
        <v>0</v>
      </c>
      <c r="AG51" s="38">
        <f>'SE-EGM-GL'!AM51+'SE-LRC-GL'!AM51</f>
        <v>0</v>
      </c>
      <c r="AH51" s="60">
        <f>'SE-EGM-GL'!AN51+'SE-LRC-GL'!AN51</f>
        <v>0</v>
      </c>
      <c r="AI51" s="38">
        <f>'SE-EGM-GL'!AO51+'SE-LRC-GL'!AO51</f>
        <v>0</v>
      </c>
      <c r="AJ51" s="60">
        <f>'SE-EGM-GL'!AP51+'SE-LRC-GL'!AP51</f>
        <v>0</v>
      </c>
      <c r="AK51" s="38">
        <f>'SE-EGM-GL'!AQ51+'SE-LRC-GL'!AQ51</f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81"/>
      <c r="I52" s="82"/>
      <c r="J52" s="81"/>
      <c r="K52" s="82"/>
      <c r="L52" s="81"/>
      <c r="M52" s="82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-46636203</v>
      </c>
      <c r="E54" s="38">
        <f>SUM(G54,I54,K54,M54,O54,Q54,S54,U54,W54,Y54,AA54,AC54,AE54,AG54,AI54,AK54)</f>
        <v>-477491.57999999996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-50292428</v>
      </c>
      <c r="I54" s="68">
        <f>+BGC_GL!I54+'SE-LRC-GL'!I54+NE_GL!I54+'SE-EGM-GL'!I54</f>
        <v>-2306829.77</v>
      </c>
      <c r="J54" s="64">
        <f>+BGC_GL!J54+'SE-LRC-GL'!J54+NE_GL!J54+'SE-EGM-GL'!J54</f>
        <v>3649708</v>
      </c>
      <c r="K54" s="68">
        <f>+BGC_GL!K54+'SE-LRC-GL'!K54+NE_GL!K54+'SE-EGM-GL'!K54</f>
        <v>1867706.78</v>
      </c>
      <c r="L54" s="64">
        <f>+BGC_GL!L54+'SE-LRC-GL'!L54+NE_GL!L54+'SE-EGM-GL'!L54</f>
        <v>6517</v>
      </c>
      <c r="M54" s="68">
        <f>+BGC_GL!M54+'SE-LRC-GL'!M54+NE_GL!M54+'SE-EGM-GL'!M54</f>
        <v>-38368.589999999997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'SE-EGM-GL'!AL54+'SE-LRC-GL'!AL54</f>
        <v>0</v>
      </c>
      <c r="AG54" s="38">
        <f>'SE-EGM-GL'!AM54+'SE-LRC-GL'!AM54</f>
        <v>0</v>
      </c>
      <c r="AH54" s="60">
        <f>'SE-EGM-GL'!AN54+'SE-LRC-GL'!AN54</f>
        <v>0</v>
      </c>
      <c r="AI54" s="38">
        <f>'SE-EGM-GL'!AO54+'SE-LRC-GL'!AO54</f>
        <v>0</v>
      </c>
      <c r="AJ54" s="60">
        <f>'SE-EGM-GL'!AP54+'SE-LRC-GL'!AP54</f>
        <v>0</v>
      </c>
      <c r="AK54" s="38">
        <f>'SE-EGM-GL'!AQ54+'SE-LRC-GL'!AQ54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-15295827.550000001</v>
      </c>
      <c r="F55" s="81">
        <f>+BGC_GL!F55+'SE-LRC-GL'!F55+NE_GL!F55+'SE-EGM-GL'!F55</f>
        <v>0</v>
      </c>
      <c r="G55" s="82">
        <f>+BGC_GL!G55+'SE-LRC-GL'!G55+NE_GL!G55+'SE-EGM-GL'!G55</f>
        <v>637573.26</v>
      </c>
      <c r="H55" s="81">
        <f>+BGC_GL!H55+'SE-LRC-GL'!H55+NE_GL!H55+'SE-EGM-GL'!H55</f>
        <v>0</v>
      </c>
      <c r="I55" s="82">
        <f>+BGC_GL!I55+'SE-LRC-GL'!I55+NE_GL!I55+'SE-EGM-GL'!I55</f>
        <v>-15984193.880000001</v>
      </c>
      <c r="J55" s="81">
        <f>+BGC_GL!J55+'SE-LRC-GL'!J55+NE_GL!J55+'SE-EGM-GL'!J55</f>
        <v>0</v>
      </c>
      <c r="K55" s="82">
        <f>+BGC_GL!K55+'SE-LRC-GL'!K55+NE_GL!K55+'SE-EGM-GL'!K55</f>
        <v>-27036.559999999998</v>
      </c>
      <c r="L55" s="81">
        <f>+BGC_GL!L55+'SE-LRC-GL'!L55+NE_GL!L55+'SE-EGM-GL'!L55</f>
        <v>0</v>
      </c>
      <c r="M55" s="82">
        <f>+BGC_GL!M55+'SE-LRC-GL'!M55+NE_GL!M55+'SE-EGM-GL'!M55</f>
        <v>77829.63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'SE-EGM-GL'!AL55+'SE-LRC-GL'!AL55</f>
        <v>0</v>
      </c>
      <c r="AG55" s="38">
        <f>'SE-EGM-GL'!AM55+'SE-LRC-GL'!AM55</f>
        <v>0</v>
      </c>
      <c r="AH55" s="60">
        <f>'SE-EGM-GL'!AN55+'SE-LRC-GL'!AN55</f>
        <v>0</v>
      </c>
      <c r="AI55" s="38">
        <f>'SE-EGM-GL'!AO55+'SE-LRC-GL'!AO55</f>
        <v>0</v>
      </c>
      <c r="AJ55" s="60">
        <f>'SE-EGM-GL'!AP55+'SE-LRC-GL'!AP55</f>
        <v>0</v>
      </c>
      <c r="AK55" s="38">
        <f>'SE-EGM-GL'!AQ55+'SE-LRC-GL'!AQ55</f>
        <v>0</v>
      </c>
    </row>
    <row r="56" spans="1:37" x14ac:dyDescent="0.2">
      <c r="A56" s="9"/>
      <c r="B56" s="7" t="s">
        <v>61</v>
      </c>
      <c r="C56" s="6"/>
      <c r="D56" s="61">
        <f>SUM(D54:D55)</f>
        <v>-46636203</v>
      </c>
      <c r="E56" s="39">
        <f>SUM(E54:E55)</f>
        <v>-15773319.130000001</v>
      </c>
      <c r="F56" s="61">
        <f t="shared" ref="F56:AD56" si="23">SUM(F54:F55)</f>
        <v>0</v>
      </c>
      <c r="G56" s="39">
        <f t="shared" si="23"/>
        <v>637573.26</v>
      </c>
      <c r="H56" s="61">
        <f t="shared" ref="H56:M56" si="24">SUM(H54:H55)</f>
        <v>-50292428</v>
      </c>
      <c r="I56" s="39">
        <f t="shared" si="24"/>
        <v>-18291023.650000002</v>
      </c>
      <c r="J56" s="61">
        <f t="shared" si="24"/>
        <v>3649708</v>
      </c>
      <c r="K56" s="39">
        <f t="shared" si="24"/>
        <v>1840670.22</v>
      </c>
      <c r="L56" s="61">
        <f t="shared" si="24"/>
        <v>6517</v>
      </c>
      <c r="M56" s="39">
        <f t="shared" si="24"/>
        <v>39461.040000000008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ref="AE56:AK56" si="25">SUM(AE54:AE55)</f>
        <v>0</v>
      </c>
      <c r="AF56" s="61">
        <f t="shared" si="25"/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3300586</v>
      </c>
      <c r="E59" s="38">
        <f>SUM(G59,I59,K59,M59,O59,Q59,S59,U59,W59,Y59,AA59,AC59,AE59,AG59,AI59,AK59)</f>
        <v>122122.00999999989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3284215</v>
      </c>
      <c r="I59" s="68">
        <f>+BGC_GL!I59+'SE-LRC-GL'!I59+NE_GL!I59+'SE-EGM-GL'!I59</f>
        <v>788653.44</v>
      </c>
      <c r="J59" s="64">
        <f>+BGC_GL!J59+'SE-LRC-GL'!J59+NE_GL!J59+'SE-EGM-GL'!J59</f>
        <v>3926</v>
      </c>
      <c r="K59" s="68">
        <f>+BGC_GL!K59+'SE-LRC-GL'!K59+NE_GL!K59+'SE-EGM-GL'!K59</f>
        <v>-676256.43</v>
      </c>
      <c r="L59" s="64">
        <f>+BGC_GL!L59+'SE-LRC-GL'!L59+NE_GL!L59+'SE-EGM-GL'!L59</f>
        <v>0</v>
      </c>
      <c r="M59" s="68">
        <f>+BGC_GL!M59+'SE-LRC-GL'!M59+NE_GL!M59+'SE-EGM-GL'!M59</f>
        <v>9725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8693</v>
      </c>
      <c r="S59" s="38">
        <f>'SE-EGM-GL'!S59+'SE-LRC-GL'!S59</f>
        <v>0</v>
      </c>
      <c r="T59" s="60">
        <f>'SE-EGM-GL'!T59+'SE-LRC-GL'!T59</f>
        <v>-8693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12445</v>
      </c>
      <c r="AE59" s="38">
        <f>'SE-EGM-GL'!AE59+'SE-LRC-GL'!AE59</f>
        <v>0</v>
      </c>
      <c r="AF59" s="60">
        <f>'SE-EGM-GL'!AL59+'SE-LRC-GL'!AL59</f>
        <v>0</v>
      </c>
      <c r="AG59" s="38">
        <f>'SE-EGM-GL'!AM59+'SE-LRC-GL'!AM59</f>
        <v>0</v>
      </c>
      <c r="AH59" s="60">
        <f>'SE-EGM-GL'!AN59+'SE-LRC-GL'!AN59</f>
        <v>0</v>
      </c>
      <c r="AI59" s="38">
        <f>'SE-EGM-GL'!AO59+'SE-LRC-GL'!AO59</f>
        <v>0</v>
      </c>
      <c r="AJ59" s="60">
        <f>'SE-EGM-GL'!AP59+'SE-LRC-GL'!AP59</f>
        <v>0</v>
      </c>
      <c r="AK59" s="38">
        <f>'SE-EGM-GL'!AQ59+'SE-LRC-GL'!AQ59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606099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170000</v>
      </c>
      <c r="J60" s="81">
        <f>+BGC_GL!J60+'SE-LRC-GL'!J60+NE_GL!J60+'SE-EGM-GL'!J60</f>
        <v>0</v>
      </c>
      <c r="K60" s="82">
        <f>+BGC_GL!K60+'SE-LRC-GL'!K60+NE_GL!K60+'SE-EGM-GL'!K60</f>
        <v>301099</v>
      </c>
      <c r="L60" s="81">
        <f>+BGC_GL!L60+'SE-LRC-GL'!L60+NE_GL!L60+'SE-EGM-GL'!L60</f>
        <v>0</v>
      </c>
      <c r="M60" s="82">
        <f>+BGC_GL!M60+'SE-LRC-GL'!M60+NE_GL!M60+'SE-EGM-GL'!M60</f>
        <v>450000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-315000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'SE-EGM-GL'!AL60+'SE-LRC-GL'!AL60</f>
        <v>0</v>
      </c>
      <c r="AG60" s="38">
        <f>'SE-EGM-GL'!AM60+'SE-LRC-GL'!AM60</f>
        <v>0</v>
      </c>
      <c r="AH60" s="60">
        <f>'SE-EGM-GL'!AN60+'SE-LRC-GL'!AN60</f>
        <v>0</v>
      </c>
      <c r="AI60" s="38">
        <f>'SE-EGM-GL'!AO60+'SE-LRC-GL'!AO60</f>
        <v>0</v>
      </c>
      <c r="AJ60" s="60">
        <f>'SE-EGM-GL'!AP60+'SE-LRC-GL'!AP60</f>
        <v>0</v>
      </c>
      <c r="AK60" s="38">
        <f>'SE-EGM-GL'!AQ60+'SE-LRC-GL'!AQ60</f>
        <v>0</v>
      </c>
    </row>
    <row r="61" spans="1:37" x14ac:dyDescent="0.2">
      <c r="A61" s="9"/>
      <c r="B61" s="62" t="s">
        <v>65</v>
      </c>
      <c r="C61" s="6"/>
      <c r="D61" s="61">
        <f>SUM(D59:D60)</f>
        <v>3300586</v>
      </c>
      <c r="E61" s="39">
        <f>SUM(E59:E60)</f>
        <v>728221.00999999989</v>
      </c>
      <c r="F61" s="61">
        <f t="shared" ref="F61:AD61" si="26">SUM(F59:F60)</f>
        <v>0</v>
      </c>
      <c r="G61" s="39">
        <f t="shared" si="26"/>
        <v>0</v>
      </c>
      <c r="H61" s="61">
        <f t="shared" ref="H61:M61" si="27">SUM(H59:H60)</f>
        <v>3284215</v>
      </c>
      <c r="I61" s="39">
        <f t="shared" si="27"/>
        <v>958653.43999999994</v>
      </c>
      <c r="J61" s="61">
        <f t="shared" si="27"/>
        <v>3926</v>
      </c>
      <c r="K61" s="39">
        <f t="shared" si="27"/>
        <v>-375157.43000000005</v>
      </c>
      <c r="L61" s="61">
        <f t="shared" si="27"/>
        <v>0</v>
      </c>
      <c r="M61" s="39">
        <f t="shared" si="27"/>
        <v>459725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-315000</v>
      </c>
      <c r="R61" s="61">
        <f t="shared" si="26"/>
        <v>8693</v>
      </c>
      <c r="S61" s="39">
        <f t="shared" si="26"/>
        <v>0</v>
      </c>
      <c r="T61" s="61">
        <f t="shared" si="26"/>
        <v>-8693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12445</v>
      </c>
      <c r="AE61" s="39">
        <f t="shared" ref="AE61:AK61" si="28">SUM(AE59:AE60)</f>
        <v>0</v>
      </c>
      <c r="AF61" s="61">
        <f t="shared" si="28"/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-13359471</v>
      </c>
      <c r="E64" s="38">
        <f>SUM(G64,I64,K64,M64,O64,Q64,S64,U64,W64,Y64,AA64,AC64,AE64,AG64,AI64,AK64)</f>
        <v>-3420632.78</v>
      </c>
      <c r="F64" s="64">
        <f>+BGC_GL!F64+'SE-LRC-GL'!F64+NE_GL!F64+'SE-EGM-GL'!F64</f>
        <v>0</v>
      </c>
      <c r="G64" s="68">
        <f>+BGC_GL!G64+'SE-LRC-GL'!G64+NE_GL!G64+'SE-EGM-GL'!G64</f>
        <v>27083</v>
      </c>
      <c r="H64" s="64">
        <f>+BGC_GL!H64+'SE-LRC-GL'!H64+NE_GL!H64+'SE-EGM-GL'!H64</f>
        <v>-886869</v>
      </c>
      <c r="I64" s="68">
        <f>+BGC_GL!I64+'SE-LRC-GL'!I64+NE_GL!I64+'SE-EGM-GL'!I64</f>
        <v>-1246212</v>
      </c>
      <c r="J64" s="64">
        <f>+BGC_GL!J64+'SE-LRC-GL'!J64+NE_GL!J64+'SE-EGM-GL'!J64</f>
        <v>-12665248</v>
      </c>
      <c r="K64" s="68">
        <f>+BGC_GL!K64+'SE-LRC-GL'!K64+NE_GL!K64+'SE-EGM-GL'!K64</f>
        <v>-2193760.2999999998</v>
      </c>
      <c r="L64" s="64">
        <f>+BGC_GL!L64+'SE-LRC-GL'!L64+NE_GL!L64+'SE-EGM-GL'!L64</f>
        <v>192646</v>
      </c>
      <c r="M64" s="68">
        <f>+BGC_GL!M64+'SE-LRC-GL'!M64+NE_GL!M64+'SE-EGM-GL'!M64</f>
        <v>-7743.48</v>
      </c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19855124</v>
      </c>
      <c r="E65" s="38">
        <f>SUM(G65,I65,K65,M65,O65,Q65,S65,U65,W65,Y65,AA65,AC65,AE65,AG65,AI65,AK65)</f>
        <v>1538598.9500000002</v>
      </c>
      <c r="F65" s="81">
        <f>+BGC_GL!F65+'SE-LRC-GL'!F65+NE_GL!F65+'SE-EGM-GL'!F65</f>
        <v>0</v>
      </c>
      <c r="G65" s="82">
        <f>+BGC_GL!G65+'SE-LRC-GL'!G65+NE_GL!G65+'SE-EGM-GL'!G65</f>
        <v>-410000</v>
      </c>
      <c r="H65" s="81">
        <f>+BGC_GL!H65+'SE-LRC-GL'!H65+NE_GL!H65+'SE-EGM-GL'!H65</f>
        <v>886869</v>
      </c>
      <c r="I65" s="82">
        <f>+BGC_GL!I65+'SE-LRC-GL'!I65+NE_GL!I65+'SE-EGM-GL'!I65</f>
        <v>1246212</v>
      </c>
      <c r="J65" s="81">
        <f>+BGC_GL!J65+'SE-LRC-GL'!J65+NE_GL!J65+'SE-EGM-GL'!J65</f>
        <v>18974549</v>
      </c>
      <c r="K65" s="82">
        <f>+BGC_GL!K65+'SE-LRC-GL'!K65+NE_GL!K65+'SE-EGM-GL'!K65</f>
        <v>703016.35</v>
      </c>
      <c r="L65" s="81">
        <f>+BGC_GL!L65+'SE-LRC-GL'!L65+NE_GL!L65+'SE-EGM-GL'!L65</f>
        <v>-6294</v>
      </c>
      <c r="M65" s="82">
        <f>+BGC_GL!M65+'SE-LRC-GL'!M65+NE_GL!M65+'SE-EGM-GL'!M65</f>
        <v>-629.4</v>
      </c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68</v>
      </c>
      <c r="C66" s="6"/>
      <c r="D66" s="61">
        <f>SUM(D64:D65)</f>
        <v>6495653</v>
      </c>
      <c r="E66" s="39">
        <f>SUM(E64:E65)</f>
        <v>-1882033.8299999996</v>
      </c>
      <c r="F66" s="61">
        <f t="shared" ref="F66:AD66" si="29">SUM(F64:F65)</f>
        <v>0</v>
      </c>
      <c r="G66" s="39">
        <f t="shared" si="29"/>
        <v>-382917</v>
      </c>
      <c r="H66" s="61">
        <f t="shared" ref="H66:M66" si="30">SUM(H64:H65)</f>
        <v>0</v>
      </c>
      <c r="I66" s="39">
        <f t="shared" si="30"/>
        <v>0</v>
      </c>
      <c r="J66" s="61">
        <f t="shared" si="30"/>
        <v>6309301</v>
      </c>
      <c r="K66" s="39">
        <f t="shared" si="30"/>
        <v>-1490743.9499999997</v>
      </c>
      <c r="L66" s="61">
        <f t="shared" si="30"/>
        <v>186352</v>
      </c>
      <c r="M66" s="39">
        <f t="shared" si="30"/>
        <v>-8372.8799999999992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ref="AE66:AK66" si="31">SUM(AE64:AE65)</f>
        <v>0</v>
      </c>
      <c r="AF66" s="61">
        <f t="shared" si="31"/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1497196.0399999991</v>
      </c>
      <c r="F70" s="64">
        <f>+BGC_GL!F70+'SE-LRC-GL'!F70+NE_GL!F70+'SE-EGM-GL'!F70</f>
        <v>0</v>
      </c>
      <c r="G70" s="68">
        <f>+BGC_GL!G70+'SE-LRC-GL'!G70+NE_GL!G70+'SE-EGM-GL'!G70</f>
        <v>-9262457.9600000009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10759654</v>
      </c>
      <c r="L70" s="64">
        <f>+BGC_GL!L70+'SE-LRC-GL'!L70+NE_GL!L70+'SE-EGM-GL'!L70</f>
        <v>0</v>
      </c>
      <c r="M70" s="68">
        <f>+BGC_GL!M70+'SE-LRC-GL'!M70+NE_GL!M70+'SE-EGM-GL'!M70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'SE-EGM-GL'!AL70+'SE-LRC-GL'!AL70</f>
        <v>0</v>
      </c>
      <c r="AG70" s="38">
        <f>'SE-EGM-GL'!AM70+'SE-LRC-GL'!AM70</f>
        <v>0</v>
      </c>
      <c r="AH70" s="60">
        <f>'SE-EGM-GL'!AN70+'SE-LRC-GL'!AN70</f>
        <v>0</v>
      </c>
      <c r="AI70" s="38">
        <f>'SE-EGM-GL'!AO70+'SE-LRC-GL'!AO70</f>
        <v>0</v>
      </c>
      <c r="AJ70" s="60">
        <f>'SE-EGM-GL'!AP70+'SE-LRC-GL'!AP70</f>
        <v>0</v>
      </c>
      <c r="AK70" s="38">
        <f>'SE-EGM-GL'!AQ70+'SE-LRC-GL'!AQ70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81">
        <f>+BGC_GL!L71+'SE-LRC-GL'!L71+NE_GL!L71+'SE-EGM-GL'!L71</f>
        <v>0</v>
      </c>
      <c r="M71" s="82">
        <f>+BGC_GL!M71+'SE-LRC-GL'!M71+NE_GL!M71+'SE-EGM-GL'!M71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'SE-EGM-GL'!AL71+'SE-LRC-GL'!AL71</f>
        <v>0</v>
      </c>
      <c r="AG71" s="38">
        <f>'SE-EGM-GL'!AM71+'SE-LRC-GL'!AM71</f>
        <v>0</v>
      </c>
      <c r="AH71" s="60">
        <f>'SE-EGM-GL'!AN71+'SE-LRC-GL'!AN71</f>
        <v>0</v>
      </c>
      <c r="AI71" s="38">
        <f>'SE-EGM-GL'!AO71+'SE-LRC-GL'!AO71</f>
        <v>0</v>
      </c>
      <c r="AJ71" s="60">
        <f>'SE-EGM-GL'!AP71+'SE-LRC-GL'!AP71</f>
        <v>0</v>
      </c>
      <c r="AK71" s="38">
        <f>'SE-EGM-GL'!AQ71+'SE-LRC-GL'!AQ71</f>
        <v>0</v>
      </c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1497196.0399999991</v>
      </c>
      <c r="F72" s="61">
        <f t="shared" ref="F72:AD72" si="32">SUM(F70:F71)</f>
        <v>0</v>
      </c>
      <c r="G72" s="39">
        <f t="shared" si="32"/>
        <v>-9262457.9600000009</v>
      </c>
      <c r="H72" s="61">
        <f t="shared" ref="H72:M72" si="33">SUM(H70:H71)</f>
        <v>0</v>
      </c>
      <c r="I72" s="39">
        <f t="shared" si="33"/>
        <v>0</v>
      </c>
      <c r="J72" s="61">
        <f t="shared" si="33"/>
        <v>0</v>
      </c>
      <c r="K72" s="39">
        <f t="shared" si="33"/>
        <v>10759654</v>
      </c>
      <c r="L72" s="61">
        <f t="shared" si="33"/>
        <v>0</v>
      </c>
      <c r="M72" s="39">
        <f t="shared" si="33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ref="AE72:AK72" si="34">SUM(AE70:AE71)</f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+BGC_GL!L73+'SE-LRC-GL'!L73+NE_GL!L73+'SE-EGM-GL'!L73</f>
        <v>0</v>
      </c>
      <c r="M73" s="168">
        <f>+BGC_GL!M73+'SE-LRC-GL'!M73+NE_GL!M73+'SE-EGM-GL'!M73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'SE-EGM-GL'!AL73+'SE-LRC-GL'!AL73</f>
        <v>0</v>
      </c>
      <c r="AG73" s="38">
        <f>'SE-EGM-GL'!AM73+'SE-LRC-GL'!AM73</f>
        <v>0</v>
      </c>
      <c r="AH73" s="60">
        <f>'SE-EGM-GL'!AN73+'SE-LRC-GL'!AN73</f>
        <v>0</v>
      </c>
      <c r="AI73" s="38">
        <f>'SE-EGM-GL'!AO73+'SE-LRC-GL'!AO73</f>
        <v>0</v>
      </c>
      <c r="AJ73" s="60">
        <f>'SE-EGM-GL'!AP73+'SE-LRC-GL'!AP73</f>
        <v>0</v>
      </c>
      <c r="AK73" s="38">
        <f>'SE-EGM-GL'!AQ73+'SE-LRC-GL'!AQ73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6218588.0399999991</v>
      </c>
      <c r="F74" s="60">
        <f>+BGC_GL!F74+'SE-LRC-GL'!F74+NE_GL!F74+'SE-EGM-GL'!F74</f>
        <v>0</v>
      </c>
      <c r="G74" s="60">
        <f>+BGC_GL!G74+'SE-LRC-GL'!G74+NE_GL!G74+'SE-EGM-GL'!G74</f>
        <v>6218588.0399999991</v>
      </c>
      <c r="H74" s="60">
        <f>+BGC_GL!H74+'SE-LRC-GL'!H74+NE_GL!H74+'SE-EGM-GL'!H74</f>
        <v>0</v>
      </c>
      <c r="I74" s="60">
        <f>+BGC_GL!I74+'SE-LRC-GL'!I74+NE_GL!I74+'SE-EGM-GL'!I74</f>
        <v>0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+BGC_GL!L74+'SE-LRC-GL'!L74+NE_GL!L74+'SE-EGM-GL'!L74</f>
        <v>0</v>
      </c>
      <c r="M74" s="169">
        <f>+BGC_GL!M74+'SE-LRC-GL'!M74+NE_GL!M74+'SE-EGM-GL'!M74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'SE-EGM-GL'!AL74+'SE-LRC-GL'!AL74</f>
        <v>0</v>
      </c>
      <c r="AG74" s="38">
        <f>'SE-EGM-GL'!AM74+'SE-LRC-GL'!AM74</f>
        <v>0</v>
      </c>
      <c r="AH74" s="60">
        <f>'SE-EGM-GL'!AN74+'SE-LRC-GL'!AN74</f>
        <v>0</v>
      </c>
      <c r="AI74" s="38">
        <f>'SE-EGM-GL'!AO74+'SE-LRC-GL'!AO74</f>
        <v>0</v>
      </c>
      <c r="AJ74" s="60">
        <f>'SE-EGM-GL'!AP74+'SE-LRC-GL'!AP74</f>
        <v>0</v>
      </c>
      <c r="AK74" s="38">
        <f>'SE-EGM-GL'!AQ74+'SE-LRC-GL'!AQ74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16300</v>
      </c>
      <c r="F75" s="60">
        <f>+BGC_GL!F75+'SE-LRC-GL'!F75+NE_GL!F75+'SE-EGM-GL'!F75</f>
        <v>0</v>
      </c>
      <c r="G75" s="60">
        <f>+BGC_GL!G75+'SE-LRC-GL'!G75+NE_GL!G75+'SE-EGM-GL'!G75</f>
        <v>16300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+BGC_GL!L75+'SE-LRC-GL'!L75+NE_GL!L75+'SE-EGM-GL'!L75</f>
        <v>0</v>
      </c>
      <c r="M75" s="169">
        <f>+BGC_GL!M75+'SE-LRC-GL'!M75+NE_GL!M75+'SE-EGM-GL'!M75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'SE-EGM-GL'!AL75+'SE-LRC-GL'!AL75</f>
        <v>0</v>
      </c>
      <c r="AG75" s="38">
        <f>'SE-EGM-GL'!AM75+'SE-LRC-GL'!AM75</f>
        <v>0</v>
      </c>
      <c r="AH75" s="60">
        <f>'SE-EGM-GL'!AN75+'SE-LRC-GL'!AN75</f>
        <v>0</v>
      </c>
      <c r="AI75" s="38">
        <f>'SE-EGM-GL'!AO75+'SE-LRC-GL'!AO75</f>
        <v>0</v>
      </c>
      <c r="AJ75" s="60">
        <f>'SE-EGM-GL'!AP75+'SE-LRC-GL'!AP75</f>
        <v>0</v>
      </c>
      <c r="AK75" s="38">
        <f>'SE-EGM-GL'!AQ75+'SE-LRC-GL'!AQ75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-184499.99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0</v>
      </c>
      <c r="J76" s="60">
        <f>+BGC_GL!J76+'SE-LRC-GL'!J76+NE_GL!J76+'SE-EGM-GL'!J76</f>
        <v>0</v>
      </c>
      <c r="K76" s="169">
        <f>+BGC_GL!K76+'SE-LRC-GL'!K76+NE_GL!K76+'SE-EGM-GL'!K76</f>
        <v>-184499.99</v>
      </c>
      <c r="L76" s="60">
        <f>+BGC_GL!L76+'SE-LRC-GL'!L76+NE_GL!L76+'SE-EGM-GL'!L76</f>
        <v>0</v>
      </c>
      <c r="M76" s="169">
        <f>+BGC_GL!M76+'SE-LRC-GL'!M76+NE_GL!M76+'SE-EGM-GL'!M76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'SE-EGM-GL'!AL76+'SE-LRC-GL'!AL76</f>
        <v>0</v>
      </c>
      <c r="AG76" s="38">
        <f>'SE-EGM-GL'!AM76+'SE-LRC-GL'!AM76</f>
        <v>0</v>
      </c>
      <c r="AH76" s="60">
        <f>'SE-EGM-GL'!AN76+'SE-LRC-GL'!AN76</f>
        <v>0</v>
      </c>
      <c r="AI76" s="38">
        <f>'SE-EGM-GL'!AO76+'SE-LRC-GL'!AO76</f>
        <v>0</v>
      </c>
      <c r="AJ76" s="60">
        <f>'SE-EGM-GL'!AP76+'SE-LRC-GL'!AP76</f>
        <v>0</v>
      </c>
      <c r="AK76" s="38">
        <f>'SE-EGM-GL'!AQ76+'SE-LRC-GL'!AQ76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-3276809</v>
      </c>
      <c r="F77" s="60">
        <f>+BGC_GL!F77+'SE-LRC-GL'!F77+NE_GL!F77+'SE-EGM-GL'!F77</f>
        <v>0</v>
      </c>
      <c r="G77" s="60">
        <f>+BGC_GL!G77+'SE-LRC-GL'!G77+NE_GL!G77+'SE-EGM-GL'!G77</f>
        <v>-3276809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+BGC_GL!L77+'SE-LRC-GL'!L77+NE_GL!L77+'SE-EGM-GL'!L77</f>
        <v>0</v>
      </c>
      <c r="M77" s="169">
        <f>+BGC_GL!M77+'SE-LRC-GL'!M77+NE_GL!M77+'SE-EGM-GL'!M77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'SE-EGM-GL'!AL77+'SE-LRC-GL'!AL77</f>
        <v>0</v>
      </c>
      <c r="AG77" s="38">
        <f>'SE-EGM-GL'!AM77+'SE-LRC-GL'!AM77</f>
        <v>0</v>
      </c>
      <c r="AH77" s="60">
        <f>'SE-EGM-GL'!AN77+'SE-LRC-GL'!AN77</f>
        <v>0</v>
      </c>
      <c r="AI77" s="38">
        <f>'SE-EGM-GL'!AO77+'SE-LRC-GL'!AO77</f>
        <v>0</v>
      </c>
      <c r="AJ77" s="60">
        <f>'SE-EGM-GL'!AP77+'SE-LRC-GL'!AP77</f>
        <v>0</v>
      </c>
      <c r="AK77" s="38">
        <f>'SE-EGM-GL'!AQ77+'SE-LRC-GL'!AQ77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+BGC_GL!L78+'SE-LRC-GL'!L78+NE_GL!L78+'SE-EGM-GL'!L78</f>
        <v>0</v>
      </c>
      <c r="M78" s="169">
        <f>+BGC_GL!M78+'SE-LRC-GL'!M78+NE_GL!M78+'SE-EGM-GL'!M78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'SE-EGM-GL'!AL78+'SE-LRC-GL'!AL78</f>
        <v>0</v>
      </c>
      <c r="AG78" s="38">
        <f>'SE-EGM-GL'!AM78+'SE-LRC-GL'!AM78</f>
        <v>0</v>
      </c>
      <c r="AH78" s="60">
        <f>'SE-EGM-GL'!AN78+'SE-LRC-GL'!AN78</f>
        <v>0</v>
      </c>
      <c r="AI78" s="38">
        <f>'SE-EGM-GL'!AO78+'SE-LRC-GL'!AO78</f>
        <v>0</v>
      </c>
      <c r="AJ78" s="60">
        <f>'SE-EGM-GL'!AP78+'SE-LRC-GL'!AP78</f>
        <v>0</v>
      </c>
      <c r="AK78" s="38">
        <f>'SE-EGM-GL'!AQ78+'SE-LRC-GL'!AQ78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+BGC_GL!L79+'SE-LRC-GL'!L79+NE_GL!L79+'SE-EGM-GL'!L79</f>
        <v>0</v>
      </c>
      <c r="M79" s="169">
        <f>+BGC_GL!M79+'SE-LRC-GL'!M79+NE_GL!M79+'SE-EGM-GL'!M79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'SE-EGM-GL'!AL79+'SE-LRC-GL'!AL79</f>
        <v>0</v>
      </c>
      <c r="AG79" s="38">
        <f>'SE-EGM-GL'!AM79+'SE-LRC-GL'!AM79</f>
        <v>0</v>
      </c>
      <c r="AH79" s="60">
        <f>'SE-EGM-GL'!AN79+'SE-LRC-GL'!AN79</f>
        <v>0</v>
      </c>
      <c r="AI79" s="38">
        <f>'SE-EGM-GL'!AO79+'SE-LRC-GL'!AO79</f>
        <v>0</v>
      </c>
      <c r="AJ79" s="60">
        <f>'SE-EGM-GL'!AP79+'SE-LRC-GL'!AP79</f>
        <v>0</v>
      </c>
      <c r="AK79" s="38">
        <f>'SE-EGM-GL'!AQ79+'SE-LRC-GL'!AQ79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+BGC_GL!L80+'SE-LRC-GL'!L80+NE_GL!L80+'SE-EGM-GL'!L80</f>
        <v>0</v>
      </c>
      <c r="M80" s="169">
        <f>+BGC_GL!M80+'SE-LRC-GL'!M80+NE_GL!M80+'SE-EGM-GL'!M80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'SE-EGM-GL'!AL80+'SE-LRC-GL'!AL80</f>
        <v>0</v>
      </c>
      <c r="AG80" s="38">
        <f>'SE-EGM-GL'!AM80+'SE-LRC-GL'!AM80</f>
        <v>0</v>
      </c>
      <c r="AH80" s="60">
        <f>'SE-EGM-GL'!AN80+'SE-LRC-GL'!AN80</f>
        <v>0</v>
      </c>
      <c r="AI80" s="38">
        <f>'SE-EGM-GL'!AO80+'SE-LRC-GL'!AO80</f>
        <v>0</v>
      </c>
      <c r="AJ80" s="60">
        <f>'SE-EGM-GL'!AP80+'SE-LRC-GL'!AP80</f>
        <v>0</v>
      </c>
      <c r="AK80" s="38">
        <f>'SE-EGM-GL'!AQ80+'SE-LRC-GL'!AQ80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476861.95</v>
      </c>
      <c r="F81" s="60">
        <f>+BGC_GL!F81+'SE-LRC-GL'!F81+NE_GL!F81+'SE-EGM-GL'!F81</f>
        <v>0</v>
      </c>
      <c r="G81" s="60">
        <f>+BGC_GL!G81+'SE-LRC-GL'!G81+NE_GL!G81+'SE-EGM-GL'!G81</f>
        <v>0</v>
      </c>
      <c r="H81" s="60">
        <f>+BGC_GL!H81+'SE-LRC-GL'!H81+NE_GL!H81+'SE-EGM-GL'!H81</f>
        <v>0</v>
      </c>
      <c r="I81" s="60">
        <f>+BGC_GL!I81+'SE-LRC-GL'!I81+NE_GL!I81+'SE-EGM-GL'!I81</f>
        <v>287432.57</v>
      </c>
      <c r="J81" s="60">
        <f>+BGC_GL!J81+'SE-LRC-GL'!J81+NE_GL!J81+'SE-EGM-GL'!J81</f>
        <v>0</v>
      </c>
      <c r="K81" s="170">
        <f>+BGC_GL!K81+'SE-LRC-GL'!K81+NE_GL!K81+'SE-EGM-GL'!K81</f>
        <v>189429.38</v>
      </c>
      <c r="L81" s="60">
        <f>+BGC_GL!L81+'SE-LRC-GL'!L81+NE_GL!L81+'SE-EGM-GL'!L81</f>
        <v>0</v>
      </c>
      <c r="M81" s="170">
        <f>+BGC_GL!M81+'SE-LRC-GL'!M81+NE_GL!M81+'SE-EGM-GL'!M81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'SE-EGM-GL'!AL81+'SE-LRC-GL'!AL81</f>
        <v>0</v>
      </c>
      <c r="AG81" s="38">
        <f>'SE-EGM-GL'!AM81+'SE-LRC-GL'!AM81</f>
        <v>0</v>
      </c>
      <c r="AH81" s="60">
        <f>'SE-EGM-GL'!AN81+'SE-LRC-GL'!AN81</f>
        <v>0</v>
      </c>
      <c r="AI81" s="38">
        <f>'SE-EGM-GL'!AO81+'SE-LRC-GL'!AO81</f>
        <v>0</v>
      </c>
      <c r="AJ81" s="60">
        <f>'SE-EGM-GL'!AP81+'SE-LRC-GL'!AP81</f>
        <v>0</v>
      </c>
      <c r="AK81" s="38">
        <f>'SE-EGM-GL'!AQ81+'SE-LRC-GL'!AQ81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296369.41400011862</v>
      </c>
      <c r="F82" s="92">
        <f>F16+F24+F29+F36+F43+F45+F47+F49</f>
        <v>0</v>
      </c>
      <c r="G82" s="93">
        <f>SUM(G72:G81)+G16+G24+G29+G36+G43+G45+G47+G49+G51+G56+G61+G66</f>
        <v>-13885778.780000001</v>
      </c>
      <c r="H82" s="92">
        <f>H16+H24+H29+H36+H43+H45+H47+H49</f>
        <v>0</v>
      </c>
      <c r="I82" s="93">
        <f>SUM(I72:I81)+I16+I24+I29+I36+I43+I45+I47+I49+I51+I56+I61+I66</f>
        <v>19009998.777999997</v>
      </c>
      <c r="J82" s="92">
        <f>J16+J24+J29+J36+J43+J45+J47+J49</f>
        <v>0</v>
      </c>
      <c r="K82" s="93">
        <f>SUM(K72:K81)+K16+K24+K29+K36+K43+K45+K47+K49+K51+K56+K61+K66</f>
        <v>15806378.718000002</v>
      </c>
      <c r="L82" s="92">
        <f>L16+L24+L29+L36+L43+L45+L47+L49</f>
        <v>0</v>
      </c>
      <c r="M82" s="93">
        <f>SUM(M72:M81)+M16+M24+M29+M36+M43+M45+M47+M49+M51+M56+M61+M66</f>
        <v>-20295123.451999996</v>
      </c>
      <c r="N82" s="92">
        <f>N16+N24+N29+N36+N43+N45+N47+N49</f>
        <v>0</v>
      </c>
      <c r="O82" s="93">
        <f>SUM(O72:O81)+O16+O24+O29+O36+O43+O45+O47+O49+O51+O56+O61+O66</f>
        <v>562871.43999999994</v>
      </c>
      <c r="P82" s="92">
        <f>P16+P24+P29+P36+P43+P45+P47+P49</f>
        <v>0</v>
      </c>
      <c r="Q82" s="93">
        <f>SUM(Q72:Q81)+Q16+Q24+Q29+Q36+Q43+Q45+Q47+Q49+Q51+Q56+Q61+Q66</f>
        <v>-896025.72400000005</v>
      </c>
      <c r="R82" s="92">
        <f>R16+R24+R29+R36+R43+R45+R47+R49</f>
        <v>0</v>
      </c>
      <c r="S82" s="93">
        <f>SUM(S72:S81)+S16+S24+S29+S36+S43+S45+S47+S49+S51+S56+S61+S66</f>
        <v>-1478.179999999993</v>
      </c>
      <c r="T82" s="92">
        <f>T16+T24+T29+T36+T43+T45+T47+T49</f>
        <v>0</v>
      </c>
      <c r="U82" s="93">
        <f>SUM(U72:U81)+U16+U24+U29+U36+U43+U45+U47+U49+U51+U56+U61+U66</f>
        <v>-1419.6459999999988</v>
      </c>
      <c r="V82" s="92">
        <f>V16+V24+V29+V36+V43+V45+V47+V49</f>
        <v>0</v>
      </c>
      <c r="W82" s="93">
        <f>SUM(W72:W81)+W16+W24+W29+W36+W43+W45+W47+W49+W51+W56+W61+W66</f>
        <v>-8969.4539999999979</v>
      </c>
      <c r="X82" s="92">
        <f>X16+X24+X29+X36+X43+X45+X47+X49</f>
        <v>0</v>
      </c>
      <c r="Y82" s="93">
        <f>SUM(Y72:Y81)+Y16+Y24+Y29+Y36+Y43+Y45+Y47+Y49+Y51+Y56+Y61+Y66</f>
        <v>19435.704000000005</v>
      </c>
      <c r="Z82" s="92">
        <f>Z16+Z24+Z29+Z36+Z43+Z45+Z47+Z49</f>
        <v>0</v>
      </c>
      <c r="AA82" s="93">
        <f>SUM(AA72:AA81)+AA16+AA24+AA29+AA36+AA43+AA45+AA47+AA49+AA51+AA56+AA61+AA66</f>
        <v>-12924.109999999999</v>
      </c>
      <c r="AB82" s="92">
        <f>AB16+AB24+AB29+AB36+AB43+AB45+AB47+AB49</f>
        <v>0</v>
      </c>
      <c r="AC82" s="93">
        <f>SUM(AC72:AC81)+AC16+AC24+AC29+AC36+AC43+AC45+AC47+AC49+AC51+AC56+AC61+AC66</f>
        <v>17406.078000000038</v>
      </c>
      <c r="AD82" s="92">
        <f>AD16+AD24+AD29+AD36+AD43+AD45+AD47+AD49</f>
        <v>0</v>
      </c>
      <c r="AE82" s="93">
        <f>SUM(AE72:AE81)+AE16+AE24+AE29+AE36+AE43+AE45+AE47+AE49+AE51+AE56+AE61+AE66</f>
        <v>-18001.958000000013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G84" s="167">
        <f>+'SE-LRC-GL'!G82+'SE-EGM-GL'!G82+NE_GL!G82+BGC_GL!G82</f>
        <v>-13885778.780000001</v>
      </c>
      <c r="I84" s="167">
        <f>+'SE-LRC-GL'!I82+'SE-EGM-GL'!I82+NE_GL!I82+BGC_GL!I82</f>
        <v>19009998.777999993</v>
      </c>
      <c r="K84" s="167">
        <f>+'SE-LRC-GL'!K82+'SE-EGM-GL'!K82+NE_GL!K82+BGC_GL!K82</f>
        <v>15806378.718000002</v>
      </c>
      <c r="M84" s="167">
        <f>+'SE-LRC-GL'!M82+'SE-EGM-GL'!M82+NE_GL!M82+BGC_GL!M82</f>
        <v>-20295123.452</v>
      </c>
    </row>
    <row r="85" spans="1:37" x14ac:dyDescent="0.2">
      <c r="A85" s="4" t="s">
        <v>193</v>
      </c>
      <c r="B85" s="3"/>
      <c r="F85" s="31"/>
      <c r="G85" s="31"/>
      <c r="H85" s="31"/>
      <c r="I85" s="31"/>
      <c r="L85" s="45"/>
    </row>
    <row r="86" spans="1:37" s="3" customFormat="1" x14ac:dyDescent="0.2">
      <c r="A86" s="183"/>
      <c r="C86" s="10" t="s">
        <v>189</v>
      </c>
      <c r="D86" s="184">
        <f t="shared" ref="D86:E88" si="37">SUM(F86,H86,J86,L86,N86,P86,R86,T86,V86,X86,Z86,AB86,AD86)</f>
        <v>0</v>
      </c>
      <c r="E86" s="184">
        <f t="shared" si="37"/>
        <v>-6906.04</v>
      </c>
      <c r="F86" s="184">
        <f>+BGC_GL!F86+'SE-LRC-GL'!F86+NE_GL!F86+'SE-EGM-GL'!F86</f>
        <v>0</v>
      </c>
      <c r="G86" s="184">
        <f>+BGC_GL!G86+'SE-LRC-GL'!G86+NE_GL!G86+'SE-EGM-GL'!G86</f>
        <v>-6906.04</v>
      </c>
      <c r="H86" s="184">
        <f>+BGC_GL!H86+'SE-LRC-GL'!H86+NE_GL!H86+'SE-EGM-GL'!H86</f>
        <v>0</v>
      </c>
      <c r="I86" s="184">
        <f>+BGC_GL!I86+'SE-LRC-GL'!I86+NE_GL!I86+'SE-EGM-GL'!I86</f>
        <v>0</v>
      </c>
      <c r="J86" s="184">
        <f>+BGC_GL!J86+'SE-LRC-GL'!J86+NE_GL!J86+'SE-EGM-GL'!J86</f>
        <v>0</v>
      </c>
      <c r="K86" s="184">
        <f>+BGC_GL!K86+'SE-LRC-GL'!K86+NE_GL!K86+'SE-EGM-GL'!K86</f>
        <v>0</v>
      </c>
      <c r="L86" s="184">
        <f>+BGC_GL!L86+'SE-LRC-GL'!L86+NE_GL!L86+'SE-EGM-GL'!L86</f>
        <v>0</v>
      </c>
      <c r="M86" s="184">
        <f>+BGC_GL!M86+'SE-LRC-GL'!M86+NE_GL!M86+'SE-EGM-GL'!M86</f>
        <v>0</v>
      </c>
      <c r="N86" s="184">
        <f>'SE-EGM-GL'!N86+'SE-LRC-GL'!N86</f>
        <v>0</v>
      </c>
      <c r="O86" s="184">
        <f>'SE-EGM-GL'!O86+'SE-LRC-GL'!O86</f>
        <v>0</v>
      </c>
      <c r="P86" s="184">
        <f>'SE-EGM-GL'!P86+'SE-LRC-GL'!P86</f>
        <v>0</v>
      </c>
      <c r="Q86" s="184">
        <f>'SE-EGM-GL'!Q86+'SE-LRC-GL'!Q86</f>
        <v>0</v>
      </c>
      <c r="R86" s="184">
        <f>'SE-EGM-GL'!R86+'SE-LRC-GL'!R86</f>
        <v>0</v>
      </c>
      <c r="S86" s="184">
        <f>'SE-EGM-GL'!S86+'SE-LRC-GL'!S86</f>
        <v>0</v>
      </c>
      <c r="T86" s="184">
        <f>'SE-EGM-GL'!T86+'SE-LRC-GL'!T86</f>
        <v>0</v>
      </c>
      <c r="U86" s="184">
        <f>'SE-EGM-GL'!U86+'SE-LRC-GL'!U86</f>
        <v>0</v>
      </c>
      <c r="V86" s="184">
        <f>'SE-EGM-GL'!V86+'SE-LRC-GL'!V86</f>
        <v>0</v>
      </c>
      <c r="W86" s="184">
        <f>'SE-EGM-GL'!W86+'SE-LRC-GL'!W86</f>
        <v>0</v>
      </c>
      <c r="X86" s="184">
        <f>'SE-EGM-GL'!X86+'SE-LRC-GL'!X86</f>
        <v>0</v>
      </c>
      <c r="Y86" s="184">
        <f>'SE-EGM-GL'!Y86+'SE-LRC-GL'!Y86</f>
        <v>0</v>
      </c>
      <c r="Z86" s="184">
        <f>'SE-EGM-GL'!Z86+'SE-LRC-GL'!Z86</f>
        <v>0</v>
      </c>
      <c r="AA86" s="184">
        <f>'SE-EGM-GL'!AA86+'SE-LRC-GL'!AA86</f>
        <v>0</v>
      </c>
      <c r="AB86" s="184">
        <f>'SE-EGM-GL'!AB86+'SE-LRC-GL'!AB86</f>
        <v>0</v>
      </c>
      <c r="AC86" s="184">
        <f>'SE-EGM-GL'!AC86+'SE-LRC-GL'!AC86</f>
        <v>0</v>
      </c>
      <c r="AD86" s="184">
        <f>'SE-EGM-GL'!AD86+'SE-LRC-GL'!AD86</f>
        <v>0</v>
      </c>
      <c r="AE86" s="184">
        <f>'SE-EGM-GL'!AE86+'SE-LRC-GL'!AE86</f>
        <v>0</v>
      </c>
      <c r="AF86" s="184">
        <f>'SE-EGM-GL'!AL86+'SE-LRC-GL'!AL86</f>
        <v>0</v>
      </c>
      <c r="AG86" s="184">
        <f>'SE-EGM-GL'!AM86+'SE-LRC-GL'!AM86</f>
        <v>0</v>
      </c>
      <c r="AH86" s="184">
        <f>'SE-EGM-GL'!AN86+'SE-LRC-GL'!AN86</f>
        <v>0</v>
      </c>
      <c r="AI86" s="184">
        <f>'SE-EGM-GL'!AO86+'SE-LRC-GL'!AO86</f>
        <v>0</v>
      </c>
      <c r="AJ86" s="184">
        <f>'SE-EGM-GL'!AP86+'SE-LRC-GL'!AP86</f>
        <v>0</v>
      </c>
      <c r="AK86" s="184">
        <f>'SE-EGM-GL'!AQ86+'SE-LRC-GL'!AQ86</f>
        <v>0</v>
      </c>
    </row>
    <row r="87" spans="1:37" s="3" customFormat="1" x14ac:dyDescent="0.2">
      <c r="A87" s="183"/>
      <c r="C87" s="10" t="s">
        <v>75</v>
      </c>
      <c r="D87" s="185">
        <f t="shared" si="37"/>
        <v>0</v>
      </c>
      <c r="E87" s="185">
        <f t="shared" si="37"/>
        <v>0</v>
      </c>
      <c r="F87" s="185">
        <f>+BGC_GL!F87+'SE-LRC-GL'!F87+NE_GL!F87+'SE-EGM-GL'!F87</f>
        <v>0</v>
      </c>
      <c r="G87" s="185">
        <f>+BGC_GL!G87+'SE-LRC-GL'!G87+NE_GL!G87+'SE-EGM-GL'!G87</f>
        <v>0</v>
      </c>
      <c r="H87" s="185">
        <f>+BGC_GL!H87+'SE-LRC-GL'!H87+NE_GL!H87+'SE-EGM-GL'!H87</f>
        <v>0</v>
      </c>
      <c r="I87" s="185">
        <f>+BGC_GL!I87+'SE-LRC-GL'!I87+NE_GL!I87+'SE-EGM-GL'!I87</f>
        <v>0</v>
      </c>
      <c r="J87" s="185">
        <f>+BGC_GL!J87+'SE-LRC-GL'!J87+NE_GL!J87+'SE-EGM-GL'!J87</f>
        <v>0</v>
      </c>
      <c r="K87" s="185">
        <f>+BGC_GL!K87+'SE-LRC-GL'!K87+NE_GL!K87+'SE-EGM-GL'!K87</f>
        <v>0</v>
      </c>
      <c r="L87" s="185">
        <f>+BGC_GL!L87+'SE-LRC-GL'!L87+NE_GL!L87+'SE-EGM-GL'!L87</f>
        <v>0</v>
      </c>
      <c r="M87" s="185">
        <f>+BGC_GL!M87+'SE-LRC-GL'!M87+NE_GL!M87+'SE-EGM-GL'!M87</f>
        <v>0</v>
      </c>
      <c r="N87" s="185">
        <f>'SE-EGM-GL'!N87+'SE-LRC-GL'!N87</f>
        <v>0</v>
      </c>
      <c r="O87" s="185">
        <f>'SE-EGM-GL'!O87+'SE-LRC-GL'!O87</f>
        <v>0</v>
      </c>
      <c r="P87" s="185">
        <f>'SE-EGM-GL'!P87+'SE-LRC-GL'!P87</f>
        <v>0</v>
      </c>
      <c r="Q87" s="185">
        <f>'SE-EGM-GL'!Q87+'SE-LRC-GL'!Q87</f>
        <v>0</v>
      </c>
      <c r="R87" s="185">
        <f>'SE-EGM-GL'!R87+'SE-LRC-GL'!R87</f>
        <v>0</v>
      </c>
      <c r="S87" s="185">
        <f>'SE-EGM-GL'!S87+'SE-LRC-GL'!S87</f>
        <v>0</v>
      </c>
      <c r="T87" s="185">
        <f>'SE-EGM-GL'!T87+'SE-LRC-GL'!T87</f>
        <v>0</v>
      </c>
      <c r="U87" s="185">
        <f>'SE-EGM-GL'!U87+'SE-LRC-GL'!U87</f>
        <v>0</v>
      </c>
      <c r="V87" s="185">
        <f>'SE-EGM-GL'!V87+'SE-LRC-GL'!V87</f>
        <v>0</v>
      </c>
      <c r="W87" s="185">
        <f>'SE-EGM-GL'!W87+'SE-LRC-GL'!W87</f>
        <v>0</v>
      </c>
      <c r="X87" s="185">
        <f>'SE-EGM-GL'!X87+'SE-LRC-GL'!X87</f>
        <v>0</v>
      </c>
      <c r="Y87" s="185">
        <f>'SE-EGM-GL'!Y87+'SE-LRC-GL'!Y87</f>
        <v>0</v>
      </c>
      <c r="Z87" s="185">
        <f>'SE-EGM-GL'!Z87+'SE-LRC-GL'!Z87</f>
        <v>0</v>
      </c>
      <c r="AA87" s="185">
        <f>'SE-EGM-GL'!AA87+'SE-LRC-GL'!AA87</f>
        <v>0</v>
      </c>
      <c r="AB87" s="185">
        <f>'SE-EGM-GL'!AB87+'SE-LRC-GL'!AB87</f>
        <v>0</v>
      </c>
      <c r="AC87" s="185">
        <f>'SE-EGM-GL'!AC87+'SE-LRC-GL'!AC87</f>
        <v>0</v>
      </c>
      <c r="AD87" s="185">
        <f>'SE-EGM-GL'!AD87+'SE-LRC-GL'!AD87</f>
        <v>0</v>
      </c>
      <c r="AE87" s="185">
        <f>'SE-EGM-GL'!AE87+'SE-LRC-GL'!AE87</f>
        <v>0</v>
      </c>
      <c r="AF87" s="185">
        <f>'SE-EGM-GL'!AL87+'SE-LRC-GL'!AL87</f>
        <v>0</v>
      </c>
      <c r="AG87" s="185">
        <f>'SE-EGM-GL'!AM87+'SE-LRC-GL'!AM87</f>
        <v>0</v>
      </c>
      <c r="AH87" s="185">
        <f>'SE-EGM-GL'!AN87+'SE-LRC-GL'!AN87</f>
        <v>0</v>
      </c>
      <c r="AI87" s="185">
        <f>'SE-EGM-GL'!AO87+'SE-LRC-GL'!AO87</f>
        <v>0</v>
      </c>
      <c r="AJ87" s="185">
        <f>'SE-EGM-GL'!AP87+'SE-LRC-GL'!AP87</f>
        <v>0</v>
      </c>
      <c r="AK87" s="185">
        <f>'SE-EGM-GL'!AQ87+'SE-LRC-GL'!AQ87</f>
        <v>0</v>
      </c>
    </row>
    <row r="88" spans="1:37" s="3" customFormat="1" x14ac:dyDescent="0.2">
      <c r="A88" s="183"/>
      <c r="C88" s="10" t="s">
        <v>76</v>
      </c>
      <c r="D88" s="186">
        <f t="shared" si="37"/>
        <v>0</v>
      </c>
      <c r="E88" s="186">
        <f t="shared" si="37"/>
        <v>0</v>
      </c>
      <c r="F88" s="186">
        <f>+BGC_GL!F88+'SE-LRC-GL'!F88+NE_GL!F88+'SE-EGM-GL'!F88</f>
        <v>0</v>
      </c>
      <c r="G88" s="186">
        <f>+BGC_GL!G88+'SE-LRC-GL'!G88+NE_GL!G88+'SE-EGM-GL'!G88</f>
        <v>0</v>
      </c>
      <c r="H88" s="186">
        <f>+BGC_GL!H88+'SE-LRC-GL'!H88+NE_GL!H88+'SE-EGM-GL'!H88</f>
        <v>0</v>
      </c>
      <c r="I88" s="186">
        <f>+BGC_GL!I88+'SE-LRC-GL'!I88+NE_GL!I88+'SE-EGM-GL'!I88</f>
        <v>0</v>
      </c>
      <c r="J88" s="186">
        <f>+BGC_GL!J88+'SE-LRC-GL'!J88+NE_GL!J88+'SE-EGM-GL'!J88</f>
        <v>0</v>
      </c>
      <c r="K88" s="186">
        <f>+BGC_GL!K88+'SE-LRC-GL'!K88+NE_GL!K88+'SE-EGM-GL'!K88</f>
        <v>0</v>
      </c>
      <c r="L88" s="186">
        <f>+BGC_GL!L88+'SE-LRC-GL'!L88+NE_GL!L88+'SE-EGM-GL'!L88</f>
        <v>0</v>
      </c>
      <c r="M88" s="186">
        <f>+BGC_GL!M88+'SE-LRC-GL'!M88+NE_GL!M88+'SE-EGM-GL'!M88</f>
        <v>0</v>
      </c>
      <c r="N88" s="186">
        <f>'SE-EGM-GL'!N88+'SE-LRC-GL'!N88</f>
        <v>0</v>
      </c>
      <c r="O88" s="186">
        <f>'SE-EGM-GL'!O88+'SE-LRC-GL'!O88</f>
        <v>0</v>
      </c>
      <c r="P88" s="186">
        <f>'SE-EGM-GL'!P88+'SE-LRC-GL'!P88</f>
        <v>0</v>
      </c>
      <c r="Q88" s="186">
        <f>'SE-EGM-GL'!Q88+'SE-LRC-GL'!Q88</f>
        <v>0</v>
      </c>
      <c r="R88" s="186">
        <f>'SE-EGM-GL'!R88+'SE-LRC-GL'!R88</f>
        <v>0</v>
      </c>
      <c r="S88" s="186">
        <f>'SE-EGM-GL'!S88+'SE-LRC-GL'!S88</f>
        <v>0</v>
      </c>
      <c r="T88" s="186">
        <f>'SE-EGM-GL'!T88+'SE-LRC-GL'!T88</f>
        <v>0</v>
      </c>
      <c r="U88" s="186">
        <f>'SE-EGM-GL'!U88+'SE-LRC-GL'!U88</f>
        <v>0</v>
      </c>
      <c r="V88" s="186">
        <f>'SE-EGM-GL'!V88+'SE-LRC-GL'!V88</f>
        <v>0</v>
      </c>
      <c r="W88" s="186">
        <f>'SE-EGM-GL'!W88+'SE-LRC-GL'!W88</f>
        <v>0</v>
      </c>
      <c r="X88" s="186">
        <f>'SE-EGM-GL'!X88+'SE-LRC-GL'!X88</f>
        <v>0</v>
      </c>
      <c r="Y88" s="186">
        <f>'SE-EGM-GL'!Y88+'SE-LRC-GL'!Y88</f>
        <v>0</v>
      </c>
      <c r="Z88" s="186">
        <f>'SE-EGM-GL'!Z88+'SE-LRC-GL'!Z88</f>
        <v>0</v>
      </c>
      <c r="AA88" s="186">
        <f>'SE-EGM-GL'!AA88+'SE-LRC-GL'!AA88</f>
        <v>0</v>
      </c>
      <c r="AB88" s="186">
        <f>'SE-EGM-GL'!AB88+'SE-LRC-GL'!AB88</f>
        <v>0</v>
      </c>
      <c r="AC88" s="186">
        <f>'SE-EGM-GL'!AC88+'SE-LRC-GL'!AC88</f>
        <v>0</v>
      </c>
      <c r="AD88" s="186">
        <f>'SE-EGM-GL'!AD88+'SE-LRC-GL'!AD88</f>
        <v>0</v>
      </c>
      <c r="AE88" s="186">
        <f>'SE-EGM-GL'!AE88+'SE-LRC-GL'!AE88</f>
        <v>0</v>
      </c>
      <c r="AF88" s="186">
        <f>'SE-EGM-GL'!AL88+'SE-LRC-GL'!AL88</f>
        <v>0</v>
      </c>
      <c r="AG88" s="186">
        <f>'SE-EGM-GL'!AM88+'SE-LRC-GL'!AM88</f>
        <v>0</v>
      </c>
      <c r="AH88" s="186">
        <f>'SE-EGM-GL'!AN88+'SE-LRC-GL'!AN88</f>
        <v>0</v>
      </c>
      <c r="AI88" s="186">
        <f>'SE-EGM-GL'!AO88+'SE-LRC-GL'!AO88</f>
        <v>0</v>
      </c>
      <c r="AJ88" s="186">
        <f>'SE-EGM-GL'!AP88+'SE-LRC-GL'!AP88</f>
        <v>0</v>
      </c>
      <c r="AK88" s="186">
        <f>'SE-EGM-GL'!AQ88+'SE-LRC-GL'!AQ88</f>
        <v>0</v>
      </c>
    </row>
    <row r="89" spans="1:37" s="149" customFormat="1" ht="20.25" customHeight="1" x14ac:dyDescent="0.2">
      <c r="A89" s="187"/>
      <c r="B89" s="188"/>
      <c r="C89" s="189" t="s">
        <v>190</v>
      </c>
      <c r="D89" s="190">
        <f>SUM(D86:D88)</f>
        <v>0</v>
      </c>
      <c r="E89" s="190">
        <f t="shared" ref="E89:AE89" si="38">SUM(E86:E88)</f>
        <v>-6906.04</v>
      </c>
      <c r="F89" s="190">
        <f t="shared" si="38"/>
        <v>0</v>
      </c>
      <c r="G89" s="190">
        <f t="shared" si="38"/>
        <v>-6906.04</v>
      </c>
      <c r="H89" s="190">
        <f t="shared" si="38"/>
        <v>0</v>
      </c>
      <c r="I89" s="190">
        <f t="shared" si="38"/>
        <v>0</v>
      </c>
      <c r="J89" s="190">
        <f t="shared" si="38"/>
        <v>0</v>
      </c>
      <c r="K89" s="190">
        <f t="shared" si="38"/>
        <v>0</v>
      </c>
      <c r="L89" s="190">
        <f t="shared" si="38"/>
        <v>0</v>
      </c>
      <c r="M89" s="190">
        <f t="shared" si="38"/>
        <v>0</v>
      </c>
      <c r="N89" s="190">
        <f t="shared" si="38"/>
        <v>0</v>
      </c>
      <c r="O89" s="190">
        <f t="shared" si="38"/>
        <v>0</v>
      </c>
      <c r="P89" s="190">
        <f t="shared" si="38"/>
        <v>0</v>
      </c>
      <c r="Q89" s="190">
        <f t="shared" si="38"/>
        <v>0</v>
      </c>
      <c r="R89" s="190">
        <f t="shared" si="38"/>
        <v>0</v>
      </c>
      <c r="S89" s="190">
        <f t="shared" si="38"/>
        <v>0</v>
      </c>
      <c r="T89" s="190">
        <f t="shared" si="38"/>
        <v>0</v>
      </c>
      <c r="U89" s="190">
        <f t="shared" si="38"/>
        <v>0</v>
      </c>
      <c r="V89" s="190">
        <f t="shared" si="38"/>
        <v>0</v>
      </c>
      <c r="W89" s="190">
        <f t="shared" si="38"/>
        <v>0</v>
      </c>
      <c r="X89" s="190">
        <f t="shared" si="38"/>
        <v>0</v>
      </c>
      <c r="Y89" s="190">
        <f t="shared" si="38"/>
        <v>0</v>
      </c>
      <c r="Z89" s="190">
        <f t="shared" si="38"/>
        <v>0</v>
      </c>
      <c r="AA89" s="190">
        <f t="shared" si="38"/>
        <v>0</v>
      </c>
      <c r="AB89" s="190">
        <f t="shared" si="38"/>
        <v>0</v>
      </c>
      <c r="AC89" s="190">
        <f t="shared" si="38"/>
        <v>0</v>
      </c>
      <c r="AD89" s="190">
        <f t="shared" si="38"/>
        <v>0</v>
      </c>
      <c r="AE89" s="190">
        <f t="shared" si="38"/>
        <v>0</v>
      </c>
      <c r="AF89" s="190">
        <f t="shared" ref="AF89:AK89" si="39">SUM(AF86:AF88)</f>
        <v>0</v>
      </c>
      <c r="AG89" s="190">
        <f t="shared" si="39"/>
        <v>0</v>
      </c>
      <c r="AH89" s="190">
        <f t="shared" si="39"/>
        <v>0</v>
      </c>
      <c r="AI89" s="190">
        <f t="shared" si="39"/>
        <v>0</v>
      </c>
      <c r="AJ89" s="190">
        <f t="shared" si="39"/>
        <v>0</v>
      </c>
      <c r="AK89" s="190">
        <f t="shared" si="39"/>
        <v>0</v>
      </c>
    </row>
    <row r="90" spans="1:37" x14ac:dyDescent="0.2">
      <c r="A90" s="4"/>
      <c r="B90" s="3"/>
      <c r="F90" s="31"/>
      <c r="G90" s="31"/>
      <c r="H90" s="31"/>
      <c r="I90" s="31"/>
    </row>
    <row r="91" spans="1:37" s="149" customFormat="1" ht="20.25" customHeight="1" x14ac:dyDescent="0.2">
      <c r="A91" s="187"/>
      <c r="B91" s="188"/>
      <c r="C91" s="189" t="s">
        <v>191</v>
      </c>
      <c r="D91" s="190">
        <f>+D82+D89</f>
        <v>0</v>
      </c>
      <c r="E91" s="190">
        <f t="shared" ref="E91:AE91" si="40">+E82+E89</f>
        <v>289463.37400011864</v>
      </c>
      <c r="F91" s="190">
        <f t="shared" si="40"/>
        <v>0</v>
      </c>
      <c r="G91" s="190">
        <f t="shared" si="40"/>
        <v>-13892684.82</v>
      </c>
      <c r="H91" s="190">
        <f t="shared" si="40"/>
        <v>0</v>
      </c>
      <c r="I91" s="190">
        <f t="shared" si="40"/>
        <v>19009998.777999997</v>
      </c>
      <c r="J91" s="190">
        <f t="shared" si="40"/>
        <v>0</v>
      </c>
      <c r="K91" s="190">
        <f t="shared" si="40"/>
        <v>15806378.718000002</v>
      </c>
      <c r="L91" s="190">
        <f t="shared" si="40"/>
        <v>0</v>
      </c>
      <c r="M91" s="190">
        <f t="shared" si="40"/>
        <v>-20295123.451999996</v>
      </c>
      <c r="N91" s="190">
        <f t="shared" si="40"/>
        <v>0</v>
      </c>
      <c r="O91" s="190">
        <f t="shared" si="40"/>
        <v>562871.43999999994</v>
      </c>
      <c r="P91" s="190">
        <f t="shared" si="40"/>
        <v>0</v>
      </c>
      <c r="Q91" s="190">
        <f t="shared" si="40"/>
        <v>-896025.72400000005</v>
      </c>
      <c r="R91" s="190">
        <f t="shared" si="40"/>
        <v>0</v>
      </c>
      <c r="S91" s="190">
        <f t="shared" si="40"/>
        <v>-1478.179999999993</v>
      </c>
      <c r="T91" s="190">
        <f t="shared" si="40"/>
        <v>0</v>
      </c>
      <c r="U91" s="190">
        <f t="shared" si="40"/>
        <v>-1419.6459999999988</v>
      </c>
      <c r="V91" s="190">
        <f t="shared" si="40"/>
        <v>0</v>
      </c>
      <c r="W91" s="190">
        <f t="shared" si="40"/>
        <v>-8969.4539999999979</v>
      </c>
      <c r="X91" s="190">
        <f t="shared" si="40"/>
        <v>0</v>
      </c>
      <c r="Y91" s="190">
        <f t="shared" si="40"/>
        <v>19435.704000000005</v>
      </c>
      <c r="Z91" s="190">
        <f t="shared" si="40"/>
        <v>0</v>
      </c>
      <c r="AA91" s="190">
        <f t="shared" si="40"/>
        <v>-12924.109999999999</v>
      </c>
      <c r="AB91" s="190">
        <f t="shared" si="40"/>
        <v>0</v>
      </c>
      <c r="AC91" s="190">
        <f t="shared" si="40"/>
        <v>17406.078000000038</v>
      </c>
      <c r="AD91" s="190">
        <f t="shared" si="40"/>
        <v>0</v>
      </c>
      <c r="AE91" s="190">
        <f t="shared" si="40"/>
        <v>-18001.958000000013</v>
      </c>
      <c r="AF91" s="190">
        <f t="shared" ref="AF91:AK91" si="41">+AF82+AF89</f>
        <v>0</v>
      </c>
      <c r="AG91" s="190">
        <f t="shared" si="41"/>
        <v>0</v>
      </c>
      <c r="AH91" s="190">
        <f t="shared" si="41"/>
        <v>0</v>
      </c>
      <c r="AI91" s="190">
        <f t="shared" si="41"/>
        <v>0</v>
      </c>
      <c r="AJ91" s="190">
        <f t="shared" si="41"/>
        <v>0</v>
      </c>
      <c r="AK91" s="190">
        <f t="shared" si="41"/>
        <v>0</v>
      </c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1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U187"/>
  <sheetViews>
    <sheetView zoomScale="75" workbookViewId="0">
      <pane xSplit="3" ySplit="9" topLeftCell="AC1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8" width="15.42578125" customWidth="1"/>
    <col min="9" max="9" width="16.42578125" customWidth="1"/>
    <col min="10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14496329</v>
      </c>
      <c r="E11" s="38">
        <f t="shared" si="0"/>
        <v>34021863.050000004</v>
      </c>
      <c r="F11" s="60">
        <f>'TIE-OUT'!R11+RECLASS!R11</f>
        <v>0</v>
      </c>
      <c r="G11" s="38">
        <f>'TIE-OUT'!S11+RECLASS!S11</f>
        <v>0</v>
      </c>
      <c r="H11" s="133">
        <f>+Actuals!E244+196000</f>
        <v>14187640</v>
      </c>
      <c r="I11" s="134">
        <f>+Actuals!F244+349860</f>
        <v>32273181.450000003</v>
      </c>
      <c r="J11" s="133">
        <f>+Actuals!G244</f>
        <v>-2352995</v>
      </c>
      <c r="K11" s="153">
        <f>+Actuals!H244</f>
        <v>-3924496.43</v>
      </c>
      <c r="L11" s="133">
        <f>+Actuals!I244</f>
        <v>-1069600</v>
      </c>
      <c r="M11" s="134">
        <f>+Actuals!J244</f>
        <v>-1210382.07</v>
      </c>
      <c r="N11" s="133">
        <f>+Actuals!K244</f>
        <v>676172</v>
      </c>
      <c r="O11" s="134">
        <f>+Actuals!L244</f>
        <v>1392773.21</v>
      </c>
      <c r="P11" s="133">
        <f>+Actuals!M244</f>
        <v>37199</v>
      </c>
      <c r="Q11" s="134">
        <f>+Actuals!N244</f>
        <v>101971.19</v>
      </c>
      <c r="R11" s="133">
        <f>+Actuals!O244</f>
        <v>-83745</v>
      </c>
      <c r="S11" s="134">
        <f>+Actuals!P244</f>
        <v>-181993.60000000001</v>
      </c>
      <c r="T11" s="133">
        <f>+Actuals!Q244</f>
        <v>2976847</v>
      </c>
      <c r="U11" s="134">
        <f>+Actuals!R244</f>
        <v>5283115.37</v>
      </c>
      <c r="V11" s="133">
        <f>+Actuals!S244</f>
        <v>119203</v>
      </c>
      <c r="W11" s="134">
        <f>+Actuals!T244</f>
        <v>276752.32</v>
      </c>
      <c r="X11" s="133">
        <f>+Actuals!U244</f>
        <v>-3238</v>
      </c>
      <c r="Y11" s="134">
        <f>+Actuals!V244</f>
        <v>-4058.83</v>
      </c>
      <c r="Z11" s="133">
        <f>+Actuals!W244</f>
        <v>8542</v>
      </c>
      <c r="AA11" s="134">
        <f>+Actuals!X244</f>
        <v>14471.48</v>
      </c>
      <c r="AB11" s="133">
        <f>+Actuals!Y244</f>
        <v>0</v>
      </c>
      <c r="AC11" s="134">
        <f>+Actuals!Z244</f>
        <v>0</v>
      </c>
      <c r="AD11" s="133">
        <f>+Actuals!AA444</f>
        <v>0</v>
      </c>
      <c r="AE11" s="134">
        <f>+Actuals!AB444</f>
        <v>0</v>
      </c>
      <c r="AF11" s="133">
        <f>+Actuals!AC444</f>
        <v>304</v>
      </c>
      <c r="AG11" s="134">
        <f>+Actuals!AD444</f>
        <v>528.96</v>
      </c>
      <c r="AH11" s="133">
        <f>+Actuals!AE444</f>
        <v>0</v>
      </c>
      <c r="AI11" s="134">
        <f>+Actuals!AF444</f>
        <v>0</v>
      </c>
      <c r="AJ11" s="133">
        <f>+Actuals!AG444</f>
        <v>0</v>
      </c>
      <c r="AK11" s="134">
        <f>+Actuals!AH444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-8747843.2300000004</v>
      </c>
      <c r="F12" s="60">
        <f>'TIE-OUT'!R12+RECLASS!R12</f>
        <v>0</v>
      </c>
      <c r="G12" s="38">
        <f>'TIE-OUT'!S12+RECLASS!S12</f>
        <v>-8747843.2300000004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+Actuals!Y245</f>
        <v>0</v>
      </c>
      <c r="AC12" s="134">
        <f>+Actuals!Z245</f>
        <v>0</v>
      </c>
      <c r="AD12" s="133">
        <f>+Actuals!AA445</f>
        <v>0</v>
      </c>
      <c r="AE12" s="134">
        <f>+Actuals!AB445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  <c r="AJ12" s="133">
        <f>+Actuals!AG445</f>
        <v>0</v>
      </c>
      <c r="AK12" s="134">
        <f>+Actuals!AH445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1181827</v>
      </c>
      <c r="E13" s="38">
        <f t="shared" si="0"/>
        <v>2001964</v>
      </c>
      <c r="F13" s="60">
        <f>'TIE-OUT'!R13+RECLASS!R13</f>
        <v>0</v>
      </c>
      <c r="G13" s="38">
        <f>'TIE-OUT'!S13+RECLASS!S13</f>
        <v>0</v>
      </c>
      <c r="H13" s="133">
        <f>+Actuals!E246-28848210</f>
        <v>1181827</v>
      </c>
      <c r="I13" s="134">
        <f>+Actuals!F246-50416221</f>
        <v>2001964</v>
      </c>
      <c r="J13" s="133">
        <f>+Actuals!G246</f>
        <v>0</v>
      </c>
      <c r="K13" s="153">
        <f>+Actuals!H246</f>
        <v>0</v>
      </c>
      <c r="L13" s="133">
        <f>+Actuals!I246</f>
        <v>-219516</v>
      </c>
      <c r="M13" s="134">
        <f>+Actuals!J246</f>
        <v>-368409</v>
      </c>
      <c r="N13" s="133">
        <f>+Actuals!K246</f>
        <v>0</v>
      </c>
      <c r="O13" s="134">
        <f>+Actuals!L246</f>
        <v>691</v>
      </c>
      <c r="P13" s="133">
        <f>+Actuals!M246</f>
        <v>0</v>
      </c>
      <c r="Q13" s="134">
        <f>+Actuals!N246</f>
        <v>0</v>
      </c>
      <c r="R13" s="133">
        <f>+Actuals!O246</f>
        <v>0</v>
      </c>
      <c r="S13" s="134">
        <f>+Actuals!P246</f>
        <v>0</v>
      </c>
      <c r="T13" s="133">
        <f>+Actuals!Q246</f>
        <v>-5000</v>
      </c>
      <c r="U13" s="134">
        <f>+Actuals!R246</f>
        <v>-8650</v>
      </c>
      <c r="V13" s="133">
        <f>+Actuals!S246</f>
        <v>0</v>
      </c>
      <c r="W13" s="134">
        <f>+Actuals!T246</f>
        <v>0</v>
      </c>
      <c r="X13" s="133">
        <f>+Actuals!U246</f>
        <v>957311</v>
      </c>
      <c r="Y13" s="134">
        <f>+Actuals!V246</f>
        <v>1625596</v>
      </c>
      <c r="Z13" s="133">
        <f>+Actuals!W246</f>
        <v>957311</v>
      </c>
      <c r="AA13" s="134">
        <f>+Actuals!X246</f>
        <v>1625596</v>
      </c>
      <c r="AB13" s="133">
        <f>+Actuals!Y246</f>
        <v>-1690106</v>
      </c>
      <c r="AC13" s="134">
        <f>+Actuals!Z246</f>
        <v>-2874824</v>
      </c>
      <c r="AD13" s="133">
        <f>+Actuals!AA446</f>
        <v>1690106</v>
      </c>
      <c r="AE13" s="134">
        <f>+Actuals!AB446</f>
        <v>2874824</v>
      </c>
      <c r="AF13" s="133">
        <f>+Actuals!AC446</f>
        <v>0</v>
      </c>
      <c r="AG13" s="134">
        <f>+Actuals!AD446</f>
        <v>0</v>
      </c>
      <c r="AH13" s="133">
        <f>+Actuals!AE446</f>
        <v>-1690106</v>
      </c>
      <c r="AI13" s="134">
        <f>+Actuals!AF446</f>
        <v>-2874824</v>
      </c>
      <c r="AJ13" s="133">
        <f>+Actuals!AG446</f>
        <v>0</v>
      </c>
      <c r="AK13" s="134">
        <f>+Actuals!AH446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+Actuals!Y247</f>
        <v>0</v>
      </c>
      <c r="AC14" s="134">
        <f>+Actuals!Z247</f>
        <v>0</v>
      </c>
      <c r="AD14" s="133">
        <f>+Actuals!AA447</f>
        <v>0</v>
      </c>
      <c r="AE14" s="134">
        <f>+Actuals!AB447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  <c r="AJ14" s="133">
        <f>+Actuals!AG447</f>
        <v>0</v>
      </c>
      <c r="AK14" s="134">
        <f>+Actuals!AH447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+Actuals!Y248</f>
        <v>0</v>
      </c>
      <c r="AC15" s="134">
        <f>+Actuals!Z248</f>
        <v>0</v>
      </c>
      <c r="AD15" s="133">
        <f>+Actuals!AA448</f>
        <v>0</v>
      </c>
      <c r="AE15" s="134">
        <f>+Actuals!AB448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  <c r="AJ15" s="133">
        <f>+Actuals!AG448</f>
        <v>0</v>
      </c>
      <c r="AK15" s="134">
        <f>+Actuals!AH448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15678156</v>
      </c>
      <c r="E16" s="39">
        <f t="shared" si="1"/>
        <v>27275983.820000004</v>
      </c>
      <c r="F16" s="61">
        <f t="shared" si="1"/>
        <v>0</v>
      </c>
      <c r="G16" s="39">
        <f t="shared" si="1"/>
        <v>-8747843.2300000004</v>
      </c>
      <c r="H16" s="61">
        <f t="shared" si="1"/>
        <v>15369467</v>
      </c>
      <c r="I16" s="39">
        <f t="shared" si="1"/>
        <v>34275145.450000003</v>
      </c>
      <c r="J16" s="61">
        <f t="shared" si="1"/>
        <v>-2352995</v>
      </c>
      <c r="K16" s="154">
        <f t="shared" si="1"/>
        <v>-3924496.43</v>
      </c>
      <c r="L16" s="61">
        <f t="shared" si="1"/>
        <v>-1289116</v>
      </c>
      <c r="M16" s="39">
        <f t="shared" si="1"/>
        <v>-1578791.07</v>
      </c>
      <c r="N16" s="61">
        <f t="shared" si="1"/>
        <v>676172</v>
      </c>
      <c r="O16" s="39">
        <f t="shared" si="1"/>
        <v>1393464.21</v>
      </c>
      <c r="P16" s="61">
        <f t="shared" si="1"/>
        <v>37199</v>
      </c>
      <c r="Q16" s="39">
        <f t="shared" si="1"/>
        <v>101971.19</v>
      </c>
      <c r="R16" s="61">
        <f t="shared" si="1"/>
        <v>-83745</v>
      </c>
      <c r="S16" s="39">
        <f t="shared" si="1"/>
        <v>-181993.60000000001</v>
      </c>
      <c r="T16" s="61">
        <f t="shared" si="1"/>
        <v>2971847</v>
      </c>
      <c r="U16" s="39">
        <f t="shared" si="1"/>
        <v>5274465.37</v>
      </c>
      <c r="V16" s="61">
        <f t="shared" si="1"/>
        <v>119203</v>
      </c>
      <c r="W16" s="39">
        <f t="shared" si="1"/>
        <v>276752.32</v>
      </c>
      <c r="X16" s="61">
        <f t="shared" si="1"/>
        <v>954073</v>
      </c>
      <c r="Y16" s="39">
        <f t="shared" si="1"/>
        <v>1621537.17</v>
      </c>
      <c r="Z16" s="61">
        <f t="shared" si="1"/>
        <v>965853</v>
      </c>
      <c r="AA16" s="39">
        <f t="shared" si="1"/>
        <v>1640067.48</v>
      </c>
      <c r="AB16" s="61">
        <f t="shared" si="1"/>
        <v>-1690106</v>
      </c>
      <c r="AC16" s="39">
        <f t="shared" si="1"/>
        <v>-2874824</v>
      </c>
      <c r="AD16" s="61">
        <f t="shared" si="1"/>
        <v>1690106</v>
      </c>
      <c r="AE16" s="39">
        <f t="shared" si="1"/>
        <v>2874824</v>
      </c>
      <c r="AF16" s="61">
        <f t="shared" ref="AF16:AK16" si="2">SUM(AF11:AF15)</f>
        <v>304</v>
      </c>
      <c r="AG16" s="39">
        <f t="shared" si="2"/>
        <v>528.96</v>
      </c>
      <c r="AH16" s="61">
        <f t="shared" si="2"/>
        <v>-1690106</v>
      </c>
      <c r="AI16" s="39">
        <f t="shared" si="2"/>
        <v>-2874824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-22184854</v>
      </c>
      <c r="E19" s="38">
        <f t="shared" si="3"/>
        <v>-38647543.75</v>
      </c>
      <c r="F19" s="64">
        <f>'TIE-OUT'!R19+RECLASS!R19</f>
        <v>0</v>
      </c>
      <c r="G19" s="68">
        <f>'TIE-OUT'!S19+RECLASS!S19</f>
        <v>0</v>
      </c>
      <c r="H19" s="133">
        <f>+Actuals!E249-35371</f>
        <v>-22134351</v>
      </c>
      <c r="I19" s="134">
        <f>+Actuals!F249-60764</f>
        <v>-28974851.18</v>
      </c>
      <c r="J19" s="133">
        <f>+Actuals!G249</f>
        <v>28332487</v>
      </c>
      <c r="K19" s="153">
        <f>+Actuals!H249</f>
        <v>40722590.630000003</v>
      </c>
      <c r="L19" s="133">
        <f>+Actuals!I249</f>
        <v>-27774684</v>
      </c>
      <c r="M19" s="134">
        <f>+Actuals!J249</f>
        <v>-49340342.270000003</v>
      </c>
      <c r="N19" s="133">
        <f>+Actuals!K249</f>
        <v>-526101</v>
      </c>
      <c r="O19" s="134">
        <f>+Actuals!L249</f>
        <v>-925540.13</v>
      </c>
      <c r="P19" s="133">
        <f>+Actuals!M249</f>
        <v>11821</v>
      </c>
      <c r="Q19" s="134">
        <f>+Actuals!N249</f>
        <v>17524.419999999998</v>
      </c>
      <c r="R19" s="133">
        <f>+Actuals!O249</f>
        <v>6585</v>
      </c>
      <c r="S19" s="134">
        <f>+Actuals!P249</f>
        <v>13221.6</v>
      </c>
      <c r="T19" s="133">
        <f>+Actuals!Q249</f>
        <v>61979</v>
      </c>
      <c r="U19" s="134">
        <f>+Actuals!R249</f>
        <v>120107.69</v>
      </c>
      <c r="V19" s="133">
        <f>+Actuals!S249</f>
        <v>-129851</v>
      </c>
      <c r="W19" s="134">
        <f>+Actuals!T249</f>
        <v>-226916.62</v>
      </c>
      <c r="X19" s="133">
        <f>+Actuals!U249</f>
        <v>-673</v>
      </c>
      <c r="Y19" s="134">
        <f>+Actuals!V249</f>
        <v>-1047.1500000000001</v>
      </c>
      <c r="Z19" s="133">
        <f>+Actuals!W249</f>
        <v>-47868</v>
      </c>
      <c r="AA19" s="134">
        <f>+Actuals!X249</f>
        <v>-80657.58</v>
      </c>
      <c r="AB19" s="133">
        <f>+Actuals!Y249</f>
        <v>10000</v>
      </c>
      <c r="AC19" s="134">
        <f>+Actuals!Z249</f>
        <v>17700</v>
      </c>
      <c r="AD19" s="133">
        <f>+Actuals!AA449</f>
        <v>0</v>
      </c>
      <c r="AE19" s="134">
        <f>+Actuals!AB449</f>
        <v>0</v>
      </c>
      <c r="AF19" s="133">
        <f>+Actuals!AC449</f>
        <v>-1140</v>
      </c>
      <c r="AG19" s="134">
        <f>+Actuals!AD449</f>
        <v>-1873.06</v>
      </c>
      <c r="AH19" s="133">
        <f>+Actuals!AE449</f>
        <v>6942</v>
      </c>
      <c r="AI19" s="134">
        <f>+Actuals!AF449</f>
        <v>12539.9</v>
      </c>
      <c r="AJ19" s="133">
        <f>+Actuals!AG449</f>
        <v>0</v>
      </c>
      <c r="AK19" s="134">
        <f>+Actuals!AH449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535659.33000000007</v>
      </c>
      <c r="F20" s="60">
        <f>'TIE-OUT'!R20+RECLASS!R20</f>
        <v>0</v>
      </c>
      <c r="G20" s="38">
        <f>'TIE-OUT'!S20+RECLASS!S20</f>
        <v>530666.31000000006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72">
        <f>+Actuals!H250-6719.98</f>
        <v>-6719.98</v>
      </c>
      <c r="L20" s="133">
        <f>+Actuals!I250</f>
        <v>0</v>
      </c>
      <c r="M20" s="182">
        <f>+Actuals!J250+11713</f>
        <v>11713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34">
        <f>+Actuals!X250</f>
        <v>0</v>
      </c>
      <c r="AB20" s="133">
        <f>+Actuals!Y250</f>
        <v>0</v>
      </c>
      <c r="AC20" s="134">
        <f>+Actuals!Z250</f>
        <v>0</v>
      </c>
      <c r="AD20" s="133">
        <f>+Actuals!AA450</f>
        <v>0</v>
      </c>
      <c r="AE20" s="165">
        <v>0</v>
      </c>
      <c r="AF20" s="133">
        <f>+Actuals!AC450</f>
        <v>0</v>
      </c>
      <c r="AG20" s="165">
        <v>0</v>
      </c>
      <c r="AH20" s="133">
        <f>+Actuals!AE450</f>
        <v>0</v>
      </c>
      <c r="AI20" s="165">
        <v>0</v>
      </c>
      <c r="AJ20" s="133">
        <f>+Actuals!AG450</f>
        <v>0</v>
      </c>
      <c r="AK20" s="165"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-1331315</v>
      </c>
      <c r="E21" s="38">
        <f t="shared" si="3"/>
        <v>-2272147</v>
      </c>
      <c r="F21" s="60">
        <f>'TIE-OUT'!R21+RECLASS!R21</f>
        <v>0</v>
      </c>
      <c r="G21" s="38">
        <f>'TIE-OUT'!S21+RECLASS!S21</f>
        <v>0</v>
      </c>
      <c r="H21" s="133">
        <f>+Actuals!E251+28848210</f>
        <v>-1331315</v>
      </c>
      <c r="I21" s="134">
        <f>+Actuals!F251+50416221</f>
        <v>-2272147</v>
      </c>
      <c r="J21" s="133">
        <f>+Actuals!G251</f>
        <v>0</v>
      </c>
      <c r="K21" s="153">
        <f>+Actuals!H251</f>
        <v>0</v>
      </c>
      <c r="L21" s="133">
        <f>+Actuals!I251</f>
        <v>282462</v>
      </c>
      <c r="M21" s="134">
        <f>+Actuals!J251</f>
        <v>491526</v>
      </c>
      <c r="N21" s="133">
        <f>+Actuals!K251</f>
        <v>0</v>
      </c>
      <c r="O21" s="134">
        <f>+Actuals!L251</f>
        <v>0</v>
      </c>
      <c r="P21" s="133">
        <f>+Actuals!M251</f>
        <v>4494</v>
      </c>
      <c r="Q21" s="134">
        <f>+Actuals!N251</f>
        <v>7707</v>
      </c>
      <c r="R21" s="133">
        <f>+Actuals!O251</f>
        <v>0</v>
      </c>
      <c r="S21" s="134">
        <f>+Actuals!P251</f>
        <v>0</v>
      </c>
      <c r="T21" s="133">
        <f>+Actuals!Q251</f>
        <v>0</v>
      </c>
      <c r="U21" s="134">
        <f>+Actuals!R251</f>
        <v>0</v>
      </c>
      <c r="V21" s="133">
        <f>+Actuals!S251</f>
        <v>0</v>
      </c>
      <c r="W21" s="134">
        <f>+Actuals!T251</f>
        <v>0</v>
      </c>
      <c r="X21" s="133">
        <f>+Actuals!U251</f>
        <v>-957311</v>
      </c>
      <c r="Y21" s="134">
        <f>+Actuals!V251</f>
        <v>-1625596</v>
      </c>
      <c r="Z21" s="133">
        <f>+Actuals!W251</f>
        <v>-957311</v>
      </c>
      <c r="AA21" s="134">
        <f>+Actuals!X251</f>
        <v>-1625596</v>
      </c>
      <c r="AB21" s="133">
        <f>+Actuals!Y251</f>
        <v>1627666</v>
      </c>
      <c r="AC21" s="134">
        <f>+Actuals!Z251</f>
        <v>2751959</v>
      </c>
      <c r="AD21" s="133">
        <f>+Actuals!AA451</f>
        <v>-1627666</v>
      </c>
      <c r="AE21" s="134">
        <f>+Actuals!AB451</f>
        <v>-2751959</v>
      </c>
      <c r="AF21" s="133">
        <f>+Actuals!AC451</f>
        <v>0</v>
      </c>
      <c r="AG21" s="134">
        <f>+Actuals!AD451</f>
        <v>0</v>
      </c>
      <c r="AH21" s="133">
        <f>+Actuals!AE451</f>
        <v>1627666</v>
      </c>
      <c r="AI21" s="134">
        <f>+Actuals!AF451</f>
        <v>2751959</v>
      </c>
      <c r="AJ21" s="133">
        <f>+Actuals!AG451</f>
        <v>0</v>
      </c>
      <c r="AK21" s="134">
        <f>+Actuals!AH451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+Actuals!Y252</f>
        <v>0</v>
      </c>
      <c r="AC22" s="134">
        <f>+Actuals!Z252</f>
        <v>0</v>
      </c>
      <c r="AD22" s="133">
        <f>+Actuals!AA452</f>
        <v>0</v>
      </c>
      <c r="AE22" s="134">
        <f>+Actuals!AB452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  <c r="AJ22" s="133">
        <f>+Actuals!AG452</f>
        <v>0</v>
      </c>
      <c r="AK22" s="134">
        <f>+Actuals!AH452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4992</v>
      </c>
      <c r="E23" s="38">
        <f t="shared" si="3"/>
        <v>9038.4700000000012</v>
      </c>
      <c r="F23" s="81">
        <f>'TIE-OUT'!R23+RECLASS!R23</f>
        <v>0</v>
      </c>
      <c r="G23" s="82">
        <f>'TIE-OUT'!S23+RECLASS!S23</f>
        <v>0</v>
      </c>
      <c r="H23" s="133">
        <f>+Actuals!E253</f>
        <v>0</v>
      </c>
      <c r="I23" s="134">
        <f>+Actuals!F253</f>
        <v>0</v>
      </c>
      <c r="J23" s="133">
        <f>+Actuals!G253</f>
        <v>3148</v>
      </c>
      <c r="K23" s="153">
        <f>+Actuals!H253</f>
        <v>5876</v>
      </c>
      <c r="L23" s="133">
        <f>+Actuals!I253</f>
        <v>1807</v>
      </c>
      <c r="M23" s="134">
        <f>+Actuals!J253</f>
        <v>3099.01</v>
      </c>
      <c r="N23" s="133">
        <f>+Actuals!K253</f>
        <v>2</v>
      </c>
      <c r="O23" s="134">
        <f>+Actuals!L253</f>
        <v>3.43</v>
      </c>
      <c r="P23" s="133">
        <f>+Actuals!M253</f>
        <v>35</v>
      </c>
      <c r="Q23" s="134">
        <f>+Actuals!N253</f>
        <v>60.03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+Actuals!Y253</f>
        <v>0</v>
      </c>
      <c r="AC23" s="134">
        <f>+Actuals!Z253</f>
        <v>0</v>
      </c>
      <c r="AD23" s="133">
        <f>+Actuals!AA453</f>
        <v>0</v>
      </c>
      <c r="AE23" s="134">
        <f>+Actuals!AB453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  <c r="AJ23" s="133">
        <f>+Actuals!AG453</f>
        <v>0</v>
      </c>
      <c r="AK23" s="134">
        <f>+Actuals!AH453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-23511177</v>
      </c>
      <c r="E24" s="39">
        <f t="shared" si="4"/>
        <v>-40374992.950000003</v>
      </c>
      <c r="F24" s="61">
        <f t="shared" si="4"/>
        <v>0</v>
      </c>
      <c r="G24" s="39">
        <f t="shared" si="4"/>
        <v>530666.31000000006</v>
      </c>
      <c r="H24" s="61">
        <f t="shared" si="4"/>
        <v>-23465666</v>
      </c>
      <c r="I24" s="39">
        <f t="shared" si="4"/>
        <v>-31246998.18</v>
      </c>
      <c r="J24" s="61">
        <f t="shared" si="4"/>
        <v>28335635</v>
      </c>
      <c r="K24" s="154">
        <f t="shared" si="4"/>
        <v>40721746.650000006</v>
      </c>
      <c r="L24" s="61">
        <f t="shared" si="4"/>
        <v>-27490415</v>
      </c>
      <c r="M24" s="39">
        <f t="shared" si="4"/>
        <v>-48834004.260000005</v>
      </c>
      <c r="N24" s="61">
        <f t="shared" si="4"/>
        <v>-526099</v>
      </c>
      <c r="O24" s="39">
        <f t="shared" si="4"/>
        <v>-925536.7</v>
      </c>
      <c r="P24" s="61">
        <f t="shared" si="4"/>
        <v>16350</v>
      </c>
      <c r="Q24" s="39">
        <f t="shared" si="4"/>
        <v>25291.449999999997</v>
      </c>
      <c r="R24" s="61">
        <f t="shared" si="4"/>
        <v>6585</v>
      </c>
      <c r="S24" s="39">
        <f t="shared" si="4"/>
        <v>13221.6</v>
      </c>
      <c r="T24" s="61">
        <f t="shared" si="4"/>
        <v>61979</v>
      </c>
      <c r="U24" s="39">
        <f t="shared" si="4"/>
        <v>120107.69</v>
      </c>
      <c r="V24" s="61">
        <f t="shared" si="4"/>
        <v>-129851</v>
      </c>
      <c r="W24" s="39">
        <f t="shared" si="4"/>
        <v>-226916.62</v>
      </c>
      <c r="X24" s="61">
        <f t="shared" si="4"/>
        <v>-957984</v>
      </c>
      <c r="Y24" s="39">
        <f t="shared" si="4"/>
        <v>-1626643.15</v>
      </c>
      <c r="Z24" s="61">
        <f t="shared" si="4"/>
        <v>-1005179</v>
      </c>
      <c r="AA24" s="39">
        <f t="shared" si="4"/>
        <v>-1706253.58</v>
      </c>
      <c r="AB24" s="61">
        <f t="shared" si="4"/>
        <v>1637666</v>
      </c>
      <c r="AC24" s="39">
        <f t="shared" si="4"/>
        <v>2769659</v>
      </c>
      <c r="AD24" s="61">
        <f t="shared" si="4"/>
        <v>-1627666</v>
      </c>
      <c r="AE24" s="39">
        <f t="shared" si="4"/>
        <v>-2751959</v>
      </c>
      <c r="AF24" s="61">
        <f t="shared" ref="AF24:AK24" si="5">SUM(AF19:AF23)</f>
        <v>-1140</v>
      </c>
      <c r="AG24" s="39">
        <f t="shared" si="5"/>
        <v>-1873.06</v>
      </c>
      <c r="AH24" s="61">
        <f t="shared" si="5"/>
        <v>1634608</v>
      </c>
      <c r="AI24" s="39">
        <f t="shared" si="5"/>
        <v>2764498.9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12294877</v>
      </c>
      <c r="E27" s="38">
        <f>SUM(G27,I27,K27,M27,O27,Q27,S27,U27,W27,Y27,AA27,AC27,AE27,AG27,AI27,AK27)</f>
        <v>21881850.099999998</v>
      </c>
      <c r="F27" s="64">
        <f>'TIE-OUT'!R27+RECLASS!R27</f>
        <v>0</v>
      </c>
      <c r="G27" s="68">
        <f>'TIE-OUT'!S27+RECLASS!S27</f>
        <v>0</v>
      </c>
      <c r="H27" s="133">
        <f>+Actuals!E254</f>
        <v>33205385</v>
      </c>
      <c r="I27" s="134">
        <f>+Actuals!F254</f>
        <v>58683893.939999998</v>
      </c>
      <c r="J27" s="133">
        <f>+Actuals!G254</f>
        <v>-18399121</v>
      </c>
      <c r="K27" s="153">
        <f>+Actuals!H254</f>
        <v>-32382373.91</v>
      </c>
      <c r="L27" s="133">
        <f>+Actuals!I254</f>
        <v>195216</v>
      </c>
      <c r="M27" s="134">
        <f>+Actuals!J254</f>
        <v>347484.8</v>
      </c>
      <c r="N27" s="133">
        <f>+Actuals!K254</f>
        <v>151304</v>
      </c>
      <c r="O27" s="134">
        <f>+Actuals!L254</f>
        <v>269321.12</v>
      </c>
      <c r="P27" s="133">
        <f>+Actuals!M254</f>
        <v>5376</v>
      </c>
      <c r="Q27" s="134">
        <f>+Actuals!N254</f>
        <v>9569.2800000000007</v>
      </c>
      <c r="R27" s="133">
        <f>+Actuals!O254</f>
        <v>-29172</v>
      </c>
      <c r="S27" s="134">
        <f>+Actuals!P254</f>
        <v>-51927</v>
      </c>
      <c r="T27" s="133">
        <f>+Actuals!Q254</f>
        <v>-2872269</v>
      </c>
      <c r="U27" s="134">
        <f>+Actuals!R254</f>
        <v>-5062039.37</v>
      </c>
      <c r="V27" s="133">
        <f>+Actuals!S254</f>
        <v>0</v>
      </c>
      <c r="W27" s="134">
        <f>+Actuals!T254</f>
        <v>0</v>
      </c>
      <c r="X27" s="133">
        <f>+Actuals!U254</f>
        <v>0</v>
      </c>
      <c r="Y27" s="134">
        <f>+Actuals!V254</f>
        <v>0</v>
      </c>
      <c r="Z27" s="133">
        <f>+Actuals!W254</f>
        <v>47868</v>
      </c>
      <c r="AA27" s="134">
        <f>+Actuals!X254</f>
        <v>85205.04</v>
      </c>
      <c r="AB27" s="133">
        <f>+Actuals!Y254</f>
        <v>-9710</v>
      </c>
      <c r="AC27" s="134">
        <f>+Actuals!Z254</f>
        <v>-17283.8</v>
      </c>
      <c r="AD27" s="133">
        <f>+Actuals!AA454</f>
        <v>0</v>
      </c>
      <c r="AE27" s="134">
        <f>+Actuals!AB454</f>
        <v>0</v>
      </c>
      <c r="AF27" s="133">
        <f>+Actuals!AC454</f>
        <v>0</v>
      </c>
      <c r="AG27" s="134">
        <f>+Actuals!AD454</f>
        <v>0</v>
      </c>
      <c r="AH27" s="133">
        <f>+Actuals!AE454</f>
        <v>0</v>
      </c>
      <c r="AI27" s="134">
        <f>+Actuals!AF454</f>
        <v>0</v>
      </c>
      <c r="AJ27" s="133">
        <f>+Actuals!AG454</f>
        <v>0</v>
      </c>
      <c r="AK27" s="134">
        <f>+Actuals!AH454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-6123075</v>
      </c>
      <c r="E28" s="38">
        <f>SUM(G28,I28,K28,M28,O28,Q28,S28,U28,W28,Y28,AA28,AC28,AE28,AG28,AI28,AK28)</f>
        <v>-10779197.060000002</v>
      </c>
      <c r="F28" s="81">
        <f>'TIE-OUT'!R28+RECLASS!R28</f>
        <v>0</v>
      </c>
      <c r="G28" s="82">
        <f>'TIE-OUT'!S28+RECLASS!S28</f>
        <v>0</v>
      </c>
      <c r="H28" s="133">
        <f>+Actuals!E255</f>
        <v>-28542883</v>
      </c>
      <c r="I28" s="134">
        <f>+Actuals!F255</f>
        <v>-50684924.219999999</v>
      </c>
      <c r="J28" s="133">
        <f>+Actuals!G255</f>
        <v>-23105565</v>
      </c>
      <c r="K28" s="153">
        <f>+Actuals!H255</f>
        <v>-41007399.309999995</v>
      </c>
      <c r="L28" s="133">
        <f>+Actuals!I255</f>
        <v>28568659</v>
      </c>
      <c r="M28" s="134">
        <f>+Actuals!J255</f>
        <v>50730813.140000001</v>
      </c>
      <c r="N28" s="133">
        <f>+Actuals!K255</f>
        <v>17059092</v>
      </c>
      <c r="O28" s="134">
        <f>+Actuals!L255</f>
        <v>30365175.899999999</v>
      </c>
      <c r="P28" s="133">
        <f>+Actuals!M255</f>
        <v>-41282</v>
      </c>
      <c r="Q28" s="134">
        <f>+Actuals!N255</f>
        <v>-74011.649999999994</v>
      </c>
      <c r="R28" s="133">
        <f>+Actuals!O255</f>
        <v>6795</v>
      </c>
      <c r="S28" s="134">
        <f>+Actuals!P255</f>
        <v>12095</v>
      </c>
      <c r="T28" s="133">
        <f>+Actuals!Q255</f>
        <v>65673</v>
      </c>
      <c r="U28" s="134">
        <f>+Actuals!R255</f>
        <v>116898</v>
      </c>
      <c r="V28" s="133">
        <f>+Actuals!S255</f>
        <v>10000</v>
      </c>
      <c r="W28" s="134">
        <f>+Actuals!T255</f>
        <v>17700</v>
      </c>
      <c r="X28" s="133">
        <f>+Actuals!U255</f>
        <v>1600</v>
      </c>
      <c r="Y28" s="134">
        <f>+Actuals!V255</f>
        <v>2848</v>
      </c>
      <c r="Z28" s="133">
        <f>+Actuals!W255</f>
        <v>-49967</v>
      </c>
      <c r="AA28" s="134">
        <f>+Actuals!X255</f>
        <v>-88941.26</v>
      </c>
      <c r="AB28" s="133">
        <f>+Actuals!Y255</f>
        <v>326542</v>
      </c>
      <c r="AC28" s="134">
        <f>+Actuals!Z255</f>
        <v>581244.76</v>
      </c>
      <c r="AD28" s="133">
        <f>+Actuals!AA455</f>
        <v>0</v>
      </c>
      <c r="AE28" s="134">
        <f>+Actuals!AB455</f>
        <v>0</v>
      </c>
      <c r="AF28" s="133">
        <f>+Actuals!AC455</f>
        <v>0</v>
      </c>
      <c r="AG28" s="134">
        <f>+Actuals!AD455</f>
        <v>0</v>
      </c>
      <c r="AH28" s="133">
        <f>+Actuals!AE455</f>
        <v>-421739</v>
      </c>
      <c r="AI28" s="134">
        <f>+Actuals!AF455</f>
        <v>-750695.42</v>
      </c>
      <c r="AJ28" s="133">
        <f>+Actuals!AG455</f>
        <v>0</v>
      </c>
      <c r="AK28" s="134">
        <f>+Actuals!AH455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6171802</v>
      </c>
      <c r="E29" s="39">
        <f t="shared" si="6"/>
        <v>11102653.039999995</v>
      </c>
      <c r="F29" s="61">
        <f t="shared" si="6"/>
        <v>0</v>
      </c>
      <c r="G29" s="39">
        <f t="shared" si="6"/>
        <v>0</v>
      </c>
      <c r="H29" s="61">
        <f t="shared" si="6"/>
        <v>4662502</v>
      </c>
      <c r="I29" s="39">
        <f t="shared" si="6"/>
        <v>7998969.7199999988</v>
      </c>
      <c r="J29" s="61">
        <f t="shared" si="6"/>
        <v>-41504686</v>
      </c>
      <c r="K29" s="154">
        <f t="shared" si="6"/>
        <v>-73389773.219999999</v>
      </c>
      <c r="L29" s="61">
        <f t="shared" si="6"/>
        <v>28763875</v>
      </c>
      <c r="M29" s="39">
        <f t="shared" si="6"/>
        <v>51078297.939999998</v>
      </c>
      <c r="N29" s="61">
        <f t="shared" si="6"/>
        <v>17210396</v>
      </c>
      <c r="O29" s="39">
        <f t="shared" si="6"/>
        <v>30634497.02</v>
      </c>
      <c r="P29" s="61">
        <f t="shared" si="6"/>
        <v>-35906</v>
      </c>
      <c r="Q29" s="39">
        <f t="shared" si="6"/>
        <v>-64442.369999999995</v>
      </c>
      <c r="R29" s="61">
        <f t="shared" si="6"/>
        <v>-22377</v>
      </c>
      <c r="S29" s="39">
        <f t="shared" si="6"/>
        <v>-39832</v>
      </c>
      <c r="T29" s="61">
        <f t="shared" si="6"/>
        <v>-2806596</v>
      </c>
      <c r="U29" s="39">
        <f t="shared" si="6"/>
        <v>-4945141.37</v>
      </c>
      <c r="V29" s="61">
        <f t="shared" si="6"/>
        <v>10000</v>
      </c>
      <c r="W29" s="39">
        <f t="shared" si="6"/>
        <v>17700</v>
      </c>
      <c r="X29" s="61">
        <f t="shared" si="6"/>
        <v>1600</v>
      </c>
      <c r="Y29" s="39">
        <f t="shared" si="6"/>
        <v>2848</v>
      </c>
      <c r="Z29" s="61">
        <f t="shared" si="6"/>
        <v>-2099</v>
      </c>
      <c r="AA29" s="39">
        <f t="shared" si="6"/>
        <v>-3736.2200000000012</v>
      </c>
      <c r="AB29" s="61">
        <f t="shared" si="6"/>
        <v>316832</v>
      </c>
      <c r="AC29" s="39">
        <f t="shared" si="6"/>
        <v>563960.96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-421739</v>
      </c>
      <c r="AI29" s="39">
        <f t="shared" si="7"/>
        <v>-750695.42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240567</v>
      </c>
      <c r="E32" s="38">
        <f t="shared" si="8"/>
        <v>412571.80899999983</v>
      </c>
      <c r="F32" s="64">
        <f>'TIE-OUT'!R32+RECLASS!R32</f>
        <v>0</v>
      </c>
      <c r="G32" s="68">
        <f>'TIE-OUT'!S32+RECLASS!S32</f>
        <v>0</v>
      </c>
      <c r="H32" s="133">
        <f>+Actuals!E256</f>
        <v>0</v>
      </c>
      <c r="I32" s="134">
        <f>+Actuals!F256</f>
        <v>0</v>
      </c>
      <c r="J32" s="133">
        <f>+Actuals!G256</f>
        <v>-14097</v>
      </c>
      <c r="K32" s="153">
        <f>+Actuals!H256</f>
        <v>-24176</v>
      </c>
      <c r="L32" s="133">
        <f>+Actuals!I256</f>
        <v>213574</v>
      </c>
      <c r="M32" s="134">
        <f>+Actuals!J256</f>
        <v>386825.19</v>
      </c>
      <c r="N32" s="133">
        <f>+Actuals!K256</f>
        <v>-164523</v>
      </c>
      <c r="O32" s="134">
        <f>+Actuals!L256</f>
        <v>-302703.08</v>
      </c>
      <c r="P32" s="133">
        <f>+Actuals!M256</f>
        <v>67665</v>
      </c>
      <c r="Q32" s="134">
        <f>+Actuals!N256</f>
        <v>163865.93</v>
      </c>
      <c r="R32" s="133">
        <f>+Actuals!O256</f>
        <v>1545</v>
      </c>
      <c r="S32" s="134">
        <f>+Actuals!P256</f>
        <v>3476.25</v>
      </c>
      <c r="T32" s="133">
        <f>+Actuals!Q256</f>
        <v>-64348</v>
      </c>
      <c r="U32" s="134">
        <f>+Actuals!R256</f>
        <v>-220711.826</v>
      </c>
      <c r="V32" s="133">
        <f>+Actuals!S256</f>
        <v>84625</v>
      </c>
      <c r="W32" s="134">
        <f>+Actuals!T256</f>
        <v>279820.86</v>
      </c>
      <c r="X32" s="133">
        <f>+Actuals!U256</f>
        <v>82572</v>
      </c>
      <c r="Y32" s="134">
        <f>+Actuals!V256</f>
        <v>116449.83</v>
      </c>
      <c r="Z32" s="133">
        <f>+Actuals!W256</f>
        <v>128278</v>
      </c>
      <c r="AA32" s="134">
        <f>+Actuals!X256</f>
        <v>219996.77</v>
      </c>
      <c r="AB32" s="133">
        <f>+Actuals!Y256</f>
        <v>27795</v>
      </c>
      <c r="AC32" s="134">
        <f>+Actuals!Z256</f>
        <v>47668.425000000003</v>
      </c>
      <c r="AD32" s="133">
        <f>+Actuals!AA456</f>
        <v>-580559</v>
      </c>
      <c r="AE32" s="134">
        <f>+Actuals!AB456</f>
        <v>-995658.68500000006</v>
      </c>
      <c r="AF32" s="133">
        <f>+Actuals!AC456</f>
        <v>-262518</v>
      </c>
      <c r="AG32" s="134">
        <f>+Actuals!AD456</f>
        <v>-498038.82500000001</v>
      </c>
      <c r="AH32" s="133">
        <f>+Actuals!AE456</f>
        <v>765577</v>
      </c>
      <c r="AI32" s="134">
        <f>+Actuals!AF456</f>
        <v>1312964.5549999999</v>
      </c>
      <c r="AJ32" s="133">
        <f>+Actuals!AG456</f>
        <v>-45019</v>
      </c>
      <c r="AK32" s="134">
        <f>+Actuals!AH456</f>
        <v>-77207.585000000006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+Actuals!Y257</f>
        <v>0</v>
      </c>
      <c r="AC33" s="134">
        <f>+Actuals!Z257</f>
        <v>0</v>
      </c>
      <c r="AD33" s="133">
        <f>+Actuals!AA457</f>
        <v>0</v>
      </c>
      <c r="AE33" s="134">
        <f>+Actuals!AB457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  <c r="AJ33" s="133">
        <f>+Actuals!AG457</f>
        <v>0</v>
      </c>
      <c r="AK33" s="134">
        <f>+Actuals!AH457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+Actuals!Y258</f>
        <v>0</v>
      </c>
      <c r="AC34" s="134">
        <f>+Actuals!Z258</f>
        <v>0</v>
      </c>
      <c r="AD34" s="133">
        <f>+Actuals!AA458</f>
        <v>0</v>
      </c>
      <c r="AE34" s="134">
        <f>+Actuals!AB458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  <c r="AJ34" s="133">
        <f>+Actuals!AG458</f>
        <v>0</v>
      </c>
      <c r="AK34" s="134">
        <f>+Actuals!AH458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+Actuals!Y259</f>
        <v>0</v>
      </c>
      <c r="AC35" s="134">
        <f>+Actuals!Z259</f>
        <v>0</v>
      </c>
      <c r="AD35" s="133">
        <f>+Actuals!AA459</f>
        <v>0</v>
      </c>
      <c r="AE35" s="134">
        <f>+Actuals!AB459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  <c r="AJ35" s="133">
        <f>+Actuals!AG459</f>
        <v>0</v>
      </c>
      <c r="AK35" s="134">
        <f>+Actuals!AH459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240567</v>
      </c>
      <c r="E36" s="39">
        <f t="shared" si="9"/>
        <v>412571.80899999983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-14097</v>
      </c>
      <c r="K36" s="154">
        <f t="shared" si="9"/>
        <v>-24176</v>
      </c>
      <c r="L36" s="61">
        <f t="shared" si="9"/>
        <v>213574</v>
      </c>
      <c r="M36" s="39">
        <f t="shared" si="9"/>
        <v>386825.19</v>
      </c>
      <c r="N36" s="61">
        <f t="shared" si="9"/>
        <v>-164523</v>
      </c>
      <c r="O36" s="39">
        <f t="shared" si="9"/>
        <v>-302703.08</v>
      </c>
      <c r="P36" s="61">
        <f t="shared" si="9"/>
        <v>67665</v>
      </c>
      <c r="Q36" s="39">
        <f t="shared" si="9"/>
        <v>163865.93</v>
      </c>
      <c r="R36" s="61">
        <f t="shared" si="9"/>
        <v>1545</v>
      </c>
      <c r="S36" s="39">
        <f t="shared" si="9"/>
        <v>3476.25</v>
      </c>
      <c r="T36" s="61">
        <f t="shared" si="9"/>
        <v>-64348</v>
      </c>
      <c r="U36" s="39">
        <f t="shared" si="9"/>
        <v>-220711.826</v>
      </c>
      <c r="V36" s="61">
        <f t="shared" si="9"/>
        <v>84625</v>
      </c>
      <c r="W36" s="39">
        <f t="shared" si="9"/>
        <v>279820.86</v>
      </c>
      <c r="X36" s="61">
        <f t="shared" si="9"/>
        <v>82572</v>
      </c>
      <c r="Y36" s="39">
        <f t="shared" si="9"/>
        <v>116449.83</v>
      </c>
      <c r="Z36" s="61">
        <f t="shared" si="9"/>
        <v>128278</v>
      </c>
      <c r="AA36" s="39">
        <f t="shared" si="9"/>
        <v>219996.77</v>
      </c>
      <c r="AB36" s="61">
        <f t="shared" si="9"/>
        <v>27795</v>
      </c>
      <c r="AC36" s="39">
        <f t="shared" si="9"/>
        <v>47668.425000000003</v>
      </c>
      <c r="AD36" s="61">
        <f t="shared" si="9"/>
        <v>-580559</v>
      </c>
      <c r="AE36" s="39">
        <f t="shared" si="9"/>
        <v>-995658.68500000006</v>
      </c>
      <c r="AF36" s="61">
        <f t="shared" ref="AF36:AK36" si="10">SUM(AF32:AF35)</f>
        <v>-262518</v>
      </c>
      <c r="AG36" s="39">
        <f t="shared" si="10"/>
        <v>-498038.82500000001</v>
      </c>
      <c r="AH36" s="61">
        <f t="shared" si="10"/>
        <v>765577</v>
      </c>
      <c r="AI36" s="39">
        <f t="shared" si="10"/>
        <v>1312964.5549999999</v>
      </c>
      <c r="AJ36" s="61">
        <f t="shared" si="10"/>
        <v>-45019</v>
      </c>
      <c r="AK36" s="39">
        <f t="shared" si="10"/>
        <v>-77207.585000000006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1498982</v>
      </c>
      <c r="E39" s="38">
        <f t="shared" si="11"/>
        <v>2411675.6499999994</v>
      </c>
      <c r="F39" s="64">
        <f>'TIE-OUT'!R39+RECLASS!R39</f>
        <v>0</v>
      </c>
      <c r="G39" s="68">
        <f>'TIE-OUT'!S39+RECLASS!S39</f>
        <v>0</v>
      </c>
      <c r="H39" s="133">
        <f>+Actuals!E260</f>
        <v>3288769</v>
      </c>
      <c r="I39" s="134">
        <f>+Actuals!F260</f>
        <v>6011464.0199999996</v>
      </c>
      <c r="J39" s="133">
        <f>+Actuals!G260</f>
        <v>15541320</v>
      </c>
      <c r="K39" s="153">
        <f>+Actuals!H260</f>
        <v>28475738.98</v>
      </c>
      <c r="L39" s="133">
        <f>+Actuals!I260</f>
        <v>-274810</v>
      </c>
      <c r="M39" s="134">
        <f>+Actuals!J260</f>
        <v>-503514.08</v>
      </c>
      <c r="N39" s="133">
        <f>+Actuals!K260</f>
        <v>-16653389</v>
      </c>
      <c r="O39" s="134">
        <f>+Actuals!L260</f>
        <v>-30513367.850000001</v>
      </c>
      <c r="P39" s="133">
        <f>+Actuals!M260</f>
        <v>-9196</v>
      </c>
      <c r="Q39" s="134">
        <f>+Actuals!N260</f>
        <v>-16849.46</v>
      </c>
      <c r="R39" s="133">
        <f>+Actuals!O260</f>
        <v>56863</v>
      </c>
      <c r="S39" s="134">
        <f>+Actuals!P260</f>
        <v>116641.3</v>
      </c>
      <c r="T39" s="133">
        <f>+Actuals!Q260</f>
        <v>-69962</v>
      </c>
      <c r="U39" s="134">
        <f>+Actuals!R260</f>
        <v>-429341.2</v>
      </c>
      <c r="V39" s="133">
        <f>+Actuals!S260</f>
        <v>4590</v>
      </c>
      <c r="W39" s="134">
        <f>+Actuals!T260</f>
        <v>7818.13</v>
      </c>
      <c r="X39" s="133">
        <f>+Actuals!U260</f>
        <v>4870</v>
      </c>
      <c r="Y39" s="134">
        <f>+Actuals!V260</f>
        <v>7823.04</v>
      </c>
      <c r="Z39" s="133">
        <f>+Actuals!W260</f>
        <v>0</v>
      </c>
      <c r="AA39" s="134">
        <f>+Actuals!X260</f>
        <v>0</v>
      </c>
      <c r="AB39" s="133">
        <f>+Actuals!Y260</f>
        <v>-352845</v>
      </c>
      <c r="AC39" s="134">
        <f>+Actuals!Z260</f>
        <v>-694923.87</v>
      </c>
      <c r="AD39" s="133">
        <f>+Actuals!AA460</f>
        <v>580559</v>
      </c>
      <c r="AE39" s="134">
        <f>+Actuals!AB460</f>
        <v>919721.57</v>
      </c>
      <c r="AF39" s="133">
        <f>+Actuals!AC460</f>
        <v>159899</v>
      </c>
      <c r="AG39" s="134">
        <f>+Actuals!AD460</f>
        <v>253312.85</v>
      </c>
      <c r="AH39" s="133">
        <f>+Actuals!AE460</f>
        <v>-383789</v>
      </c>
      <c r="AI39" s="134">
        <f>+Actuals!AF460</f>
        <v>-603667.53</v>
      </c>
      <c r="AJ39" s="133">
        <f>+Actuals!AG460</f>
        <v>-393897</v>
      </c>
      <c r="AK39" s="134">
        <f>+Actuals!AH460</f>
        <v>-619180.25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33">
        <f>+Actuals!E261</f>
        <v>0</v>
      </c>
      <c r="I40" s="134">
        <f>+Actuals!F261</f>
        <v>0</v>
      </c>
      <c r="J40" s="133">
        <f>+Actuals!G261</f>
        <v>0</v>
      </c>
      <c r="K40" s="153">
        <f>+Actuals!H261</f>
        <v>0</v>
      </c>
      <c r="L40" s="133">
        <f>+Actuals!I261</f>
        <v>0</v>
      </c>
      <c r="M40" s="134">
        <f>+Actuals!J261</f>
        <v>0</v>
      </c>
      <c r="N40" s="133">
        <f>+Actuals!K261</f>
        <v>-438916</v>
      </c>
      <c r="O40" s="134">
        <f>+Actuals!L261</f>
        <v>-752740.94</v>
      </c>
      <c r="P40" s="133">
        <f>+Actuals!M261</f>
        <v>0</v>
      </c>
      <c r="Q40" s="134">
        <f>+Actuals!N261</f>
        <v>0</v>
      </c>
      <c r="R40" s="133">
        <f>+Actuals!O261</f>
        <v>0</v>
      </c>
      <c r="S40" s="134">
        <f>+Actuals!P261</f>
        <v>0</v>
      </c>
      <c r="T40" s="133">
        <f>+Actuals!Q261</f>
        <v>0</v>
      </c>
      <c r="U40" s="134">
        <f>+Actuals!R261</f>
        <v>-28529.54</v>
      </c>
      <c r="V40" s="133">
        <f>+Actuals!S261</f>
        <v>-25739</v>
      </c>
      <c r="W40" s="134">
        <f>+Actuals!T261</f>
        <v>-45815.42</v>
      </c>
      <c r="X40" s="133">
        <f>+Actuals!U261</f>
        <v>2</v>
      </c>
      <c r="Y40" s="134">
        <f>+Actuals!V261</f>
        <v>3.56</v>
      </c>
      <c r="Z40" s="133">
        <f>+Actuals!W261</f>
        <v>4515</v>
      </c>
      <c r="AA40" s="134">
        <f>+Actuals!X261</f>
        <v>8036.7</v>
      </c>
      <c r="AB40" s="133">
        <f>+Actuals!Y261</f>
        <v>0</v>
      </c>
      <c r="AC40" s="134">
        <f>+Actuals!Z261</f>
        <v>0</v>
      </c>
      <c r="AD40" s="133">
        <f>+Actuals!AA461</f>
        <v>0</v>
      </c>
      <c r="AE40" s="134">
        <f>+Actuals!AB461</f>
        <v>0</v>
      </c>
      <c r="AF40" s="133">
        <f>+Actuals!AC461</f>
        <v>0</v>
      </c>
      <c r="AG40" s="134">
        <f>+Actuals!AD461</f>
        <v>0</v>
      </c>
      <c r="AH40" s="133">
        <f>+Actuals!AE461</f>
        <v>21222</v>
      </c>
      <c r="AI40" s="134">
        <f>+Actuals!AF461</f>
        <v>37775.160000000003</v>
      </c>
      <c r="AJ40" s="133">
        <f>+Actuals!AG461</f>
        <v>438916</v>
      </c>
      <c r="AK40" s="134">
        <f>+Actuals!AH461</f>
        <v>781270.48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20947</v>
      </c>
      <c r="F41" s="81">
        <f>'TIE-OUT'!R41+RECLASS!R41</f>
        <v>0</v>
      </c>
      <c r="G41" s="82">
        <f>'TIE-OUT'!S41+RECLASS!S41</f>
        <v>0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34">
        <f>+Actuals!T262</f>
        <v>0</v>
      </c>
      <c r="X41" s="133">
        <f>+Actuals!U262</f>
        <v>0</v>
      </c>
      <c r="Y41" s="165">
        <f>+Actuals!V262+692867</f>
        <v>692867</v>
      </c>
      <c r="Z41" s="133">
        <f>+Actuals!W262</f>
        <v>0</v>
      </c>
      <c r="AA41" s="134">
        <f>+Actuals!X262</f>
        <v>0</v>
      </c>
      <c r="AB41" s="133">
        <f>+Actuals!Y262</f>
        <v>0</v>
      </c>
      <c r="AC41" s="134">
        <f>+Actuals!Z262</f>
        <v>0</v>
      </c>
      <c r="AD41" s="133">
        <f>+Actuals!AA462</f>
        <v>0</v>
      </c>
      <c r="AE41" s="134">
        <f>+Actuals!AB462</f>
        <v>0</v>
      </c>
      <c r="AF41" s="133">
        <f>+Actuals!AC462</f>
        <v>0</v>
      </c>
      <c r="AG41" s="134">
        <f>+Actuals!AD462</f>
        <v>0</v>
      </c>
      <c r="AH41" s="133">
        <f>+Actuals!AE462</f>
        <v>0</v>
      </c>
      <c r="AI41" s="172">
        <f>+Actuals!AF462+20947-692867</f>
        <v>-671920</v>
      </c>
      <c r="AJ41" s="133">
        <f>+Actuals!AG462</f>
        <v>0</v>
      </c>
      <c r="AK41" s="172">
        <f>+Actuals!AH462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20947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-438916</v>
      </c>
      <c r="O42" s="39">
        <f t="shared" si="12"/>
        <v>-752740.94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-28529.54</v>
      </c>
      <c r="V42" s="61">
        <f t="shared" si="12"/>
        <v>-25739</v>
      </c>
      <c r="W42" s="39">
        <f t="shared" si="12"/>
        <v>-45815.42</v>
      </c>
      <c r="X42" s="61">
        <f t="shared" si="12"/>
        <v>2</v>
      </c>
      <c r="Y42" s="39">
        <f t="shared" si="12"/>
        <v>692870.56</v>
      </c>
      <c r="Z42" s="61">
        <f t="shared" si="12"/>
        <v>4515</v>
      </c>
      <c r="AA42" s="39">
        <f t="shared" si="12"/>
        <v>8036.7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21222</v>
      </c>
      <c r="AI42" s="39">
        <f t="shared" si="13"/>
        <v>-634144.84</v>
      </c>
      <c r="AJ42" s="61">
        <f t="shared" si="13"/>
        <v>438916</v>
      </c>
      <c r="AK42" s="39">
        <f t="shared" si="13"/>
        <v>781270.48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1498982</v>
      </c>
      <c r="E43" s="39">
        <f t="shared" si="14"/>
        <v>2432622.6499999994</v>
      </c>
      <c r="F43" s="61">
        <f t="shared" si="14"/>
        <v>0</v>
      </c>
      <c r="G43" s="39">
        <f t="shared" si="14"/>
        <v>0</v>
      </c>
      <c r="H43" s="61">
        <f t="shared" si="14"/>
        <v>3288769</v>
      </c>
      <c r="I43" s="39">
        <f t="shared" si="14"/>
        <v>6011464.0199999996</v>
      </c>
      <c r="J43" s="61">
        <f t="shared" si="14"/>
        <v>15541320</v>
      </c>
      <c r="K43" s="154">
        <f t="shared" si="14"/>
        <v>28475738.98</v>
      </c>
      <c r="L43" s="61">
        <f t="shared" si="14"/>
        <v>-274810</v>
      </c>
      <c r="M43" s="39">
        <f t="shared" si="14"/>
        <v>-503514.08</v>
      </c>
      <c r="N43" s="61">
        <f t="shared" si="14"/>
        <v>-17092305</v>
      </c>
      <c r="O43" s="39">
        <f t="shared" si="14"/>
        <v>-31266108.790000003</v>
      </c>
      <c r="P43" s="61">
        <f t="shared" si="14"/>
        <v>-9196</v>
      </c>
      <c r="Q43" s="39">
        <f t="shared" si="14"/>
        <v>-16849.46</v>
      </c>
      <c r="R43" s="61">
        <f t="shared" si="14"/>
        <v>56863</v>
      </c>
      <c r="S43" s="39">
        <f t="shared" si="14"/>
        <v>116641.3</v>
      </c>
      <c r="T43" s="61">
        <f t="shared" si="14"/>
        <v>-69962</v>
      </c>
      <c r="U43" s="39">
        <f t="shared" si="14"/>
        <v>-457870.74</v>
      </c>
      <c r="V43" s="61">
        <f t="shared" si="14"/>
        <v>-21149</v>
      </c>
      <c r="W43" s="39">
        <f t="shared" si="14"/>
        <v>-37997.29</v>
      </c>
      <c r="X43" s="61">
        <f t="shared" si="14"/>
        <v>4872</v>
      </c>
      <c r="Y43" s="39">
        <f t="shared" si="14"/>
        <v>700693.60000000009</v>
      </c>
      <c r="Z43" s="61">
        <f t="shared" si="14"/>
        <v>4515</v>
      </c>
      <c r="AA43" s="39">
        <f t="shared" si="14"/>
        <v>8036.7</v>
      </c>
      <c r="AB43" s="61">
        <f t="shared" si="14"/>
        <v>-352845</v>
      </c>
      <c r="AC43" s="39">
        <f t="shared" si="14"/>
        <v>-694923.87</v>
      </c>
      <c r="AD43" s="61">
        <f t="shared" si="14"/>
        <v>580559</v>
      </c>
      <c r="AE43" s="39">
        <f t="shared" si="14"/>
        <v>919721.57</v>
      </c>
      <c r="AF43" s="61">
        <f t="shared" ref="AF43:AK43" si="15">AF42+AF39</f>
        <v>159899</v>
      </c>
      <c r="AG43" s="39">
        <f t="shared" si="15"/>
        <v>253312.85</v>
      </c>
      <c r="AH43" s="61">
        <f t="shared" si="15"/>
        <v>-362567</v>
      </c>
      <c r="AI43" s="39">
        <f t="shared" si="15"/>
        <v>-1237812.3700000001</v>
      </c>
      <c r="AJ43" s="61">
        <f t="shared" si="15"/>
        <v>45019</v>
      </c>
      <c r="AK43" s="39">
        <f t="shared" si="15"/>
        <v>162090.22999999998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+Actuals!Y263</f>
        <v>0</v>
      </c>
      <c r="AC45" s="134">
        <f>+Actuals!Z263</f>
        <v>0</v>
      </c>
      <c r="AD45" s="133">
        <f>+Actuals!AA463</f>
        <v>0</v>
      </c>
      <c r="AE45" s="134">
        <f>+Actuals!AB463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  <c r="AJ45" s="133">
        <f>+Actuals!AG463</f>
        <v>0</v>
      </c>
      <c r="AK45" s="134">
        <f>+Actuals!AH463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+Actuals!Y264</f>
        <v>0</v>
      </c>
      <c r="AC47" s="134">
        <f>+Actuals!Z264</f>
        <v>0</v>
      </c>
      <c r="AD47" s="133">
        <f>+Actuals!AA464</f>
        <v>0</v>
      </c>
      <c r="AE47" s="134">
        <f>+Actuals!AB464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  <c r="AJ47" s="133">
        <f>+Actuals!AG464</f>
        <v>0</v>
      </c>
      <c r="AK47" s="134">
        <f>+Actuals!AH464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-78330</v>
      </c>
      <c r="E49" s="38">
        <f t="shared" si="16"/>
        <v>-134733.22999999998</v>
      </c>
      <c r="F49" s="60">
        <f>'TIE-OUT'!R49+RECLASS!R49</f>
        <v>0</v>
      </c>
      <c r="G49" s="38">
        <f>'TIE-OUT'!S49+RECLASS!S49</f>
        <v>0</v>
      </c>
      <c r="H49" s="133">
        <f>+Actuals!E265</f>
        <v>144928</v>
      </c>
      <c r="I49" s="134">
        <f>+Actuals!F265</f>
        <v>248551.52</v>
      </c>
      <c r="J49" s="133">
        <f>+Actuals!G265</f>
        <v>-5177</v>
      </c>
      <c r="K49" s="153">
        <f>+Actuals!H265</f>
        <v>-46553.195</v>
      </c>
      <c r="L49" s="133">
        <f>+Actuals!I265</f>
        <v>76892</v>
      </c>
      <c r="M49" s="134">
        <f>+Actuals!J265</f>
        <v>-49152.86</v>
      </c>
      <c r="N49" s="133">
        <f>+Actuals!K265</f>
        <v>-103641</v>
      </c>
      <c r="O49" s="134">
        <f>+Actuals!L265</f>
        <v>40555.684999999998</v>
      </c>
      <c r="P49" s="133">
        <f>+Actuals!M265</f>
        <v>-76112</v>
      </c>
      <c r="Q49" s="134">
        <f>+Actuals!N265</f>
        <v>-130532.08</v>
      </c>
      <c r="R49" s="133">
        <f>+Actuals!O265</f>
        <v>41129</v>
      </c>
      <c r="S49" s="134">
        <f>+Actuals!P265</f>
        <v>70536.235000000001</v>
      </c>
      <c r="T49" s="133">
        <f>+Actuals!Q265</f>
        <v>-92920</v>
      </c>
      <c r="U49" s="134">
        <f>+Actuals!R265</f>
        <v>-159357.79999999999</v>
      </c>
      <c r="V49" s="133">
        <f>+Actuals!S265</f>
        <v>-62828</v>
      </c>
      <c r="W49" s="134">
        <f>+Actuals!T265</f>
        <v>-107750.02</v>
      </c>
      <c r="X49" s="133">
        <f>+Actuals!U265</f>
        <v>-85133</v>
      </c>
      <c r="Y49" s="134">
        <f>+Actuals!V265</f>
        <v>-146003.095</v>
      </c>
      <c r="Z49" s="133">
        <f>+Actuals!W265</f>
        <v>-91368</v>
      </c>
      <c r="AA49" s="134">
        <f>+Actuals!X265</f>
        <v>-156696.12</v>
      </c>
      <c r="AB49" s="133">
        <f>+Actuals!Y265</f>
        <v>60658</v>
      </c>
      <c r="AC49" s="134">
        <f>+Actuals!Z265</f>
        <v>104028.47</v>
      </c>
      <c r="AD49" s="133">
        <f>+Actuals!AA465</f>
        <v>-62440</v>
      </c>
      <c r="AE49" s="134">
        <f>+Actuals!AB465</f>
        <v>-107084.6</v>
      </c>
      <c r="AF49" s="133">
        <f>+Actuals!AC465</f>
        <v>103455</v>
      </c>
      <c r="AG49" s="134">
        <f>+Actuals!AD465</f>
        <v>177425.32500000001</v>
      </c>
      <c r="AH49" s="133">
        <f>+Actuals!AE465</f>
        <v>74227</v>
      </c>
      <c r="AI49" s="134">
        <f>+Actuals!AF465</f>
        <v>127299.30499999999</v>
      </c>
      <c r="AJ49" s="133">
        <f>+Actuals!AG465</f>
        <v>0</v>
      </c>
      <c r="AK49" s="134">
        <f>+Actuals!AH465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-4992</v>
      </c>
      <c r="E51" s="38">
        <f t="shared" si="16"/>
        <v>-9038.4700000000012</v>
      </c>
      <c r="F51" s="60">
        <f>'TIE-OUT'!R51+RECLASS!R51</f>
        <v>0</v>
      </c>
      <c r="G51" s="38">
        <f>'TIE-OUT'!S51+RECLASS!S51</f>
        <v>0</v>
      </c>
      <c r="H51" s="133">
        <f>+Actuals!E266</f>
        <v>0</v>
      </c>
      <c r="I51" s="134">
        <f>+Actuals!F266</f>
        <v>0</v>
      </c>
      <c r="J51" s="133">
        <f>+Actuals!G266</f>
        <v>-3148</v>
      </c>
      <c r="K51" s="153">
        <f>+Actuals!H266</f>
        <v>-5876</v>
      </c>
      <c r="L51" s="133">
        <f>+Actuals!I266</f>
        <v>-1807</v>
      </c>
      <c r="M51" s="134">
        <f>+Actuals!J266</f>
        <v>-3099.01</v>
      </c>
      <c r="N51" s="133">
        <f>+Actuals!K266</f>
        <v>-2</v>
      </c>
      <c r="O51" s="134">
        <f>+Actuals!L266</f>
        <v>-3.43</v>
      </c>
      <c r="P51" s="133">
        <f>+Actuals!M266</f>
        <v>-35</v>
      </c>
      <c r="Q51" s="134">
        <f>+Actuals!N266</f>
        <v>-60.03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+Actuals!Y266</f>
        <v>0</v>
      </c>
      <c r="AC51" s="134">
        <f>+Actuals!Z266</f>
        <v>0</v>
      </c>
      <c r="AD51" s="133">
        <f>+Actuals!AA466</f>
        <v>0</v>
      </c>
      <c r="AE51" s="134">
        <f>+Actuals!AB466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  <c r="AJ51" s="133">
        <f>+Actuals!AG466</f>
        <v>0</v>
      </c>
      <c r="AK51" s="134">
        <f>+Actuals!AH466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21945770</v>
      </c>
      <c r="E54" s="38">
        <f>SUM(G54,I54,K54,M54,O54,Q54,S54,U54,W54,Y54,AA54,AC54,AE54,AG54,AI54,AK54)</f>
        <v>25240.99000000006</v>
      </c>
      <c r="F54" s="64">
        <f>'TIE-OUT'!R54+RECLASS!R54</f>
        <v>0</v>
      </c>
      <c r="G54" s="68">
        <f>'TIE-OUT'!S54+RECLASS!S54</f>
        <v>0</v>
      </c>
      <c r="H54" s="133">
        <f>+Actuals!E267</f>
        <v>-3179698</v>
      </c>
      <c r="I54" s="134">
        <f>+Actuals!F267</f>
        <v>848376.54</v>
      </c>
      <c r="J54" s="133">
        <f>+Actuals!G267</f>
        <v>51445002</v>
      </c>
      <c r="K54" s="153">
        <f>+Actuals!H267</f>
        <v>603289.94999999995</v>
      </c>
      <c r="L54" s="133">
        <f>+Actuals!I267</f>
        <v>-25972291</v>
      </c>
      <c r="M54" s="134">
        <f>+Actuals!J267</f>
        <v>-1309355.42</v>
      </c>
      <c r="N54" s="133">
        <f>+Actuals!K267</f>
        <v>-180934</v>
      </c>
      <c r="O54" s="134">
        <f>+Actuals!L267</f>
        <v>-108995.19</v>
      </c>
      <c r="P54" s="133">
        <f>+Actuals!M267</f>
        <v>54047</v>
      </c>
      <c r="Q54" s="134">
        <f>+Actuals!N267</f>
        <v>573.23</v>
      </c>
      <c r="R54" s="133">
        <f>+Actuals!O267</f>
        <v>0</v>
      </c>
      <c r="S54" s="134">
        <f>+Actuals!P267</f>
        <v>770</v>
      </c>
      <c r="T54" s="133">
        <f>+Actuals!Q267</f>
        <v>0</v>
      </c>
      <c r="U54" s="134">
        <f>+Actuals!R267</f>
        <v>-9693</v>
      </c>
      <c r="V54" s="133">
        <f>+Actuals!S267</f>
        <v>-24529</v>
      </c>
      <c r="W54" s="134">
        <f>+Actuals!T267</f>
        <v>247.05</v>
      </c>
      <c r="X54" s="133">
        <f>+Actuals!U267</f>
        <v>-673</v>
      </c>
      <c r="Y54" s="134">
        <f>+Actuals!V267</f>
        <v>28.57</v>
      </c>
      <c r="Z54" s="133">
        <f>+Actuals!W267</f>
        <v>4515</v>
      </c>
      <c r="AA54" s="134">
        <f>+Actuals!X267</f>
        <v>-45.15</v>
      </c>
      <c r="AB54" s="133">
        <f>+Actuals!Y267</f>
        <v>369477</v>
      </c>
      <c r="AC54" s="134">
        <f>+Actuals!Z267</f>
        <v>997.05</v>
      </c>
      <c r="AD54" s="133">
        <f>+Actuals!AA467</f>
        <v>-617641</v>
      </c>
      <c r="AE54" s="134">
        <f>+Actuals!AB467</f>
        <v>-2113.83</v>
      </c>
      <c r="AF54" s="133">
        <f>+Actuals!AC467</f>
        <v>-195778</v>
      </c>
      <c r="AG54" s="134">
        <f>+Actuals!AD467</f>
        <v>-348.36</v>
      </c>
      <c r="AH54" s="133">
        <f>+Actuals!AE467</f>
        <v>289292</v>
      </c>
      <c r="AI54" s="134">
        <f>+Actuals!AF467</f>
        <v>2260.12</v>
      </c>
      <c r="AJ54" s="133">
        <f>+Actuals!AG467</f>
        <v>-45019</v>
      </c>
      <c r="AK54" s="134">
        <f>+Actuals!AH467</f>
        <v>-750.57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</f>
        <v>0</v>
      </c>
      <c r="S55" s="134">
        <f>+Actuals!P268</f>
        <v>0</v>
      </c>
      <c r="T55" s="133">
        <f>+Actuals!Q268</f>
        <v>0</v>
      </c>
      <c r="U55" s="134">
        <f>+Actuals!R268</f>
        <v>0</v>
      </c>
      <c r="V55" s="133">
        <f>+Actuals!S268</f>
        <v>0</v>
      </c>
      <c r="W55" s="134">
        <f>+Actuals!T268</f>
        <v>0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+Actuals!Y268</f>
        <v>0</v>
      </c>
      <c r="AC55" s="134">
        <f>+Actuals!Z268</f>
        <v>0</v>
      </c>
      <c r="AD55" s="133">
        <f>+Actuals!AA468</f>
        <v>0</v>
      </c>
      <c r="AE55" s="134">
        <f>+Actuals!AB468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  <c r="AJ55" s="133">
        <f>+Actuals!AG468</f>
        <v>0</v>
      </c>
      <c r="AK55" s="134">
        <f>+Actuals!AH468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21945770</v>
      </c>
      <c r="E56" s="39">
        <f t="shared" si="17"/>
        <v>25240.99000000006</v>
      </c>
      <c r="F56" s="61">
        <f t="shared" si="17"/>
        <v>0</v>
      </c>
      <c r="G56" s="39">
        <f t="shared" si="17"/>
        <v>0</v>
      </c>
      <c r="H56" s="61">
        <f t="shared" si="17"/>
        <v>-3179698</v>
      </c>
      <c r="I56" s="39">
        <f t="shared" si="17"/>
        <v>848376.54</v>
      </c>
      <c r="J56" s="61">
        <f t="shared" si="17"/>
        <v>51445002</v>
      </c>
      <c r="K56" s="154">
        <f t="shared" si="17"/>
        <v>603289.94999999995</v>
      </c>
      <c r="L56" s="61">
        <f t="shared" si="17"/>
        <v>-25972291</v>
      </c>
      <c r="M56" s="39">
        <f t="shared" si="17"/>
        <v>-1309355.42</v>
      </c>
      <c r="N56" s="61">
        <f t="shared" si="17"/>
        <v>-180934</v>
      </c>
      <c r="O56" s="39">
        <f t="shared" si="17"/>
        <v>-108995.19</v>
      </c>
      <c r="P56" s="61">
        <f t="shared" si="17"/>
        <v>54047</v>
      </c>
      <c r="Q56" s="39">
        <f t="shared" si="17"/>
        <v>573.23</v>
      </c>
      <c r="R56" s="61">
        <f t="shared" si="17"/>
        <v>0</v>
      </c>
      <c r="S56" s="39">
        <f t="shared" si="17"/>
        <v>770</v>
      </c>
      <c r="T56" s="61">
        <f t="shared" si="17"/>
        <v>0</v>
      </c>
      <c r="U56" s="39">
        <f t="shared" si="17"/>
        <v>-9693</v>
      </c>
      <c r="V56" s="61">
        <f t="shared" si="17"/>
        <v>-24529</v>
      </c>
      <c r="W56" s="39">
        <f t="shared" si="17"/>
        <v>247.05</v>
      </c>
      <c r="X56" s="61">
        <f t="shared" si="17"/>
        <v>-673</v>
      </c>
      <c r="Y56" s="39">
        <f t="shared" si="17"/>
        <v>28.57</v>
      </c>
      <c r="Z56" s="61">
        <f t="shared" si="17"/>
        <v>4515</v>
      </c>
      <c r="AA56" s="39">
        <f t="shared" si="17"/>
        <v>-45.15</v>
      </c>
      <c r="AB56" s="61">
        <f t="shared" si="17"/>
        <v>369477</v>
      </c>
      <c r="AC56" s="39">
        <f t="shared" si="17"/>
        <v>997.05</v>
      </c>
      <c r="AD56" s="61">
        <f t="shared" si="17"/>
        <v>-617641</v>
      </c>
      <c r="AE56" s="39">
        <f t="shared" si="17"/>
        <v>-2113.83</v>
      </c>
      <c r="AF56" s="61">
        <f t="shared" ref="AF56:AK56" si="18">SUM(AF54:AF55)</f>
        <v>-195778</v>
      </c>
      <c r="AG56" s="39">
        <f t="shared" si="18"/>
        <v>-348.36</v>
      </c>
      <c r="AH56" s="61">
        <f t="shared" si="18"/>
        <v>289292</v>
      </c>
      <c r="AI56" s="39">
        <f t="shared" si="18"/>
        <v>2260.12</v>
      </c>
      <c r="AJ56" s="61">
        <f t="shared" si="18"/>
        <v>-45019</v>
      </c>
      <c r="AK56" s="39">
        <f t="shared" si="18"/>
        <v>-750.57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0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0</v>
      </c>
      <c r="T59" s="133">
        <f>+Actuals!Q269</f>
        <v>0</v>
      </c>
      <c r="U59" s="134">
        <f>+Actuals!R269</f>
        <v>200</v>
      </c>
      <c r="V59" s="133">
        <f>+Actuals!S269</f>
        <v>0</v>
      </c>
      <c r="W59" s="134">
        <f>+Actuals!T269</f>
        <v>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0</v>
      </c>
      <c r="AB59" s="133">
        <f>+Actuals!Y269</f>
        <v>0</v>
      </c>
      <c r="AC59" s="134">
        <f>+Actuals!Z269</f>
        <v>0</v>
      </c>
      <c r="AD59" s="133">
        <f>+Actuals!AA469</f>
        <v>0</v>
      </c>
      <c r="AE59" s="134">
        <f>+Actuals!AB469</f>
        <v>-200</v>
      </c>
      <c r="AF59" s="133">
        <f>+Actuals!AC469</f>
        <v>0</v>
      </c>
      <c r="AG59" s="134">
        <f>+Actuals!AD469</f>
        <v>0</v>
      </c>
      <c r="AH59" s="133">
        <f>+Actuals!AE469</f>
        <v>0</v>
      </c>
      <c r="AI59" s="134">
        <f>+Actuals!AF469</f>
        <v>0</v>
      </c>
      <c r="AJ59" s="133">
        <f>+Actuals!AG469</f>
        <v>0</v>
      </c>
      <c r="AK59" s="134">
        <f>+Actuals!AH469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+Actuals!Y270</f>
        <v>0</v>
      </c>
      <c r="AC60" s="134">
        <f>+Actuals!Z270</f>
        <v>0</v>
      </c>
      <c r="AD60" s="133">
        <f>+Actuals!AA470</f>
        <v>0</v>
      </c>
      <c r="AE60" s="134">
        <f>+Actuals!AB470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  <c r="AJ60" s="133">
        <f>+Actuals!AG470</f>
        <v>0</v>
      </c>
      <c r="AK60" s="134">
        <f>+Actuals!AH470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154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200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-200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-56076580</v>
      </c>
      <c r="E64" s="38">
        <f>SUM(G64,I64,K64,M64,O64,Q64,S64,U64,W64,Y64,AA64,AC64,AE64,AG64,AI64,AK64)</f>
        <v>-636909.37999999989</v>
      </c>
      <c r="F64" s="64">
        <f>'TIE-OUT'!R64+RECLASS!R64</f>
        <v>0</v>
      </c>
      <c r="G64" s="68">
        <f>'TIE-OUT'!S64+RECLASS!S64</f>
        <v>93300</v>
      </c>
      <c r="H64" s="133">
        <f>+Actuals!E271</f>
        <v>-25993375</v>
      </c>
      <c r="I64" s="134">
        <f>+Actuals!F271</f>
        <v>-842621.87</v>
      </c>
      <c r="J64" s="133">
        <f>+Actuals!G271</f>
        <v>-41834941</v>
      </c>
      <c r="K64" s="153">
        <f>+Actuals!H271</f>
        <v>-584872.41</v>
      </c>
      <c r="L64" s="133">
        <f>+Actuals!I271</f>
        <v>11484140</v>
      </c>
      <c r="M64" s="134">
        <f>+Actuals!J271</f>
        <v>697160.06</v>
      </c>
      <c r="N64" s="133">
        <f>+Actuals!K271</f>
        <v>227621</v>
      </c>
      <c r="O64" s="134">
        <f>+Actuals!L271</f>
        <v>584.62</v>
      </c>
      <c r="P64" s="133">
        <f>+Actuals!M271</f>
        <v>21347</v>
      </c>
      <c r="Q64" s="134">
        <f>+Actuals!N271</f>
        <v>-24.71</v>
      </c>
      <c r="R64" s="133">
        <f>+Actuals!O271</f>
        <v>-58407</v>
      </c>
      <c r="S64" s="134">
        <f>+Actuals!P271</f>
        <v>375</v>
      </c>
      <c r="T64" s="133">
        <f>+Actuals!Q271</f>
        <v>86495</v>
      </c>
      <c r="U64" s="134">
        <f>+Actuals!R271</f>
        <v>-810</v>
      </c>
      <c r="V64" s="133">
        <f>+Actuals!S271</f>
        <v>-2781</v>
      </c>
      <c r="W64" s="134">
        <f>+Actuals!T271</f>
        <v>-7.0000000000000007E-2</v>
      </c>
      <c r="X64" s="133">
        <f>+Actuals!U271</f>
        <v>-6679</v>
      </c>
      <c r="Y64" s="134">
        <f>+Actuals!V271</f>
        <v>0</v>
      </c>
      <c r="Z64" s="133">
        <f>+Actuals!W271</f>
        <v>0</v>
      </c>
      <c r="AA64" s="134">
        <f>+Actuals!X271</f>
        <v>0</v>
      </c>
      <c r="AB64" s="133">
        <f>+Actuals!Y271</f>
        <v>0</v>
      </c>
      <c r="AC64" s="134">
        <f>+Actuals!Z271</f>
        <v>0</v>
      </c>
      <c r="AD64" s="133">
        <f>+Actuals!AA471</f>
        <v>0</v>
      </c>
      <c r="AE64" s="134">
        <f>+Actuals!AB471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  <c r="AJ64" s="133">
        <f>+Actuals!AG471</f>
        <v>0</v>
      </c>
      <c r="AK64" s="134">
        <f>+Actuals!AH471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498887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34">
        <f>+Actuals!J272</f>
        <v>0</v>
      </c>
      <c r="N65" s="133">
        <f>+Actuals!K272</f>
        <v>0</v>
      </c>
      <c r="O65" s="172">
        <f>+Actuals!L272-40000-31218+100000+330249-3092+143238</f>
        <v>499177</v>
      </c>
      <c r="P65" s="133">
        <f>+Actuals!M272</f>
        <v>0</v>
      </c>
      <c r="Q65" s="134">
        <f>+Actuals!N272+25</f>
        <v>25</v>
      </c>
      <c r="R65" s="133">
        <f>+Actuals!O272</f>
        <v>0</v>
      </c>
      <c r="S65" s="134">
        <f>+Actuals!P272</f>
        <v>0</v>
      </c>
      <c r="T65" s="133">
        <f>+Actuals!Q272</f>
        <v>0</v>
      </c>
      <c r="U65" s="134">
        <f>+Actuals!R272-375</f>
        <v>-375</v>
      </c>
      <c r="V65" s="133">
        <f>+Actuals!S272</f>
        <v>0</v>
      </c>
      <c r="W65" s="134">
        <f>+Actuals!T272+14</f>
        <v>14</v>
      </c>
      <c r="X65" s="133">
        <f>+Actuals!U272</f>
        <v>0</v>
      </c>
      <c r="Y65" s="134">
        <f>+Actuals!V272</f>
        <v>0</v>
      </c>
      <c r="Z65" s="133">
        <f>+Actuals!W272</f>
        <v>0</v>
      </c>
      <c r="AA65" s="134">
        <f>+Actuals!X272+46</f>
        <v>46</v>
      </c>
      <c r="AB65" s="133">
        <f>+Actuals!Y272</f>
        <v>0</v>
      </c>
      <c r="AC65" s="134">
        <f>+Actuals!Z272</f>
        <v>0</v>
      </c>
      <c r="AD65" s="133">
        <f>+Actuals!AA472</f>
        <v>0</v>
      </c>
      <c r="AE65" s="134">
        <f>+Actuals!AB472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  <c r="AJ65" s="133">
        <f>+Actuals!AG472</f>
        <v>0</v>
      </c>
      <c r="AK65" s="134">
        <f>+Actuals!AH472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-56076580</v>
      </c>
      <c r="E66" s="39">
        <f t="shared" si="21"/>
        <v>-138022.37999999989</v>
      </c>
      <c r="F66" s="61">
        <f t="shared" si="21"/>
        <v>0</v>
      </c>
      <c r="G66" s="39">
        <f t="shared" si="21"/>
        <v>93300</v>
      </c>
      <c r="H66" s="61">
        <f t="shared" si="21"/>
        <v>-25993375</v>
      </c>
      <c r="I66" s="39">
        <f t="shared" si="21"/>
        <v>-842621.87</v>
      </c>
      <c r="J66" s="61">
        <f t="shared" si="21"/>
        <v>-41834941</v>
      </c>
      <c r="K66" s="154">
        <f t="shared" si="21"/>
        <v>-584872.41</v>
      </c>
      <c r="L66" s="61">
        <f t="shared" si="21"/>
        <v>11484140</v>
      </c>
      <c r="M66" s="39">
        <f t="shared" si="21"/>
        <v>697160.06</v>
      </c>
      <c r="N66" s="61">
        <f t="shared" si="21"/>
        <v>227621</v>
      </c>
      <c r="O66" s="39">
        <f t="shared" si="21"/>
        <v>499761.62</v>
      </c>
      <c r="P66" s="61">
        <f t="shared" si="21"/>
        <v>21347</v>
      </c>
      <c r="Q66" s="39">
        <f t="shared" si="21"/>
        <v>0.28999999999999915</v>
      </c>
      <c r="R66" s="61">
        <f t="shared" si="21"/>
        <v>-58407</v>
      </c>
      <c r="S66" s="39">
        <f t="shared" si="21"/>
        <v>375</v>
      </c>
      <c r="T66" s="61">
        <f t="shared" si="21"/>
        <v>86495</v>
      </c>
      <c r="U66" s="39">
        <f t="shared" si="21"/>
        <v>-1185</v>
      </c>
      <c r="V66" s="61">
        <f t="shared" si="21"/>
        <v>-2781</v>
      </c>
      <c r="W66" s="39">
        <f t="shared" si="21"/>
        <v>13.93</v>
      </c>
      <c r="X66" s="61">
        <f t="shared" si="21"/>
        <v>-6679</v>
      </c>
      <c r="Y66" s="39">
        <f t="shared" si="21"/>
        <v>0</v>
      </c>
      <c r="Z66" s="61">
        <f t="shared" si="21"/>
        <v>0</v>
      </c>
      <c r="AA66" s="39">
        <f t="shared" si="21"/>
        <v>46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-140015.5</v>
      </c>
      <c r="F70" s="64">
        <f>'TIE-OUT'!R70+RECLASS!R70</f>
        <v>0</v>
      </c>
      <c r="G70" s="68">
        <f>'TIE-OUT'!S70+RECLASS!S70</f>
        <v>-140015.5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+Actuals!Y273</f>
        <v>0</v>
      </c>
      <c r="AC70" s="134">
        <f>+Actuals!Z273</f>
        <v>0</v>
      </c>
      <c r="AD70" s="133">
        <f>+Actuals!AA473</f>
        <v>0</v>
      </c>
      <c r="AE70" s="134">
        <f>+Actuals!AB473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  <c r="AJ70" s="133">
        <f>+Actuals!AG473</f>
        <v>0</v>
      </c>
      <c r="AK70" s="134">
        <f>+Actuals!AH473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+Actuals!Y274</f>
        <v>0</v>
      </c>
      <c r="AC71" s="134">
        <f>+Actuals!Z274</f>
        <v>0</v>
      </c>
      <c r="AD71" s="133">
        <f>+Actuals!AA474</f>
        <v>0</v>
      </c>
      <c r="AE71" s="134">
        <f>+Actuals!AB474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  <c r="AJ71" s="133">
        <f>+Actuals!AG474</f>
        <v>0</v>
      </c>
      <c r="AK71" s="134">
        <f>+Actuals!AH474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-140015.5</v>
      </c>
      <c r="F72" s="61">
        <f t="shared" si="23"/>
        <v>0</v>
      </c>
      <c r="G72" s="39">
        <f t="shared" si="23"/>
        <v>-140015.5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+Actuals!Y275</f>
        <v>0</v>
      </c>
      <c r="AC73" s="134">
        <f>+Actuals!Z275</f>
        <v>0</v>
      </c>
      <c r="AD73" s="133">
        <f>+Actuals!AA475</f>
        <v>0</v>
      </c>
      <c r="AE73" s="134">
        <f>+Actuals!AB475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  <c r="AJ73" s="133">
        <f>+Actuals!AG475</f>
        <v>0</v>
      </c>
      <c r="AK73" s="134">
        <f>+Actuals!AH475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-208274.45999999996</v>
      </c>
      <c r="F74" s="60">
        <f>'TIE-OUT'!R74+RECLASS!R74</f>
        <v>0</v>
      </c>
      <c r="G74" s="60">
        <f>'TIE-OUT'!S74+RECLASS!S74</f>
        <v>-2672238.46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+Actuals!H276+1916516</f>
        <v>1916516</v>
      </c>
      <c r="L74" s="133">
        <f>+Actuals!I276</f>
        <v>0</v>
      </c>
      <c r="M74" s="134">
        <f>+Actuals!J276</f>
        <v>0</v>
      </c>
      <c r="N74" s="133">
        <f>+Actuals!K276</f>
        <v>0</v>
      </c>
      <c r="O74" s="172">
        <f>+Actuals!L276+1784008+788960</f>
        <v>2572968</v>
      </c>
      <c r="P74" s="133">
        <f>+Actuals!M276</f>
        <v>0</v>
      </c>
      <c r="Q74" s="172">
        <f>+Actuals!N156-2025520</f>
        <v>-2025520</v>
      </c>
      <c r="R74" s="133">
        <f>+Actuals!O276</f>
        <v>0</v>
      </c>
      <c r="S74" s="134">
        <f>+Actuals!P276</f>
        <v>0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+Actuals!Y276</f>
        <v>0</v>
      </c>
      <c r="AC74" s="134">
        <f>+Actuals!Z276</f>
        <v>0</v>
      </c>
      <c r="AD74" s="133">
        <f>+Actuals!AA476</f>
        <v>0</v>
      </c>
      <c r="AE74" s="134">
        <f>+Actuals!AB476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  <c r="AJ74" s="133">
        <f>+Actuals!AG476</f>
        <v>0</v>
      </c>
      <c r="AK74" s="134">
        <f>+Actuals!AH476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52800</v>
      </c>
      <c r="F75" s="60">
        <f>'TIE-OUT'!R75+RECLASS!R75</f>
        <v>0</v>
      </c>
      <c r="G75" s="60">
        <f>'TIE-OUT'!S75+RECLASS!S75</f>
        <v>52800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+Actuals!Y277</f>
        <v>0</v>
      </c>
      <c r="AC75" s="134">
        <f>+Actuals!Z277</f>
        <v>0</v>
      </c>
      <c r="AD75" s="133">
        <f>+Actuals!AA477</f>
        <v>0</v>
      </c>
      <c r="AE75" s="134">
        <f>+Actuals!AB477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  <c r="AJ75" s="133">
        <f>+Actuals!AG477</f>
        <v>0</v>
      </c>
      <c r="AK75" s="134">
        <f>+Actuals!AH477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-60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0</v>
      </c>
      <c r="J76" s="133">
        <f>+Actuals!G278</f>
        <v>0</v>
      </c>
      <c r="K76" s="153">
        <f>+Actuals!H278</f>
        <v>-60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+Actuals!Y278</f>
        <v>0</v>
      </c>
      <c r="AC76" s="134">
        <f>+Actuals!Z278</f>
        <v>0</v>
      </c>
      <c r="AD76" s="133">
        <f>+Actuals!AA478</f>
        <v>0</v>
      </c>
      <c r="AE76" s="134">
        <f>+Actuals!AB478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  <c r="AJ76" s="133">
        <f>+Actuals!AG478</f>
        <v>0</v>
      </c>
      <c r="AK76" s="134">
        <f>+Actuals!AH478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+Actuals!Y279</f>
        <v>0</v>
      </c>
      <c r="AC77" s="134">
        <f>+Actuals!Z279</f>
        <v>0</v>
      </c>
      <c r="AD77" s="133">
        <f>+Actuals!AA479</f>
        <v>0</v>
      </c>
      <c r="AE77" s="134">
        <f>+Actuals!AB479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  <c r="AJ77" s="133">
        <f>+Actuals!AG479</f>
        <v>0</v>
      </c>
      <c r="AK77" s="134">
        <f>+Actuals!AH479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+Actuals!Y280</f>
        <v>0</v>
      </c>
      <c r="AC78" s="134">
        <f>+Actuals!Z280</f>
        <v>0</v>
      </c>
      <c r="AD78" s="133">
        <f>+Actuals!AA480</f>
        <v>0</v>
      </c>
      <c r="AE78" s="134">
        <f>+Actuals!AB480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  <c r="AJ78" s="133">
        <f>+Actuals!AG480</f>
        <v>0</v>
      </c>
      <c r="AK78" s="134">
        <f>+Actuals!AH480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+Actuals!Y281</f>
        <v>0</v>
      </c>
      <c r="AC79" s="134">
        <f>+Actuals!Z281</f>
        <v>0</v>
      </c>
      <c r="AD79" s="133">
        <f>+Actuals!AA481</f>
        <v>0</v>
      </c>
      <c r="AE79" s="134">
        <f>+Actuals!AB481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  <c r="AJ79" s="133">
        <f>+Actuals!AG481</f>
        <v>0</v>
      </c>
      <c r="AK79" s="134">
        <f>+Actuals!AH481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+Actuals!Y282</f>
        <v>0</v>
      </c>
      <c r="AC80" s="134">
        <f>+Actuals!Z282</f>
        <v>0</v>
      </c>
      <c r="AD80" s="133">
        <f>+Actuals!AA482</f>
        <v>0</v>
      </c>
      <c r="AE80" s="134">
        <f>+Actuals!AB482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  <c r="AJ80" s="133">
        <f>+Actuals!AG482</f>
        <v>0</v>
      </c>
      <c r="AK80" s="134">
        <f>+Actuals!AH482</f>
        <v>0</v>
      </c>
    </row>
    <row r="81" spans="1:73" x14ac:dyDescent="0.2">
      <c r="A81" s="9">
        <v>40</v>
      </c>
      <c r="B81" s="3"/>
      <c r="C81" s="10" t="s">
        <v>82</v>
      </c>
      <c r="D81" s="60">
        <f t="shared" si="25"/>
        <v>-25993375</v>
      </c>
      <c r="E81" s="38">
        <f t="shared" si="26"/>
        <v>-50600</v>
      </c>
      <c r="F81" s="60">
        <f>'TIE-OUT'!R81+RECLASS!R81</f>
        <v>0</v>
      </c>
      <c r="G81" s="60">
        <f>'TIE-OUT'!S81+RECLASS!S81</f>
        <v>0</v>
      </c>
      <c r="H81" s="133">
        <f>+Actuals!E283-25993375</f>
        <v>-25993375</v>
      </c>
      <c r="I81" s="134">
        <f>+Actuals!F283-50600</f>
        <v>-50600</v>
      </c>
      <c r="J81" s="133">
        <f>+Actuals!G283</f>
        <v>0</v>
      </c>
      <c r="K81" s="153">
        <f>+Actuals!H283-50000</f>
        <v>-50000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</f>
        <v>0</v>
      </c>
      <c r="R81" s="133">
        <f>+Actuals!O283</f>
        <v>0</v>
      </c>
      <c r="S81" s="134">
        <f>+Actuals!P283+50000</f>
        <v>50000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+Actuals!Y283</f>
        <v>0</v>
      </c>
      <c r="AC81" s="134">
        <f>+Actuals!Z283</f>
        <v>0</v>
      </c>
      <c r="AD81" s="133">
        <f>+Actuals!AA483</f>
        <v>0</v>
      </c>
      <c r="AE81" s="134">
        <f>+Actuals!AB483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  <c r="AJ81" s="133">
        <f>+Actuals!AG483</f>
        <v>0</v>
      </c>
      <c r="AK81" s="134">
        <f>+Actuals!AH483</f>
        <v>0</v>
      </c>
    </row>
    <row r="82" spans="1:73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246135.31899999507</v>
      </c>
      <c r="F82" s="92">
        <f>F16+F24+F29+F36+F43+F45+F47+F49</f>
        <v>0</v>
      </c>
      <c r="G82" s="93">
        <f>SUM(G72:G81)+G16+G24+G29+G36+G43+G45+G47+G49+G51+G56+G61+G66</f>
        <v>-10883330.880000001</v>
      </c>
      <c r="H82" s="92">
        <f>H16+H24+H29+H36+H43+H45+H47+H49</f>
        <v>0</v>
      </c>
      <c r="I82" s="93">
        <f>SUM(I72:I81)+I16+I24+I29+I36+I43+I45+I47+I49+I51+I56+I61+I66</f>
        <v>17242287.199999999</v>
      </c>
      <c r="J82" s="92">
        <f>J16+J24+J29+J36+J43+J45+J47+J49</f>
        <v>0</v>
      </c>
      <c r="K82" s="181">
        <f>SUM(K72:K81)+K16+K24+K29+K36+K43+K45+K47+K49+K51+K56+K61+K66</f>
        <v>-6308515.6749999924</v>
      </c>
      <c r="L82" s="92">
        <f>L16+L24+L29+L36+L43+L45+L47+L49</f>
        <v>0</v>
      </c>
      <c r="M82" s="181">
        <f>SUM(M72:M81)+M16+M24+M29+M36+M43+M45+M47+M49+M51+M56+M61+M66</f>
        <v>-115633.51000000804</v>
      </c>
      <c r="N82" s="92">
        <f>N16+N24+N29+N36+N43+N45+N47+N49</f>
        <v>0</v>
      </c>
      <c r="O82" s="93">
        <f>SUM(O72:O81)+O16+O24+O29+O36+O43+O45+O47+O49+O51+O56+O61+O66</f>
        <v>2537899.3450000002</v>
      </c>
      <c r="P82" s="92">
        <f>P16+P24+P29+P36+P43+P45+P47+P49</f>
        <v>0</v>
      </c>
      <c r="Q82" s="93">
        <f>SUM(Q72:Q81)+Q16+Q24+Q29+Q36+Q43+Q45+Q47+Q49+Q51+Q56+Q61+Q66</f>
        <v>-1945701.85</v>
      </c>
      <c r="R82" s="92">
        <f>R16+R24+R29+R36+R43+R45+R47+R49</f>
        <v>0</v>
      </c>
      <c r="S82" s="93">
        <f>SUM(S72:S81)+S16+S24+S29+S36+S43+S45+S47+S49+S51+S56+S61+S66</f>
        <v>33194.785000000003</v>
      </c>
      <c r="T82" s="92">
        <f>T16+T24+T29+T36+T43+T45+T47+T49</f>
        <v>0</v>
      </c>
      <c r="U82" s="93">
        <f>SUM(U72:U81)+U16+U24+U29+U36+U43+U45+U47+U49+U51+U56+U61+U66</f>
        <v>-399186.67599999957</v>
      </c>
      <c r="V82" s="92">
        <f>V16+V24+V29+V36+V43+V45+V47+V49</f>
        <v>0</v>
      </c>
      <c r="W82" s="93">
        <f>SUM(W72:W81)+W16+W24+W29+W36+W43+W45+W47+W49+W51+W56+W61+W66</f>
        <v>201870.22999999998</v>
      </c>
      <c r="X82" s="92">
        <f>X16+X24+X29+X36+X43+X45+X47+X49</f>
        <v>0</v>
      </c>
      <c r="Y82" s="93">
        <f>SUM(Y72:Y81)+Y16+Y24+Y29+Y36+Y43+Y45+Y47+Y49+Y51+Y56+Y61+Y66</f>
        <v>668910.92500000005</v>
      </c>
      <c r="Z82" s="92">
        <f>Z16+Z24+Z29+Z36+Z43+Z45+Z47+Z49</f>
        <v>0</v>
      </c>
      <c r="AA82" s="93">
        <f>SUM(AA72:AA81)+AA16+AA24+AA29+AA36+AA43+AA45+AA47+AA49+AA51+AA56+AA61+AA66</f>
        <v>1415.8799999999114</v>
      </c>
      <c r="AB82" s="92">
        <f>AB16+AB24+AB29+AB36+AB43+AB45+AB47+AB49</f>
        <v>0</v>
      </c>
      <c r="AC82" s="93">
        <f>SUM(AC72:AC81)+AC16+AC24+AC29+AC36+AC43+AC45+AC47+AC49+AC51+AC56+AC61+AC66</f>
        <v>-83433.96500000004</v>
      </c>
      <c r="AD82" s="92">
        <f>AD16+AD24+AD29+AD36+AD43+AD45+AD47+AD49</f>
        <v>0</v>
      </c>
      <c r="AE82" s="93">
        <f>SUM(AE72:AE81)+AE16+AE24+AE29+AE36+AE43+AE45+AE47+AE49+AE51+AE56+AE61+AE66</f>
        <v>-62470.545000000115</v>
      </c>
      <c r="AF82" s="92">
        <f>AF16+AF24+AF29+AF36+AF43+AF45+AF47+AF49</f>
        <v>0</v>
      </c>
      <c r="AG82" s="93">
        <f>SUM(AG72:AG81)+AG16+AG24+AG29+AG36+AG43+AG45+AG47+AG49+AG51+AG56+AG61+AG66</f>
        <v>-68993.109999999971</v>
      </c>
      <c r="AH82" s="92">
        <f>AH16+AH24+AH29+AH36+AH43+AH45+AH47+AH49</f>
        <v>0</v>
      </c>
      <c r="AI82" s="93">
        <f>SUM(AI72:AI81)+AI16+AI24+AI29+AI36+AI43+AI45+AI47+AI49+AI51+AI56+AI61+AI66</f>
        <v>-656308.91000000027</v>
      </c>
      <c r="AJ82" s="92">
        <f>AJ16+AJ24+AJ29+AJ36+AJ43+AJ45+AJ47+AJ49</f>
        <v>0</v>
      </c>
      <c r="AK82" s="93">
        <f>SUM(AK72:AK81)+AK16+AK24+AK29+AK36+AK43+AK45+AK47+AK49+AK51+AK56+AK61+AK66</f>
        <v>84132.074999999968</v>
      </c>
    </row>
    <row r="83" spans="1:73" ht="13.5" thickTop="1" x14ac:dyDescent="0.2">
      <c r="A83" s="4"/>
      <c r="B83" s="3"/>
    </row>
    <row r="84" spans="1:73" x14ac:dyDescent="0.2">
      <c r="A84" s="4"/>
      <c r="B84" s="3"/>
      <c r="I84" s="45"/>
      <c r="K84" s="155">
        <f>+K82-K81</f>
        <v>-6258515.6749999924</v>
      </c>
    </row>
    <row r="85" spans="1:73" x14ac:dyDescent="0.2">
      <c r="A85" s="4" t="s">
        <v>196</v>
      </c>
      <c r="B85" s="3"/>
      <c r="F85" s="31"/>
      <c r="G85" s="31"/>
      <c r="H85" s="31"/>
      <c r="I85" s="31"/>
      <c r="K85"/>
      <c r="L85" s="45"/>
    </row>
    <row r="86" spans="1:73" s="3" customFormat="1" x14ac:dyDescent="0.2">
      <c r="A86" s="183"/>
      <c r="C86" s="10" t="s">
        <v>189</v>
      </c>
      <c r="D86" s="184">
        <f t="shared" ref="D86:E88" si="27">SUM(F86,H86,J86,L86,N86,P86,R86,T86,V86,X86,Z86,AB86,AD86)</f>
        <v>0</v>
      </c>
      <c r="E86" s="184">
        <f t="shared" si="27"/>
        <v>67597.5</v>
      </c>
      <c r="F86" s="184">
        <f>'TIE-OUT'!R86+RECLASS!R86</f>
        <v>0</v>
      </c>
      <c r="G86" s="184">
        <f>'TIE-OUT'!S86+RECLASS!S86</f>
        <v>67597.5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0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</row>
    <row r="87" spans="1:73" s="3" customFormat="1" x14ac:dyDescent="0.2">
      <c r="A87" s="183"/>
      <c r="C87" s="10" t="s">
        <v>75</v>
      </c>
      <c r="D87" s="185">
        <f t="shared" si="27"/>
        <v>0</v>
      </c>
      <c r="E87" s="185">
        <f t="shared" si="27"/>
        <v>0</v>
      </c>
      <c r="F87" s="185">
        <f>'TIE-OUT'!R87+RECLASS!R87</f>
        <v>0</v>
      </c>
      <c r="G87" s="185">
        <f>'TIE-OUT'!S87+RECLASS!S87</f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5">
        <v>0</v>
      </c>
      <c r="Z87" s="185">
        <v>0</v>
      </c>
      <c r="AA87" s="185">
        <v>0</v>
      </c>
      <c r="AB87" s="185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185">
        <v>0</v>
      </c>
      <c r="AJ87" s="185">
        <v>0</v>
      </c>
      <c r="AK87" s="185">
        <v>0</v>
      </c>
    </row>
    <row r="88" spans="1:73" s="3" customFormat="1" x14ac:dyDescent="0.2">
      <c r="A88" s="183"/>
      <c r="C88" s="10" t="s">
        <v>76</v>
      </c>
      <c r="D88" s="186">
        <f t="shared" si="27"/>
        <v>0</v>
      </c>
      <c r="E88" s="186">
        <f t="shared" si="27"/>
        <v>-48600</v>
      </c>
      <c r="F88" s="186">
        <f>'TIE-OUT'!R88+RECLASS!R88</f>
        <v>0</v>
      </c>
      <c r="G88" s="186">
        <f>'TIE-OUT'!S88+RECLASS!S88</f>
        <v>-48600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</row>
    <row r="89" spans="1:73" s="44" customFormat="1" ht="20.25" customHeight="1" x14ac:dyDescent="0.2">
      <c r="A89" s="192"/>
      <c r="B89" s="193"/>
      <c r="C89" s="189" t="s">
        <v>190</v>
      </c>
      <c r="D89" s="196">
        <f>SUM(D86:D88)</f>
        <v>0</v>
      </c>
      <c r="E89" s="196">
        <f t="shared" ref="E89:AE89" si="28">SUM(E86:E88)</f>
        <v>18997.5</v>
      </c>
      <c r="F89" s="196">
        <f t="shared" si="28"/>
        <v>0</v>
      </c>
      <c r="G89" s="196">
        <f t="shared" si="28"/>
        <v>18997.5</v>
      </c>
      <c r="H89" s="196">
        <f t="shared" si="28"/>
        <v>0</v>
      </c>
      <c r="I89" s="196">
        <f t="shared" si="28"/>
        <v>0</v>
      </c>
      <c r="J89" s="196">
        <f t="shared" si="28"/>
        <v>0</v>
      </c>
      <c r="K89" s="196">
        <f t="shared" si="28"/>
        <v>0</v>
      </c>
      <c r="L89" s="196">
        <f t="shared" si="28"/>
        <v>0</v>
      </c>
      <c r="M89" s="196">
        <f t="shared" si="28"/>
        <v>0</v>
      </c>
      <c r="N89" s="196">
        <f t="shared" si="28"/>
        <v>0</v>
      </c>
      <c r="O89" s="196">
        <f t="shared" si="28"/>
        <v>0</v>
      </c>
      <c r="P89" s="196">
        <f t="shared" si="28"/>
        <v>0</v>
      </c>
      <c r="Q89" s="196">
        <f t="shared" si="28"/>
        <v>0</v>
      </c>
      <c r="R89" s="196">
        <f t="shared" si="28"/>
        <v>0</v>
      </c>
      <c r="S89" s="196">
        <f t="shared" si="28"/>
        <v>0</v>
      </c>
      <c r="T89" s="196">
        <f t="shared" si="28"/>
        <v>0</v>
      </c>
      <c r="U89" s="196">
        <f t="shared" si="28"/>
        <v>0</v>
      </c>
      <c r="V89" s="196">
        <f t="shared" si="28"/>
        <v>0</v>
      </c>
      <c r="W89" s="196">
        <f t="shared" si="28"/>
        <v>0</v>
      </c>
      <c r="X89" s="196">
        <f t="shared" si="28"/>
        <v>0</v>
      </c>
      <c r="Y89" s="196">
        <f t="shared" si="28"/>
        <v>0</v>
      </c>
      <c r="Z89" s="196">
        <f t="shared" si="28"/>
        <v>0</v>
      </c>
      <c r="AA89" s="196">
        <f t="shared" si="28"/>
        <v>0</v>
      </c>
      <c r="AB89" s="196">
        <f t="shared" si="28"/>
        <v>0</v>
      </c>
      <c r="AC89" s="196">
        <f t="shared" si="28"/>
        <v>0</v>
      </c>
      <c r="AD89" s="196">
        <f t="shared" si="28"/>
        <v>0</v>
      </c>
      <c r="AE89" s="196">
        <f t="shared" si="28"/>
        <v>0</v>
      </c>
      <c r="AF89" s="196">
        <f t="shared" ref="AF89:AK89" si="29">SUM(AF86:AF88)</f>
        <v>0</v>
      </c>
      <c r="AG89" s="196">
        <f t="shared" si="29"/>
        <v>0</v>
      </c>
      <c r="AH89" s="196">
        <f t="shared" si="29"/>
        <v>0</v>
      </c>
      <c r="AI89" s="196">
        <f t="shared" si="29"/>
        <v>0</v>
      </c>
      <c r="AJ89" s="196">
        <f t="shared" si="29"/>
        <v>0</v>
      </c>
      <c r="AK89" s="196">
        <f t="shared" si="29"/>
        <v>0</v>
      </c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</row>
    <row r="90" spans="1:73" x14ac:dyDescent="0.2">
      <c r="A90" s="4"/>
      <c r="B90" s="3"/>
      <c r="F90" s="31"/>
      <c r="G90" s="31"/>
      <c r="H90" s="31"/>
      <c r="I90" s="31"/>
      <c r="K90"/>
    </row>
    <row r="91" spans="1:73" s="44" customFormat="1" ht="20.25" customHeight="1" x14ac:dyDescent="0.2">
      <c r="A91" s="192"/>
      <c r="B91" s="193"/>
      <c r="C91" s="189" t="s">
        <v>191</v>
      </c>
      <c r="D91" s="196">
        <f>+D82+D89</f>
        <v>0</v>
      </c>
      <c r="E91" s="196">
        <f t="shared" ref="E91:AE91" si="30">+E82+E89</f>
        <v>265132.81899999507</v>
      </c>
      <c r="F91" s="196">
        <f t="shared" si="30"/>
        <v>0</v>
      </c>
      <c r="G91" s="196">
        <f t="shared" si="30"/>
        <v>-10864333.380000001</v>
      </c>
      <c r="H91" s="196">
        <f t="shared" si="30"/>
        <v>0</v>
      </c>
      <c r="I91" s="196">
        <f t="shared" si="30"/>
        <v>17242287.199999999</v>
      </c>
      <c r="J91" s="196">
        <f t="shared" si="30"/>
        <v>0</v>
      </c>
      <c r="K91" s="196">
        <f t="shared" si="30"/>
        <v>-6308515.6749999924</v>
      </c>
      <c r="L91" s="196">
        <f t="shared" si="30"/>
        <v>0</v>
      </c>
      <c r="M91" s="196">
        <f t="shared" si="30"/>
        <v>-115633.51000000804</v>
      </c>
      <c r="N91" s="196">
        <f t="shared" si="30"/>
        <v>0</v>
      </c>
      <c r="O91" s="196">
        <f t="shared" si="30"/>
        <v>2537899.3450000002</v>
      </c>
      <c r="P91" s="196">
        <f t="shared" si="30"/>
        <v>0</v>
      </c>
      <c r="Q91" s="196">
        <f t="shared" si="30"/>
        <v>-1945701.85</v>
      </c>
      <c r="R91" s="196">
        <f t="shared" si="30"/>
        <v>0</v>
      </c>
      <c r="S91" s="196">
        <f t="shared" si="30"/>
        <v>33194.785000000003</v>
      </c>
      <c r="T91" s="196">
        <f t="shared" si="30"/>
        <v>0</v>
      </c>
      <c r="U91" s="196">
        <f t="shared" si="30"/>
        <v>-399186.67599999957</v>
      </c>
      <c r="V91" s="196">
        <f t="shared" si="30"/>
        <v>0</v>
      </c>
      <c r="W91" s="196">
        <f t="shared" si="30"/>
        <v>201870.22999999998</v>
      </c>
      <c r="X91" s="196">
        <f t="shared" si="30"/>
        <v>0</v>
      </c>
      <c r="Y91" s="196">
        <f t="shared" si="30"/>
        <v>668910.92500000005</v>
      </c>
      <c r="Z91" s="196">
        <f t="shared" si="30"/>
        <v>0</v>
      </c>
      <c r="AA91" s="196">
        <f t="shared" si="30"/>
        <v>1415.8799999999114</v>
      </c>
      <c r="AB91" s="196">
        <f t="shared" si="30"/>
        <v>0</v>
      </c>
      <c r="AC91" s="196">
        <f t="shared" si="30"/>
        <v>-83433.96500000004</v>
      </c>
      <c r="AD91" s="196">
        <f t="shared" si="30"/>
        <v>0</v>
      </c>
      <c r="AE91" s="196">
        <f t="shared" si="30"/>
        <v>-62470.545000000115</v>
      </c>
      <c r="AF91" s="196">
        <f t="shared" ref="AF91:AK91" si="31">+AF82+AF89</f>
        <v>0</v>
      </c>
      <c r="AG91" s="196">
        <f t="shared" si="31"/>
        <v>-68993.109999999971</v>
      </c>
      <c r="AH91" s="196">
        <f t="shared" si="31"/>
        <v>0</v>
      </c>
      <c r="AI91" s="196">
        <f t="shared" si="31"/>
        <v>-656308.91000000027</v>
      </c>
      <c r="AJ91" s="196">
        <f t="shared" si="31"/>
        <v>0</v>
      </c>
      <c r="AK91" s="196">
        <f t="shared" si="31"/>
        <v>84132.074999999968</v>
      </c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187"/>
  <sheetViews>
    <sheetView zoomScale="75" workbookViewId="0">
      <pane xSplit="3" ySplit="9" topLeftCell="Y54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22082849</v>
      </c>
      <c r="E11" s="38">
        <f t="shared" si="0"/>
        <v>40894199.420000002</v>
      </c>
      <c r="F11" s="60">
        <f>'TIE-OUT'!P11+RECLASS!P11</f>
        <v>0</v>
      </c>
      <c r="G11" s="38">
        <f>'TIE-OUT'!Q11+RECLASS!Q11</f>
        <v>0</v>
      </c>
      <c r="H11" s="133">
        <f>+Actuals!E4</f>
        <v>21677408</v>
      </c>
      <c r="I11" s="134">
        <f>+Actuals!F4</f>
        <v>42432491.990000002</v>
      </c>
      <c r="J11" s="133">
        <f>+Actuals!G4</f>
        <v>198324</v>
      </c>
      <c r="K11" s="153">
        <f>+Actuals!H4</f>
        <v>-1868158.14</v>
      </c>
      <c r="L11" s="133">
        <f>+Actuals!I4</f>
        <v>61771</v>
      </c>
      <c r="M11" s="134">
        <f>+Actuals!J4</f>
        <v>115192.15</v>
      </c>
      <c r="N11" s="133">
        <f>+Actuals!K4</f>
        <v>-17408</v>
      </c>
      <c r="O11" s="134">
        <f>+Actuals!L4</f>
        <v>-29097.4</v>
      </c>
      <c r="P11" s="133">
        <f>+Actuals!M4</f>
        <v>38192</v>
      </c>
      <c r="Q11" s="134">
        <f>+Actuals!N4</f>
        <v>53304.35</v>
      </c>
      <c r="R11" s="133">
        <f>+Actuals!O4</f>
        <v>468386</v>
      </c>
      <c r="S11" s="134">
        <f>+Actuals!P4</f>
        <v>872722.4</v>
      </c>
      <c r="T11" s="133">
        <f>+Actuals!Q4</f>
        <v>-424857</v>
      </c>
      <c r="U11" s="134">
        <f>+Actuals!R4</f>
        <v>-789120.93</v>
      </c>
      <c r="V11" s="133">
        <f>+Actuals!S4</f>
        <v>-61254</v>
      </c>
      <c r="W11" s="134">
        <f>+Actuals!T4</f>
        <v>-120146.55</v>
      </c>
      <c r="X11" s="133">
        <f>+Actuals!U4</f>
        <v>165263</v>
      </c>
      <c r="Y11" s="134">
        <f>+Actuals!V4</f>
        <v>270206.71999999997</v>
      </c>
      <c r="Z11" s="133">
        <f>+Actuals!W4</f>
        <v>0</v>
      </c>
      <c r="AA11" s="134">
        <f>+Actuals!X4</f>
        <v>0</v>
      </c>
      <c r="AB11" s="133">
        <f>+Actuals!Y4</f>
        <v>-44</v>
      </c>
      <c r="AC11" s="134">
        <f>+Actuals!Z4</f>
        <v>-750.36</v>
      </c>
      <c r="AD11" s="133">
        <f>+Actuals!AA4</f>
        <v>0</v>
      </c>
      <c r="AE11" s="134">
        <f>+Actuals!AB4</f>
        <v>100.47</v>
      </c>
      <c r="AF11" s="133">
        <f>+Actuals!AC4</f>
        <v>0</v>
      </c>
      <c r="AG11" s="134">
        <f>+Actuals!AD4</f>
        <v>0</v>
      </c>
      <c r="AH11" s="133">
        <f>+Actuals!AE4</f>
        <v>-22932</v>
      </c>
      <c r="AI11" s="134">
        <f>+Actuals!AF4</f>
        <v>-42545.279999999999</v>
      </c>
      <c r="AJ11" s="133">
        <f>+Actuals!AG4</f>
        <v>0</v>
      </c>
      <c r="AK11" s="134">
        <f>+Actuals!AH4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-2372979.98</v>
      </c>
      <c r="F12" s="60">
        <f>'TIE-OUT'!P12+RECLASS!P12</f>
        <v>0</v>
      </c>
      <c r="G12" s="38">
        <f>'TIE-OUT'!Q12+RECLASS!Q12</f>
        <v>-2372979.98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  <c r="AJ12" s="133">
        <f>+Actuals!AG5</f>
        <v>0</v>
      </c>
      <c r="AK12" s="134">
        <f>+Actuals!AH5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  <c r="AJ13" s="133">
        <f>+Actuals!AG6</f>
        <v>0</v>
      </c>
      <c r="AK13" s="134">
        <f>+Actuals!AH6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  <c r="AJ14" s="133">
        <f>+Actuals!AG7</f>
        <v>0</v>
      </c>
      <c r="AK14" s="134">
        <f>+Actuals!AH7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  <c r="AJ15" s="133">
        <f>+Actuals!AG8</f>
        <v>0</v>
      </c>
      <c r="AK15" s="134">
        <f>+Actuals!AH8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22082849</v>
      </c>
      <c r="E16" s="39">
        <f t="shared" si="1"/>
        <v>38521219.440000005</v>
      </c>
      <c r="F16" s="61">
        <f t="shared" si="1"/>
        <v>0</v>
      </c>
      <c r="G16" s="39">
        <f t="shared" si="1"/>
        <v>-2372979.98</v>
      </c>
      <c r="H16" s="61">
        <f t="shared" si="1"/>
        <v>21677408</v>
      </c>
      <c r="I16" s="39">
        <f t="shared" si="1"/>
        <v>42432491.990000002</v>
      </c>
      <c r="J16" s="61">
        <f t="shared" si="1"/>
        <v>198324</v>
      </c>
      <c r="K16" s="154">
        <f t="shared" si="1"/>
        <v>-1868158.14</v>
      </c>
      <c r="L16" s="61">
        <f t="shared" si="1"/>
        <v>61771</v>
      </c>
      <c r="M16" s="39">
        <f t="shared" si="1"/>
        <v>115192.15</v>
      </c>
      <c r="N16" s="61">
        <f t="shared" si="1"/>
        <v>-17408</v>
      </c>
      <c r="O16" s="39">
        <f t="shared" si="1"/>
        <v>-29097.4</v>
      </c>
      <c r="P16" s="61">
        <f t="shared" si="1"/>
        <v>38192</v>
      </c>
      <c r="Q16" s="39">
        <f t="shared" si="1"/>
        <v>53304.35</v>
      </c>
      <c r="R16" s="61">
        <f t="shared" si="1"/>
        <v>468386</v>
      </c>
      <c r="S16" s="39">
        <f t="shared" si="1"/>
        <v>872722.4</v>
      </c>
      <c r="T16" s="61">
        <f t="shared" si="1"/>
        <v>-424857</v>
      </c>
      <c r="U16" s="39">
        <f t="shared" si="1"/>
        <v>-789120.93</v>
      </c>
      <c r="V16" s="61">
        <f t="shared" si="1"/>
        <v>-61254</v>
      </c>
      <c r="W16" s="39">
        <f t="shared" si="1"/>
        <v>-120146.55</v>
      </c>
      <c r="X16" s="61">
        <f t="shared" si="1"/>
        <v>165263</v>
      </c>
      <c r="Y16" s="39">
        <f t="shared" si="1"/>
        <v>270206.71999999997</v>
      </c>
      <c r="Z16" s="61">
        <f t="shared" si="1"/>
        <v>0</v>
      </c>
      <c r="AA16" s="39">
        <f t="shared" si="1"/>
        <v>0</v>
      </c>
      <c r="AB16" s="61">
        <f t="shared" si="1"/>
        <v>-44</v>
      </c>
      <c r="AC16" s="39">
        <f t="shared" si="1"/>
        <v>-750.36</v>
      </c>
      <c r="AD16" s="61">
        <f t="shared" si="1"/>
        <v>0</v>
      </c>
      <c r="AE16" s="39">
        <f t="shared" si="1"/>
        <v>100.47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-22932</v>
      </c>
      <c r="AI16" s="39">
        <f t="shared" si="2"/>
        <v>-42545.279999999999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-4925740</v>
      </c>
      <c r="E19" s="38">
        <f t="shared" si="3"/>
        <v>-8633362.5199999977</v>
      </c>
      <c r="F19" s="64">
        <f>'TIE-OUT'!P19+RECLASS!P19</f>
        <v>0</v>
      </c>
      <c r="G19" s="68">
        <f>'TIE-OUT'!Q19+RECLASS!Q19</f>
        <v>0</v>
      </c>
      <c r="H19" s="133">
        <f>+Actuals!E9</f>
        <v>-5174379</v>
      </c>
      <c r="I19" s="134">
        <f>+Actuals!F9</f>
        <v>-9539124.5800000001</v>
      </c>
      <c r="J19" s="133">
        <f>+Actuals!G9</f>
        <v>360614</v>
      </c>
      <c r="K19" s="153">
        <f>+Actuals!H9</f>
        <v>1104181.6499999999</v>
      </c>
      <c r="L19" s="133">
        <f>+Actuals!I9</f>
        <v>11322539</v>
      </c>
      <c r="M19" s="134">
        <f>+Actuals!J9</f>
        <v>20152686.109999999</v>
      </c>
      <c r="N19" s="133">
        <f>+Actuals!K9</f>
        <v>-11265094</v>
      </c>
      <c r="O19" s="134">
        <f>+Actuals!L9</f>
        <v>-20053767.859999999</v>
      </c>
      <c r="P19" s="133">
        <f>+Actuals!M9</f>
        <v>-36954</v>
      </c>
      <c r="Q19" s="134">
        <f>+Actuals!N9</f>
        <v>-64728.33</v>
      </c>
      <c r="R19" s="133">
        <f>+Actuals!O9</f>
        <v>0</v>
      </c>
      <c r="S19" s="134">
        <f>+Actuals!P9</f>
        <v>0</v>
      </c>
      <c r="T19" s="133">
        <f>+Actuals!Q9</f>
        <v>2921</v>
      </c>
      <c r="U19" s="134">
        <f>+Actuals!R9</f>
        <v>4419.47</v>
      </c>
      <c r="V19" s="133">
        <f>+Actuals!S9</f>
        <v>109</v>
      </c>
      <c r="W19" s="134">
        <f>+Actuals!T9</f>
        <v>168.73</v>
      </c>
      <c r="X19" s="133">
        <f>+Actuals!U9</f>
        <v>-147800</v>
      </c>
      <c r="Y19" s="134">
        <f>+Actuals!V9</f>
        <v>-258732.24</v>
      </c>
      <c r="Z19" s="133">
        <f>+Actuals!W9</f>
        <v>-672</v>
      </c>
      <c r="AA19" s="134">
        <f>+Actuals!X9</f>
        <v>-1016.74</v>
      </c>
      <c r="AB19" s="133">
        <f>+Actuals!Y9</f>
        <v>-9956</v>
      </c>
      <c r="AC19" s="134">
        <f>+Actuals!Z9</f>
        <v>-17001.62</v>
      </c>
      <c r="AD19" s="133">
        <f>+Actuals!AA9</f>
        <v>0</v>
      </c>
      <c r="AE19" s="134">
        <f>+Actuals!AB9</f>
        <v>0</v>
      </c>
      <c r="AF19" s="133">
        <f>+Actuals!AC9</f>
        <v>0</v>
      </c>
      <c r="AG19" s="134">
        <f>+Actuals!AD9</f>
        <v>0</v>
      </c>
      <c r="AH19" s="133">
        <f>+Actuals!AE9</f>
        <v>22932</v>
      </c>
      <c r="AI19" s="134">
        <f>+Actuals!AF9</f>
        <v>39552.89</v>
      </c>
      <c r="AJ19" s="133">
        <f>+Actuals!AG9</f>
        <v>0</v>
      </c>
      <c r="AK19" s="134">
        <f>+Actuals!AH9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593197.94999999995</v>
      </c>
      <c r="F20" s="60">
        <f>'TIE-OUT'!P20+RECLASS!P20</f>
        <v>0</v>
      </c>
      <c r="G20" s="38">
        <f>'TIE-OUT'!Q20+RECLASS!Q20</f>
        <v>498027.94999999995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72">
        <f>+Actuals!L10+95170</f>
        <v>95170</v>
      </c>
      <c r="P20" s="133">
        <f>+Actuals!M10</f>
        <v>0</v>
      </c>
      <c r="Q20" s="134">
        <f>+Actuals!N10</f>
        <v>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  <c r="AJ20" s="133">
        <f>+Actuals!AG10</f>
        <v>0</v>
      </c>
      <c r="AK20" s="134">
        <f>+Actuals!AH10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  <c r="AJ21" s="133">
        <f>+Actuals!AG11</f>
        <v>0</v>
      </c>
      <c r="AK21" s="134">
        <f>+Actuals!AH11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  <c r="AJ22" s="133">
        <f>+Actuals!AG12</f>
        <v>0</v>
      </c>
      <c r="AK22" s="134">
        <f>+Actuals!AH12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  <c r="AJ23" s="133">
        <f>+Actuals!AG13</f>
        <v>0</v>
      </c>
      <c r="AK23" s="134">
        <f>+Actuals!AH13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-4925740</v>
      </c>
      <c r="E24" s="39">
        <f t="shared" si="4"/>
        <v>-8040164.5699999975</v>
      </c>
      <c r="F24" s="61">
        <f t="shared" si="4"/>
        <v>0</v>
      </c>
      <c r="G24" s="39">
        <f t="shared" si="4"/>
        <v>498027.94999999995</v>
      </c>
      <c r="H24" s="61">
        <f t="shared" si="4"/>
        <v>-5174379</v>
      </c>
      <c r="I24" s="39">
        <f t="shared" si="4"/>
        <v>-9539124.5800000001</v>
      </c>
      <c r="J24" s="61">
        <f t="shared" si="4"/>
        <v>360614</v>
      </c>
      <c r="K24" s="154">
        <f t="shared" si="4"/>
        <v>1104181.6499999999</v>
      </c>
      <c r="L24" s="61">
        <f t="shared" si="4"/>
        <v>11322539</v>
      </c>
      <c r="M24" s="39">
        <f t="shared" si="4"/>
        <v>20152686.109999999</v>
      </c>
      <c r="N24" s="61">
        <f t="shared" si="4"/>
        <v>-11265094</v>
      </c>
      <c r="O24" s="39">
        <f t="shared" si="4"/>
        <v>-19958597.859999999</v>
      </c>
      <c r="P24" s="61">
        <f t="shared" si="4"/>
        <v>-36954</v>
      </c>
      <c r="Q24" s="39">
        <f t="shared" si="4"/>
        <v>-64728.33</v>
      </c>
      <c r="R24" s="61">
        <f t="shared" si="4"/>
        <v>0</v>
      </c>
      <c r="S24" s="39">
        <f t="shared" si="4"/>
        <v>0</v>
      </c>
      <c r="T24" s="61">
        <f t="shared" si="4"/>
        <v>2921</v>
      </c>
      <c r="U24" s="39">
        <f t="shared" si="4"/>
        <v>4419.47</v>
      </c>
      <c r="V24" s="61">
        <f t="shared" si="4"/>
        <v>109</v>
      </c>
      <c r="W24" s="39">
        <f t="shared" si="4"/>
        <v>168.73</v>
      </c>
      <c r="X24" s="61">
        <f t="shared" si="4"/>
        <v>-147800</v>
      </c>
      <c r="Y24" s="39">
        <f t="shared" si="4"/>
        <v>-258732.24</v>
      </c>
      <c r="Z24" s="61">
        <f t="shared" si="4"/>
        <v>-672</v>
      </c>
      <c r="AA24" s="39">
        <f t="shared" si="4"/>
        <v>-1016.74</v>
      </c>
      <c r="AB24" s="61">
        <f t="shared" si="4"/>
        <v>-9956</v>
      </c>
      <c r="AC24" s="39">
        <f t="shared" si="4"/>
        <v>-17001.62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22932</v>
      </c>
      <c r="AI24" s="39">
        <f t="shared" si="5"/>
        <v>39552.89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2157267</v>
      </c>
      <c r="E27" s="38">
        <f>SUM(G27,I27,K27,M27,O27,Q27,S27,U27,W27,Y27,AA27,AC27,AE27,AG27,AI27,AK27)</f>
        <v>3774601.7866999954</v>
      </c>
      <c r="F27" s="64">
        <f>'TIE-OUT'!P27+RECLASS!P27</f>
        <v>0</v>
      </c>
      <c r="G27" s="68">
        <f>'TIE-OUT'!Q27+RECLASS!Q27</f>
        <v>0</v>
      </c>
      <c r="H27" s="133">
        <f>+Actuals!E14</f>
        <v>24570425</v>
      </c>
      <c r="I27" s="134">
        <f>+Actuals!F14</f>
        <v>43649329.079999998</v>
      </c>
      <c r="J27" s="133">
        <f>+Actuals!G14</f>
        <v>-5098486</v>
      </c>
      <c r="K27" s="153">
        <f>+Actuals!H14</f>
        <v>-9075304.9299999997</v>
      </c>
      <c r="L27" s="133">
        <f>+Actuals!I14</f>
        <v>-320294</v>
      </c>
      <c r="M27" s="134">
        <f>+Actuals!J14</f>
        <v>-553214.87650000001</v>
      </c>
      <c r="N27" s="133">
        <f>+Actuals!K14</f>
        <v>-16979578</v>
      </c>
      <c r="O27" s="134">
        <f>+Actuals!L14</f>
        <v>-30227983.1888</v>
      </c>
      <c r="P27" s="133">
        <f>+Actuals!M14</f>
        <v>-13466</v>
      </c>
      <c r="Q27" s="134">
        <f>+Actuals!N14</f>
        <v>-24246.310399999995</v>
      </c>
      <c r="R27" s="133">
        <f>+Actuals!O14</f>
        <v>-424857</v>
      </c>
      <c r="S27" s="134">
        <f>+Actuals!P14</f>
        <v>-711890.38919999998</v>
      </c>
      <c r="T27" s="133">
        <f>+Actuals!Q14</f>
        <v>424415</v>
      </c>
      <c r="U27" s="134">
        <f>+Actuals!R14</f>
        <v>708633.62959999999</v>
      </c>
      <c r="V27" s="133">
        <f>+Actuals!S14</f>
        <v>17616</v>
      </c>
      <c r="W27" s="134">
        <f>+Actuals!T14</f>
        <v>31241.975999999999</v>
      </c>
      <c r="X27" s="133">
        <f>+Actuals!U14</f>
        <v>-19497</v>
      </c>
      <c r="Y27" s="134">
        <f>+Actuals!V14</f>
        <v>-32669.173200000001</v>
      </c>
      <c r="Z27" s="133">
        <f>+Actuals!W14</f>
        <v>-3843</v>
      </c>
      <c r="AA27" s="134">
        <f>+Actuals!X14</f>
        <v>-6439.3307999999997</v>
      </c>
      <c r="AB27" s="133">
        <f>+Actuals!Y14</f>
        <v>4832</v>
      </c>
      <c r="AC27" s="134">
        <f>+Actuals!Z14</f>
        <v>-957.82999999995809</v>
      </c>
      <c r="AD27" s="133">
        <f>+Actuals!AA14</f>
        <v>0</v>
      </c>
      <c r="AE27" s="134">
        <f>+Actuals!AB14</f>
        <v>0</v>
      </c>
      <c r="AF27" s="133">
        <f>+Actuals!AC14</f>
        <v>0</v>
      </c>
      <c r="AG27" s="134">
        <f>+Actuals!AD14</f>
        <v>0</v>
      </c>
      <c r="AH27" s="133">
        <f>+Actuals!AE14</f>
        <v>0</v>
      </c>
      <c r="AI27" s="134">
        <f>+Actuals!AF14</f>
        <v>18103.13</v>
      </c>
      <c r="AJ27" s="133">
        <f>+Actuals!AG14</f>
        <v>0</v>
      </c>
      <c r="AK27" s="134">
        <f>+Actuals!AH14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-19314947</v>
      </c>
      <c r="E28" s="38">
        <f>SUM(G28,I28,K28,M28,O28,Q28,S28,U28,W28,Y28,AA28,AC28,AE28,AG28,AI28,AK28)</f>
        <v>-34359402.727500007</v>
      </c>
      <c r="F28" s="81">
        <f>'TIE-OUT'!P28+RECLASS!P28</f>
        <v>0</v>
      </c>
      <c r="G28" s="82">
        <f>'TIE-OUT'!Q28+RECLASS!Q28</f>
        <v>0</v>
      </c>
      <c r="H28" s="133">
        <f>+Actuals!E15</f>
        <v>-41073454</v>
      </c>
      <c r="I28" s="134">
        <f>+Actuals!F15</f>
        <v>-72715813.430000007</v>
      </c>
      <c r="J28" s="133">
        <f>+Actuals!G15</f>
        <v>21754448</v>
      </c>
      <c r="K28" s="153">
        <f>+Actuals!H15</f>
        <v>38350615.682499997</v>
      </c>
      <c r="L28" s="133">
        <f>+Actuals!I15</f>
        <v>-11149483</v>
      </c>
      <c r="M28" s="134">
        <f>+Actuals!J15</f>
        <v>-19847509.419999998</v>
      </c>
      <c r="N28" s="133">
        <f>+Actuals!K15</f>
        <v>11141077</v>
      </c>
      <c r="O28" s="134">
        <f>+Actuals!L15</f>
        <v>19831116.739999998</v>
      </c>
      <c r="P28" s="133">
        <f>+Actuals!M15</f>
        <v>5261</v>
      </c>
      <c r="Q28" s="134">
        <f>+Actuals!N15</f>
        <v>9364.58</v>
      </c>
      <c r="R28" s="133">
        <f>+Actuals!O15</f>
        <v>-43529</v>
      </c>
      <c r="S28" s="134">
        <f>+Actuals!P15</f>
        <v>-77431.12</v>
      </c>
      <c r="T28" s="133">
        <f>+Actuals!Q15</f>
        <v>-2479</v>
      </c>
      <c r="U28" s="134">
        <f>+Actuals!R15</f>
        <v>-4412.62</v>
      </c>
      <c r="V28" s="133">
        <f>+Actuals!S15</f>
        <v>43529</v>
      </c>
      <c r="W28" s="134">
        <f>+Actuals!T15</f>
        <v>77431.12</v>
      </c>
      <c r="X28" s="133">
        <f>+Actuals!U15</f>
        <v>0</v>
      </c>
      <c r="Y28" s="134">
        <f>+Actuals!V15</f>
        <v>0</v>
      </c>
      <c r="Z28" s="133">
        <f>+Actuals!W15</f>
        <v>0</v>
      </c>
      <c r="AA28" s="134">
        <f>+Actuals!X15</f>
        <v>0</v>
      </c>
      <c r="AB28" s="133">
        <f>+Actuals!Y15</f>
        <v>9683</v>
      </c>
      <c r="AC28" s="134">
        <f>+Actuals!Z15</f>
        <v>17235.740000000002</v>
      </c>
      <c r="AD28" s="133">
        <f>+Actuals!AA15</f>
        <v>0</v>
      </c>
      <c r="AE28" s="134">
        <f>+Actuals!AB15</f>
        <v>0</v>
      </c>
      <c r="AF28" s="133">
        <f>+Actuals!AC15</f>
        <v>0</v>
      </c>
      <c r="AG28" s="134">
        <f>+Actuals!AD15</f>
        <v>0</v>
      </c>
      <c r="AH28" s="133">
        <f>+Actuals!AE15</f>
        <v>0</v>
      </c>
      <c r="AI28" s="134">
        <f>+Actuals!AF15</f>
        <v>0</v>
      </c>
      <c r="AJ28" s="133">
        <f>+Actuals!AG15</f>
        <v>0</v>
      </c>
      <c r="AK28" s="134">
        <f>+Actuals!AH15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-17157680</v>
      </c>
      <c r="E29" s="39">
        <f t="shared" si="6"/>
        <v>-30584800.940800011</v>
      </c>
      <c r="F29" s="61">
        <f t="shared" si="6"/>
        <v>0</v>
      </c>
      <c r="G29" s="39">
        <f t="shared" si="6"/>
        <v>0</v>
      </c>
      <c r="H29" s="61">
        <f t="shared" si="6"/>
        <v>-16503029</v>
      </c>
      <c r="I29" s="39">
        <f t="shared" si="6"/>
        <v>-29066484.350000009</v>
      </c>
      <c r="J29" s="61">
        <f t="shared" si="6"/>
        <v>16655962</v>
      </c>
      <c r="K29" s="154">
        <f t="shared" si="6"/>
        <v>29275310.752499998</v>
      </c>
      <c r="L29" s="61">
        <f t="shared" si="6"/>
        <v>-11469777</v>
      </c>
      <c r="M29" s="39">
        <f t="shared" si="6"/>
        <v>-20400724.296499997</v>
      </c>
      <c r="N29" s="61">
        <f t="shared" si="6"/>
        <v>-5838501</v>
      </c>
      <c r="O29" s="39">
        <f t="shared" si="6"/>
        <v>-10396866.448800001</v>
      </c>
      <c r="P29" s="61">
        <f t="shared" si="6"/>
        <v>-8205</v>
      </c>
      <c r="Q29" s="39">
        <f t="shared" si="6"/>
        <v>-14881.730399999995</v>
      </c>
      <c r="R29" s="61">
        <f t="shared" si="6"/>
        <v>-468386</v>
      </c>
      <c r="S29" s="39">
        <f t="shared" si="6"/>
        <v>-789321.50919999997</v>
      </c>
      <c r="T29" s="61">
        <f t="shared" si="6"/>
        <v>421936</v>
      </c>
      <c r="U29" s="39">
        <f t="shared" si="6"/>
        <v>704221.00959999999</v>
      </c>
      <c r="V29" s="61">
        <f t="shared" si="6"/>
        <v>61145</v>
      </c>
      <c r="W29" s="39">
        <f t="shared" si="6"/>
        <v>108673.09599999999</v>
      </c>
      <c r="X29" s="61">
        <f t="shared" si="6"/>
        <v>-19497</v>
      </c>
      <c r="Y29" s="39">
        <f t="shared" si="6"/>
        <v>-32669.173200000001</v>
      </c>
      <c r="Z29" s="61">
        <f t="shared" si="6"/>
        <v>-3843</v>
      </c>
      <c r="AA29" s="39">
        <f t="shared" si="6"/>
        <v>-6439.3307999999997</v>
      </c>
      <c r="AB29" s="61">
        <f t="shared" si="6"/>
        <v>14515</v>
      </c>
      <c r="AC29" s="39">
        <f t="shared" si="6"/>
        <v>16277.910000000044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18103.13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571</v>
      </c>
      <c r="E32" s="38">
        <f t="shared" si="8"/>
        <v>979.26899999998841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-86930</v>
      </c>
      <c r="K32" s="153">
        <f>+Actuals!H16</f>
        <v>-149084.95000000001</v>
      </c>
      <c r="L32" s="133">
        <f>+Actuals!I16</f>
        <v>85467</v>
      </c>
      <c r="M32" s="134">
        <f>+Actuals!J16</f>
        <v>146834.856</v>
      </c>
      <c r="N32" s="133">
        <f>+Actuals!K16</f>
        <v>-6967</v>
      </c>
      <c r="O32" s="134">
        <f>+Actuals!L16</f>
        <v>-13075.646000000001</v>
      </c>
      <c r="P32" s="133">
        <f>+Actuals!M16</f>
        <v>6967</v>
      </c>
      <c r="Q32" s="134">
        <f>+Actuals!N16</f>
        <v>11978.4</v>
      </c>
      <c r="R32" s="133">
        <f>+Actuals!O16</f>
        <v>0</v>
      </c>
      <c r="S32" s="134">
        <f>+Actuals!P16</f>
        <v>156.541</v>
      </c>
      <c r="T32" s="133">
        <f>+Actuals!Q16</f>
        <v>0</v>
      </c>
      <c r="U32" s="134">
        <f>+Actuals!R16</f>
        <v>-100.947</v>
      </c>
      <c r="V32" s="133">
        <f>+Actuals!S16</f>
        <v>0</v>
      </c>
      <c r="W32" s="134">
        <f>+Actuals!T16</f>
        <v>-493.03100000000001</v>
      </c>
      <c r="X32" s="133">
        <f>+Actuals!U16</f>
        <v>2034</v>
      </c>
      <c r="Y32" s="134">
        <f>+Actuals!V16</f>
        <v>5422.4089999999997</v>
      </c>
      <c r="Z32" s="133">
        <f>+Actuals!W16</f>
        <v>4515</v>
      </c>
      <c r="AA32" s="134">
        <f>+Actuals!X16</f>
        <v>6861.0780000000004</v>
      </c>
      <c r="AB32" s="133">
        <f>+Actuals!Y16</f>
        <v>-4515</v>
      </c>
      <c r="AC32" s="134">
        <f>+Actuals!Z16</f>
        <v>-7519.4409999999998</v>
      </c>
      <c r="AD32" s="133">
        <f>+Actuals!AA16</f>
        <v>0</v>
      </c>
      <c r="AE32" s="134">
        <f>+Actuals!AB16</f>
        <v>0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  <c r="AJ32" s="133">
        <f>+Actuals!AG16</f>
        <v>0</v>
      </c>
      <c r="AK32" s="134">
        <f>+Actuals!AH16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  <c r="AJ33" s="133">
        <f>+Actuals!AG17</f>
        <v>0</v>
      </c>
      <c r="AK33" s="134">
        <f>+Actuals!AH17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  <c r="AJ34" s="133">
        <f>+Actuals!AG18</f>
        <v>0</v>
      </c>
      <c r="AK34" s="134">
        <f>+Actuals!AH18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  <c r="AJ35" s="133">
        <f>+Actuals!AG19</f>
        <v>0</v>
      </c>
      <c r="AK35" s="134">
        <f>+Actuals!AH19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571</v>
      </c>
      <c r="E36" s="39">
        <f t="shared" si="9"/>
        <v>979.26899999998841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-86930</v>
      </c>
      <c r="K36" s="154">
        <f t="shared" si="9"/>
        <v>-149084.95000000001</v>
      </c>
      <c r="L36" s="61">
        <f t="shared" si="9"/>
        <v>85467</v>
      </c>
      <c r="M36" s="39">
        <f t="shared" si="9"/>
        <v>146834.856</v>
      </c>
      <c r="N36" s="61">
        <f t="shared" si="9"/>
        <v>-6967</v>
      </c>
      <c r="O36" s="39">
        <f t="shared" si="9"/>
        <v>-13075.646000000001</v>
      </c>
      <c r="P36" s="61">
        <f t="shared" si="9"/>
        <v>6967</v>
      </c>
      <c r="Q36" s="39">
        <f t="shared" si="9"/>
        <v>11978.4</v>
      </c>
      <c r="R36" s="61">
        <f t="shared" si="9"/>
        <v>0</v>
      </c>
      <c r="S36" s="39">
        <f t="shared" si="9"/>
        <v>156.541</v>
      </c>
      <c r="T36" s="61">
        <f t="shared" si="9"/>
        <v>0</v>
      </c>
      <c r="U36" s="39">
        <f t="shared" si="9"/>
        <v>-100.947</v>
      </c>
      <c r="V36" s="61">
        <f t="shared" si="9"/>
        <v>0</v>
      </c>
      <c r="W36" s="39">
        <f t="shared" si="9"/>
        <v>-493.03100000000001</v>
      </c>
      <c r="X36" s="61">
        <f t="shared" si="9"/>
        <v>2034</v>
      </c>
      <c r="Y36" s="39">
        <f t="shared" si="9"/>
        <v>5422.4089999999997</v>
      </c>
      <c r="Z36" s="61">
        <f t="shared" si="9"/>
        <v>4515</v>
      </c>
      <c r="AA36" s="39">
        <f t="shared" si="9"/>
        <v>6861.0780000000004</v>
      </c>
      <c r="AB36" s="61">
        <f t="shared" si="9"/>
        <v>-4515</v>
      </c>
      <c r="AC36" s="39">
        <f t="shared" si="9"/>
        <v>-7519.4409999999998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0</v>
      </c>
      <c r="O39" s="134">
        <f>+Actuals!L20</f>
        <v>0</v>
      </c>
      <c r="P39" s="133">
        <f>+Actuals!M20</f>
        <v>0</v>
      </c>
      <c r="Q39" s="134">
        <f>+Actuals!N20</f>
        <v>0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  <c r="AJ39" s="133">
        <f>+Actuals!AG20</f>
        <v>0</v>
      </c>
      <c r="AK39" s="134">
        <f>+Actuals!AH20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33">
        <f>+Actuals!E21</f>
        <v>0</v>
      </c>
      <c r="I40" s="134">
        <f>+Actuals!F21</f>
        <v>0</v>
      </c>
      <c r="J40" s="133">
        <f>+Actuals!G21</f>
        <v>-17127970</v>
      </c>
      <c r="K40" s="153">
        <f>+Actuals!H21</f>
        <v>-37894846.130000003</v>
      </c>
      <c r="L40" s="133">
        <f>+Actuals!I21</f>
        <v>0</v>
      </c>
      <c r="M40" s="134">
        <f>+Actuals!J21</f>
        <v>-3108.62</v>
      </c>
      <c r="N40" s="133">
        <f>+Actuals!K21</f>
        <v>17127970</v>
      </c>
      <c r="O40" s="134">
        <f>+Actuals!L21</f>
        <v>37897954.75</v>
      </c>
      <c r="P40" s="133">
        <f>+Actuals!M21</f>
        <v>0</v>
      </c>
      <c r="Q40" s="134">
        <f>+Actuals!N21</f>
        <v>0</v>
      </c>
      <c r="R40" s="133">
        <f>+Actuals!O21</f>
        <v>0</v>
      </c>
      <c r="S40" s="134">
        <f>+Actuals!P21</f>
        <v>0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  <c r="AJ40" s="133">
        <f>+Actuals!AG21</f>
        <v>0</v>
      </c>
      <c r="AK40" s="134">
        <f>+Actuals!AH21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  <c r="AJ41" s="133">
        <f>+Actuals!AG22</f>
        <v>0</v>
      </c>
      <c r="AK41" s="134">
        <f>+Actuals!AH22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-17127970</v>
      </c>
      <c r="K42" s="154">
        <f t="shared" si="12"/>
        <v>-37894846.130000003</v>
      </c>
      <c r="L42" s="61">
        <f t="shared" si="12"/>
        <v>0</v>
      </c>
      <c r="M42" s="39">
        <f t="shared" si="12"/>
        <v>-3108.62</v>
      </c>
      <c r="N42" s="61">
        <f t="shared" si="12"/>
        <v>17127970</v>
      </c>
      <c r="O42" s="39">
        <f t="shared" si="12"/>
        <v>37897954.75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-17127970</v>
      </c>
      <c r="K43" s="154">
        <f t="shared" si="14"/>
        <v>-37894846.130000003</v>
      </c>
      <c r="L43" s="61">
        <f t="shared" si="14"/>
        <v>0</v>
      </c>
      <c r="M43" s="39">
        <f t="shared" si="14"/>
        <v>-3108.62</v>
      </c>
      <c r="N43" s="61">
        <f t="shared" si="14"/>
        <v>17127970</v>
      </c>
      <c r="O43" s="39">
        <f t="shared" si="14"/>
        <v>37897954.75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  <c r="AJ45" s="133">
        <f>+Actuals!AG23</f>
        <v>0</v>
      </c>
      <c r="AK45" s="134">
        <f>+Actuals!AH23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6920.119999999999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717.56</v>
      </c>
      <c r="L47" s="133">
        <f>+Actuals!I24</f>
        <v>0</v>
      </c>
      <c r="M47" s="134">
        <f>+Actuals!J24</f>
        <v>9717.56</v>
      </c>
      <c r="N47" s="133">
        <f>+Actuals!K24</f>
        <v>0</v>
      </c>
      <c r="O47" s="134">
        <f>+Actuals!L24</f>
        <v>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f>+Actuals!R24</f>
        <v>0</v>
      </c>
      <c r="V47" s="133">
        <f>+Actuals!S24</f>
        <v>0</v>
      </c>
      <c r="W47" s="205">
        <f>+Actuals!T24-12515</f>
        <v>-12515</v>
      </c>
      <c r="X47" s="133">
        <f>+Actuals!U24</f>
        <v>0</v>
      </c>
      <c r="Y47" s="134">
        <f>+Actuals!V24</f>
        <v>0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  <c r="AJ47" s="133">
        <f>+Actuals!AG24</f>
        <v>0</v>
      </c>
      <c r="AK47" s="134">
        <f>+Actuals!AH24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0</v>
      </c>
      <c r="E49" s="38">
        <f t="shared" si="16"/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  <c r="AJ49" s="133">
        <f>+Actuals!AG25</f>
        <v>0</v>
      </c>
      <c r="AK49" s="134">
        <f>+Actuals!AH25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0</v>
      </c>
      <c r="E51" s="38">
        <f t="shared" si="16"/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  <c r="AJ51" s="133">
        <f>+Actuals!AG26</f>
        <v>0</v>
      </c>
      <c r="AK51" s="134">
        <f>+Actuals!AH26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14466592</v>
      </c>
      <c r="E54" s="38">
        <f>SUM(G54,I54,K54,M54,O54,Q54,S54,U54,W54,Y54,AA54,AC54,AE54,AG54,AI54,AK54)</f>
        <v>14317.26</v>
      </c>
      <c r="F54" s="64">
        <f>'TIE-OUT'!P54+RECLASS!P54</f>
        <v>0</v>
      </c>
      <c r="G54" s="68">
        <f>'TIE-OUT'!Q54+RECLASS!Q54</f>
        <v>0</v>
      </c>
      <c r="H54" s="133">
        <f>+Actuals!E27</f>
        <v>-86943</v>
      </c>
      <c r="I54" s="134">
        <f>+Actuals!F27</f>
        <v>14564.58</v>
      </c>
      <c r="J54" s="133">
        <f>+Actuals!G27</f>
        <v>14550611</v>
      </c>
      <c r="K54" s="153">
        <f>+Actuals!H27</f>
        <v>-247.32</v>
      </c>
      <c r="L54" s="133">
        <f>+Actuals!I27</f>
        <v>2924</v>
      </c>
      <c r="M54" s="134">
        <f>+Actuals!J27</f>
        <v>0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0</v>
      </c>
      <c r="X54" s="133">
        <f>+Actuals!U27</f>
        <v>0</v>
      </c>
      <c r="Y54" s="134">
        <f>+Actuals!V27</f>
        <v>0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  <c r="AJ54" s="133">
        <f>+Actuals!AG27</f>
        <v>0</v>
      </c>
      <c r="AK54" s="134">
        <f>+Actuals!AH27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-603096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34">
        <f>+Actuals!J28</f>
        <v>0</v>
      </c>
      <c r="N55" s="133">
        <f>+Actuals!K28</f>
        <v>0</v>
      </c>
      <c r="O55" s="172">
        <f>+Actuals!L28-823333</f>
        <v>-823333</v>
      </c>
      <c r="P55" s="133">
        <f>+Actuals!M28</f>
        <v>0</v>
      </c>
      <c r="Q55" s="134">
        <f>+Actuals!N28</f>
        <v>0</v>
      </c>
      <c r="R55" s="133">
        <f>+Actuals!O28</f>
        <v>0</v>
      </c>
      <c r="S55" s="134">
        <f>+Actuals!P28+220237</f>
        <v>220237</v>
      </c>
      <c r="T55" s="133">
        <f>+Actuals!Q28</f>
        <v>0</v>
      </c>
      <c r="U55" s="134">
        <f>+Actuals!R28</f>
        <v>0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  <c r="AJ55" s="133">
        <f>+Actuals!AG28</f>
        <v>0</v>
      </c>
      <c r="AK55" s="134">
        <f>+Actuals!AH28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14466592</v>
      </c>
      <c r="E56" s="39">
        <f t="shared" si="17"/>
        <v>-588778.74</v>
      </c>
      <c r="F56" s="61">
        <f t="shared" si="17"/>
        <v>0</v>
      </c>
      <c r="G56" s="39">
        <f t="shared" si="17"/>
        <v>0</v>
      </c>
      <c r="H56" s="61">
        <f t="shared" si="17"/>
        <v>-86943</v>
      </c>
      <c r="I56" s="39">
        <f t="shared" si="17"/>
        <v>14564.58</v>
      </c>
      <c r="J56" s="61">
        <f t="shared" si="17"/>
        <v>14550611</v>
      </c>
      <c r="K56" s="154">
        <f t="shared" si="17"/>
        <v>-247.32</v>
      </c>
      <c r="L56" s="61">
        <f t="shared" si="17"/>
        <v>2924</v>
      </c>
      <c r="M56" s="39">
        <f t="shared" si="17"/>
        <v>0</v>
      </c>
      <c r="N56" s="61">
        <f t="shared" si="17"/>
        <v>0</v>
      </c>
      <c r="O56" s="39">
        <f t="shared" si="17"/>
        <v>-823333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220237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1632.12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0</v>
      </c>
      <c r="J59" s="133">
        <f>+Actuals!G29</f>
        <v>0</v>
      </c>
      <c r="K59" s="153">
        <f>+Actuals!H29</f>
        <v>350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0</v>
      </c>
      <c r="P59" s="133">
        <f>+Actuals!M29</f>
        <v>0</v>
      </c>
      <c r="Q59" s="134">
        <f>+Actuals!N29</f>
        <v>312.5</v>
      </c>
      <c r="R59" s="133">
        <f>+Actuals!O29</f>
        <v>0</v>
      </c>
      <c r="S59" s="134">
        <f>+Actuals!P29</f>
        <v>0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969.62</v>
      </c>
      <c r="AB59" s="133">
        <f>+Actuals!Y29</f>
        <v>0</v>
      </c>
      <c r="AC59" s="134">
        <f>+Actuals!Z29</f>
        <v>0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  <c r="AJ59" s="133">
        <f>+Actuals!AG29</f>
        <v>0</v>
      </c>
      <c r="AK59" s="134">
        <f>+Actuals!AH29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</f>
        <v>0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  <c r="AJ60" s="133">
        <f>+Actuals!AG30</f>
        <v>0</v>
      </c>
      <c r="AK60" s="134">
        <f>+Actuals!AH30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1632.12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154">
        <f t="shared" si="19"/>
        <v>350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312.5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969.62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-12032178</v>
      </c>
      <c r="E64" s="38">
        <f>SUM(G64,I64,K64,M64,O64,Q64,S64,U64,W64,Y64,AA64,AC64,AE64,AG64,AI64,AK64)</f>
        <v>-759608.6</v>
      </c>
      <c r="F64" s="64">
        <f>'TIE-OUT'!P64+RECLASS!P64</f>
        <v>0</v>
      </c>
      <c r="G64" s="68">
        <f>'TIE-OUT'!Q64+RECLASS!Q64</f>
        <v>0</v>
      </c>
      <c r="H64" s="133">
        <f>+Actuals!E31</f>
        <v>-14463668</v>
      </c>
      <c r="I64" s="134">
        <f>+Actuals!F31</f>
        <v>-738665.93</v>
      </c>
      <c r="J64" s="133">
        <f>+Actuals!G31</f>
        <v>-14605797</v>
      </c>
      <c r="K64" s="153">
        <f>+Actuals!H31</f>
        <v>-23187.96</v>
      </c>
      <c r="L64" s="133">
        <f>+Actuals!I31</f>
        <v>17035029</v>
      </c>
      <c r="M64" s="134">
        <f>+Actuals!J31</f>
        <v>-550.32000000000005</v>
      </c>
      <c r="N64" s="133">
        <f>+Actuals!K31</f>
        <v>-14083</v>
      </c>
      <c r="O64" s="134">
        <f>+Actuals!L31</f>
        <v>1910.92</v>
      </c>
      <c r="P64" s="133">
        <f>+Actuals!M31</f>
        <v>1564</v>
      </c>
      <c r="Q64" s="134">
        <f>+Actuals!N31</f>
        <v>-201.12</v>
      </c>
      <c r="R64" s="133">
        <f>+Actuals!O31</f>
        <v>0</v>
      </c>
      <c r="S64" s="134">
        <f>+Actuals!P31</f>
        <v>0</v>
      </c>
      <c r="T64" s="133">
        <f>+Actuals!Q31</f>
        <v>0</v>
      </c>
      <c r="U64" s="134">
        <f>+Actuals!R31</f>
        <v>1013.51</v>
      </c>
      <c r="V64" s="133">
        <f>+Actuals!S31</f>
        <v>0</v>
      </c>
      <c r="W64" s="134">
        <f>+Actuals!T31</f>
        <v>52.32</v>
      </c>
      <c r="X64" s="133">
        <f>+Actuals!U31</f>
        <v>262</v>
      </c>
      <c r="Y64" s="134">
        <f>+Actuals!V31</f>
        <v>11.51</v>
      </c>
      <c r="Z64" s="133">
        <f>+Actuals!W31</f>
        <v>4515</v>
      </c>
      <c r="AA64" s="134">
        <f>+Actuals!X31</f>
        <v>-90.75</v>
      </c>
      <c r="AB64" s="133">
        <f>+Actuals!Y31</f>
        <v>10000</v>
      </c>
      <c r="AC64" s="134">
        <f>+Actuals!Z31</f>
        <v>100</v>
      </c>
      <c r="AD64" s="133">
        <f>+Actuals!AA31</f>
        <v>0</v>
      </c>
      <c r="AE64" s="134">
        <f>+Actuals!AB31</f>
        <v>0</v>
      </c>
      <c r="AF64" s="133">
        <f>+Actuals!AC31</f>
        <v>0</v>
      </c>
      <c r="AG64" s="134">
        <f>+Actuals!AD31</f>
        <v>0</v>
      </c>
      <c r="AH64" s="133">
        <f>+Actuals!AE31</f>
        <v>0</v>
      </c>
      <c r="AI64" s="134">
        <f>+Actuals!AF31</f>
        <v>-0.78</v>
      </c>
      <c r="AJ64" s="133">
        <f>+Actuals!AG31</f>
        <v>0</v>
      </c>
      <c r="AK64" s="134">
        <f>+Actuals!AH31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753929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</f>
        <v>0</v>
      </c>
      <c r="N65" s="133">
        <f>+Actuals!K32</f>
        <v>0</v>
      </c>
      <c r="O65" s="172">
        <f>+Actuals!L32-13672-2152+52776+29709+719803-1807</f>
        <v>784657</v>
      </c>
      <c r="P65" s="133">
        <f>+Actuals!M32</f>
        <v>0</v>
      </c>
      <c r="Q65" s="134">
        <f>+Actuals!N32+100</f>
        <v>100</v>
      </c>
      <c r="R65" s="133">
        <f>+Actuals!O32</f>
        <v>0</v>
      </c>
      <c r="S65" s="134">
        <f>+Actuals!P32</f>
        <v>0</v>
      </c>
      <c r="T65" s="133">
        <f>+Actuals!Q32</f>
        <v>0</v>
      </c>
      <c r="U65" s="165">
        <f>+Actuals!R32-1014</f>
        <v>-1014</v>
      </c>
      <c r="V65" s="133">
        <f>+Actuals!S32</f>
        <v>0</v>
      </c>
      <c r="W65" s="134">
        <f>+Actuals!T32-52</f>
        <v>-52</v>
      </c>
      <c r="X65" s="133">
        <f>+Actuals!U32</f>
        <v>0</v>
      </c>
      <c r="Y65" s="134">
        <f>+Actuals!V32</f>
        <v>0</v>
      </c>
      <c r="Z65" s="133">
        <f>+Actuals!W32</f>
        <v>0</v>
      </c>
      <c r="AA65" s="165">
        <f>+Actuals!X32-11+90-29709</f>
        <v>-29630</v>
      </c>
      <c r="AB65" s="133">
        <f>+Actuals!Y32</f>
        <v>0</v>
      </c>
      <c r="AC65" s="165">
        <f>+Actuals!Z32-132</f>
        <v>-132</v>
      </c>
      <c r="AD65" s="133">
        <f>+Actuals!AA32</f>
        <v>0</v>
      </c>
      <c r="AE65" s="134">
        <f>+Actuals!AB32</f>
        <v>0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  <c r="AJ65" s="133">
        <f>+Actuals!AG32</f>
        <v>0</v>
      </c>
      <c r="AK65" s="134">
        <f>+Actuals!AH32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-12032178</v>
      </c>
      <c r="E66" s="39">
        <f t="shared" si="21"/>
        <v>-5679.5999999999767</v>
      </c>
      <c r="F66" s="61">
        <f t="shared" si="21"/>
        <v>0</v>
      </c>
      <c r="G66" s="39">
        <f t="shared" si="21"/>
        <v>0</v>
      </c>
      <c r="H66" s="61">
        <f t="shared" si="21"/>
        <v>-14463668</v>
      </c>
      <c r="I66" s="39">
        <f t="shared" si="21"/>
        <v>-738665.93</v>
      </c>
      <c r="J66" s="61">
        <f t="shared" si="21"/>
        <v>-14605797</v>
      </c>
      <c r="K66" s="154">
        <f t="shared" si="21"/>
        <v>-23187.96</v>
      </c>
      <c r="L66" s="61">
        <f t="shared" si="21"/>
        <v>17035029</v>
      </c>
      <c r="M66" s="39">
        <f t="shared" si="21"/>
        <v>-550.32000000000005</v>
      </c>
      <c r="N66" s="61">
        <f t="shared" si="21"/>
        <v>-14083</v>
      </c>
      <c r="O66" s="39">
        <f t="shared" si="21"/>
        <v>786567.92</v>
      </c>
      <c r="P66" s="61">
        <f t="shared" si="21"/>
        <v>1564</v>
      </c>
      <c r="Q66" s="39">
        <f t="shared" si="21"/>
        <v>-101.12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-0.49000000000000909</v>
      </c>
      <c r="V66" s="61">
        <f t="shared" si="21"/>
        <v>0</v>
      </c>
      <c r="W66" s="39">
        <f t="shared" si="21"/>
        <v>0.32000000000000028</v>
      </c>
      <c r="X66" s="61">
        <f t="shared" si="21"/>
        <v>262</v>
      </c>
      <c r="Y66" s="39">
        <f t="shared" si="21"/>
        <v>11.51</v>
      </c>
      <c r="Z66" s="61">
        <f t="shared" si="21"/>
        <v>4515</v>
      </c>
      <c r="AA66" s="39">
        <f t="shared" si="21"/>
        <v>-29720.75</v>
      </c>
      <c r="AB66" s="61">
        <f t="shared" si="21"/>
        <v>10000</v>
      </c>
      <c r="AC66" s="39">
        <f t="shared" si="21"/>
        <v>-32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-0.78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  <c r="AJ70" s="133">
        <f>+Actuals!AG33</f>
        <v>0</v>
      </c>
      <c r="AK70" s="134">
        <f>+Actuals!AH33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  <c r="AJ71" s="133">
        <f>+Actuals!AG34</f>
        <v>0</v>
      </c>
      <c r="AK71" s="134">
        <f>+Actuals!AH34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  <c r="AJ73" s="133">
        <f>+Actuals!AG35</f>
        <v>0</v>
      </c>
      <c r="AK73" s="134">
        <f>+Actuals!AH35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987000</v>
      </c>
      <c r="F74" s="60">
        <f>'TIE-OUT'!P74+RECLASS!P74</f>
        <v>0</v>
      </c>
      <c r="G74" s="60">
        <f>'TIE-OUT'!Q74+RECLASS!Q74</f>
        <v>987000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  <c r="AJ74" s="133">
        <f>+Actuals!AG36</f>
        <v>0</v>
      </c>
      <c r="AK74" s="134">
        <f>+Actuals!AH36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  <c r="AJ75" s="133">
        <f>+Actuals!AG37</f>
        <v>0</v>
      </c>
      <c r="AK75" s="134">
        <f>+Actuals!AH37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  <c r="AJ76" s="133">
        <f>+Actuals!AG38</f>
        <v>0</v>
      </c>
      <c r="AK76" s="134">
        <f>+Actuals!AH38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  <c r="AJ77" s="133">
        <f>+Actuals!AG39</f>
        <v>0</v>
      </c>
      <c r="AK77" s="134">
        <f>+Actuals!AH39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  <c r="AJ78" s="133">
        <f>+Actuals!AG40</f>
        <v>0</v>
      </c>
      <c r="AK78" s="134">
        <f>+Actuals!AH40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  <c r="AJ79" s="133">
        <f>+Actuals!AG41</f>
        <v>0</v>
      </c>
      <c r="AK79" s="134">
        <f>+Actuals!AH41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  <c r="AJ80" s="133">
        <f>+Actuals!AG42</f>
        <v>0</v>
      </c>
      <c r="AK80" s="134">
        <f>+Actuals!AH42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-34561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72">
        <f>+Actuals!F43-34561</f>
        <v>-34561</v>
      </c>
      <c r="J81" s="133">
        <f>+Actuals!G43</f>
        <v>0</v>
      </c>
      <c r="K81" s="153">
        <f>+Actuals!H43</f>
        <v>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  <c r="AJ81" s="133">
        <f>+Actuals!AG43</f>
        <v>0</v>
      </c>
      <c r="AK81" s="134">
        <f>+Actuals!AH43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-556233.90180000267</v>
      </c>
      <c r="F82" s="92">
        <f>F16+F24+F29+F36+F43+F45+F47+F49</f>
        <v>0</v>
      </c>
      <c r="G82" s="93">
        <f>SUM(G72:G81)+G16+G24+G29+G36+G43+G45+G47+G49+G51+G56+G61+G66</f>
        <v>-1707952.03</v>
      </c>
      <c r="H82" s="92">
        <f>H16+H24+H29+H36+H43+H45+H47+H49</f>
        <v>0</v>
      </c>
      <c r="I82" s="93">
        <f>SUM(I72:I81)+I16+I24+I29+I36+I43+I45+I47+I49+I51+I56+I61+I66</f>
        <v>3077220.7099999948</v>
      </c>
      <c r="J82" s="92">
        <f>J16+J24+J29+J36+J43+J45+J47+J49</f>
        <v>0</v>
      </c>
      <c r="K82" s="118">
        <f>SUM(K72:K81)+K16+K24+K29+K36+K43+K45+K47+K49+K51+K56+K61+K66</f>
        <v>-9554964.5375000034</v>
      </c>
      <c r="L82" s="92">
        <f>L16+L24+L29+L36+L43+L45+L47+L49</f>
        <v>0</v>
      </c>
      <c r="M82" s="93">
        <f>SUM(M72:M81)+M16+M24+M29+M36+M43+M45+M47+M49+M51+M56+M61+M66</f>
        <v>20047.439500000539</v>
      </c>
      <c r="N82" s="92">
        <f>N16+N24+N29+N36+N43+N45+N47+N49</f>
        <v>0</v>
      </c>
      <c r="O82" s="93">
        <f>SUM(O72:O81)+O16+O24+O29+O36+O43+O45+O47+O49+O51+O56+O61+O66</f>
        <v>7463552.3151999991</v>
      </c>
      <c r="P82" s="92">
        <f>P16+P24+P29+P36+P43+P45+P47+P49</f>
        <v>0</v>
      </c>
      <c r="Q82" s="93">
        <f>SUM(Q72:Q81)+Q16+Q24+Q29+Q36+Q43+Q45+Q47+Q49+Q51+Q56+Q61+Q66</f>
        <v>-14115.930399999997</v>
      </c>
      <c r="R82" s="92">
        <f>R16+R24+R29+R36+R43+R45+R47+R49</f>
        <v>0</v>
      </c>
      <c r="S82" s="93">
        <f>SUM(S72:S81)+S16+S24+S29+S36+S43+S45+S47+S49+S51+S56+S61+S66</f>
        <v>303794.43180000002</v>
      </c>
      <c r="T82" s="92">
        <f>T16+T24+T29+T36+T43+T45+T47+T49</f>
        <v>0</v>
      </c>
      <c r="U82" s="93">
        <f>SUM(U72:U81)+U16+U24+U29+U36+U43+U45+U47+U49+U51+U56+U61+U66</f>
        <v>-80581.887400000094</v>
      </c>
      <c r="V82" s="92">
        <f>V16+V24+V29+V36+V43+V45+V47+V49</f>
        <v>0</v>
      </c>
      <c r="W82" s="93">
        <f>SUM(W72:W81)+W16+W24+W29+W36+W43+W45+W47+W49+W51+W56+W61+W66</f>
        <v>-24312.435000000019</v>
      </c>
      <c r="X82" s="92">
        <f>X16+X24+X29+X36+X43+X45+X47+X49</f>
        <v>0</v>
      </c>
      <c r="Y82" s="93">
        <f>SUM(Y72:Y81)+Y16+Y24+Y29+Y36+Y43+Y45+Y47+Y49+Y51+Y56+Y61+Y66</f>
        <v>-15760.77420000002</v>
      </c>
      <c r="Z82" s="92">
        <f>Z16+Z24+Z29+Z36+Z43+Z45+Z47+Z49</f>
        <v>0</v>
      </c>
      <c r="AA82" s="93">
        <f>SUM(AA72:AA81)+AA16+AA24+AA29+AA36+AA43+AA45+AA47+AA49+AA51+AA56+AA61+AA66</f>
        <v>-29346.122799999997</v>
      </c>
      <c r="AB82" s="92">
        <f>AB16+AB24+AB29+AB36+AB43+AB45+AB47+AB49</f>
        <v>0</v>
      </c>
      <c r="AC82" s="93">
        <f>SUM(AC72:AC81)+AC16+AC24+AC29+AC36+AC43+AC45+AC47+AC49+AC51+AC56+AC61+AC66</f>
        <v>-9025.5109999999549</v>
      </c>
      <c r="AD82" s="92">
        <f>AD16+AD24+AD29+AD36+AD43+AD45+AD47+AD49</f>
        <v>0</v>
      </c>
      <c r="AE82" s="93">
        <f>SUM(AE72:AE81)+AE16+AE24+AE29+AE36+AE43+AE45+AE47+AE49+AE51+AE56+AE61+AE66</f>
        <v>100.47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15109.960000000001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C84" s="111" t="s">
        <v>107</v>
      </c>
    </row>
    <row r="85" spans="1:37" x14ac:dyDescent="0.2">
      <c r="A85" s="4"/>
      <c r="B85" s="3"/>
      <c r="C85" s="112" t="s">
        <v>108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  <c r="AK85" s="31">
        <v>0</v>
      </c>
    </row>
    <row r="86" spans="1:37" x14ac:dyDescent="0.2">
      <c r="A86" s="4"/>
      <c r="B86" s="3"/>
      <c r="C86" s="112" t="s">
        <v>109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  <c r="AK86" s="31">
        <f>(AK51-AK85)*0.8929</f>
        <v>0</v>
      </c>
    </row>
    <row r="87" spans="1:37" x14ac:dyDescent="0.2">
      <c r="A87" s="4"/>
      <c r="B87" s="3"/>
      <c r="C87" s="113" t="s">
        <v>110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  <c r="AK87" s="31">
        <f>(AK51-AK85)*0.1071</f>
        <v>0</v>
      </c>
    </row>
    <row r="88" spans="1:37" ht="13.5" thickBot="1" x14ac:dyDescent="0.25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  <c r="AK88" s="115">
        <f>SUM(AK85:AK87)</f>
        <v>0</v>
      </c>
    </row>
    <row r="89" spans="1:37" ht="13.5" thickTop="1" x14ac:dyDescent="0.2">
      <c r="A89" s="4"/>
      <c r="B89" s="3"/>
      <c r="E89" s="37"/>
    </row>
    <row r="90" spans="1:37" x14ac:dyDescent="0.2">
      <c r="A90" s="4"/>
      <c r="B90" s="3"/>
      <c r="C90" s="3" t="s">
        <v>111</v>
      </c>
      <c r="E90" s="31">
        <f>SUM(F90:AE90)</f>
        <v>14317.26</v>
      </c>
      <c r="I90" s="45">
        <f>I54</f>
        <v>14564.58</v>
      </c>
      <c r="K90" s="155">
        <f>K54</f>
        <v>-247.32</v>
      </c>
      <c r="M90" s="45">
        <f>M54</f>
        <v>0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0</v>
      </c>
      <c r="Y90" s="45">
        <f>Y54</f>
        <v>0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  <c r="AK90" s="45">
        <f>AK54</f>
        <v>0</v>
      </c>
    </row>
    <row r="91" spans="1:37" x14ac:dyDescent="0.2">
      <c r="A91" s="4"/>
      <c r="B91" s="3"/>
      <c r="C91" s="116" t="s">
        <v>112</v>
      </c>
      <c r="E91" s="31">
        <f>SUM(F91:AE91)</f>
        <v>-603096</v>
      </c>
      <c r="I91" s="45">
        <f>I55</f>
        <v>0</v>
      </c>
      <c r="K91" s="155">
        <f>K55</f>
        <v>0</v>
      </c>
      <c r="M91" s="45">
        <f>M55</f>
        <v>0</v>
      </c>
      <c r="O91" s="45">
        <f>O55</f>
        <v>-823333</v>
      </c>
      <c r="Q91" s="45">
        <f>Q55</f>
        <v>0</v>
      </c>
      <c r="S91" s="45">
        <f>S55</f>
        <v>220237</v>
      </c>
      <c r="U91" s="45">
        <f>U55</f>
        <v>0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  <c r="AK91" s="45">
        <f>AK55</f>
        <v>0</v>
      </c>
    </row>
    <row r="92" spans="1:37" ht="13.5" thickBot="1" x14ac:dyDescent="0.25">
      <c r="A92" s="4"/>
      <c r="B92" s="3"/>
      <c r="C92" s="114" t="s">
        <v>113</v>
      </c>
      <c r="E92" s="115">
        <f>SUM(E90:E91)</f>
        <v>-588778.74</v>
      </c>
    </row>
    <row r="93" spans="1:37" ht="13.5" thickTop="1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U187"/>
  <sheetViews>
    <sheetView zoomScale="75" workbookViewId="0">
      <pane xSplit="3" ySplit="9" topLeftCell="F76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36601806</v>
      </c>
      <c r="E11" s="38">
        <f t="shared" si="0"/>
        <v>74958078.790000007</v>
      </c>
      <c r="F11" s="60">
        <f>('TIE-OUT'!P11+'TIE-OUT'!R11)+(RECLASS!P11+RECLASS!R11)</f>
        <v>0</v>
      </c>
      <c r="G11" s="38">
        <f>('TIE-OUT'!Q11+'TIE-OUT'!S11)+(RECLASS!Q11+RECLASS!S11)</f>
        <v>0</v>
      </c>
      <c r="H11" s="60">
        <f>'TX-EGM-GL'!H11+'TX-HPL-GL '!H11</f>
        <v>35865048</v>
      </c>
      <c r="I11" s="38">
        <f>'TX-EGM-GL'!I11+'TX-HPL-GL '!I11</f>
        <v>74705673.439999998</v>
      </c>
      <c r="J11" s="60">
        <f>'TX-EGM-GL'!J11+'TX-HPL-GL '!J11</f>
        <v>-2154671</v>
      </c>
      <c r="K11" s="38">
        <f>'TX-EGM-GL'!K11+'TX-HPL-GL '!K11</f>
        <v>-5792654.5700000003</v>
      </c>
      <c r="L11" s="60">
        <f>'TX-EGM-GL'!L11+'TX-HPL-GL '!L11</f>
        <v>-1007829</v>
      </c>
      <c r="M11" s="38">
        <f>'TX-EGM-GL'!M11+'TX-HPL-GL '!M11</f>
        <v>-1095189.9200000002</v>
      </c>
      <c r="N11" s="60">
        <f>'TX-EGM-GL'!N11+'TX-HPL-GL '!N11</f>
        <v>658764</v>
      </c>
      <c r="O11" s="38">
        <f>'TX-EGM-GL'!O11+'TX-HPL-GL '!O11</f>
        <v>1363675.81</v>
      </c>
      <c r="P11" s="60">
        <f>'TX-EGM-GL'!P11+'TX-HPL-GL '!P11</f>
        <v>75391</v>
      </c>
      <c r="Q11" s="38">
        <f>'TX-EGM-GL'!Q11+'TX-HPL-GL '!Q11</f>
        <v>155275.54</v>
      </c>
      <c r="R11" s="60">
        <f>'TX-EGM-GL'!R11+'TX-HPL-GL '!R11</f>
        <v>384641</v>
      </c>
      <c r="S11" s="38">
        <f>'TX-EGM-GL'!S11+'TX-HPL-GL '!S11</f>
        <v>690728.8</v>
      </c>
      <c r="T11" s="60">
        <f>'TX-EGM-GL'!T11+'TX-HPL-GL '!T11</f>
        <v>2551990</v>
      </c>
      <c r="U11" s="38">
        <f>'TX-EGM-GL'!U11+'TX-HPL-GL '!U11</f>
        <v>4493994.4400000004</v>
      </c>
      <c r="V11" s="60">
        <f>'TX-EGM-GL'!V11+'TX-HPL-GL '!V11</f>
        <v>57949</v>
      </c>
      <c r="W11" s="38">
        <f>'TX-EGM-GL'!W11+'TX-HPL-GL '!W11</f>
        <v>156605.77000000002</v>
      </c>
      <c r="X11" s="60">
        <f>'TX-EGM-GL'!X11+'TX-HPL-GL '!X11</f>
        <v>162025</v>
      </c>
      <c r="Y11" s="38">
        <f>'TX-EGM-GL'!Y11+'TX-HPL-GL '!Y11</f>
        <v>266147.88999999996</v>
      </c>
      <c r="Z11" s="60">
        <f>'TX-EGM-GL'!Z11+'TX-HPL-GL '!Z11</f>
        <v>8542</v>
      </c>
      <c r="AA11" s="38">
        <f>'TX-EGM-GL'!AA11+'TX-HPL-GL '!AA11</f>
        <v>14471.48</v>
      </c>
      <c r="AB11" s="60">
        <f>'TX-EGM-GL'!AB11+'TX-HPL-GL '!AB11</f>
        <v>-44</v>
      </c>
      <c r="AC11" s="38">
        <f>'TX-EGM-GL'!AC11+'TX-HPL-GL '!AC11</f>
        <v>-750.36</v>
      </c>
      <c r="AD11" s="60">
        <f>'TX-EGM-GL'!AD11+'TX-HPL-GL '!AD11</f>
        <v>0</v>
      </c>
      <c r="AE11" s="38">
        <f>'TX-EGM-GL'!AE11+'TX-HPL-GL '!AE11</f>
        <v>100.47</v>
      </c>
      <c r="AF11" s="60">
        <f>'TX-EGM-GL'!AL11+'TX-HPL-GL '!AL11</f>
        <v>0</v>
      </c>
      <c r="AG11" s="38">
        <f>'TX-EGM-GL'!AM11+'TX-HPL-GL '!AM11</f>
        <v>0</v>
      </c>
      <c r="AH11" s="60">
        <f>'TX-EGM-GL'!AN11+'TX-HPL-GL '!AN11</f>
        <v>0</v>
      </c>
      <c r="AI11" s="38">
        <f>'TX-EGM-GL'!AO11+'TX-HPL-GL '!AO11</f>
        <v>0</v>
      </c>
      <c r="AJ11" s="60">
        <f>'TX-EGM-GL'!AP11+'TX-HPL-GL '!AP11</f>
        <v>0</v>
      </c>
      <c r="AK11" s="38">
        <f>'TX-EGM-GL'!AQ11+'TX-HPL-GL '!AQ11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-11120823.210000001</v>
      </c>
      <c r="F12" s="60">
        <f>('TIE-OUT'!P12+'TIE-OUT'!R12)+(RECLASS!P12+RECLASS!R12)</f>
        <v>0</v>
      </c>
      <c r="G12" s="38">
        <f>('TIE-OUT'!Q12+'TIE-OUT'!S12)+(RECLASS!Q12+RECLASS!S12)</f>
        <v>-11120823.210000001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'TX-EGM-GL'!AL12+'TX-HPL-GL '!AL12</f>
        <v>0</v>
      </c>
      <c r="AG12" s="38">
        <f>'TX-EGM-GL'!AM12+'TX-HPL-GL '!AM12</f>
        <v>0</v>
      </c>
      <c r="AH12" s="60">
        <f>'TX-EGM-GL'!AN12+'TX-HPL-GL '!AN12</f>
        <v>0</v>
      </c>
      <c r="AI12" s="38">
        <f>'TX-EGM-GL'!AO12+'TX-HPL-GL '!AO12</f>
        <v>0</v>
      </c>
      <c r="AJ12" s="60">
        <f>'TX-EGM-GL'!AP12+'TX-HPL-GL '!AP12</f>
        <v>0</v>
      </c>
      <c r="AK12" s="38">
        <f>'TX-EGM-GL'!AQ12+'TX-HPL-GL '!AQ12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2871933</v>
      </c>
      <c r="E13" s="38">
        <f t="shared" si="0"/>
        <v>4876788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1181827</v>
      </c>
      <c r="I13" s="38">
        <f>'TX-EGM-GL'!I13+'TX-HPL-GL '!I13</f>
        <v>2001964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-219516</v>
      </c>
      <c r="M13" s="38">
        <f>'TX-EGM-GL'!M13+'TX-HPL-GL '!M13</f>
        <v>-368409</v>
      </c>
      <c r="N13" s="60">
        <f>'TX-EGM-GL'!N13+'TX-HPL-GL '!N13</f>
        <v>0</v>
      </c>
      <c r="O13" s="38">
        <f>'TX-EGM-GL'!O13+'TX-HPL-GL '!O13</f>
        <v>691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-5000</v>
      </c>
      <c r="U13" s="38">
        <f>'TX-EGM-GL'!U13+'TX-HPL-GL '!U13</f>
        <v>-8650</v>
      </c>
      <c r="V13" s="60">
        <f>'TX-EGM-GL'!V13+'TX-HPL-GL '!V13</f>
        <v>0</v>
      </c>
      <c r="W13" s="38">
        <f>'TX-EGM-GL'!W13+'TX-HPL-GL '!W13</f>
        <v>0</v>
      </c>
      <c r="X13" s="60">
        <f>'TX-EGM-GL'!X13+'TX-HPL-GL '!X13</f>
        <v>957311</v>
      </c>
      <c r="Y13" s="38">
        <f>'TX-EGM-GL'!Y13+'TX-HPL-GL '!Y13</f>
        <v>1625596</v>
      </c>
      <c r="Z13" s="60">
        <f>'TX-EGM-GL'!Z13+'TX-HPL-GL '!Z13</f>
        <v>957311</v>
      </c>
      <c r="AA13" s="38">
        <f>'TX-EGM-GL'!AA13+'TX-HPL-GL '!AA13</f>
        <v>1625596</v>
      </c>
      <c r="AB13" s="60">
        <f>'TX-EGM-GL'!AB13+'TX-HPL-GL '!AB13</f>
        <v>-1690106</v>
      </c>
      <c r="AC13" s="38">
        <f>'TX-EGM-GL'!AC13+'TX-HPL-GL '!AC13</f>
        <v>-2874824</v>
      </c>
      <c r="AD13" s="60">
        <f>'TX-EGM-GL'!AD13+'TX-HPL-GL '!AD13</f>
        <v>1690106</v>
      </c>
      <c r="AE13" s="38">
        <f>'TX-EGM-GL'!AE13+'TX-HPL-GL '!AE13</f>
        <v>2874824</v>
      </c>
      <c r="AF13" s="60">
        <f>'TX-EGM-GL'!AL13+'TX-HPL-GL '!AL13</f>
        <v>0</v>
      </c>
      <c r="AG13" s="38">
        <f>'TX-EGM-GL'!AM13+'TX-HPL-GL '!AM13</f>
        <v>0</v>
      </c>
      <c r="AH13" s="60">
        <f>'TX-EGM-GL'!AN13+'TX-HPL-GL '!AN13</f>
        <v>0</v>
      </c>
      <c r="AI13" s="38">
        <f>'TX-EGM-GL'!AO13+'TX-HPL-GL '!AO13</f>
        <v>0</v>
      </c>
      <c r="AJ13" s="60">
        <f>'TX-EGM-GL'!AP13+'TX-HPL-GL '!AP13</f>
        <v>0</v>
      </c>
      <c r="AK13" s="38">
        <f>'TX-EGM-GL'!AQ13+'TX-HPL-GL '!AQ13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'TX-EGM-GL'!AL14+'TX-HPL-GL '!AL14</f>
        <v>0</v>
      </c>
      <c r="AG14" s="38">
        <f>'TX-EGM-GL'!AM14+'TX-HPL-GL '!AM14</f>
        <v>0</v>
      </c>
      <c r="AH14" s="60">
        <f>'TX-EGM-GL'!AN14+'TX-HPL-GL '!AN14</f>
        <v>0</v>
      </c>
      <c r="AI14" s="38">
        <f>'TX-EGM-GL'!AO14+'TX-HPL-GL '!AO14</f>
        <v>0</v>
      </c>
      <c r="AJ14" s="60">
        <f>'TX-EGM-GL'!AP14+'TX-HPL-GL '!AP14</f>
        <v>0</v>
      </c>
      <c r="AK14" s="38">
        <f>'TX-EGM-GL'!AQ14+'TX-HPL-GL '!AQ14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'TX-EGM-GL'!AL15+'TX-HPL-GL '!AL15</f>
        <v>0</v>
      </c>
      <c r="AG15" s="38">
        <f>'TX-EGM-GL'!AM15+'TX-HPL-GL '!AM15</f>
        <v>0</v>
      </c>
      <c r="AH15" s="60">
        <f>'TX-EGM-GL'!AN15+'TX-HPL-GL '!AN15</f>
        <v>0</v>
      </c>
      <c r="AI15" s="38">
        <f>'TX-EGM-GL'!AO15+'TX-HPL-GL '!AO15</f>
        <v>0</v>
      </c>
      <c r="AJ15" s="60">
        <f>'TX-EGM-GL'!AP15+'TX-HPL-GL '!AP15</f>
        <v>0</v>
      </c>
      <c r="AK15" s="38">
        <f>'TX-EGM-GL'!AQ15+'TX-HPL-GL '!AQ15</f>
        <v>0</v>
      </c>
    </row>
    <row r="16" spans="1:37" x14ac:dyDescent="0.2">
      <c r="A16" s="9"/>
      <c r="B16" s="7" t="s">
        <v>34</v>
      </c>
      <c r="C16" s="6"/>
      <c r="D16" s="61">
        <f>SUM(D11:D15)</f>
        <v>39473739</v>
      </c>
      <c r="E16" s="39">
        <f>SUM(E11:E15)</f>
        <v>68714043.580000013</v>
      </c>
      <c r="F16" s="61">
        <f t="shared" ref="F16:AD16" si="1">SUM(F11:F15)</f>
        <v>0</v>
      </c>
      <c r="G16" s="39">
        <f t="shared" si="1"/>
        <v>-11120823.210000001</v>
      </c>
      <c r="H16" s="61">
        <f t="shared" si="1"/>
        <v>37046875</v>
      </c>
      <c r="I16" s="39">
        <f t="shared" si="1"/>
        <v>76707637.439999998</v>
      </c>
      <c r="J16" s="61">
        <f t="shared" si="1"/>
        <v>-2154671</v>
      </c>
      <c r="K16" s="39">
        <f t="shared" si="1"/>
        <v>-5792654.5700000003</v>
      </c>
      <c r="L16" s="61">
        <f t="shared" si="1"/>
        <v>-1227345</v>
      </c>
      <c r="M16" s="39">
        <f t="shared" si="1"/>
        <v>-1463598.9200000002</v>
      </c>
      <c r="N16" s="61">
        <f t="shared" si="1"/>
        <v>658764</v>
      </c>
      <c r="O16" s="39">
        <f t="shared" si="1"/>
        <v>1364366.81</v>
      </c>
      <c r="P16" s="61">
        <f t="shared" si="1"/>
        <v>75391</v>
      </c>
      <c r="Q16" s="39">
        <f t="shared" si="1"/>
        <v>155275.54</v>
      </c>
      <c r="R16" s="61">
        <f t="shared" si="1"/>
        <v>384641</v>
      </c>
      <c r="S16" s="39">
        <f t="shared" si="1"/>
        <v>690728.8</v>
      </c>
      <c r="T16" s="61">
        <f t="shared" si="1"/>
        <v>2546990</v>
      </c>
      <c r="U16" s="39">
        <f t="shared" ref="U16:AE16" si="2">SUM(U11:U15)</f>
        <v>4485344.4400000004</v>
      </c>
      <c r="V16" s="61">
        <f t="shared" si="1"/>
        <v>57949</v>
      </c>
      <c r="W16" s="39">
        <f t="shared" si="2"/>
        <v>156605.77000000002</v>
      </c>
      <c r="X16" s="61">
        <f t="shared" si="1"/>
        <v>1119336</v>
      </c>
      <c r="Y16" s="39">
        <f t="shared" si="2"/>
        <v>1891743.89</v>
      </c>
      <c r="Z16" s="61">
        <f t="shared" si="1"/>
        <v>965853</v>
      </c>
      <c r="AA16" s="39">
        <f t="shared" si="2"/>
        <v>1640067.48</v>
      </c>
      <c r="AB16" s="61">
        <f t="shared" si="1"/>
        <v>-1690150</v>
      </c>
      <c r="AC16" s="39">
        <f t="shared" si="2"/>
        <v>-2875574.36</v>
      </c>
      <c r="AD16" s="61">
        <f t="shared" si="1"/>
        <v>1690106</v>
      </c>
      <c r="AE16" s="39">
        <f t="shared" si="2"/>
        <v>2874924.47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-27139328</v>
      </c>
      <c r="E19" s="38">
        <f t="shared" si="4"/>
        <v>-47331125.999999993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-27308730</v>
      </c>
      <c r="I19" s="38">
        <f>'TX-EGM-GL'!I19+'TX-HPL-GL '!I19</f>
        <v>-38513975.759999998</v>
      </c>
      <c r="J19" s="60">
        <f>'TX-EGM-GL'!J19+'TX-HPL-GL '!J19</f>
        <v>28693101</v>
      </c>
      <c r="K19" s="38">
        <f>'TX-EGM-GL'!K19+'TX-HPL-GL '!K19</f>
        <v>41826772.280000001</v>
      </c>
      <c r="L19" s="60">
        <f>'TX-EGM-GL'!L19+'TX-HPL-GL '!L19</f>
        <v>-16452145</v>
      </c>
      <c r="M19" s="38">
        <f>'TX-EGM-GL'!M19+'TX-HPL-GL '!M19</f>
        <v>-29187656.160000004</v>
      </c>
      <c r="N19" s="60">
        <f>'TX-EGM-GL'!N19+'TX-HPL-GL '!N19</f>
        <v>-11791195</v>
      </c>
      <c r="O19" s="38">
        <f>'TX-EGM-GL'!O19+'TX-HPL-GL '!O19</f>
        <v>-20979307.989999998</v>
      </c>
      <c r="P19" s="60">
        <f>'TX-EGM-GL'!P19+'TX-HPL-GL '!P19</f>
        <v>-25133</v>
      </c>
      <c r="Q19" s="38">
        <f>'TX-EGM-GL'!Q19+'TX-HPL-GL '!Q19</f>
        <v>-47203.91</v>
      </c>
      <c r="R19" s="60">
        <f>'TX-EGM-GL'!R19+'TX-HPL-GL '!R19</f>
        <v>6585</v>
      </c>
      <c r="S19" s="38">
        <f>'TX-EGM-GL'!S19+'TX-HPL-GL '!S19</f>
        <v>13221.6</v>
      </c>
      <c r="T19" s="60">
        <f>'TX-EGM-GL'!T19+'TX-HPL-GL '!T19</f>
        <v>64900</v>
      </c>
      <c r="U19" s="38">
        <f>'TX-EGM-GL'!U19+'TX-HPL-GL '!U19</f>
        <v>124527.16</v>
      </c>
      <c r="V19" s="60">
        <f>'TX-EGM-GL'!V19+'TX-HPL-GL '!V19</f>
        <v>-129742</v>
      </c>
      <c r="W19" s="38">
        <f>'TX-EGM-GL'!W19+'TX-HPL-GL '!W19</f>
        <v>-226747.88999999998</v>
      </c>
      <c r="X19" s="60">
        <f>'TX-EGM-GL'!X19+'TX-HPL-GL '!X19</f>
        <v>-148473</v>
      </c>
      <c r="Y19" s="38">
        <f>'TX-EGM-GL'!Y19+'TX-HPL-GL '!Y19</f>
        <v>-259779.38999999998</v>
      </c>
      <c r="Z19" s="60">
        <f>'TX-EGM-GL'!Z19+'TX-HPL-GL '!Z19</f>
        <v>-48540</v>
      </c>
      <c r="AA19" s="38">
        <f>'TX-EGM-GL'!AA19+'TX-HPL-GL '!AA19</f>
        <v>-81674.320000000007</v>
      </c>
      <c r="AB19" s="60">
        <f>'TX-EGM-GL'!AB19+'TX-HPL-GL '!AB19</f>
        <v>44</v>
      </c>
      <c r="AC19" s="38">
        <f>'TX-EGM-GL'!AC19+'TX-HPL-GL '!AC19</f>
        <v>698.38000000000102</v>
      </c>
      <c r="AD19" s="60">
        <f>'TX-EGM-GL'!AD19+'TX-HPL-GL '!AD19</f>
        <v>0</v>
      </c>
      <c r="AE19" s="38">
        <f>'TX-EGM-GL'!AE19+'TX-HPL-GL '!AE19</f>
        <v>0</v>
      </c>
      <c r="AF19" s="60">
        <f>'TX-EGM-GL'!AL19+'TX-HPL-GL '!AL19</f>
        <v>0</v>
      </c>
      <c r="AG19" s="38">
        <f>'TX-EGM-GL'!AM19+'TX-HPL-GL '!AM19</f>
        <v>0</v>
      </c>
      <c r="AH19" s="60">
        <f>'TX-EGM-GL'!AN19+'TX-HPL-GL '!AN19</f>
        <v>0</v>
      </c>
      <c r="AI19" s="38">
        <f>'TX-EGM-GL'!AO19+'TX-HPL-GL '!AO19</f>
        <v>0</v>
      </c>
      <c r="AJ19" s="60">
        <f>'TX-EGM-GL'!AP19+'TX-HPL-GL '!AP19</f>
        <v>0</v>
      </c>
      <c r="AK19" s="38">
        <f>'TX-EGM-GL'!AQ19+'TX-HPL-GL '!AQ19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1128857.28</v>
      </c>
      <c r="F20" s="60">
        <f>('TIE-OUT'!P20+'TIE-OUT'!R20)+(RECLASS!P20+RECLASS!R20)</f>
        <v>0</v>
      </c>
      <c r="G20" s="38">
        <f>('TIE-OUT'!Q20+'TIE-OUT'!S20)+(RECLASS!Q20+RECLASS!S20)</f>
        <v>1028694.26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-6719.98</v>
      </c>
      <c r="L20" s="60">
        <f>'TX-EGM-GL'!L20+'TX-HPL-GL '!L20</f>
        <v>0</v>
      </c>
      <c r="M20" s="38">
        <f>'TX-EGM-GL'!M20+'TX-HPL-GL '!M20</f>
        <v>11713</v>
      </c>
      <c r="N20" s="60">
        <f>'TX-EGM-GL'!N20+'TX-HPL-GL '!N20</f>
        <v>0</v>
      </c>
      <c r="O20" s="38">
        <f>'TX-EGM-GL'!O20+'TX-HPL-GL '!O20</f>
        <v>95170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'TX-EGM-GL'!AL20+'TX-HPL-GL '!AL20</f>
        <v>0</v>
      </c>
      <c r="AG20" s="38">
        <f>'TX-EGM-GL'!AM20+'TX-HPL-GL '!AM20</f>
        <v>0</v>
      </c>
      <c r="AH20" s="60">
        <f>'TX-EGM-GL'!AN20+'TX-HPL-GL '!AN20</f>
        <v>0</v>
      </c>
      <c r="AI20" s="38">
        <f>'TX-EGM-GL'!AO20+'TX-HPL-GL '!AO20</f>
        <v>0</v>
      </c>
      <c r="AJ20" s="60">
        <f>'TX-EGM-GL'!AP20+'TX-HPL-GL '!AP20</f>
        <v>0</v>
      </c>
      <c r="AK20" s="38">
        <f>'TX-EGM-GL'!AQ20+'TX-HPL-GL '!AQ20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4"/>
        <v>-2958981</v>
      </c>
      <c r="E21" s="38">
        <f t="shared" si="4"/>
        <v>-5024106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-1331315</v>
      </c>
      <c r="I21" s="38">
        <f>'TX-EGM-GL'!I21+'TX-HPL-GL '!I21</f>
        <v>-2272147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282462</v>
      </c>
      <c r="M21" s="38">
        <f>'TX-EGM-GL'!M21+'TX-HPL-GL '!M21</f>
        <v>491526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4494</v>
      </c>
      <c r="Q21" s="38">
        <f>'TX-EGM-GL'!Q21+'TX-HPL-GL '!Q21</f>
        <v>7707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0</v>
      </c>
      <c r="W21" s="38">
        <f>'TX-EGM-GL'!W21+'TX-HPL-GL '!W21</f>
        <v>0</v>
      </c>
      <c r="X21" s="60">
        <f>'TX-EGM-GL'!X21+'TX-HPL-GL '!X21</f>
        <v>-957311</v>
      </c>
      <c r="Y21" s="38">
        <f>'TX-EGM-GL'!Y21+'TX-HPL-GL '!Y21</f>
        <v>-1625596</v>
      </c>
      <c r="Z21" s="60">
        <f>'TX-EGM-GL'!Z21+'TX-HPL-GL '!Z21</f>
        <v>-957311</v>
      </c>
      <c r="AA21" s="38">
        <f>'TX-EGM-GL'!AA21+'TX-HPL-GL '!AA21</f>
        <v>-1625596</v>
      </c>
      <c r="AB21" s="60">
        <f>'TX-EGM-GL'!AB21+'TX-HPL-GL '!AB21</f>
        <v>1627666</v>
      </c>
      <c r="AC21" s="38">
        <f>'TX-EGM-GL'!AC21+'TX-HPL-GL '!AC21</f>
        <v>2751959</v>
      </c>
      <c r="AD21" s="60">
        <f>'TX-EGM-GL'!AD21+'TX-HPL-GL '!AD21</f>
        <v>-1627666</v>
      </c>
      <c r="AE21" s="38">
        <f>'TX-EGM-GL'!AE21+'TX-HPL-GL '!AE21</f>
        <v>-2751959</v>
      </c>
      <c r="AF21" s="60">
        <f>'TX-EGM-GL'!AL21+'TX-HPL-GL '!AL21</f>
        <v>0</v>
      </c>
      <c r="AG21" s="38">
        <f>'TX-EGM-GL'!AM21+'TX-HPL-GL '!AM21</f>
        <v>0</v>
      </c>
      <c r="AH21" s="60">
        <f>'TX-EGM-GL'!AN21+'TX-HPL-GL '!AN21</f>
        <v>0</v>
      </c>
      <c r="AI21" s="38">
        <f>'TX-EGM-GL'!AO21+'TX-HPL-GL '!AO21</f>
        <v>0</v>
      </c>
      <c r="AJ21" s="60">
        <f>'TX-EGM-GL'!AP21+'TX-HPL-GL '!AP21</f>
        <v>0</v>
      </c>
      <c r="AK21" s="38">
        <f>'TX-EGM-GL'!AQ21+'TX-HPL-GL '!AQ21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'TX-EGM-GL'!AL22+'TX-HPL-GL '!AL22</f>
        <v>0</v>
      </c>
      <c r="AG22" s="38">
        <f>'TX-EGM-GL'!AM22+'TX-HPL-GL '!AM22</f>
        <v>0</v>
      </c>
      <c r="AH22" s="60">
        <f>'TX-EGM-GL'!AN22+'TX-HPL-GL '!AN22</f>
        <v>0</v>
      </c>
      <c r="AI22" s="38">
        <f>'TX-EGM-GL'!AO22+'TX-HPL-GL '!AO22</f>
        <v>0</v>
      </c>
      <c r="AJ22" s="60">
        <f>'TX-EGM-GL'!AP22+'TX-HPL-GL '!AP22</f>
        <v>0</v>
      </c>
      <c r="AK22" s="38">
        <f>'TX-EGM-GL'!AQ22+'TX-HPL-GL '!AQ22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4"/>
        <v>4992</v>
      </c>
      <c r="E23" s="38">
        <f t="shared" si="4"/>
        <v>9038.4700000000012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0</v>
      </c>
      <c r="I23" s="38">
        <f>'TX-EGM-GL'!I23+'TX-HPL-GL '!I23</f>
        <v>0</v>
      </c>
      <c r="J23" s="60">
        <f>'TX-EGM-GL'!J23+'TX-HPL-GL '!J23</f>
        <v>3148</v>
      </c>
      <c r="K23" s="38">
        <f>'TX-EGM-GL'!K23+'TX-HPL-GL '!K23</f>
        <v>5876</v>
      </c>
      <c r="L23" s="60">
        <f>'TX-EGM-GL'!L23+'TX-HPL-GL '!L23</f>
        <v>1807</v>
      </c>
      <c r="M23" s="38">
        <f>'TX-EGM-GL'!M23+'TX-HPL-GL '!M23</f>
        <v>3099.01</v>
      </c>
      <c r="N23" s="60">
        <f>'TX-EGM-GL'!N23+'TX-HPL-GL '!N23</f>
        <v>2</v>
      </c>
      <c r="O23" s="38">
        <f>'TX-EGM-GL'!O23+'TX-HPL-GL '!O23</f>
        <v>3.43</v>
      </c>
      <c r="P23" s="60">
        <f>'TX-EGM-GL'!P23+'TX-HPL-GL '!P23</f>
        <v>35</v>
      </c>
      <c r="Q23" s="38">
        <f>'TX-EGM-GL'!Q23+'TX-HPL-GL '!Q23</f>
        <v>60.03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'TX-EGM-GL'!AL23+'TX-HPL-GL '!AL23</f>
        <v>0</v>
      </c>
      <c r="AG23" s="38">
        <f>'TX-EGM-GL'!AM23+'TX-HPL-GL '!AM23</f>
        <v>0</v>
      </c>
      <c r="AH23" s="60">
        <f>'TX-EGM-GL'!AN23+'TX-HPL-GL '!AN23</f>
        <v>0</v>
      </c>
      <c r="AI23" s="38">
        <f>'TX-EGM-GL'!AO23+'TX-HPL-GL '!AO23</f>
        <v>0</v>
      </c>
      <c r="AJ23" s="60">
        <f>'TX-EGM-GL'!AP23+'TX-HPL-GL '!AP23</f>
        <v>0</v>
      </c>
      <c r="AK23" s="38">
        <f>'TX-EGM-GL'!AQ23+'TX-HPL-GL '!AQ23</f>
        <v>0</v>
      </c>
    </row>
    <row r="24" spans="1:37" x14ac:dyDescent="0.2">
      <c r="A24" s="9"/>
      <c r="B24" s="7" t="s">
        <v>37</v>
      </c>
      <c r="C24" s="6"/>
      <c r="D24" s="61">
        <f>SUM(D19:D23)</f>
        <v>-30093317</v>
      </c>
      <c r="E24" s="39">
        <f>SUM(E19:E23)</f>
        <v>-51217336.249999993</v>
      </c>
      <c r="F24" s="61">
        <f t="shared" ref="F24:AD24" si="5">SUM(F19:F23)</f>
        <v>0</v>
      </c>
      <c r="G24" s="39">
        <f t="shared" si="5"/>
        <v>1028694.26</v>
      </c>
      <c r="H24" s="61">
        <f t="shared" si="5"/>
        <v>-28640045</v>
      </c>
      <c r="I24" s="39">
        <f t="shared" si="5"/>
        <v>-40786122.759999998</v>
      </c>
      <c r="J24" s="61">
        <f t="shared" si="5"/>
        <v>28696249</v>
      </c>
      <c r="K24" s="39">
        <f t="shared" si="5"/>
        <v>41825928.300000004</v>
      </c>
      <c r="L24" s="61">
        <f t="shared" si="5"/>
        <v>-16167876</v>
      </c>
      <c r="M24" s="39">
        <f t="shared" si="5"/>
        <v>-28681318.150000002</v>
      </c>
      <c r="N24" s="61">
        <f t="shared" si="5"/>
        <v>-11791193</v>
      </c>
      <c r="O24" s="39">
        <f t="shared" si="5"/>
        <v>-20884134.559999999</v>
      </c>
      <c r="P24" s="61">
        <f t="shared" si="5"/>
        <v>-20604</v>
      </c>
      <c r="Q24" s="39">
        <f t="shared" si="5"/>
        <v>-39436.880000000005</v>
      </c>
      <c r="R24" s="61">
        <f t="shared" si="5"/>
        <v>6585</v>
      </c>
      <c r="S24" s="39">
        <f t="shared" si="5"/>
        <v>13221.6</v>
      </c>
      <c r="T24" s="61">
        <f t="shared" si="5"/>
        <v>64900</v>
      </c>
      <c r="U24" s="39">
        <f t="shared" ref="U24:AE24" si="6">SUM(U19:U23)</f>
        <v>124527.16</v>
      </c>
      <c r="V24" s="61">
        <f t="shared" si="5"/>
        <v>-129742</v>
      </c>
      <c r="W24" s="39">
        <f t="shared" si="6"/>
        <v>-226747.88999999998</v>
      </c>
      <c r="X24" s="61">
        <f t="shared" si="5"/>
        <v>-1105784</v>
      </c>
      <c r="Y24" s="39">
        <f t="shared" si="6"/>
        <v>-1885375.39</v>
      </c>
      <c r="Z24" s="61">
        <f t="shared" si="5"/>
        <v>-1005851</v>
      </c>
      <c r="AA24" s="39">
        <f t="shared" si="6"/>
        <v>-1707270.32</v>
      </c>
      <c r="AB24" s="61">
        <f t="shared" si="5"/>
        <v>1627710</v>
      </c>
      <c r="AC24" s="39">
        <f t="shared" si="6"/>
        <v>2752657.38</v>
      </c>
      <c r="AD24" s="61">
        <f t="shared" si="5"/>
        <v>-1627666</v>
      </c>
      <c r="AE24" s="39">
        <f t="shared" si="6"/>
        <v>-2751959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14452144</v>
      </c>
      <c r="E27" s="38">
        <f>SUM(G27,I27,K27,M27,O27,Q27,S27,U27,W27,Y27,AA27,AC27,AE27,AG27,AI27,AK27)</f>
        <v>25638348.756699994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57775810</v>
      </c>
      <c r="I27" s="38">
        <f>'TX-EGM-GL'!I27+'TX-HPL-GL '!I27</f>
        <v>102333223.02</v>
      </c>
      <c r="J27" s="60">
        <f>'TX-EGM-GL'!J27+'TX-HPL-GL '!J27</f>
        <v>-23497607</v>
      </c>
      <c r="K27" s="38">
        <f>'TX-EGM-GL'!K27+'TX-HPL-GL '!K27</f>
        <v>-41457678.840000004</v>
      </c>
      <c r="L27" s="60">
        <f>'TX-EGM-GL'!L27+'TX-HPL-GL '!L27</f>
        <v>-125078</v>
      </c>
      <c r="M27" s="38">
        <f>'TX-EGM-GL'!M27+'TX-HPL-GL '!M27</f>
        <v>-205730.07650000002</v>
      </c>
      <c r="N27" s="60">
        <f>'TX-EGM-GL'!N27+'TX-HPL-GL '!N27</f>
        <v>-16828274</v>
      </c>
      <c r="O27" s="38">
        <f>'TX-EGM-GL'!O27+'TX-HPL-GL '!O27</f>
        <v>-29958662.068799999</v>
      </c>
      <c r="P27" s="60">
        <f>'TX-EGM-GL'!P27+'TX-HPL-GL '!P27</f>
        <v>-8090</v>
      </c>
      <c r="Q27" s="38">
        <f>'TX-EGM-GL'!Q27+'TX-HPL-GL '!Q27</f>
        <v>-14677.030399999994</v>
      </c>
      <c r="R27" s="60">
        <f>'TX-EGM-GL'!R27+'TX-HPL-GL '!R27</f>
        <v>-454029</v>
      </c>
      <c r="S27" s="38">
        <f>'TX-EGM-GL'!S27+'TX-HPL-GL '!S27</f>
        <v>-763817.38919999998</v>
      </c>
      <c r="T27" s="60">
        <f>'TX-EGM-GL'!T27+'TX-HPL-GL '!T27</f>
        <v>-2447854</v>
      </c>
      <c r="U27" s="38">
        <f>'TX-EGM-GL'!U27+'TX-HPL-GL '!U27</f>
        <v>-4353405.7404000005</v>
      </c>
      <c r="V27" s="60">
        <f>'TX-EGM-GL'!V27+'TX-HPL-GL '!V27</f>
        <v>17616</v>
      </c>
      <c r="W27" s="38">
        <f>'TX-EGM-GL'!W27+'TX-HPL-GL '!W27</f>
        <v>31241.975999999999</v>
      </c>
      <c r="X27" s="60">
        <f>'TX-EGM-GL'!X27+'TX-HPL-GL '!X27</f>
        <v>-19497</v>
      </c>
      <c r="Y27" s="38">
        <f>'TX-EGM-GL'!Y27+'TX-HPL-GL '!Y27</f>
        <v>-32669.173200000001</v>
      </c>
      <c r="Z27" s="60">
        <f>'TX-EGM-GL'!Z27+'TX-HPL-GL '!Z27</f>
        <v>44025</v>
      </c>
      <c r="AA27" s="38">
        <f>'TX-EGM-GL'!AA27+'TX-HPL-GL '!AA27</f>
        <v>78765.709199999998</v>
      </c>
      <c r="AB27" s="60">
        <f>'TX-EGM-GL'!AB27+'TX-HPL-GL '!AB27</f>
        <v>-4878</v>
      </c>
      <c r="AC27" s="38">
        <f>'TX-EGM-GL'!AC27+'TX-HPL-GL '!AC27</f>
        <v>-18241.629999999957</v>
      </c>
      <c r="AD27" s="60">
        <f>'TX-EGM-GL'!AD27+'TX-HPL-GL '!AD27</f>
        <v>0</v>
      </c>
      <c r="AE27" s="38">
        <f>'TX-EGM-GL'!AE27+'TX-HPL-GL '!AE27</f>
        <v>0</v>
      </c>
      <c r="AF27" s="60">
        <f>'TX-EGM-GL'!AL27+'TX-HPL-GL '!AL27</f>
        <v>0</v>
      </c>
      <c r="AG27" s="38">
        <f>'TX-EGM-GL'!AM27+'TX-HPL-GL '!AM27</f>
        <v>0</v>
      </c>
      <c r="AH27" s="60">
        <f>'TX-EGM-GL'!AN27+'TX-HPL-GL '!AN27</f>
        <v>0</v>
      </c>
      <c r="AI27" s="38">
        <f>'TX-EGM-GL'!AO27+'TX-HPL-GL '!AO27</f>
        <v>0</v>
      </c>
      <c r="AJ27" s="60">
        <f>'TX-EGM-GL'!AP27+'TX-HPL-GL '!AP27</f>
        <v>0</v>
      </c>
      <c r="AK27" s="38">
        <f>'TX-EGM-GL'!AQ27+'TX-HPL-GL '!AQ27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-25016283</v>
      </c>
      <c r="E28" s="38">
        <f>SUM(G28,I28,K28,M28,O28,Q28,S28,U28,W28,Y28,AA28,AC28,AE28,AG28,AI28,AK28)</f>
        <v>-44387904.3675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-69616337</v>
      </c>
      <c r="I28" s="38">
        <f>'TX-EGM-GL'!I28+'TX-HPL-GL '!I28</f>
        <v>-123400737.65000001</v>
      </c>
      <c r="J28" s="60">
        <f>'TX-EGM-GL'!J28+'TX-HPL-GL '!J28</f>
        <v>-1351117</v>
      </c>
      <c r="K28" s="38">
        <f>'TX-EGM-GL'!K28+'TX-HPL-GL '!K28</f>
        <v>-2656783.6274999976</v>
      </c>
      <c r="L28" s="60">
        <f>'TX-EGM-GL'!L28+'TX-HPL-GL '!L28</f>
        <v>17419176</v>
      </c>
      <c r="M28" s="38">
        <f>'TX-EGM-GL'!M28+'TX-HPL-GL '!M28</f>
        <v>30883303.720000003</v>
      </c>
      <c r="N28" s="60">
        <f>'TX-EGM-GL'!N28+'TX-HPL-GL '!N28</f>
        <v>28200169</v>
      </c>
      <c r="O28" s="38">
        <f>'TX-EGM-GL'!O28+'TX-HPL-GL '!O28</f>
        <v>50196292.640000001</v>
      </c>
      <c r="P28" s="60">
        <f>'TX-EGM-GL'!P28+'TX-HPL-GL '!P28</f>
        <v>-36021</v>
      </c>
      <c r="Q28" s="38">
        <f>'TX-EGM-GL'!Q28+'TX-HPL-GL '!Q28</f>
        <v>-64647.069999999992</v>
      </c>
      <c r="R28" s="60">
        <f>'TX-EGM-GL'!R28+'TX-HPL-GL '!R28</f>
        <v>-36734</v>
      </c>
      <c r="S28" s="38">
        <f>'TX-EGM-GL'!S28+'TX-HPL-GL '!S28</f>
        <v>-65336.119999999995</v>
      </c>
      <c r="T28" s="60">
        <f>'TX-EGM-GL'!T28+'TX-HPL-GL '!T28</f>
        <v>63194</v>
      </c>
      <c r="U28" s="38">
        <f>'TX-EGM-GL'!U28+'TX-HPL-GL '!U28</f>
        <v>112485.38</v>
      </c>
      <c r="V28" s="60">
        <f>'TX-EGM-GL'!V28+'TX-HPL-GL '!V28</f>
        <v>53529</v>
      </c>
      <c r="W28" s="38">
        <f>'TX-EGM-GL'!W28+'TX-HPL-GL '!W28</f>
        <v>95131.12</v>
      </c>
      <c r="X28" s="60">
        <f>'TX-EGM-GL'!X28+'TX-HPL-GL '!X28</f>
        <v>1600</v>
      </c>
      <c r="Y28" s="38">
        <f>'TX-EGM-GL'!Y28+'TX-HPL-GL '!Y28</f>
        <v>2848</v>
      </c>
      <c r="Z28" s="60">
        <f>'TX-EGM-GL'!Z28+'TX-HPL-GL '!Z28</f>
        <v>-49967</v>
      </c>
      <c r="AA28" s="38">
        <f>'TX-EGM-GL'!AA28+'TX-HPL-GL '!AA28</f>
        <v>-88941.26</v>
      </c>
      <c r="AB28" s="60">
        <f>'TX-EGM-GL'!AB28+'TX-HPL-GL '!AB28</f>
        <v>336225</v>
      </c>
      <c r="AC28" s="38">
        <f>'TX-EGM-GL'!AC28+'TX-HPL-GL '!AC28</f>
        <v>598480.5</v>
      </c>
      <c r="AD28" s="60">
        <f>'TX-EGM-GL'!AD28+'TX-HPL-GL '!AD28</f>
        <v>0</v>
      </c>
      <c r="AE28" s="38">
        <f>'TX-EGM-GL'!AE28+'TX-HPL-GL '!AE28</f>
        <v>0</v>
      </c>
      <c r="AF28" s="60">
        <f>'TX-EGM-GL'!AL28+'TX-HPL-GL '!AL28</f>
        <v>0</v>
      </c>
      <c r="AG28" s="38">
        <f>'TX-EGM-GL'!AM28+'TX-HPL-GL '!AM28</f>
        <v>0</v>
      </c>
      <c r="AH28" s="60">
        <f>'TX-EGM-GL'!AN28+'TX-HPL-GL '!AN28</f>
        <v>0</v>
      </c>
      <c r="AI28" s="38">
        <f>'TX-EGM-GL'!AO28+'TX-HPL-GL '!AO28</f>
        <v>0</v>
      </c>
      <c r="AJ28" s="60">
        <f>'TX-EGM-GL'!AP28+'TX-HPL-GL '!AP28</f>
        <v>0</v>
      </c>
      <c r="AK28" s="38">
        <f>'TX-EGM-GL'!AQ28+'TX-HPL-GL '!AQ28</f>
        <v>0</v>
      </c>
    </row>
    <row r="29" spans="1:37" x14ac:dyDescent="0.2">
      <c r="A29" s="9"/>
      <c r="B29" s="7" t="s">
        <v>41</v>
      </c>
      <c r="C29" s="18"/>
      <c r="D29" s="61">
        <f>SUM(D27:D28)</f>
        <v>-10564139</v>
      </c>
      <c r="E29" s="39">
        <f>SUM(E27:E28)</f>
        <v>-18749555.610800005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-11840527</v>
      </c>
      <c r="I29" s="39">
        <f t="shared" si="8"/>
        <v>-21067514.63000001</v>
      </c>
      <c r="J29" s="61">
        <f t="shared" si="8"/>
        <v>-24848724</v>
      </c>
      <c r="K29" s="39">
        <f t="shared" si="8"/>
        <v>-44114462.467500001</v>
      </c>
      <c r="L29" s="61">
        <f t="shared" si="8"/>
        <v>17294098</v>
      </c>
      <c r="M29" s="39">
        <f t="shared" si="8"/>
        <v>30677573.643500004</v>
      </c>
      <c r="N29" s="61">
        <f t="shared" si="8"/>
        <v>11371895</v>
      </c>
      <c r="O29" s="39">
        <f t="shared" si="8"/>
        <v>20237630.571200002</v>
      </c>
      <c r="P29" s="61">
        <f t="shared" si="8"/>
        <v>-44111</v>
      </c>
      <c r="Q29" s="39">
        <f t="shared" si="8"/>
        <v>-79324.100399999981</v>
      </c>
      <c r="R29" s="61">
        <f t="shared" si="8"/>
        <v>-490763</v>
      </c>
      <c r="S29" s="39">
        <f t="shared" si="8"/>
        <v>-829153.50919999997</v>
      </c>
      <c r="T29" s="61">
        <f t="shared" si="8"/>
        <v>-2384660</v>
      </c>
      <c r="U29" s="39">
        <f t="shared" ref="U29:AE29" si="9">SUM(U27:U28)</f>
        <v>-4240920.3604000006</v>
      </c>
      <c r="V29" s="61">
        <f t="shared" si="8"/>
        <v>71145</v>
      </c>
      <c r="W29" s="39">
        <f t="shared" si="9"/>
        <v>126373.09599999999</v>
      </c>
      <c r="X29" s="61">
        <f t="shared" si="8"/>
        <v>-17897</v>
      </c>
      <c r="Y29" s="39">
        <f t="shared" si="9"/>
        <v>-29821.173200000001</v>
      </c>
      <c r="Z29" s="61">
        <f t="shared" si="8"/>
        <v>-5942</v>
      </c>
      <c r="AA29" s="39">
        <f t="shared" si="9"/>
        <v>-10175.550799999997</v>
      </c>
      <c r="AB29" s="61">
        <f t="shared" si="8"/>
        <v>331347</v>
      </c>
      <c r="AC29" s="39">
        <f t="shared" si="9"/>
        <v>580238.87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-216902</v>
      </c>
      <c r="E32" s="38">
        <f t="shared" si="11"/>
        <v>-324167.06700000016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0</v>
      </c>
      <c r="I32" s="38">
        <f>'TX-EGM-GL'!I32+'TX-HPL-GL '!I32</f>
        <v>0</v>
      </c>
      <c r="J32" s="60">
        <f>'TX-EGM-GL'!J32+'TX-HPL-GL '!J32</f>
        <v>-101027</v>
      </c>
      <c r="K32" s="38">
        <f>'TX-EGM-GL'!K32+'TX-HPL-GL '!K32</f>
        <v>-173260.95</v>
      </c>
      <c r="L32" s="60">
        <f>'TX-EGM-GL'!L32+'TX-HPL-GL '!L32</f>
        <v>299041</v>
      </c>
      <c r="M32" s="38">
        <f>'TX-EGM-GL'!M32+'TX-HPL-GL '!M32</f>
        <v>533660.04599999997</v>
      </c>
      <c r="N32" s="60">
        <f>'TX-EGM-GL'!N32+'TX-HPL-GL '!N32</f>
        <v>-171490</v>
      </c>
      <c r="O32" s="38">
        <f>'TX-EGM-GL'!O32+'TX-HPL-GL '!O32</f>
        <v>-315778.72600000002</v>
      </c>
      <c r="P32" s="60">
        <f>'TX-EGM-GL'!P32+'TX-HPL-GL '!P32</f>
        <v>74632</v>
      </c>
      <c r="Q32" s="38">
        <f>'TX-EGM-GL'!Q32+'TX-HPL-GL '!Q32</f>
        <v>175844.33</v>
      </c>
      <c r="R32" s="60">
        <f>'TX-EGM-GL'!R32+'TX-HPL-GL '!R32</f>
        <v>1545</v>
      </c>
      <c r="S32" s="38">
        <f>'TX-EGM-GL'!S32+'TX-HPL-GL '!S32</f>
        <v>3632.7910000000002</v>
      </c>
      <c r="T32" s="60">
        <f>'TX-EGM-GL'!T32+'TX-HPL-GL '!T32</f>
        <v>-64348</v>
      </c>
      <c r="U32" s="38">
        <f>'TX-EGM-GL'!U32+'TX-HPL-GL '!U32</f>
        <v>-220812.77299999999</v>
      </c>
      <c r="V32" s="60">
        <f>'TX-EGM-GL'!V32+'TX-HPL-GL '!V32</f>
        <v>84625</v>
      </c>
      <c r="W32" s="38">
        <f>'TX-EGM-GL'!W32+'TX-HPL-GL '!W32</f>
        <v>279327.82899999997</v>
      </c>
      <c r="X32" s="60">
        <f>'TX-EGM-GL'!X32+'TX-HPL-GL '!X32</f>
        <v>84606</v>
      </c>
      <c r="Y32" s="38">
        <f>'TX-EGM-GL'!Y32+'TX-HPL-GL '!Y32</f>
        <v>121872.239</v>
      </c>
      <c r="Z32" s="60">
        <f>'TX-EGM-GL'!Z32+'TX-HPL-GL '!Z32</f>
        <v>132793</v>
      </c>
      <c r="AA32" s="38">
        <f>'TX-EGM-GL'!AA32+'TX-HPL-GL '!AA32</f>
        <v>226857.848</v>
      </c>
      <c r="AB32" s="60">
        <f>'TX-EGM-GL'!AB32+'TX-HPL-GL '!AB32</f>
        <v>23280</v>
      </c>
      <c r="AC32" s="38">
        <f>'TX-EGM-GL'!AC32+'TX-HPL-GL '!AC32</f>
        <v>40148.984000000004</v>
      </c>
      <c r="AD32" s="60">
        <f>'TX-EGM-GL'!AD32+'TX-HPL-GL '!AD32</f>
        <v>-580559</v>
      </c>
      <c r="AE32" s="38">
        <f>'TX-EGM-GL'!AE32+'TX-HPL-GL '!AE32</f>
        <v>-995658.68500000006</v>
      </c>
      <c r="AF32" s="60">
        <f>'TX-EGM-GL'!AL32+'TX-HPL-GL '!AL32</f>
        <v>0</v>
      </c>
      <c r="AG32" s="38">
        <f>'TX-EGM-GL'!AM32+'TX-HPL-GL '!AM32</f>
        <v>0</v>
      </c>
      <c r="AH32" s="60">
        <f>'TX-EGM-GL'!AN32+'TX-HPL-GL '!AN32</f>
        <v>0</v>
      </c>
      <c r="AI32" s="38">
        <f>'TX-EGM-GL'!AO32+'TX-HPL-GL '!AO32</f>
        <v>0</v>
      </c>
      <c r="AJ32" s="60">
        <f>'TX-EGM-GL'!AP32+'TX-HPL-GL '!AP32</f>
        <v>0</v>
      </c>
      <c r="AK32" s="38">
        <f>'TX-EGM-GL'!AQ32+'TX-HPL-GL '!AQ32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'TX-EGM-GL'!AL33+'TX-HPL-GL '!AL33</f>
        <v>0</v>
      </c>
      <c r="AG33" s="38">
        <f>'TX-EGM-GL'!AM33+'TX-HPL-GL '!AM33</f>
        <v>0</v>
      </c>
      <c r="AH33" s="60">
        <f>'TX-EGM-GL'!AN33+'TX-HPL-GL '!AN33</f>
        <v>0</v>
      </c>
      <c r="AI33" s="38">
        <f>'TX-EGM-GL'!AO33+'TX-HPL-GL '!AO33</f>
        <v>0</v>
      </c>
      <c r="AJ33" s="60">
        <f>'TX-EGM-GL'!AP33+'TX-HPL-GL '!AP33</f>
        <v>0</v>
      </c>
      <c r="AK33" s="38">
        <f>'TX-EGM-GL'!AQ33+'TX-HPL-GL '!AQ33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'TX-EGM-GL'!AL34+'TX-HPL-GL '!AL34</f>
        <v>0</v>
      </c>
      <c r="AG34" s="38">
        <f>'TX-EGM-GL'!AM34+'TX-HPL-GL '!AM34</f>
        <v>0</v>
      </c>
      <c r="AH34" s="60">
        <f>'TX-EGM-GL'!AN34+'TX-HPL-GL '!AN34</f>
        <v>0</v>
      </c>
      <c r="AI34" s="38">
        <f>'TX-EGM-GL'!AO34+'TX-HPL-GL '!AO34</f>
        <v>0</v>
      </c>
      <c r="AJ34" s="60">
        <f>'TX-EGM-GL'!AP34+'TX-HPL-GL '!AP34</f>
        <v>0</v>
      </c>
      <c r="AK34" s="38">
        <f>'TX-EGM-GL'!AQ34+'TX-HPL-GL '!AQ34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'TX-EGM-GL'!AL35+'TX-HPL-GL '!AL35</f>
        <v>0</v>
      </c>
      <c r="AG35" s="38">
        <f>'TX-EGM-GL'!AM35+'TX-HPL-GL '!AM35</f>
        <v>0</v>
      </c>
      <c r="AH35" s="60">
        <f>'TX-EGM-GL'!AN35+'TX-HPL-GL '!AN35</f>
        <v>0</v>
      </c>
      <c r="AI35" s="38">
        <f>'TX-EGM-GL'!AO35+'TX-HPL-GL '!AO35</f>
        <v>0</v>
      </c>
      <c r="AJ35" s="60">
        <f>'TX-EGM-GL'!AP35+'TX-HPL-GL '!AP35</f>
        <v>0</v>
      </c>
      <c r="AK35" s="38">
        <f>'TX-EGM-GL'!AQ35+'TX-HPL-GL '!AQ35</f>
        <v>0</v>
      </c>
    </row>
    <row r="36" spans="1:37" x14ac:dyDescent="0.2">
      <c r="A36" s="9"/>
      <c r="B36" s="7" t="s">
        <v>47</v>
      </c>
      <c r="C36" s="6"/>
      <c r="D36" s="61">
        <f>SUM(D32:D35)</f>
        <v>-216902</v>
      </c>
      <c r="E36" s="39">
        <f>SUM(E32:E35)</f>
        <v>-324167.06700000016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-101027</v>
      </c>
      <c r="K36" s="39">
        <f t="shared" si="12"/>
        <v>-173260.95</v>
      </c>
      <c r="L36" s="61">
        <f t="shared" si="12"/>
        <v>299041</v>
      </c>
      <c r="M36" s="39">
        <f t="shared" si="12"/>
        <v>533660.04599999997</v>
      </c>
      <c r="N36" s="61">
        <f t="shared" si="12"/>
        <v>-171490</v>
      </c>
      <c r="O36" s="39">
        <f t="shared" si="12"/>
        <v>-315778.72600000002</v>
      </c>
      <c r="P36" s="61">
        <f t="shared" si="12"/>
        <v>74632</v>
      </c>
      <c r="Q36" s="39">
        <f t="shared" si="12"/>
        <v>175844.33</v>
      </c>
      <c r="R36" s="61">
        <f t="shared" si="12"/>
        <v>1545</v>
      </c>
      <c r="S36" s="39">
        <f t="shared" si="12"/>
        <v>3632.7910000000002</v>
      </c>
      <c r="T36" s="61">
        <f t="shared" si="12"/>
        <v>-64348</v>
      </c>
      <c r="U36" s="39">
        <f t="shared" ref="U36:AE36" si="13">SUM(U32:U35)</f>
        <v>-220812.77299999999</v>
      </c>
      <c r="V36" s="61">
        <f t="shared" si="12"/>
        <v>84625</v>
      </c>
      <c r="W36" s="39">
        <f t="shared" si="13"/>
        <v>279327.82899999997</v>
      </c>
      <c r="X36" s="61">
        <f t="shared" si="12"/>
        <v>84606</v>
      </c>
      <c r="Y36" s="39">
        <f t="shared" si="13"/>
        <v>121872.239</v>
      </c>
      <c r="Z36" s="61">
        <f t="shared" si="12"/>
        <v>132793</v>
      </c>
      <c r="AA36" s="39">
        <f t="shared" si="13"/>
        <v>226857.848</v>
      </c>
      <c r="AB36" s="61">
        <f t="shared" si="12"/>
        <v>23280</v>
      </c>
      <c r="AC36" s="39">
        <f t="shared" si="13"/>
        <v>40148.984000000004</v>
      </c>
      <c r="AD36" s="61">
        <f t="shared" si="12"/>
        <v>-580559</v>
      </c>
      <c r="AE36" s="39">
        <f t="shared" si="13"/>
        <v>-995658.68500000006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2116769</v>
      </c>
      <c r="E39" s="38">
        <f t="shared" si="15"/>
        <v>3381210.5799999996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3288769</v>
      </c>
      <c r="I39" s="38">
        <f>'TX-EGM-GL'!I39+'TX-HPL-GL '!I39</f>
        <v>6011464.0199999996</v>
      </c>
      <c r="J39" s="60">
        <f>'TX-EGM-GL'!J39+'TX-HPL-GL '!J39</f>
        <v>15541320</v>
      </c>
      <c r="K39" s="38">
        <f>'TX-EGM-GL'!K39+'TX-HPL-GL '!K39</f>
        <v>28475738.98</v>
      </c>
      <c r="L39" s="60">
        <f>'TX-EGM-GL'!L39+'TX-HPL-GL '!L39</f>
        <v>-274810</v>
      </c>
      <c r="M39" s="38">
        <f>'TX-EGM-GL'!M39+'TX-HPL-GL '!M39</f>
        <v>-503514.08</v>
      </c>
      <c r="N39" s="60">
        <f>'TX-EGM-GL'!N39+'TX-HPL-GL '!N39</f>
        <v>-16653389</v>
      </c>
      <c r="O39" s="38">
        <f>'TX-EGM-GL'!O39+'TX-HPL-GL '!O39</f>
        <v>-30513367.850000001</v>
      </c>
      <c r="P39" s="60">
        <f>'TX-EGM-GL'!P39+'TX-HPL-GL '!P39</f>
        <v>-9196</v>
      </c>
      <c r="Q39" s="38">
        <f>'TX-EGM-GL'!Q39+'TX-HPL-GL '!Q39</f>
        <v>-16849.46</v>
      </c>
      <c r="R39" s="60">
        <f>'TX-EGM-GL'!R39+'TX-HPL-GL '!R39</f>
        <v>56863</v>
      </c>
      <c r="S39" s="38">
        <f>'TX-EGM-GL'!S39+'TX-HPL-GL '!S39</f>
        <v>116641.3</v>
      </c>
      <c r="T39" s="60">
        <f>'TX-EGM-GL'!T39+'TX-HPL-GL '!T39</f>
        <v>-69962</v>
      </c>
      <c r="U39" s="38">
        <f>'TX-EGM-GL'!U39+'TX-HPL-GL '!U39</f>
        <v>-429341.2</v>
      </c>
      <c r="V39" s="60">
        <f>'TX-EGM-GL'!V39+'TX-HPL-GL '!V39</f>
        <v>4590</v>
      </c>
      <c r="W39" s="38">
        <f>'TX-EGM-GL'!W39+'TX-HPL-GL '!W39</f>
        <v>7818.13</v>
      </c>
      <c r="X39" s="60">
        <f>'TX-EGM-GL'!X39+'TX-HPL-GL '!X39</f>
        <v>4870</v>
      </c>
      <c r="Y39" s="38">
        <f>'TX-EGM-GL'!Y39+'TX-HPL-GL '!Y39</f>
        <v>7823.04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-352845</v>
      </c>
      <c r="AC39" s="38">
        <f>'TX-EGM-GL'!AC39+'TX-HPL-GL '!AC39</f>
        <v>-694923.87</v>
      </c>
      <c r="AD39" s="60">
        <f>'TX-EGM-GL'!AD39+'TX-HPL-GL '!AD39</f>
        <v>580559</v>
      </c>
      <c r="AE39" s="38">
        <f>'TX-EGM-GL'!AE39+'TX-HPL-GL '!AE39</f>
        <v>919721.57</v>
      </c>
      <c r="AF39" s="60">
        <f>'TX-EGM-GL'!AL39+'TX-HPL-GL '!AL39</f>
        <v>0</v>
      </c>
      <c r="AG39" s="38">
        <f>'TX-EGM-GL'!AM39+'TX-HPL-GL '!AM39</f>
        <v>0</v>
      </c>
      <c r="AH39" s="60">
        <f>'TX-EGM-GL'!AN39+'TX-HPL-GL '!AN39</f>
        <v>0</v>
      </c>
      <c r="AI39" s="38">
        <f>'TX-EGM-GL'!AO39+'TX-HPL-GL '!AO39</f>
        <v>0</v>
      </c>
      <c r="AJ39" s="60">
        <f>'TX-EGM-GL'!AP39+'TX-HPL-GL '!AP39</f>
        <v>0</v>
      </c>
      <c r="AK39" s="38">
        <f>'TX-EGM-GL'!AQ39+'TX-HPL-GL '!AQ39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-460138</v>
      </c>
      <c r="E40" s="38">
        <f t="shared" si="15"/>
        <v>-819045.63999999769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-17127970</v>
      </c>
      <c r="K40" s="38">
        <f>'TX-EGM-GL'!K40+'TX-HPL-GL '!K40</f>
        <v>-37894846.130000003</v>
      </c>
      <c r="L40" s="60">
        <f>'TX-EGM-GL'!L40+'TX-HPL-GL '!L40</f>
        <v>0</v>
      </c>
      <c r="M40" s="38">
        <f>'TX-EGM-GL'!M40+'TX-HPL-GL '!M40</f>
        <v>-3108.62</v>
      </c>
      <c r="N40" s="60">
        <f>'TX-EGM-GL'!N40+'TX-HPL-GL '!N40</f>
        <v>16689054</v>
      </c>
      <c r="O40" s="38">
        <f>'TX-EGM-GL'!O40+'TX-HPL-GL '!O40</f>
        <v>37145213.810000002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-28529.54</v>
      </c>
      <c r="V40" s="60">
        <f>'TX-EGM-GL'!V40+'TX-HPL-GL '!V40</f>
        <v>-25739</v>
      </c>
      <c r="W40" s="38">
        <f>'TX-EGM-GL'!W40+'TX-HPL-GL '!W40</f>
        <v>-45815.42</v>
      </c>
      <c r="X40" s="60">
        <f>'TX-EGM-GL'!X40+'TX-HPL-GL '!X40</f>
        <v>2</v>
      </c>
      <c r="Y40" s="38">
        <f>'TX-EGM-GL'!Y40+'TX-HPL-GL '!Y40</f>
        <v>3.56</v>
      </c>
      <c r="Z40" s="60">
        <f>'TX-EGM-GL'!Z40+'TX-HPL-GL '!Z40</f>
        <v>4515</v>
      </c>
      <c r="AA40" s="38">
        <f>'TX-EGM-GL'!AA40+'TX-HPL-GL '!AA40</f>
        <v>8036.7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'TX-EGM-GL'!AL40+'TX-HPL-GL '!AL40</f>
        <v>0</v>
      </c>
      <c r="AG40" s="38">
        <f>'TX-EGM-GL'!AM40+'TX-HPL-GL '!AM40</f>
        <v>0</v>
      </c>
      <c r="AH40" s="60">
        <f>'TX-EGM-GL'!AN40+'TX-HPL-GL '!AN40</f>
        <v>0</v>
      </c>
      <c r="AI40" s="38">
        <f>'TX-EGM-GL'!AO40+'TX-HPL-GL '!AO40</f>
        <v>0</v>
      </c>
      <c r="AJ40" s="60">
        <f>'TX-EGM-GL'!AP40+'TX-HPL-GL '!AP40</f>
        <v>0</v>
      </c>
      <c r="AK40" s="38">
        <f>'TX-EGM-GL'!AQ40+'TX-HPL-GL '!AQ40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692867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692867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'TX-EGM-GL'!AL41+'TX-HPL-GL '!AL41</f>
        <v>0</v>
      </c>
      <c r="AG41" s="38">
        <f>'TX-EGM-GL'!AM41+'TX-HPL-GL '!AM41</f>
        <v>0</v>
      </c>
      <c r="AH41" s="60">
        <f>'TX-EGM-GL'!AN41+'TX-HPL-GL '!AN41</f>
        <v>0</v>
      </c>
      <c r="AI41" s="38">
        <f>'TX-EGM-GL'!AO41+'TX-HPL-GL '!AO41</f>
        <v>0</v>
      </c>
      <c r="AJ41" s="60">
        <f>'TX-EGM-GL'!AP41+'TX-HPL-GL '!AP41</f>
        <v>0</v>
      </c>
      <c r="AK41" s="38">
        <f>'TX-EGM-GL'!AQ41+'TX-HPL-GL '!AQ41</f>
        <v>0</v>
      </c>
    </row>
    <row r="42" spans="1:37" x14ac:dyDescent="0.2">
      <c r="A42" s="9"/>
      <c r="B42" s="7"/>
      <c r="C42" s="53" t="s">
        <v>52</v>
      </c>
      <c r="D42" s="61">
        <f>SUM(D40:D41)</f>
        <v>-460138</v>
      </c>
      <c r="E42" s="39">
        <f>SUM(E40:E41)</f>
        <v>-126178.63999999769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-17127970</v>
      </c>
      <c r="K42" s="39">
        <f t="shared" si="16"/>
        <v>-37894846.130000003</v>
      </c>
      <c r="L42" s="61">
        <f t="shared" si="16"/>
        <v>0</v>
      </c>
      <c r="M42" s="39">
        <f t="shared" si="16"/>
        <v>-3108.62</v>
      </c>
      <c r="N42" s="61">
        <f t="shared" si="16"/>
        <v>16689054</v>
      </c>
      <c r="O42" s="39">
        <f t="shared" si="16"/>
        <v>37145213.810000002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-28529.54</v>
      </c>
      <c r="V42" s="61">
        <f t="shared" si="16"/>
        <v>-25739</v>
      </c>
      <c r="W42" s="39">
        <f t="shared" si="17"/>
        <v>-45815.42</v>
      </c>
      <c r="X42" s="61">
        <f t="shared" si="16"/>
        <v>2</v>
      </c>
      <c r="Y42" s="39">
        <f t="shared" si="17"/>
        <v>692870.56</v>
      </c>
      <c r="Z42" s="61">
        <f t="shared" si="16"/>
        <v>4515</v>
      </c>
      <c r="AA42" s="39">
        <f t="shared" si="17"/>
        <v>8036.7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1656631</v>
      </c>
      <c r="E43" s="39">
        <f>E42+E39</f>
        <v>3255031.9400000018</v>
      </c>
      <c r="F43" s="61">
        <f t="shared" ref="F43:AD43" si="19">F42+F39</f>
        <v>0</v>
      </c>
      <c r="G43" s="39">
        <f t="shared" si="19"/>
        <v>0</v>
      </c>
      <c r="H43" s="61">
        <f t="shared" si="19"/>
        <v>3288769</v>
      </c>
      <c r="I43" s="39">
        <f t="shared" si="19"/>
        <v>6011464.0199999996</v>
      </c>
      <c r="J43" s="61">
        <f t="shared" si="19"/>
        <v>-1586650</v>
      </c>
      <c r="K43" s="39">
        <f t="shared" si="19"/>
        <v>-9419107.1500000022</v>
      </c>
      <c r="L43" s="61">
        <f t="shared" si="19"/>
        <v>-274810</v>
      </c>
      <c r="M43" s="39">
        <f t="shared" si="19"/>
        <v>-506622.7</v>
      </c>
      <c r="N43" s="61">
        <f t="shared" si="19"/>
        <v>35665</v>
      </c>
      <c r="O43" s="39">
        <f t="shared" si="19"/>
        <v>6631845.9600000009</v>
      </c>
      <c r="P43" s="61">
        <f t="shared" si="19"/>
        <v>-9196</v>
      </c>
      <c r="Q43" s="39">
        <f t="shared" si="19"/>
        <v>-16849.46</v>
      </c>
      <c r="R43" s="61">
        <f t="shared" si="19"/>
        <v>56863</v>
      </c>
      <c r="S43" s="39">
        <f t="shared" si="19"/>
        <v>116641.3</v>
      </c>
      <c r="T43" s="61">
        <f t="shared" si="19"/>
        <v>-69962</v>
      </c>
      <c r="U43" s="39">
        <f t="shared" ref="U43:AE43" si="20">U42+U39</f>
        <v>-457870.74</v>
      </c>
      <c r="V43" s="61">
        <f t="shared" si="19"/>
        <v>-21149</v>
      </c>
      <c r="W43" s="39">
        <f t="shared" si="20"/>
        <v>-37997.29</v>
      </c>
      <c r="X43" s="61">
        <f t="shared" si="19"/>
        <v>4872</v>
      </c>
      <c r="Y43" s="39">
        <f t="shared" si="20"/>
        <v>700693.60000000009</v>
      </c>
      <c r="Z43" s="61">
        <f t="shared" si="19"/>
        <v>4515</v>
      </c>
      <c r="AA43" s="39">
        <f t="shared" si="20"/>
        <v>8036.7</v>
      </c>
      <c r="AB43" s="61">
        <f t="shared" si="19"/>
        <v>-352845</v>
      </c>
      <c r="AC43" s="39">
        <f t="shared" si="20"/>
        <v>-694923.87</v>
      </c>
      <c r="AD43" s="61">
        <f t="shared" si="19"/>
        <v>580559</v>
      </c>
      <c r="AE43" s="39">
        <f t="shared" si="20"/>
        <v>919721.57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'TX-EGM-GL'!AL45+'TX-HPL-GL '!AL45</f>
        <v>0</v>
      </c>
      <c r="AG45" s="38">
        <f>'TX-EGM-GL'!AM45+'TX-HPL-GL '!AM45</f>
        <v>0</v>
      </c>
      <c r="AH45" s="60">
        <f>'TX-EGM-GL'!AN45+'TX-HPL-GL '!AN45</f>
        <v>0</v>
      </c>
      <c r="AI45" s="38">
        <f>'TX-EGM-GL'!AO45+'TX-HPL-GL '!AO45</f>
        <v>0</v>
      </c>
      <c r="AJ45" s="60">
        <f>'TX-EGM-GL'!AP45+'TX-HPL-GL '!AP45</f>
        <v>0</v>
      </c>
      <c r="AK45" s="38">
        <f>'TX-EGM-GL'!AQ45+'TX-HPL-GL '!AQ45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6920.119999999999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717.56</v>
      </c>
      <c r="L47" s="60">
        <f>'TX-EGM-GL'!L47+'TX-HPL-GL '!L47</f>
        <v>0</v>
      </c>
      <c r="M47" s="38">
        <f>'TX-EGM-GL'!M47+'TX-HPL-GL '!M47</f>
        <v>9717.56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-12515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'TX-EGM-GL'!AL47+'TX-HPL-GL '!AL47</f>
        <v>0</v>
      </c>
      <c r="AG47" s="38">
        <f>'TX-EGM-GL'!AM47+'TX-HPL-GL '!AM47</f>
        <v>0</v>
      </c>
      <c r="AH47" s="60">
        <f>'TX-EGM-GL'!AN47+'TX-HPL-GL '!AN47</f>
        <v>0</v>
      </c>
      <c r="AI47" s="38">
        <f>'TX-EGM-GL'!AO47+'TX-HPL-GL '!AO47</f>
        <v>0</v>
      </c>
      <c r="AJ47" s="60">
        <f>'TX-EGM-GL'!AP47+'TX-HPL-GL '!AP47</f>
        <v>0</v>
      </c>
      <c r="AK47" s="38">
        <f>'TX-EGM-GL'!AQ47+'TX-HPL-GL '!AQ47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-256012</v>
      </c>
      <c r="E49" s="38">
        <f t="shared" si="22"/>
        <v>-439457.86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144928</v>
      </c>
      <c r="I49" s="38">
        <f>'TX-EGM-GL'!I49+'TX-HPL-GL '!I49</f>
        <v>248551.52</v>
      </c>
      <c r="J49" s="60">
        <f>'TX-EGM-GL'!J49+'TX-HPL-GL '!J49</f>
        <v>-5177</v>
      </c>
      <c r="K49" s="38">
        <f>'TX-EGM-GL'!K49+'TX-HPL-GL '!K49</f>
        <v>-46553.195</v>
      </c>
      <c r="L49" s="60">
        <f>'TX-EGM-GL'!L49+'TX-HPL-GL '!L49</f>
        <v>76892</v>
      </c>
      <c r="M49" s="38">
        <f>'TX-EGM-GL'!M49+'TX-HPL-GL '!M49</f>
        <v>-49152.86</v>
      </c>
      <c r="N49" s="60">
        <f>'TX-EGM-GL'!N49+'TX-HPL-GL '!N49</f>
        <v>-103641</v>
      </c>
      <c r="O49" s="38">
        <f>'TX-EGM-GL'!O49+'TX-HPL-GL '!O49</f>
        <v>40555.684999999998</v>
      </c>
      <c r="P49" s="60">
        <f>'TX-EGM-GL'!P49+'TX-HPL-GL '!P49</f>
        <v>-76112</v>
      </c>
      <c r="Q49" s="38">
        <f>'TX-EGM-GL'!Q49+'TX-HPL-GL '!Q49</f>
        <v>-130532.08</v>
      </c>
      <c r="R49" s="60">
        <f>'TX-EGM-GL'!R49+'TX-HPL-GL '!R49</f>
        <v>41129</v>
      </c>
      <c r="S49" s="38">
        <f>'TX-EGM-GL'!S49+'TX-HPL-GL '!S49</f>
        <v>70536.235000000001</v>
      </c>
      <c r="T49" s="60">
        <f>'TX-EGM-GL'!T49+'TX-HPL-GL '!T49</f>
        <v>-92920</v>
      </c>
      <c r="U49" s="38">
        <f>'TX-EGM-GL'!U49+'TX-HPL-GL '!U49</f>
        <v>-159357.79999999999</v>
      </c>
      <c r="V49" s="60">
        <f>'TX-EGM-GL'!V49+'TX-HPL-GL '!V49</f>
        <v>-62828</v>
      </c>
      <c r="W49" s="38">
        <f>'TX-EGM-GL'!W49+'TX-HPL-GL '!W49</f>
        <v>-107750.02</v>
      </c>
      <c r="X49" s="60">
        <f>'TX-EGM-GL'!X49+'TX-HPL-GL '!X49</f>
        <v>-85133</v>
      </c>
      <c r="Y49" s="38">
        <f>'TX-EGM-GL'!Y49+'TX-HPL-GL '!Y49</f>
        <v>-146003.095</v>
      </c>
      <c r="Z49" s="60">
        <f>'TX-EGM-GL'!Z49+'TX-HPL-GL '!Z49</f>
        <v>-91368</v>
      </c>
      <c r="AA49" s="38">
        <f>'TX-EGM-GL'!AA49+'TX-HPL-GL '!AA49</f>
        <v>-156696.12</v>
      </c>
      <c r="AB49" s="60">
        <f>'TX-EGM-GL'!AB49+'TX-HPL-GL '!AB49</f>
        <v>60658</v>
      </c>
      <c r="AC49" s="38">
        <f>'TX-EGM-GL'!AC49+'TX-HPL-GL '!AC49</f>
        <v>104028.47</v>
      </c>
      <c r="AD49" s="60">
        <f>'TX-EGM-GL'!AD49+'TX-HPL-GL '!AD49</f>
        <v>-62440</v>
      </c>
      <c r="AE49" s="38">
        <f>'TX-EGM-GL'!AE49+'TX-HPL-GL '!AE49</f>
        <v>-107084.6</v>
      </c>
      <c r="AF49" s="60">
        <f>'TX-EGM-GL'!AL49+'TX-HPL-GL '!AL49</f>
        <v>0</v>
      </c>
      <c r="AG49" s="38">
        <f>'TX-EGM-GL'!AM49+'TX-HPL-GL '!AM49</f>
        <v>0</v>
      </c>
      <c r="AH49" s="60">
        <f>'TX-EGM-GL'!AN49+'TX-HPL-GL '!AN49</f>
        <v>0</v>
      </c>
      <c r="AI49" s="38">
        <f>'TX-EGM-GL'!AO49+'TX-HPL-GL '!AO49</f>
        <v>0</v>
      </c>
      <c r="AJ49" s="60">
        <f>'TX-EGM-GL'!AP49+'TX-HPL-GL '!AP49</f>
        <v>0</v>
      </c>
      <c r="AK49" s="38">
        <f>'TX-EGM-GL'!AQ49+'TX-HPL-GL '!AQ49</f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-4992</v>
      </c>
      <c r="E51" s="38">
        <f t="shared" si="22"/>
        <v>-9038.4700000000012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0</v>
      </c>
      <c r="I51" s="38">
        <f>'TX-EGM-GL'!I51+'TX-HPL-GL '!I51</f>
        <v>0</v>
      </c>
      <c r="J51" s="60">
        <f>'TX-EGM-GL'!J51+'TX-HPL-GL '!J51</f>
        <v>-3148</v>
      </c>
      <c r="K51" s="38">
        <f>'TX-EGM-GL'!K51+'TX-HPL-GL '!K51</f>
        <v>-5876</v>
      </c>
      <c r="L51" s="60">
        <f>'TX-EGM-GL'!L51+'TX-HPL-GL '!L51</f>
        <v>-1807</v>
      </c>
      <c r="M51" s="38">
        <f>'TX-EGM-GL'!M51+'TX-HPL-GL '!M51</f>
        <v>-3099.01</v>
      </c>
      <c r="N51" s="60">
        <f>'TX-EGM-GL'!N51+'TX-HPL-GL '!N51</f>
        <v>-2</v>
      </c>
      <c r="O51" s="38">
        <f>'TX-EGM-GL'!O51+'TX-HPL-GL '!O51</f>
        <v>-3.43</v>
      </c>
      <c r="P51" s="60">
        <f>'TX-EGM-GL'!P51+'TX-HPL-GL '!P51</f>
        <v>-35</v>
      </c>
      <c r="Q51" s="38">
        <f>'TX-EGM-GL'!Q51+'TX-HPL-GL '!Q51</f>
        <v>-60.03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'TX-EGM-GL'!AL51+'TX-HPL-GL '!AL51</f>
        <v>0</v>
      </c>
      <c r="AG51" s="38">
        <f>'TX-EGM-GL'!AM51+'TX-HPL-GL '!AM51</f>
        <v>0</v>
      </c>
      <c r="AH51" s="60">
        <f>'TX-EGM-GL'!AN51+'TX-HPL-GL '!AN51</f>
        <v>0</v>
      </c>
      <c r="AI51" s="38">
        <f>'TX-EGM-GL'!AO51+'TX-HPL-GL '!AO51</f>
        <v>0</v>
      </c>
      <c r="AJ51" s="60">
        <f>'TX-EGM-GL'!AP51+'TX-HPL-GL '!AP51</f>
        <v>0</v>
      </c>
      <c r="AK51" s="38">
        <f>'TX-EGM-GL'!AQ51+'TX-HPL-GL '!AQ51</f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36363867</v>
      </c>
      <c r="E54" s="38">
        <f>SUM(G54,I54,K54,M54,O54,Q54,S54,U54,W54,Y54,AA54,AC54,AE54,AG54,AI54,AK54)</f>
        <v>38397.060000000078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-3266641</v>
      </c>
      <c r="I54" s="38">
        <f>'TX-EGM-GL'!I54+'TX-HPL-GL '!I54</f>
        <v>862941.12</v>
      </c>
      <c r="J54" s="60">
        <f>'TX-EGM-GL'!J54+'TX-HPL-GL '!J54</f>
        <v>65995613</v>
      </c>
      <c r="K54" s="38">
        <f>'TX-EGM-GL'!K54+'TX-HPL-GL '!K54</f>
        <v>603042.63</v>
      </c>
      <c r="L54" s="60">
        <f>'TX-EGM-GL'!L54+'TX-HPL-GL '!L54</f>
        <v>-25969367</v>
      </c>
      <c r="M54" s="38">
        <f>'TX-EGM-GL'!M54+'TX-HPL-GL '!M54</f>
        <v>-1309355.42</v>
      </c>
      <c r="N54" s="60">
        <f>'TX-EGM-GL'!N54+'TX-HPL-GL '!N54</f>
        <v>-180934</v>
      </c>
      <c r="O54" s="38">
        <f>'TX-EGM-GL'!O54+'TX-HPL-GL '!O54</f>
        <v>-108995.19</v>
      </c>
      <c r="P54" s="60">
        <f>'TX-EGM-GL'!P54+'TX-HPL-GL '!P54</f>
        <v>54047</v>
      </c>
      <c r="Q54" s="38">
        <f>'TX-EGM-GL'!Q54+'TX-HPL-GL '!Q54</f>
        <v>573.23</v>
      </c>
      <c r="R54" s="60">
        <f>'TX-EGM-GL'!R54+'TX-HPL-GL '!R54</f>
        <v>0</v>
      </c>
      <c r="S54" s="38">
        <f>'TX-EGM-GL'!S54+'TX-HPL-GL '!S54</f>
        <v>770</v>
      </c>
      <c r="T54" s="60">
        <f>'TX-EGM-GL'!T54+'TX-HPL-GL '!T54</f>
        <v>0</v>
      </c>
      <c r="U54" s="38">
        <f>'TX-EGM-GL'!U54+'TX-HPL-GL '!U54</f>
        <v>-9693</v>
      </c>
      <c r="V54" s="60">
        <f>'TX-EGM-GL'!V54+'TX-HPL-GL '!V54</f>
        <v>-24529</v>
      </c>
      <c r="W54" s="38">
        <f>'TX-EGM-GL'!W54+'TX-HPL-GL '!W54</f>
        <v>247.05</v>
      </c>
      <c r="X54" s="60">
        <f>'TX-EGM-GL'!X54+'TX-HPL-GL '!X54</f>
        <v>-673</v>
      </c>
      <c r="Y54" s="38">
        <f>'TX-EGM-GL'!Y54+'TX-HPL-GL '!Y54</f>
        <v>28.57</v>
      </c>
      <c r="Z54" s="60">
        <f>'TX-EGM-GL'!Z54+'TX-HPL-GL '!Z54</f>
        <v>4515</v>
      </c>
      <c r="AA54" s="38">
        <f>'TX-EGM-GL'!AA54+'TX-HPL-GL '!AA54</f>
        <v>-45.15</v>
      </c>
      <c r="AB54" s="60">
        <f>'TX-EGM-GL'!AB54+'TX-HPL-GL '!AB54</f>
        <v>369477</v>
      </c>
      <c r="AC54" s="38">
        <f>'TX-EGM-GL'!AC54+'TX-HPL-GL '!AC54</f>
        <v>997.05</v>
      </c>
      <c r="AD54" s="60">
        <f>'TX-EGM-GL'!AD54+'TX-HPL-GL '!AD54</f>
        <v>-617641</v>
      </c>
      <c r="AE54" s="38">
        <f>'TX-EGM-GL'!AE54+'TX-HPL-GL '!AE54</f>
        <v>-2113.83</v>
      </c>
      <c r="AF54" s="60">
        <f>'TX-EGM-GL'!AL54+'TX-HPL-GL '!AL54</f>
        <v>0</v>
      </c>
      <c r="AG54" s="38">
        <f>'TX-EGM-GL'!AM54+'TX-HPL-GL '!AM54</f>
        <v>0</v>
      </c>
      <c r="AH54" s="60">
        <f>'TX-EGM-GL'!AN54+'TX-HPL-GL '!AN54</f>
        <v>0</v>
      </c>
      <c r="AI54" s="38">
        <f>'TX-EGM-GL'!AO54+'TX-HPL-GL '!AO54</f>
        <v>0</v>
      </c>
      <c r="AJ54" s="60">
        <f>'TX-EGM-GL'!AP54+'TX-HPL-GL '!AP54</f>
        <v>0</v>
      </c>
      <c r="AK54" s="38">
        <f>'TX-EGM-GL'!AQ54+'TX-HPL-GL '!AQ54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-603096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-823333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220237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0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'TX-EGM-GL'!AL55+'TX-HPL-GL '!AL55</f>
        <v>0</v>
      </c>
      <c r="AG55" s="38">
        <f>'TX-EGM-GL'!AM55+'TX-HPL-GL '!AM55</f>
        <v>0</v>
      </c>
      <c r="AH55" s="60">
        <f>'TX-EGM-GL'!AN55+'TX-HPL-GL '!AN55</f>
        <v>0</v>
      </c>
      <c r="AI55" s="38">
        <f>'TX-EGM-GL'!AO55+'TX-HPL-GL '!AO55</f>
        <v>0</v>
      </c>
      <c r="AJ55" s="60">
        <f>'TX-EGM-GL'!AP55+'TX-HPL-GL '!AP55</f>
        <v>0</v>
      </c>
      <c r="AK55" s="38">
        <f>'TX-EGM-GL'!AQ55+'TX-HPL-GL '!AQ55</f>
        <v>0</v>
      </c>
    </row>
    <row r="56" spans="1:37" x14ac:dyDescent="0.2">
      <c r="A56" s="9"/>
      <c r="B56" s="7" t="s">
        <v>61</v>
      </c>
      <c r="C56" s="6"/>
      <c r="D56" s="61">
        <f>SUM(D54:D55)</f>
        <v>36363867</v>
      </c>
      <c r="E56" s="39">
        <f>SUM(E54:E55)</f>
        <v>-564698.93999999994</v>
      </c>
      <c r="F56" s="61">
        <f t="shared" ref="F56:AD56" si="23">SUM(F54:F55)</f>
        <v>0</v>
      </c>
      <c r="G56" s="39">
        <f t="shared" si="23"/>
        <v>0</v>
      </c>
      <c r="H56" s="61">
        <f t="shared" si="23"/>
        <v>-3266641</v>
      </c>
      <c r="I56" s="39">
        <f t="shared" si="23"/>
        <v>862941.12</v>
      </c>
      <c r="J56" s="61">
        <f t="shared" si="23"/>
        <v>65995613</v>
      </c>
      <c r="K56" s="39">
        <f t="shared" si="23"/>
        <v>603042.63</v>
      </c>
      <c r="L56" s="61">
        <f t="shared" si="23"/>
        <v>-25969367</v>
      </c>
      <c r="M56" s="39">
        <f t="shared" si="23"/>
        <v>-1309355.42</v>
      </c>
      <c r="N56" s="61">
        <f t="shared" si="23"/>
        <v>-180934</v>
      </c>
      <c r="O56" s="39">
        <f t="shared" si="23"/>
        <v>-932328.19</v>
      </c>
      <c r="P56" s="61">
        <f t="shared" si="23"/>
        <v>54047</v>
      </c>
      <c r="Q56" s="39">
        <f t="shared" si="23"/>
        <v>573.23</v>
      </c>
      <c r="R56" s="61">
        <f t="shared" si="23"/>
        <v>0</v>
      </c>
      <c r="S56" s="39">
        <f t="shared" si="23"/>
        <v>221007</v>
      </c>
      <c r="T56" s="61">
        <f t="shared" si="23"/>
        <v>0</v>
      </c>
      <c r="U56" s="39">
        <f t="shared" ref="U56:AE56" si="24">SUM(U54:U55)</f>
        <v>-9693</v>
      </c>
      <c r="V56" s="61">
        <f t="shared" si="23"/>
        <v>-24529</v>
      </c>
      <c r="W56" s="39">
        <f t="shared" si="24"/>
        <v>247.05</v>
      </c>
      <c r="X56" s="61">
        <f t="shared" si="23"/>
        <v>-673</v>
      </c>
      <c r="Y56" s="39">
        <f t="shared" si="24"/>
        <v>28.57</v>
      </c>
      <c r="Z56" s="61">
        <f t="shared" si="23"/>
        <v>4515</v>
      </c>
      <c r="AA56" s="39">
        <f t="shared" si="24"/>
        <v>-45.15</v>
      </c>
      <c r="AB56" s="61">
        <f t="shared" si="23"/>
        <v>369477</v>
      </c>
      <c r="AC56" s="39">
        <f t="shared" si="24"/>
        <v>997.05</v>
      </c>
      <c r="AD56" s="61">
        <f t="shared" si="23"/>
        <v>-617641</v>
      </c>
      <c r="AE56" s="39">
        <f t="shared" si="24"/>
        <v>-2113.83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1632.12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0</v>
      </c>
      <c r="J59" s="60">
        <f>'TX-EGM-GL'!J59+'TX-HPL-GL '!J59</f>
        <v>0</v>
      </c>
      <c r="K59" s="38">
        <f>'TX-EGM-GL'!K59+'TX-HPL-GL '!K59</f>
        <v>350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312.5</v>
      </c>
      <c r="R59" s="60">
        <f>'TX-EGM-GL'!R59+'TX-HPL-GL '!R59</f>
        <v>0</v>
      </c>
      <c r="S59" s="38">
        <f>'TX-EGM-GL'!S59+'TX-HPL-GL '!S59</f>
        <v>0</v>
      </c>
      <c r="T59" s="60">
        <f>'TX-EGM-GL'!T59+'TX-HPL-GL '!T59</f>
        <v>0</v>
      </c>
      <c r="U59" s="38">
        <f>'TX-EGM-GL'!U59+'TX-HPL-GL '!U59</f>
        <v>200</v>
      </c>
      <c r="V59" s="60">
        <f>'TX-EGM-GL'!V59+'TX-HPL-GL '!V59</f>
        <v>0</v>
      </c>
      <c r="W59" s="38">
        <f>'TX-EGM-GL'!W59+'TX-HPL-GL '!W59</f>
        <v>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969.62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-200</v>
      </c>
      <c r="AF59" s="60">
        <f>'TX-EGM-GL'!AL59+'TX-HPL-GL '!AL59</f>
        <v>0</v>
      </c>
      <c r="AG59" s="38">
        <f>'TX-EGM-GL'!AM59+'TX-HPL-GL '!AM59</f>
        <v>0</v>
      </c>
      <c r="AH59" s="60">
        <f>'TX-EGM-GL'!AN59+'TX-HPL-GL '!AN59</f>
        <v>0</v>
      </c>
      <c r="AI59" s="38">
        <f>'TX-EGM-GL'!AO59+'TX-HPL-GL '!AO59</f>
        <v>0</v>
      </c>
      <c r="AJ59" s="60">
        <f>'TX-EGM-GL'!AP59+'TX-HPL-GL '!AP59</f>
        <v>0</v>
      </c>
      <c r="AK59" s="38">
        <f>'TX-EGM-GL'!AQ59+'TX-HPL-GL '!AQ59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'TX-EGM-GL'!AL60+'TX-HPL-GL '!AL60</f>
        <v>0</v>
      </c>
      <c r="AG60" s="38">
        <f>'TX-EGM-GL'!AM60+'TX-HPL-GL '!AM60</f>
        <v>0</v>
      </c>
      <c r="AH60" s="60">
        <f>'TX-EGM-GL'!AN60+'TX-HPL-GL '!AN60</f>
        <v>0</v>
      </c>
      <c r="AI60" s="38">
        <f>'TX-EGM-GL'!AO60+'TX-HPL-GL '!AO60</f>
        <v>0</v>
      </c>
      <c r="AJ60" s="60">
        <f>'TX-EGM-GL'!AP60+'TX-HPL-GL '!AP60</f>
        <v>0</v>
      </c>
      <c r="AK60" s="38">
        <f>'TX-EGM-GL'!AQ60+'TX-HPL-GL '!AQ60</f>
        <v>0</v>
      </c>
    </row>
    <row r="61" spans="1:37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1632.12</v>
      </c>
      <c r="F61" s="61">
        <f t="shared" ref="F61:AD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350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312.5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ref="U61:AE61" si="27">SUM(U59:U60)</f>
        <v>200</v>
      </c>
      <c r="V61" s="61">
        <f t="shared" si="26"/>
        <v>0</v>
      </c>
      <c r="W61" s="39">
        <f t="shared" si="27"/>
        <v>0</v>
      </c>
      <c r="X61" s="61">
        <f t="shared" si="26"/>
        <v>0</v>
      </c>
      <c r="Y61" s="39">
        <f t="shared" si="27"/>
        <v>0</v>
      </c>
      <c r="Z61" s="61">
        <f t="shared" si="26"/>
        <v>0</v>
      </c>
      <c r="AA61" s="39">
        <f t="shared" si="27"/>
        <v>969.62</v>
      </c>
      <c r="AB61" s="61">
        <f t="shared" si="26"/>
        <v>0</v>
      </c>
      <c r="AC61" s="39">
        <f t="shared" si="27"/>
        <v>0</v>
      </c>
      <c r="AD61" s="61">
        <f t="shared" si="26"/>
        <v>0</v>
      </c>
      <c r="AE61" s="39">
        <f t="shared" si="27"/>
        <v>-200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-68108758</v>
      </c>
      <c r="E64" s="38">
        <f>SUM(G64,I64,K64,M64,O64,Q64,S64,U64,W64,Y64,AA64,AC64,AE64,AG64,AI64,AK64)</f>
        <v>-1396517.1999999997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-40457043</v>
      </c>
      <c r="I64" s="38">
        <f>'TX-EGM-GL'!I64+'TX-HPL-GL '!I64</f>
        <v>-1581287.8</v>
      </c>
      <c r="J64" s="60">
        <f>'TX-EGM-GL'!J64+'TX-HPL-GL '!J64</f>
        <v>-56440738</v>
      </c>
      <c r="K64" s="38">
        <f>'TX-EGM-GL'!K64+'TX-HPL-GL '!K64</f>
        <v>-608060.37</v>
      </c>
      <c r="L64" s="60">
        <f>'TX-EGM-GL'!L64+'TX-HPL-GL '!L64</f>
        <v>28519169</v>
      </c>
      <c r="M64" s="38">
        <f>'TX-EGM-GL'!M64+'TX-HPL-GL '!M64</f>
        <v>696609.74000000011</v>
      </c>
      <c r="N64" s="60">
        <f>'TX-EGM-GL'!N64+'TX-HPL-GL '!N64</f>
        <v>213538</v>
      </c>
      <c r="O64" s="38">
        <f>'TX-EGM-GL'!O64+'TX-HPL-GL '!O64</f>
        <v>2495.54</v>
      </c>
      <c r="P64" s="60">
        <f>'TX-EGM-GL'!P64+'TX-HPL-GL '!P64</f>
        <v>22911</v>
      </c>
      <c r="Q64" s="38">
        <f>'TX-EGM-GL'!Q64+'TX-HPL-GL '!Q64</f>
        <v>-225.83</v>
      </c>
      <c r="R64" s="60">
        <f>'TX-EGM-GL'!R64+'TX-HPL-GL '!R64</f>
        <v>-58407</v>
      </c>
      <c r="S64" s="38">
        <f>'TX-EGM-GL'!S64+'TX-HPL-GL '!S64</f>
        <v>375</v>
      </c>
      <c r="T64" s="60">
        <f>'TX-EGM-GL'!T64+'TX-HPL-GL '!T64</f>
        <v>86495</v>
      </c>
      <c r="U64" s="38">
        <f>'TX-EGM-GL'!U64+'TX-HPL-GL '!U64</f>
        <v>203.51</v>
      </c>
      <c r="V64" s="60">
        <f>'TX-EGM-GL'!V64+'TX-HPL-GL '!V64</f>
        <v>-2781</v>
      </c>
      <c r="W64" s="38">
        <f>'TX-EGM-GL'!W64+'TX-HPL-GL '!W64</f>
        <v>52.25</v>
      </c>
      <c r="X64" s="60">
        <f>'TX-EGM-GL'!X64+'TX-HPL-GL '!X64</f>
        <v>-6417</v>
      </c>
      <c r="Y64" s="38">
        <f>'TX-EGM-GL'!Y64+'TX-HPL-GL '!Y64</f>
        <v>11.51</v>
      </c>
      <c r="Z64" s="60">
        <f>'TX-EGM-GL'!Z64+'TX-HPL-GL '!Z64</f>
        <v>4515</v>
      </c>
      <c r="AA64" s="38">
        <f>'TX-EGM-GL'!AA64+'TX-HPL-GL '!AA64</f>
        <v>-90.75</v>
      </c>
      <c r="AB64" s="60">
        <f>'TX-EGM-GL'!AB64+'TX-HPL-GL '!AB64</f>
        <v>10000</v>
      </c>
      <c r="AC64" s="38">
        <f>'TX-EGM-GL'!AC64+'TX-HPL-GL '!AC64</f>
        <v>100</v>
      </c>
      <c r="AD64" s="60">
        <f>'TX-EGM-GL'!AD64+'TX-HPL-GL '!AD64</f>
        <v>0</v>
      </c>
      <c r="AE64" s="38">
        <f>'TX-EGM-GL'!AE64+'TX-HPL-GL '!AE64</f>
        <v>0</v>
      </c>
      <c r="AF64" s="60">
        <f>'TX-EGM-GL'!AL64+'TX-HPL-GL '!AL64</f>
        <v>0</v>
      </c>
      <c r="AG64" s="38">
        <f>'TX-EGM-GL'!AM64+'TX-HPL-GL '!AM64</f>
        <v>0</v>
      </c>
      <c r="AH64" s="60">
        <f>'TX-EGM-GL'!AN64+'TX-HPL-GL '!AN64</f>
        <v>0</v>
      </c>
      <c r="AI64" s="38">
        <f>'TX-EGM-GL'!AO64+'TX-HPL-GL '!AO64</f>
        <v>0</v>
      </c>
      <c r="AJ64" s="60">
        <f>'TX-EGM-GL'!AP64+'TX-HPL-GL '!AP64</f>
        <v>0</v>
      </c>
      <c r="AK64" s="38">
        <f>'TX-EGM-GL'!AQ64+'TX-HPL-GL '!AQ64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1252816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1283834</v>
      </c>
      <c r="P65" s="60">
        <f>'TX-EGM-GL'!P65+'TX-HPL-GL '!P65</f>
        <v>0</v>
      </c>
      <c r="Q65" s="38">
        <f>'TX-EGM-GL'!Q65+'TX-HPL-GL '!Q65</f>
        <v>125</v>
      </c>
      <c r="R65" s="60">
        <f>'TX-EGM-GL'!R65+'TX-HPL-GL '!R65</f>
        <v>0</v>
      </c>
      <c r="S65" s="38">
        <f>'TX-EGM-GL'!S65+'TX-HPL-GL '!S65</f>
        <v>0</v>
      </c>
      <c r="T65" s="60">
        <f>'TX-EGM-GL'!T65+'TX-HPL-GL '!T65</f>
        <v>0</v>
      </c>
      <c r="U65" s="38">
        <f>'TX-EGM-GL'!U65+'TX-HPL-GL '!U65</f>
        <v>-1389</v>
      </c>
      <c r="V65" s="60">
        <f>'TX-EGM-GL'!V65+'TX-HPL-GL '!V65</f>
        <v>0</v>
      </c>
      <c r="W65" s="38">
        <f>'TX-EGM-GL'!W65+'TX-HPL-GL '!W65</f>
        <v>-38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-29584</v>
      </c>
      <c r="AB65" s="60">
        <f>'TX-EGM-GL'!AB65+'TX-HPL-GL '!AB65</f>
        <v>0</v>
      </c>
      <c r="AC65" s="38">
        <f>'TX-EGM-GL'!AC65+'TX-HPL-GL '!AC65</f>
        <v>-132</v>
      </c>
      <c r="AD65" s="60">
        <f>'TX-EGM-GL'!AD65+'TX-HPL-GL '!AD65</f>
        <v>0</v>
      </c>
      <c r="AE65" s="38">
        <f>'TX-EGM-GL'!AE65+'TX-HPL-GL '!AE65</f>
        <v>0</v>
      </c>
      <c r="AF65" s="60">
        <f>'TX-EGM-GL'!AL65+'TX-HPL-GL '!AL65</f>
        <v>0</v>
      </c>
      <c r="AG65" s="38">
        <f>'TX-EGM-GL'!AM65+'TX-HPL-GL '!AM65</f>
        <v>0</v>
      </c>
      <c r="AH65" s="60">
        <f>'TX-EGM-GL'!AN65+'TX-HPL-GL '!AN65</f>
        <v>0</v>
      </c>
      <c r="AI65" s="38">
        <f>'TX-EGM-GL'!AO65+'TX-HPL-GL '!AO65</f>
        <v>0</v>
      </c>
      <c r="AJ65" s="60">
        <f>'TX-EGM-GL'!AP65+'TX-HPL-GL '!AP65</f>
        <v>0</v>
      </c>
      <c r="AK65" s="38">
        <f>'TX-EGM-GL'!AQ65+'TX-HPL-GL '!AQ65</f>
        <v>0</v>
      </c>
    </row>
    <row r="66" spans="1:37" x14ac:dyDescent="0.2">
      <c r="A66" s="9"/>
      <c r="B66" s="7" t="s">
        <v>68</v>
      </c>
      <c r="C66" s="6"/>
      <c r="D66" s="61">
        <f>SUM(D64:D65)</f>
        <v>-68108758</v>
      </c>
      <c r="E66" s="39">
        <f>SUM(E64:E65)</f>
        <v>-143701.19999999972</v>
      </c>
      <c r="F66" s="61">
        <f t="shared" ref="F66:AD66" si="29">SUM(F64:F65)</f>
        <v>0</v>
      </c>
      <c r="G66" s="39">
        <f t="shared" si="29"/>
        <v>93300</v>
      </c>
      <c r="H66" s="61">
        <f t="shared" si="29"/>
        <v>-40457043</v>
      </c>
      <c r="I66" s="39">
        <f t="shared" si="29"/>
        <v>-1581287.8</v>
      </c>
      <c r="J66" s="61">
        <f t="shared" si="29"/>
        <v>-56440738</v>
      </c>
      <c r="K66" s="39">
        <f t="shared" si="29"/>
        <v>-608060.37</v>
      </c>
      <c r="L66" s="61">
        <f t="shared" si="29"/>
        <v>28519169</v>
      </c>
      <c r="M66" s="39">
        <f t="shared" si="29"/>
        <v>696609.74000000011</v>
      </c>
      <c r="N66" s="61">
        <f t="shared" si="29"/>
        <v>213538</v>
      </c>
      <c r="O66" s="39">
        <f t="shared" si="29"/>
        <v>1286329.54</v>
      </c>
      <c r="P66" s="61">
        <f t="shared" si="29"/>
        <v>22911</v>
      </c>
      <c r="Q66" s="39">
        <f t="shared" si="29"/>
        <v>-100.83000000000001</v>
      </c>
      <c r="R66" s="61">
        <f t="shared" si="29"/>
        <v>-58407</v>
      </c>
      <c r="S66" s="39">
        <f t="shared" si="29"/>
        <v>375</v>
      </c>
      <c r="T66" s="61">
        <f t="shared" si="29"/>
        <v>86495</v>
      </c>
      <c r="U66" s="39">
        <f t="shared" ref="U66:AE66" si="30">SUM(U64:U65)</f>
        <v>-1185.49</v>
      </c>
      <c r="V66" s="61">
        <f t="shared" si="29"/>
        <v>-2781</v>
      </c>
      <c r="W66" s="39">
        <f t="shared" si="30"/>
        <v>14.25</v>
      </c>
      <c r="X66" s="61">
        <f t="shared" si="29"/>
        <v>-6417</v>
      </c>
      <c r="Y66" s="39">
        <f t="shared" si="30"/>
        <v>11.51</v>
      </c>
      <c r="Z66" s="61">
        <f t="shared" si="29"/>
        <v>4515</v>
      </c>
      <c r="AA66" s="39">
        <f t="shared" si="30"/>
        <v>-29674.75</v>
      </c>
      <c r="AB66" s="61">
        <f t="shared" si="29"/>
        <v>10000</v>
      </c>
      <c r="AC66" s="39">
        <f t="shared" si="30"/>
        <v>-32</v>
      </c>
      <c r="AD66" s="61">
        <f t="shared" si="29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-140015.5</v>
      </c>
      <c r="F70" s="64">
        <f>('TIE-OUT'!P70+'TIE-OUT'!R70)+(RECLASS!P70+RECLASS!R70)</f>
        <v>0</v>
      </c>
      <c r="G70" s="68">
        <f>('TIE-OUT'!Q70+'TIE-OUT'!S70)+(RECLASS!Q70+RECLASS!S70)</f>
        <v>-140015.5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'TX-EGM-GL'!AL70+'TX-HPL-GL '!AL70</f>
        <v>0</v>
      </c>
      <c r="AG70" s="38">
        <f>'TX-EGM-GL'!AM70+'TX-HPL-GL '!AM70</f>
        <v>0</v>
      </c>
      <c r="AH70" s="60">
        <f>'TX-EGM-GL'!AN70+'TX-HPL-GL '!AN70</f>
        <v>0</v>
      </c>
      <c r="AI70" s="38">
        <f>'TX-EGM-GL'!AO70+'TX-HPL-GL '!AO70</f>
        <v>0</v>
      </c>
      <c r="AJ70" s="60">
        <f>'TX-EGM-GL'!AP70+'TX-HPL-GL '!AP70</f>
        <v>0</v>
      </c>
      <c r="AK70" s="38">
        <f>'TX-EGM-GL'!AQ70+'TX-HPL-GL '!AQ70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'TX-EGM-GL'!AL71+'TX-HPL-GL '!AL71</f>
        <v>0</v>
      </c>
      <c r="AG71" s="38">
        <f>'TX-EGM-GL'!AM71+'TX-HPL-GL '!AM71</f>
        <v>0</v>
      </c>
      <c r="AH71" s="60">
        <f>'TX-EGM-GL'!AN71+'TX-HPL-GL '!AN71</f>
        <v>0</v>
      </c>
      <c r="AI71" s="38">
        <f>'TX-EGM-GL'!AO71+'TX-HPL-GL '!AO71</f>
        <v>0</v>
      </c>
      <c r="AJ71" s="60">
        <f>'TX-EGM-GL'!AP71+'TX-HPL-GL '!AP71</f>
        <v>0</v>
      </c>
      <c r="AK71" s="38">
        <f>'TX-EGM-GL'!AQ71+'TX-HPL-GL '!AQ71</f>
        <v>0</v>
      </c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-140015.5</v>
      </c>
      <c r="F72" s="61">
        <f t="shared" ref="F72:AD72" si="32">SUM(F70:F71)</f>
        <v>0</v>
      </c>
      <c r="G72" s="39">
        <f t="shared" si="32"/>
        <v>-140015.5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ref="U72:AE72" si="33">SUM(U70:U71)</f>
        <v>0</v>
      </c>
      <c r="V72" s="61">
        <f t="shared" si="32"/>
        <v>0</v>
      </c>
      <c r="W72" s="39">
        <f t="shared" si="33"/>
        <v>0</v>
      </c>
      <c r="X72" s="61">
        <f t="shared" si="32"/>
        <v>0</v>
      </c>
      <c r="Y72" s="39">
        <f t="shared" si="33"/>
        <v>0</v>
      </c>
      <c r="Z72" s="61">
        <f t="shared" si="32"/>
        <v>0</v>
      </c>
      <c r="AA72" s="39">
        <f t="shared" si="33"/>
        <v>0</v>
      </c>
      <c r="AB72" s="61">
        <f t="shared" si="32"/>
        <v>0</v>
      </c>
      <c r="AC72" s="39">
        <f t="shared" si="33"/>
        <v>0</v>
      </c>
      <c r="AD72" s="61">
        <f t="shared" si="32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'TX-EGM-GL'!AL73+'TX-HPL-GL '!AL73</f>
        <v>0</v>
      </c>
      <c r="AG73" s="38">
        <f>'TX-EGM-GL'!AM73+'TX-HPL-GL '!AM73</f>
        <v>0</v>
      </c>
      <c r="AH73" s="60">
        <f>'TX-EGM-GL'!AN73+'TX-HPL-GL '!AN73</f>
        <v>0</v>
      </c>
      <c r="AI73" s="38">
        <f>'TX-EGM-GL'!AO73+'TX-HPL-GL '!AO73</f>
        <v>0</v>
      </c>
      <c r="AJ73" s="60">
        <f>'TX-EGM-GL'!AP73+'TX-HPL-GL '!AP73</f>
        <v>0</v>
      </c>
      <c r="AK73" s="38">
        <f>'TX-EGM-GL'!AQ73+'TX-HPL-GL '!AQ73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778725.54</v>
      </c>
      <c r="F74" s="60">
        <f>('TIE-OUT'!P74+'TIE-OUT'!R74)+(RECLASS!P74+RECLASS!R74)</f>
        <v>0</v>
      </c>
      <c r="G74" s="60">
        <f>('TIE-OUT'!Q74+'TIE-OUT'!S74)+(RECLASS!Q74+RECLASS!S74)</f>
        <v>-1685238.46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1916516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2572968</v>
      </c>
      <c r="P74" s="60">
        <f>'TX-EGM-GL'!P74+'TX-HPL-GL '!P74</f>
        <v>0</v>
      </c>
      <c r="Q74" s="38">
        <f>'TX-EGM-GL'!Q74+'TX-HPL-GL '!Q74</f>
        <v>-2025520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'TX-EGM-GL'!AL74+'TX-HPL-GL '!AL74</f>
        <v>0</v>
      </c>
      <c r="AG74" s="38">
        <f>'TX-EGM-GL'!AM74+'TX-HPL-GL '!AM74</f>
        <v>0</v>
      </c>
      <c r="AH74" s="60">
        <f>'TX-EGM-GL'!AN74+'TX-HPL-GL '!AN74</f>
        <v>0</v>
      </c>
      <c r="AI74" s="38">
        <f>'TX-EGM-GL'!AO74+'TX-HPL-GL '!AO74</f>
        <v>0</v>
      </c>
      <c r="AJ74" s="60">
        <f>'TX-EGM-GL'!AP74+'TX-HPL-GL '!AP74</f>
        <v>0</v>
      </c>
      <c r="AK74" s="38">
        <f>'TX-EGM-GL'!AQ74+'TX-HPL-GL '!AQ74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52800</v>
      </c>
      <c r="F75" s="60">
        <f>('TIE-OUT'!P75+'TIE-OUT'!R75)+(RECLASS!P75+RECLASS!R75)</f>
        <v>0</v>
      </c>
      <c r="G75" s="60">
        <f>('TIE-OUT'!Q75+'TIE-OUT'!S75)+(RECLASS!Q75+RECLASS!S75)</f>
        <v>52800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'TX-EGM-GL'!AL75+'TX-HPL-GL '!AL75</f>
        <v>0</v>
      </c>
      <c r="AG75" s="38">
        <f>'TX-EGM-GL'!AM75+'TX-HPL-GL '!AM75</f>
        <v>0</v>
      </c>
      <c r="AH75" s="60">
        <f>'TX-EGM-GL'!AN75+'TX-HPL-GL '!AN75</f>
        <v>0</v>
      </c>
      <c r="AI75" s="38">
        <f>'TX-EGM-GL'!AO75+'TX-HPL-GL '!AO75</f>
        <v>0</v>
      </c>
      <c r="AJ75" s="60">
        <f>'TX-EGM-GL'!AP75+'TX-HPL-GL '!AP75</f>
        <v>0</v>
      </c>
      <c r="AK75" s="38">
        <f>'TX-EGM-GL'!AQ75+'TX-HPL-GL '!AQ75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-60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0</v>
      </c>
      <c r="J76" s="60">
        <f>'TX-EGM-GL'!J76+'TX-HPL-GL '!J76</f>
        <v>0</v>
      </c>
      <c r="K76" s="38">
        <f>'TX-EGM-GL'!K76+'TX-HPL-GL '!K76</f>
        <v>-60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'TX-EGM-GL'!AL76+'TX-HPL-GL '!AL76</f>
        <v>0</v>
      </c>
      <c r="AG76" s="38">
        <f>'TX-EGM-GL'!AM76+'TX-HPL-GL '!AM76</f>
        <v>0</v>
      </c>
      <c r="AH76" s="60">
        <f>'TX-EGM-GL'!AN76+'TX-HPL-GL '!AN76</f>
        <v>0</v>
      </c>
      <c r="AI76" s="38">
        <f>'TX-EGM-GL'!AO76+'TX-HPL-GL '!AO76</f>
        <v>0</v>
      </c>
      <c r="AJ76" s="60">
        <f>'TX-EGM-GL'!AP76+'TX-HPL-GL '!AP76</f>
        <v>0</v>
      </c>
      <c r="AK76" s="38">
        <f>'TX-EGM-GL'!AQ76+'TX-HPL-GL '!AQ76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'TX-EGM-GL'!AL77+'TX-HPL-GL '!AL77</f>
        <v>0</v>
      </c>
      <c r="AG77" s="38">
        <f>'TX-EGM-GL'!AM77+'TX-HPL-GL '!AM77</f>
        <v>0</v>
      </c>
      <c r="AH77" s="60">
        <f>'TX-EGM-GL'!AN77+'TX-HPL-GL '!AN77</f>
        <v>0</v>
      </c>
      <c r="AI77" s="38">
        <f>'TX-EGM-GL'!AO77+'TX-HPL-GL '!AO77</f>
        <v>0</v>
      </c>
      <c r="AJ77" s="60">
        <f>'TX-EGM-GL'!AP77+'TX-HPL-GL '!AP77</f>
        <v>0</v>
      </c>
      <c r="AK77" s="38">
        <f>'TX-EGM-GL'!AQ77+'TX-HPL-GL '!AQ77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'TX-EGM-GL'!AL78+'TX-HPL-GL '!AL78</f>
        <v>0</v>
      </c>
      <c r="AG78" s="38">
        <f>'TX-EGM-GL'!AM78+'TX-HPL-GL '!AM78</f>
        <v>0</v>
      </c>
      <c r="AH78" s="60">
        <f>'TX-EGM-GL'!AN78+'TX-HPL-GL '!AN78</f>
        <v>0</v>
      </c>
      <c r="AI78" s="38">
        <f>'TX-EGM-GL'!AO78+'TX-HPL-GL '!AO78</f>
        <v>0</v>
      </c>
      <c r="AJ78" s="60">
        <f>'TX-EGM-GL'!AP78+'TX-HPL-GL '!AP78</f>
        <v>0</v>
      </c>
      <c r="AK78" s="38">
        <f>'TX-EGM-GL'!AQ78+'TX-HPL-GL '!AQ78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'TX-EGM-GL'!AL79+'TX-HPL-GL '!AL79</f>
        <v>0</v>
      </c>
      <c r="AG79" s="38">
        <f>'TX-EGM-GL'!AM79+'TX-HPL-GL '!AM79</f>
        <v>0</v>
      </c>
      <c r="AH79" s="60">
        <f>'TX-EGM-GL'!AN79+'TX-HPL-GL '!AN79</f>
        <v>0</v>
      </c>
      <c r="AI79" s="38">
        <f>'TX-EGM-GL'!AO79+'TX-HPL-GL '!AO79</f>
        <v>0</v>
      </c>
      <c r="AJ79" s="60">
        <f>'TX-EGM-GL'!AP79+'TX-HPL-GL '!AP79</f>
        <v>0</v>
      </c>
      <c r="AK79" s="38">
        <f>'TX-EGM-GL'!AQ79+'TX-HPL-GL '!AQ79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'TX-EGM-GL'!AL80+'TX-HPL-GL '!AL80</f>
        <v>0</v>
      </c>
      <c r="AG80" s="38">
        <f>'TX-EGM-GL'!AM80+'TX-HPL-GL '!AM80</f>
        <v>0</v>
      </c>
      <c r="AH80" s="60">
        <f>'TX-EGM-GL'!AN80+'TX-HPL-GL '!AN80</f>
        <v>0</v>
      </c>
      <c r="AI80" s="38">
        <f>'TX-EGM-GL'!AO80+'TX-HPL-GL '!AO80</f>
        <v>0</v>
      </c>
      <c r="AJ80" s="60">
        <f>'TX-EGM-GL'!AP80+'TX-HPL-GL '!AP80</f>
        <v>0</v>
      </c>
      <c r="AK80" s="38">
        <f>'TX-EGM-GL'!AQ80+'TX-HPL-GL '!AQ80</f>
        <v>0</v>
      </c>
    </row>
    <row r="81" spans="1:73" x14ac:dyDescent="0.2">
      <c r="A81" s="9">
        <v>40</v>
      </c>
      <c r="B81" s="3"/>
      <c r="C81" s="10" t="s">
        <v>82</v>
      </c>
      <c r="D81" s="60">
        <f t="shared" si="35"/>
        <v>-25993375</v>
      </c>
      <c r="E81" s="38">
        <f t="shared" si="36"/>
        <v>-85161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-25993375</v>
      </c>
      <c r="I81" s="38">
        <f>'TX-EGM-GL'!I81+'TX-HPL-GL '!I81</f>
        <v>-85161</v>
      </c>
      <c r="J81" s="60">
        <f>'TX-EGM-GL'!J81+'TX-HPL-GL '!J81</f>
        <v>0</v>
      </c>
      <c r="K81" s="38">
        <f>'TX-EGM-GL'!K81+'TX-HPL-GL '!K81</f>
        <v>-50000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50000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'TX-EGM-GL'!AL81+'TX-HPL-GL '!AL81</f>
        <v>0</v>
      </c>
      <c r="AG81" s="38">
        <f>'TX-EGM-GL'!AM81+'TX-HPL-GL '!AM81</f>
        <v>0</v>
      </c>
      <c r="AH81" s="60">
        <f>'TX-EGM-GL'!AN81+'TX-HPL-GL '!AN81</f>
        <v>0</v>
      </c>
      <c r="AI81" s="38">
        <f>'TX-EGM-GL'!AO81+'TX-HPL-GL '!AO81</f>
        <v>0</v>
      </c>
      <c r="AJ81" s="60">
        <f>'TX-EGM-GL'!AP81+'TX-HPL-GL '!AP81</f>
        <v>0</v>
      </c>
      <c r="AK81" s="38">
        <f>'TX-EGM-GL'!AQ81+'TX-HPL-GL '!AQ81</f>
        <v>0</v>
      </c>
    </row>
    <row r="82" spans="1:73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315961.40220002364</v>
      </c>
      <c r="F82" s="92">
        <f>F16+F24+F29+F36+F43+F45+F47+F49</f>
        <v>0</v>
      </c>
      <c r="G82" s="93">
        <f>SUM(G72:G81)+G16+G24+G29+G36+G43+G45+G47+G49+G51+G56+G61+G66</f>
        <v>-12591282.910000002</v>
      </c>
      <c r="H82" s="92">
        <f>H16+H24+H29+H36+H43+H45+H47+H49</f>
        <v>0</v>
      </c>
      <c r="I82" s="93">
        <f>SUM(I72:I81)+I16+I24+I29+I36+I43+I45+I47+I49+I51+I56+I61+I66</f>
        <v>20319507.909999989</v>
      </c>
      <c r="J82" s="92">
        <f>J16+J24+J29+J36+J43+J45+J47+J49</f>
        <v>0</v>
      </c>
      <c r="K82" s="93">
        <f>SUM(K72:K81)+K16+K24+K29+K36+K43+K45+K47+K49+K51+K56+K61+K66</f>
        <v>-15863480.212499997</v>
      </c>
      <c r="L82" s="92">
        <f>L16+L24+L29+L36+L43+L45+L47+L49</f>
        <v>0</v>
      </c>
      <c r="M82" s="93">
        <f>SUM(M72:M81)+M16+M24+M29+M36+M43+M45+M47+M49+M51+M56+M61+M66</f>
        <v>-95586.070499999681</v>
      </c>
      <c r="N82" s="92">
        <f>N16+N24+N29+N36+N43+N45+N47+N49</f>
        <v>0</v>
      </c>
      <c r="O82" s="93">
        <f>SUM(O72:O81)+O16+O24+O29+O36+O43+O45+O47+O49+O51+O56+O61+O66</f>
        <v>10001451.660200004</v>
      </c>
      <c r="P82" s="92">
        <f>P16+P24+P29+P36+P43+P45+P47+P49</f>
        <v>0</v>
      </c>
      <c r="Q82" s="93">
        <f>SUM(Q72:Q81)+Q16+Q24+Q29+Q36+Q43+Q45+Q47+Q49+Q51+Q56+Q61+Q66</f>
        <v>-1959817.7803999998</v>
      </c>
      <c r="R82" s="92">
        <f>R16+R24+R29+R36+R43+R45+R47+R49</f>
        <v>0</v>
      </c>
      <c r="S82" s="93">
        <f>SUM(S72:S81)+S16+S24+S29+S36+S43+S45+S47+S49+S51+S56+S61+S66</f>
        <v>336989.21680000005</v>
      </c>
      <c r="T82" s="92">
        <f>T16+T24+T29+T36+T43+T45+T47+T49</f>
        <v>0</v>
      </c>
      <c r="U82" s="93">
        <f>SUM(U72:U81)+U16+U24+U29+U36+U43+U45+U47+U49+U51+U56+U61+U66</f>
        <v>-479768.56339999998</v>
      </c>
      <c r="V82" s="92">
        <f>V16+V24+V29+V36+V43+V45+V47+V49</f>
        <v>0</v>
      </c>
      <c r="W82" s="93">
        <f>SUM(W72:W81)+W16+W24+W29+W36+W43+W45+W47+W49+W51+W56+W61+W66</f>
        <v>177557.79499999998</v>
      </c>
      <c r="X82" s="92">
        <f>X16+X24+X29+X36+X43+X45+X47+X49</f>
        <v>0</v>
      </c>
      <c r="Y82" s="93">
        <f>SUM(Y72:Y81)+Y16+Y24+Y29+Y36+Y43+Y45+Y47+Y49+Y51+Y56+Y61+Y66</f>
        <v>653150.15080000006</v>
      </c>
      <c r="Z82" s="92">
        <f>Z16+Z24+Z29+Z36+Z43+Z45+Z47+Z49</f>
        <v>0</v>
      </c>
      <c r="AA82" s="93">
        <f>SUM(AA72:AA81)+AA16+AA24+AA29+AA36+AA43+AA45+AA47+AA49+AA51+AA56+AA61+AA66</f>
        <v>-27930.242800000065</v>
      </c>
      <c r="AB82" s="92">
        <f>AB16+AB24+AB29+AB36+AB43+AB45+AB47+AB49</f>
        <v>0</v>
      </c>
      <c r="AC82" s="93">
        <f>SUM(AC72:AC81)+AC16+AC24+AC29+AC36+AC43+AC45+AC47+AC49+AC51+AC56+AC61+AC66</f>
        <v>-92459.475999999981</v>
      </c>
      <c r="AD82" s="92">
        <f>AD16+AD24+AD29+AD36+AD43+AD45+AD47+AD49</f>
        <v>0</v>
      </c>
      <c r="AE82" s="93">
        <f>SUM(AE72:AE81)+AE16+AE24+AE29+AE36+AE43+AE45+AE47+AE49+AE51+AE56+AE61+AE66</f>
        <v>-62370.07499999991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3" ht="13.5" thickTop="1" x14ac:dyDescent="0.2">
      <c r="A83" s="4"/>
      <c r="B83" s="3"/>
    </row>
    <row r="84" spans="1:73" x14ac:dyDescent="0.2">
      <c r="A84" s="4"/>
      <c r="B84" s="3"/>
    </row>
    <row r="85" spans="1:73" x14ac:dyDescent="0.2">
      <c r="A85" s="4" t="s">
        <v>196</v>
      </c>
      <c r="B85" s="3"/>
      <c r="F85" s="31"/>
      <c r="G85" s="31"/>
      <c r="H85" s="31"/>
      <c r="I85" s="31"/>
      <c r="L85" s="45"/>
    </row>
    <row r="86" spans="1:73" s="3" customFormat="1" x14ac:dyDescent="0.2">
      <c r="A86" s="183"/>
      <c r="C86" s="10" t="s">
        <v>189</v>
      </c>
      <c r="D86" s="184">
        <f t="shared" ref="D86:E88" si="37">SUM(F86,H86,J86,L86,N86,P86,R86,T86,V86,X86,Z86,AB86,AD86)</f>
        <v>0</v>
      </c>
      <c r="E86" s="184">
        <f t="shared" si="37"/>
        <v>67597.5</v>
      </c>
      <c r="F86" s="184">
        <f>('TIE-OUT'!P86+'TIE-OUT'!R86)+(RECLASS!P86+RECLASS!R86)</f>
        <v>0</v>
      </c>
      <c r="G86" s="184">
        <f>('TIE-OUT'!Q86+'TIE-OUT'!S86)+(RECLASS!Q86+RECLASS!S86)</f>
        <v>67597.5</v>
      </c>
      <c r="H86" s="184">
        <f>'TX-EGM-GL'!H86+'TX-HPL-GL '!H86</f>
        <v>0</v>
      </c>
      <c r="I86" s="184">
        <f>'TX-EGM-GL'!I86+'TX-HPL-GL '!I86</f>
        <v>0</v>
      </c>
      <c r="J86" s="184">
        <f>'TX-EGM-GL'!J86+'TX-HPL-GL '!J86</f>
        <v>0</v>
      </c>
      <c r="K86" s="184">
        <f>'TX-EGM-GL'!K86+'TX-HPL-GL '!K86</f>
        <v>0</v>
      </c>
      <c r="L86" s="184">
        <f>'TX-EGM-GL'!L86+'TX-HPL-GL '!L86</f>
        <v>0</v>
      </c>
      <c r="M86" s="184">
        <f>'TX-EGM-GL'!M86+'TX-HPL-GL '!M86</f>
        <v>0</v>
      </c>
      <c r="N86" s="184">
        <f>'TX-EGM-GL'!N86+'TX-HPL-GL '!N86</f>
        <v>0</v>
      </c>
      <c r="O86" s="184">
        <f>'TX-EGM-GL'!O86+'TX-HPL-GL '!O86</f>
        <v>0</v>
      </c>
      <c r="P86" s="184">
        <f>'TX-EGM-GL'!P86+'TX-HPL-GL '!P86</f>
        <v>0</v>
      </c>
      <c r="Q86" s="184">
        <f>'TX-EGM-GL'!Q86+'TX-HPL-GL '!Q86</f>
        <v>0</v>
      </c>
      <c r="R86" s="184">
        <f>'TX-EGM-GL'!R86+'TX-HPL-GL '!R86</f>
        <v>0</v>
      </c>
      <c r="S86" s="184">
        <f>'TX-EGM-GL'!S86+'TX-HPL-GL '!S86</f>
        <v>0</v>
      </c>
      <c r="T86" s="184">
        <f>'TX-EGM-GL'!T86+'TX-HPL-GL '!T86</f>
        <v>0</v>
      </c>
      <c r="U86" s="184">
        <f>'TX-EGM-GL'!U86+'TX-HPL-GL '!U86</f>
        <v>0</v>
      </c>
      <c r="V86" s="184">
        <f>'TX-EGM-GL'!V86+'TX-HPL-GL '!V86</f>
        <v>0</v>
      </c>
      <c r="W86" s="184">
        <f>'TX-EGM-GL'!W86+'TX-HPL-GL '!W86</f>
        <v>0</v>
      </c>
      <c r="X86" s="184">
        <f>'TX-EGM-GL'!X86+'TX-HPL-GL '!X86</f>
        <v>0</v>
      </c>
      <c r="Y86" s="184">
        <f>'TX-EGM-GL'!Y86+'TX-HPL-GL '!Y86</f>
        <v>0</v>
      </c>
      <c r="Z86" s="184">
        <f>'TX-EGM-GL'!Z86+'TX-HPL-GL '!Z86</f>
        <v>0</v>
      </c>
      <c r="AA86" s="184">
        <f>'TX-EGM-GL'!AA86+'TX-HPL-GL '!AA86</f>
        <v>0</v>
      </c>
      <c r="AB86" s="184">
        <f>'TX-EGM-GL'!AB86+'TX-HPL-GL '!AB86</f>
        <v>0</v>
      </c>
      <c r="AC86" s="184">
        <f>'TX-EGM-GL'!AC86+'TX-HPL-GL '!AC86</f>
        <v>0</v>
      </c>
      <c r="AD86" s="184">
        <f>'TX-EGM-GL'!AD86+'TX-HPL-GL '!AD86</f>
        <v>0</v>
      </c>
      <c r="AE86" s="184">
        <f>'TX-EGM-GL'!AE86+'TX-HPL-GL '!AE86</f>
        <v>0</v>
      </c>
      <c r="AF86" s="184">
        <f>'TX-EGM-GL'!AL86+'TX-HPL-GL '!AL86</f>
        <v>0</v>
      </c>
      <c r="AG86" s="184">
        <f>'TX-EGM-GL'!AM86+'TX-HPL-GL '!AM86</f>
        <v>0</v>
      </c>
      <c r="AH86" s="184">
        <f>'TX-EGM-GL'!AN86+'TX-HPL-GL '!AN86</f>
        <v>0</v>
      </c>
      <c r="AI86" s="184">
        <f>'TX-EGM-GL'!AO86+'TX-HPL-GL '!AO86</f>
        <v>0</v>
      </c>
      <c r="AJ86" s="184">
        <f>'TX-EGM-GL'!AP86+'TX-HPL-GL '!AP86</f>
        <v>0</v>
      </c>
      <c r="AK86" s="184">
        <f>'TX-EGM-GL'!AQ86+'TX-HPL-GL '!AQ86</f>
        <v>0</v>
      </c>
    </row>
    <row r="87" spans="1:73" s="3" customFormat="1" x14ac:dyDescent="0.2">
      <c r="A87" s="183"/>
      <c r="C87" s="10" t="s">
        <v>75</v>
      </c>
      <c r="D87" s="185">
        <f t="shared" si="37"/>
        <v>0</v>
      </c>
      <c r="E87" s="185">
        <f t="shared" si="37"/>
        <v>0</v>
      </c>
      <c r="F87" s="185">
        <f>('TIE-OUT'!P87+'TIE-OUT'!R87)+(RECLASS!P87+RECLASS!R87)</f>
        <v>0</v>
      </c>
      <c r="G87" s="185">
        <f>('TIE-OUT'!Q87+'TIE-OUT'!S87)+(RECLASS!Q87+RECLASS!S87)</f>
        <v>0</v>
      </c>
      <c r="H87" s="185">
        <f>'TX-EGM-GL'!H87+'TX-HPL-GL '!H87</f>
        <v>0</v>
      </c>
      <c r="I87" s="185">
        <f>'TX-EGM-GL'!I87+'TX-HPL-GL '!I87</f>
        <v>0</v>
      </c>
      <c r="J87" s="185">
        <f>'TX-EGM-GL'!J87+'TX-HPL-GL '!J87</f>
        <v>0</v>
      </c>
      <c r="K87" s="185">
        <f>'TX-EGM-GL'!K87+'TX-HPL-GL '!K87</f>
        <v>0</v>
      </c>
      <c r="L87" s="185">
        <f>'TX-EGM-GL'!L87+'TX-HPL-GL '!L87</f>
        <v>0</v>
      </c>
      <c r="M87" s="185">
        <f>'TX-EGM-GL'!M87+'TX-HPL-GL '!M87</f>
        <v>0</v>
      </c>
      <c r="N87" s="185">
        <f>'TX-EGM-GL'!N87+'TX-HPL-GL '!N87</f>
        <v>0</v>
      </c>
      <c r="O87" s="185">
        <f>'TX-EGM-GL'!O87+'TX-HPL-GL '!O87</f>
        <v>0</v>
      </c>
      <c r="P87" s="185">
        <f>'TX-EGM-GL'!P87+'TX-HPL-GL '!P87</f>
        <v>0</v>
      </c>
      <c r="Q87" s="185">
        <f>'TX-EGM-GL'!Q87+'TX-HPL-GL '!Q87</f>
        <v>0</v>
      </c>
      <c r="R87" s="185">
        <f>'TX-EGM-GL'!R87+'TX-HPL-GL '!R87</f>
        <v>0</v>
      </c>
      <c r="S87" s="185">
        <f>'TX-EGM-GL'!S87+'TX-HPL-GL '!S87</f>
        <v>0</v>
      </c>
      <c r="T87" s="185">
        <f>'TX-EGM-GL'!T87+'TX-HPL-GL '!T87</f>
        <v>0</v>
      </c>
      <c r="U87" s="185">
        <f>'TX-EGM-GL'!U87+'TX-HPL-GL '!U87</f>
        <v>0</v>
      </c>
      <c r="V87" s="185">
        <f>'TX-EGM-GL'!V87+'TX-HPL-GL '!V87</f>
        <v>0</v>
      </c>
      <c r="W87" s="185">
        <f>'TX-EGM-GL'!W87+'TX-HPL-GL '!W87</f>
        <v>0</v>
      </c>
      <c r="X87" s="185">
        <f>'TX-EGM-GL'!X87+'TX-HPL-GL '!X87</f>
        <v>0</v>
      </c>
      <c r="Y87" s="185">
        <f>'TX-EGM-GL'!Y87+'TX-HPL-GL '!Y87</f>
        <v>0</v>
      </c>
      <c r="Z87" s="185">
        <f>'TX-EGM-GL'!Z87+'TX-HPL-GL '!Z87</f>
        <v>0</v>
      </c>
      <c r="AA87" s="185">
        <f>'TX-EGM-GL'!AA87+'TX-HPL-GL '!AA87</f>
        <v>0</v>
      </c>
      <c r="AB87" s="185">
        <f>'TX-EGM-GL'!AB87+'TX-HPL-GL '!AB87</f>
        <v>0</v>
      </c>
      <c r="AC87" s="185">
        <f>'TX-EGM-GL'!AC87+'TX-HPL-GL '!AC87</f>
        <v>0</v>
      </c>
      <c r="AD87" s="185">
        <f>'TX-EGM-GL'!AD87+'TX-HPL-GL '!AD87</f>
        <v>0</v>
      </c>
      <c r="AE87" s="185">
        <f>'TX-EGM-GL'!AE87+'TX-HPL-GL '!AE87</f>
        <v>0</v>
      </c>
      <c r="AF87" s="185">
        <f>'TX-EGM-GL'!AL87+'TX-HPL-GL '!AL87</f>
        <v>0</v>
      </c>
      <c r="AG87" s="185">
        <f>'TX-EGM-GL'!AM87+'TX-HPL-GL '!AM87</f>
        <v>0</v>
      </c>
      <c r="AH87" s="185">
        <f>'TX-EGM-GL'!AN87+'TX-HPL-GL '!AN87</f>
        <v>0</v>
      </c>
      <c r="AI87" s="185">
        <f>'TX-EGM-GL'!AO87+'TX-HPL-GL '!AO87</f>
        <v>0</v>
      </c>
      <c r="AJ87" s="185">
        <f>'TX-EGM-GL'!AP87+'TX-HPL-GL '!AP87</f>
        <v>0</v>
      </c>
      <c r="AK87" s="185">
        <f>'TX-EGM-GL'!AQ87+'TX-HPL-GL '!AQ87</f>
        <v>0</v>
      </c>
    </row>
    <row r="88" spans="1:73" s="3" customFormat="1" x14ac:dyDescent="0.2">
      <c r="A88" s="183"/>
      <c r="C88" s="10" t="s">
        <v>76</v>
      </c>
      <c r="D88" s="186">
        <f t="shared" si="37"/>
        <v>0</v>
      </c>
      <c r="E88" s="186">
        <f t="shared" si="37"/>
        <v>-48600</v>
      </c>
      <c r="F88" s="186">
        <f>('TIE-OUT'!P88+'TIE-OUT'!R88)+(RECLASS!P88+RECLASS!R88)</f>
        <v>0</v>
      </c>
      <c r="G88" s="186">
        <f>('TIE-OUT'!Q88+'TIE-OUT'!S88)+(RECLASS!Q88+RECLASS!S88)</f>
        <v>-48600</v>
      </c>
      <c r="H88" s="186">
        <f>'TX-EGM-GL'!H88+'TX-HPL-GL '!H88</f>
        <v>0</v>
      </c>
      <c r="I88" s="186">
        <f>'TX-EGM-GL'!I88+'TX-HPL-GL '!I88</f>
        <v>0</v>
      </c>
      <c r="J88" s="186">
        <f>'TX-EGM-GL'!J88+'TX-HPL-GL '!J88</f>
        <v>0</v>
      </c>
      <c r="K88" s="186">
        <f>'TX-EGM-GL'!K88+'TX-HPL-GL '!K88</f>
        <v>0</v>
      </c>
      <c r="L88" s="186">
        <f>'TX-EGM-GL'!L88+'TX-HPL-GL '!L88</f>
        <v>0</v>
      </c>
      <c r="M88" s="186">
        <f>'TX-EGM-GL'!M88+'TX-HPL-GL '!M88</f>
        <v>0</v>
      </c>
      <c r="N88" s="186">
        <f>'TX-EGM-GL'!N88+'TX-HPL-GL '!N88</f>
        <v>0</v>
      </c>
      <c r="O88" s="186">
        <f>'TX-EGM-GL'!O88+'TX-HPL-GL '!O88</f>
        <v>0</v>
      </c>
      <c r="P88" s="186">
        <f>'TX-EGM-GL'!P88+'TX-HPL-GL '!P88</f>
        <v>0</v>
      </c>
      <c r="Q88" s="186">
        <f>'TX-EGM-GL'!Q88+'TX-HPL-GL '!Q88</f>
        <v>0</v>
      </c>
      <c r="R88" s="186">
        <f>'TX-EGM-GL'!R88+'TX-HPL-GL '!R88</f>
        <v>0</v>
      </c>
      <c r="S88" s="186">
        <f>'TX-EGM-GL'!S88+'TX-HPL-GL '!S88</f>
        <v>0</v>
      </c>
      <c r="T88" s="186">
        <f>'TX-EGM-GL'!T88+'TX-HPL-GL '!T88</f>
        <v>0</v>
      </c>
      <c r="U88" s="186">
        <f>'TX-EGM-GL'!U88+'TX-HPL-GL '!U88</f>
        <v>0</v>
      </c>
      <c r="V88" s="186">
        <f>'TX-EGM-GL'!V88+'TX-HPL-GL '!V88</f>
        <v>0</v>
      </c>
      <c r="W88" s="186">
        <f>'TX-EGM-GL'!W88+'TX-HPL-GL '!W88</f>
        <v>0</v>
      </c>
      <c r="X88" s="186">
        <f>'TX-EGM-GL'!X88+'TX-HPL-GL '!X88</f>
        <v>0</v>
      </c>
      <c r="Y88" s="186">
        <f>'TX-EGM-GL'!Y88+'TX-HPL-GL '!Y88</f>
        <v>0</v>
      </c>
      <c r="Z88" s="186">
        <f>'TX-EGM-GL'!Z88+'TX-HPL-GL '!Z88</f>
        <v>0</v>
      </c>
      <c r="AA88" s="186">
        <f>'TX-EGM-GL'!AA88+'TX-HPL-GL '!AA88</f>
        <v>0</v>
      </c>
      <c r="AB88" s="186">
        <f>'TX-EGM-GL'!AB88+'TX-HPL-GL '!AB88</f>
        <v>0</v>
      </c>
      <c r="AC88" s="186">
        <f>'TX-EGM-GL'!AC88+'TX-HPL-GL '!AC88</f>
        <v>0</v>
      </c>
      <c r="AD88" s="186">
        <f>'TX-EGM-GL'!AD88+'TX-HPL-GL '!AD88</f>
        <v>0</v>
      </c>
      <c r="AE88" s="186">
        <f>'TX-EGM-GL'!AE88+'TX-HPL-GL '!AE88</f>
        <v>0</v>
      </c>
      <c r="AF88" s="186">
        <f>'TX-EGM-GL'!AL88+'TX-HPL-GL '!AL88</f>
        <v>0</v>
      </c>
      <c r="AG88" s="186">
        <f>'TX-EGM-GL'!AM88+'TX-HPL-GL '!AM88</f>
        <v>0</v>
      </c>
      <c r="AH88" s="186">
        <f>'TX-EGM-GL'!AN88+'TX-HPL-GL '!AN88</f>
        <v>0</v>
      </c>
      <c r="AI88" s="186">
        <f>'TX-EGM-GL'!AO88+'TX-HPL-GL '!AO88</f>
        <v>0</v>
      </c>
      <c r="AJ88" s="186">
        <f>'TX-EGM-GL'!AP88+'TX-HPL-GL '!AP88</f>
        <v>0</v>
      </c>
      <c r="AK88" s="186">
        <f>'TX-EGM-GL'!AQ88+'TX-HPL-GL '!AQ88</f>
        <v>0</v>
      </c>
    </row>
    <row r="89" spans="1:73" s="44" customFormat="1" ht="20.25" customHeight="1" x14ac:dyDescent="0.2">
      <c r="A89" s="192"/>
      <c r="B89" s="193"/>
      <c r="C89" s="189" t="s">
        <v>190</v>
      </c>
      <c r="D89" s="196">
        <f>SUM(D86:D88)</f>
        <v>0</v>
      </c>
      <c r="E89" s="196">
        <f t="shared" ref="E89:AE89" si="38">SUM(E86:E88)</f>
        <v>18997.5</v>
      </c>
      <c r="F89" s="196">
        <f t="shared" si="38"/>
        <v>0</v>
      </c>
      <c r="G89" s="196">
        <f t="shared" si="38"/>
        <v>18997.5</v>
      </c>
      <c r="H89" s="196">
        <f t="shared" si="38"/>
        <v>0</v>
      </c>
      <c r="I89" s="196">
        <f t="shared" si="38"/>
        <v>0</v>
      </c>
      <c r="J89" s="196">
        <f t="shared" si="38"/>
        <v>0</v>
      </c>
      <c r="K89" s="196">
        <f t="shared" si="38"/>
        <v>0</v>
      </c>
      <c r="L89" s="196">
        <f t="shared" si="38"/>
        <v>0</v>
      </c>
      <c r="M89" s="196">
        <f t="shared" si="38"/>
        <v>0</v>
      </c>
      <c r="N89" s="196">
        <f t="shared" si="38"/>
        <v>0</v>
      </c>
      <c r="O89" s="196">
        <f t="shared" si="38"/>
        <v>0</v>
      </c>
      <c r="P89" s="196">
        <f t="shared" si="38"/>
        <v>0</v>
      </c>
      <c r="Q89" s="196">
        <f t="shared" si="38"/>
        <v>0</v>
      </c>
      <c r="R89" s="196">
        <f t="shared" si="38"/>
        <v>0</v>
      </c>
      <c r="S89" s="196">
        <f t="shared" si="38"/>
        <v>0</v>
      </c>
      <c r="T89" s="196">
        <f t="shared" si="38"/>
        <v>0</v>
      </c>
      <c r="U89" s="196">
        <f t="shared" si="38"/>
        <v>0</v>
      </c>
      <c r="V89" s="196">
        <f t="shared" si="38"/>
        <v>0</v>
      </c>
      <c r="W89" s="196">
        <f t="shared" si="38"/>
        <v>0</v>
      </c>
      <c r="X89" s="196">
        <f t="shared" si="38"/>
        <v>0</v>
      </c>
      <c r="Y89" s="196">
        <f t="shared" si="38"/>
        <v>0</v>
      </c>
      <c r="Z89" s="196">
        <f t="shared" si="38"/>
        <v>0</v>
      </c>
      <c r="AA89" s="196">
        <f t="shared" si="38"/>
        <v>0</v>
      </c>
      <c r="AB89" s="196">
        <f t="shared" si="38"/>
        <v>0</v>
      </c>
      <c r="AC89" s="196">
        <f t="shared" si="38"/>
        <v>0</v>
      </c>
      <c r="AD89" s="196">
        <f t="shared" si="38"/>
        <v>0</v>
      </c>
      <c r="AE89" s="196">
        <f t="shared" si="38"/>
        <v>0</v>
      </c>
      <c r="AF89" s="196">
        <f t="shared" ref="AF89:AK89" si="39">SUM(AF86:AF88)</f>
        <v>0</v>
      </c>
      <c r="AG89" s="196">
        <f t="shared" si="39"/>
        <v>0</v>
      </c>
      <c r="AH89" s="196">
        <f t="shared" si="39"/>
        <v>0</v>
      </c>
      <c r="AI89" s="196">
        <f t="shared" si="39"/>
        <v>0</v>
      </c>
      <c r="AJ89" s="196">
        <f t="shared" si="39"/>
        <v>0</v>
      </c>
      <c r="AK89" s="196">
        <f t="shared" si="39"/>
        <v>0</v>
      </c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</row>
    <row r="90" spans="1:73" x14ac:dyDescent="0.2">
      <c r="A90" s="4"/>
      <c r="B90" s="3"/>
      <c r="F90" s="31"/>
      <c r="G90" s="31"/>
      <c r="H90" s="31"/>
      <c r="I90" s="31"/>
    </row>
    <row r="91" spans="1:73" s="44" customFormat="1" ht="20.25" customHeight="1" x14ac:dyDescent="0.2">
      <c r="A91" s="192"/>
      <c r="B91" s="193"/>
      <c r="C91" s="189" t="s">
        <v>191</v>
      </c>
      <c r="D91" s="196">
        <f>+D82+D89</f>
        <v>0</v>
      </c>
      <c r="E91" s="196">
        <f t="shared" ref="E91:AE91" si="40">+E82+E89</f>
        <v>334958.90220002364</v>
      </c>
      <c r="F91" s="196">
        <f t="shared" si="40"/>
        <v>0</v>
      </c>
      <c r="G91" s="196">
        <f t="shared" si="40"/>
        <v>-12572285.410000002</v>
      </c>
      <c r="H91" s="196">
        <f t="shared" si="40"/>
        <v>0</v>
      </c>
      <c r="I91" s="196">
        <f t="shared" si="40"/>
        <v>20319507.909999989</v>
      </c>
      <c r="J91" s="196">
        <f t="shared" si="40"/>
        <v>0</v>
      </c>
      <c r="K91" s="196">
        <f t="shared" si="40"/>
        <v>-15863480.212499997</v>
      </c>
      <c r="L91" s="196">
        <f t="shared" si="40"/>
        <v>0</v>
      </c>
      <c r="M91" s="196">
        <f t="shared" si="40"/>
        <v>-95586.070499999681</v>
      </c>
      <c r="N91" s="196">
        <f t="shared" si="40"/>
        <v>0</v>
      </c>
      <c r="O91" s="196">
        <f t="shared" si="40"/>
        <v>10001451.660200004</v>
      </c>
      <c r="P91" s="196">
        <f t="shared" si="40"/>
        <v>0</v>
      </c>
      <c r="Q91" s="196">
        <f t="shared" si="40"/>
        <v>-1959817.7803999998</v>
      </c>
      <c r="R91" s="196">
        <f t="shared" si="40"/>
        <v>0</v>
      </c>
      <c r="S91" s="196">
        <f t="shared" si="40"/>
        <v>336989.21680000005</v>
      </c>
      <c r="T91" s="196">
        <f t="shared" si="40"/>
        <v>0</v>
      </c>
      <c r="U91" s="196">
        <f t="shared" si="40"/>
        <v>-479768.56339999998</v>
      </c>
      <c r="V91" s="196">
        <f t="shared" si="40"/>
        <v>0</v>
      </c>
      <c r="W91" s="196">
        <f t="shared" si="40"/>
        <v>177557.79499999998</v>
      </c>
      <c r="X91" s="196">
        <f t="shared" si="40"/>
        <v>0</v>
      </c>
      <c r="Y91" s="196">
        <f t="shared" si="40"/>
        <v>653150.15080000006</v>
      </c>
      <c r="Z91" s="196">
        <f t="shared" si="40"/>
        <v>0</v>
      </c>
      <c r="AA91" s="196">
        <f t="shared" si="40"/>
        <v>-27930.242800000065</v>
      </c>
      <c r="AB91" s="196">
        <f t="shared" si="40"/>
        <v>0</v>
      </c>
      <c r="AC91" s="196">
        <f t="shared" si="40"/>
        <v>-92459.475999999981</v>
      </c>
      <c r="AD91" s="196">
        <f t="shared" si="40"/>
        <v>0</v>
      </c>
      <c r="AE91" s="196">
        <f t="shared" si="40"/>
        <v>-62370.07499999991</v>
      </c>
      <c r="AF91" s="196">
        <f t="shared" ref="AF91:AK91" si="41">+AF82+AF89</f>
        <v>0</v>
      </c>
      <c r="AG91" s="196">
        <f t="shared" si="41"/>
        <v>0</v>
      </c>
      <c r="AH91" s="196">
        <f t="shared" si="41"/>
        <v>0</v>
      </c>
      <c r="AI91" s="196">
        <f t="shared" si="41"/>
        <v>0</v>
      </c>
      <c r="AJ91" s="196">
        <f t="shared" si="41"/>
        <v>0</v>
      </c>
      <c r="AK91" s="196">
        <f t="shared" si="41"/>
        <v>0</v>
      </c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K187"/>
  <sheetViews>
    <sheetView zoomScale="75" workbookViewId="0">
      <pane xSplit="3" ySplit="9" topLeftCell="Z1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26429128</v>
      </c>
      <c r="E11" s="38">
        <f t="shared" si="0"/>
        <v>47070237.119999997</v>
      </c>
      <c r="F11" s="60">
        <f>'TIE-OUT'!N11+RECLASS!N11</f>
        <v>0</v>
      </c>
      <c r="G11" s="38">
        <f>'TIE-OUT'!O11+RECLASS!O11</f>
        <v>0</v>
      </c>
      <c r="H11" s="133">
        <f>+Actuals!E284</f>
        <v>26634801</v>
      </c>
      <c r="I11" s="134">
        <f>+Actuals!F284</f>
        <v>47340207.019999996</v>
      </c>
      <c r="J11" s="133">
        <f>+Actuals!G284</f>
        <v>3868</v>
      </c>
      <c r="K11" s="134">
        <f>+Actuals!H284</f>
        <v>-138185.15</v>
      </c>
      <c r="L11" s="133">
        <f>+Actuals!I284</f>
        <v>-291499</v>
      </c>
      <c r="M11" s="134">
        <f>+Actuals!J284</f>
        <v>-260712.45</v>
      </c>
      <c r="N11" s="133">
        <f>+Actuals!K284</f>
        <v>35040</v>
      </c>
      <c r="O11" s="134">
        <f>+Actuals!L284</f>
        <v>54335.28</v>
      </c>
      <c r="P11" s="133">
        <f>+Actuals!M284</f>
        <v>5000</v>
      </c>
      <c r="Q11" s="134">
        <f>+Actuals!N284</f>
        <v>8850</v>
      </c>
      <c r="R11" s="133">
        <f>+Actuals!O284</f>
        <v>0</v>
      </c>
      <c r="S11" s="134">
        <f>+Actuals!P284</f>
        <v>0</v>
      </c>
      <c r="T11" s="133">
        <f>+Actuals!Q284</f>
        <v>131247</v>
      </c>
      <c r="U11" s="134">
        <f>+Actuals!R284</f>
        <v>0</v>
      </c>
      <c r="V11" s="133">
        <f>+Actuals!S284</f>
        <v>-89329</v>
      </c>
      <c r="W11" s="134">
        <f>+Actuals!T284</f>
        <v>65742.42</v>
      </c>
      <c r="X11" s="133">
        <f>+Actuals!U284</f>
        <v>0</v>
      </c>
      <c r="Y11" s="134">
        <f>+Actuals!V284</f>
        <v>0</v>
      </c>
      <c r="Z11" s="133">
        <f>+Actuals!W284</f>
        <v>0</v>
      </c>
      <c r="AA11" s="134">
        <f>+Actuals!X284</f>
        <v>0</v>
      </c>
      <c r="AB11" s="133">
        <f>+Actuals!Y284</f>
        <v>0</v>
      </c>
      <c r="AC11" s="134">
        <f>+Actuals!Z284</f>
        <v>0</v>
      </c>
      <c r="AD11" s="133">
        <f>+Actuals!AA484</f>
        <v>0</v>
      </c>
      <c r="AE11" s="134">
        <f>+Actuals!AB484</f>
        <v>0</v>
      </c>
      <c r="AF11" s="133">
        <f>+Actuals!AC484</f>
        <v>0</v>
      </c>
      <c r="AG11" s="134">
        <f>+Actuals!AD484</f>
        <v>0</v>
      </c>
      <c r="AH11" s="133">
        <f>+Actuals!AE484</f>
        <v>0</v>
      </c>
      <c r="AI11" s="134">
        <f>+Actuals!AF484</f>
        <v>0</v>
      </c>
      <c r="AJ11" s="133">
        <f>+Actuals!AG484</f>
        <v>0</v>
      </c>
      <c r="AK11" s="134">
        <f>+Actuals!AH484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-1114919.42</v>
      </c>
      <c r="F12" s="60">
        <f>'TIE-OUT'!N12+RECLASS!N12</f>
        <v>0</v>
      </c>
      <c r="G12" s="38">
        <f>'TIE-OUT'!O12+RECLASS!O12</f>
        <v>-1114919.42</v>
      </c>
      <c r="H12" s="133">
        <f>+Actuals!E285</f>
        <v>0</v>
      </c>
      <c r="I12" s="134">
        <f>+Actuals!F285</f>
        <v>0</v>
      </c>
      <c r="J12" s="133">
        <f>+Actuals!G285</f>
        <v>0</v>
      </c>
      <c r="K12" s="172">
        <f>+Actuals!H285</f>
        <v>0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+Actuals!Y285</f>
        <v>0</v>
      </c>
      <c r="AC12" s="134">
        <f>+Actuals!Z285</f>
        <v>0</v>
      </c>
      <c r="AD12" s="133">
        <f>+Actuals!AA485</f>
        <v>0</v>
      </c>
      <c r="AE12" s="134">
        <f>+Actuals!AB485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  <c r="AJ12" s="133">
        <f>+Actuals!AG485</f>
        <v>0</v>
      </c>
      <c r="AK12" s="134">
        <f>+Actuals!AH485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16058211</v>
      </c>
      <c r="E13" s="38">
        <f t="shared" si="0"/>
        <v>27637178</v>
      </c>
      <c r="F13" s="60">
        <f>'TIE-OUT'!N13+RECLASS!N13</f>
        <v>0</v>
      </c>
      <c r="G13" s="38">
        <f>'TIE-OUT'!O13+RECLASS!O13</f>
        <v>0</v>
      </c>
      <c r="H13" s="133">
        <f>+Actuals!E286</f>
        <v>16058211</v>
      </c>
      <c r="I13" s="134">
        <f>+Actuals!F286</f>
        <v>27637178</v>
      </c>
      <c r="J13" s="133">
        <f>+Actuals!G286</f>
        <v>0</v>
      </c>
      <c r="K13" s="134">
        <f>+Actuals!H286</f>
        <v>0</v>
      </c>
      <c r="L13" s="133">
        <f>+Actuals!I286</f>
        <v>-68387</v>
      </c>
      <c r="M13" s="134">
        <f>+Actuals!J286</f>
        <v>-117260</v>
      </c>
      <c r="N13" s="133">
        <f>+Actuals!K286</f>
        <v>0</v>
      </c>
      <c r="O13" s="134">
        <f>+Actuals!L286</f>
        <v>0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0</v>
      </c>
      <c r="W13" s="134">
        <f>+Actuals!T286</f>
        <v>0</v>
      </c>
      <c r="X13" s="133">
        <f>+Actuals!U286</f>
        <v>0</v>
      </c>
      <c r="Y13" s="134">
        <f>+Actuals!V286</f>
        <v>0</v>
      </c>
      <c r="Z13" s="133">
        <f>+Actuals!W286</f>
        <v>805845</v>
      </c>
      <c r="AA13" s="134">
        <f>+Actuals!X286</f>
        <v>1361834</v>
      </c>
      <c r="AB13" s="133">
        <f>+Actuals!Y286</f>
        <v>-737458</v>
      </c>
      <c r="AC13" s="134">
        <f>+Actuals!Z286</f>
        <v>-1244574</v>
      </c>
      <c r="AD13" s="133">
        <f>+Actuals!AA486</f>
        <v>737458</v>
      </c>
      <c r="AE13" s="134">
        <f>+Actuals!AB486</f>
        <v>1244574</v>
      </c>
      <c r="AF13" s="133">
        <f>+Actuals!AC486</f>
        <v>0</v>
      </c>
      <c r="AG13" s="134">
        <f>+Actuals!AD486</f>
        <v>0</v>
      </c>
      <c r="AH13" s="133">
        <f>+Actuals!AE486</f>
        <v>-737458</v>
      </c>
      <c r="AI13" s="134">
        <f>+Actuals!AF486</f>
        <v>-1244574</v>
      </c>
      <c r="AJ13" s="133">
        <f>+Actuals!AG486</f>
        <v>0</v>
      </c>
      <c r="AK13" s="134">
        <f>+Actuals!AH486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+Actuals!Y287</f>
        <v>0</v>
      </c>
      <c r="AC14" s="134">
        <f>+Actuals!Z287</f>
        <v>0</v>
      </c>
      <c r="AD14" s="133">
        <f>+Actuals!AA487</f>
        <v>0</v>
      </c>
      <c r="AE14" s="134">
        <f>+Actuals!AB487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  <c r="AJ14" s="133">
        <f>+Actuals!AG487</f>
        <v>0</v>
      </c>
      <c r="AK14" s="134">
        <f>+Actuals!AH487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+Actuals!Y288</f>
        <v>0</v>
      </c>
      <c r="AC15" s="134">
        <f>+Actuals!Z288</f>
        <v>0</v>
      </c>
      <c r="AD15" s="133">
        <f>+Actuals!AA488</f>
        <v>0</v>
      </c>
      <c r="AE15" s="134">
        <f>+Actuals!AB488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  <c r="AJ15" s="133">
        <f>+Actuals!AG488</f>
        <v>0</v>
      </c>
      <c r="AK15" s="134">
        <f>+Actuals!AH488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42487339</v>
      </c>
      <c r="E16" s="39">
        <f t="shared" si="1"/>
        <v>73592495.699999988</v>
      </c>
      <c r="F16" s="61">
        <f t="shared" si="1"/>
        <v>0</v>
      </c>
      <c r="G16" s="39">
        <f t="shared" si="1"/>
        <v>-1114919.42</v>
      </c>
      <c r="H16" s="61">
        <f t="shared" si="1"/>
        <v>42693012</v>
      </c>
      <c r="I16" s="39">
        <f t="shared" si="1"/>
        <v>74977385.019999996</v>
      </c>
      <c r="J16" s="61">
        <f t="shared" si="1"/>
        <v>3868</v>
      </c>
      <c r="K16" s="39">
        <f t="shared" si="1"/>
        <v>-138185.15</v>
      </c>
      <c r="L16" s="61">
        <f t="shared" si="1"/>
        <v>-359886</v>
      </c>
      <c r="M16" s="39">
        <f t="shared" si="1"/>
        <v>-377972.45</v>
      </c>
      <c r="N16" s="61">
        <f t="shared" si="1"/>
        <v>35040</v>
      </c>
      <c r="O16" s="39">
        <f t="shared" si="1"/>
        <v>54335.28</v>
      </c>
      <c r="P16" s="61">
        <f t="shared" si="1"/>
        <v>5000</v>
      </c>
      <c r="Q16" s="39">
        <f t="shared" si="1"/>
        <v>8850</v>
      </c>
      <c r="R16" s="61">
        <f t="shared" si="1"/>
        <v>0</v>
      </c>
      <c r="S16" s="39">
        <f t="shared" si="1"/>
        <v>0</v>
      </c>
      <c r="T16" s="61">
        <f t="shared" si="1"/>
        <v>131247</v>
      </c>
      <c r="U16" s="39">
        <f t="shared" si="1"/>
        <v>0</v>
      </c>
      <c r="V16" s="61">
        <f t="shared" si="1"/>
        <v>-89329</v>
      </c>
      <c r="W16" s="39">
        <f t="shared" si="1"/>
        <v>65742.42</v>
      </c>
      <c r="X16" s="61">
        <f t="shared" si="1"/>
        <v>0</v>
      </c>
      <c r="Y16" s="39">
        <f t="shared" si="1"/>
        <v>0</v>
      </c>
      <c r="Z16" s="61">
        <f t="shared" si="1"/>
        <v>805845</v>
      </c>
      <c r="AA16" s="39">
        <f t="shared" si="1"/>
        <v>1361834</v>
      </c>
      <c r="AB16" s="61">
        <f t="shared" si="1"/>
        <v>-737458</v>
      </c>
      <c r="AC16" s="39">
        <f t="shared" si="1"/>
        <v>-1244574</v>
      </c>
      <c r="AD16" s="61">
        <f t="shared" si="1"/>
        <v>737458</v>
      </c>
      <c r="AE16" s="39">
        <f t="shared" si="1"/>
        <v>1244574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-737458</v>
      </c>
      <c r="AI16" s="39">
        <f t="shared" si="2"/>
        <v>-1244574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-27619796</v>
      </c>
      <c r="E19" s="38">
        <f t="shared" si="3"/>
        <v>-46264825.150000006</v>
      </c>
      <c r="F19" s="64">
        <f>'TIE-OUT'!N19+RECLASS!N19</f>
        <v>0</v>
      </c>
      <c r="G19" s="68">
        <f>'TIE-OUT'!O19+RECLASS!O19</f>
        <v>0</v>
      </c>
      <c r="H19" s="133">
        <f>+Actuals!E289</f>
        <v>-27908771</v>
      </c>
      <c r="I19" s="134">
        <f>+Actuals!F289</f>
        <v>-47096707.980000004</v>
      </c>
      <c r="J19" s="133">
        <f>+Actuals!G289</f>
        <v>3042</v>
      </c>
      <c r="K19" s="134">
        <f>+Actuals!H289</f>
        <v>522936.8</v>
      </c>
      <c r="L19" s="133">
        <f>+Actuals!I289</f>
        <v>280000</v>
      </c>
      <c r="M19" s="134">
        <f>+Actuals!J289</f>
        <v>302250.75</v>
      </c>
      <c r="N19" s="133">
        <f>+Actuals!K289</f>
        <v>4550</v>
      </c>
      <c r="O19" s="134">
        <f>+Actuals!L289</f>
        <v>6742.17</v>
      </c>
      <c r="P19" s="133">
        <f>+Actuals!M289</f>
        <v>0</v>
      </c>
      <c r="Q19" s="134">
        <f>+Actuals!N289</f>
        <v>-224.58</v>
      </c>
      <c r="R19" s="133">
        <f>+Actuals!O289</f>
        <v>0</v>
      </c>
      <c r="S19" s="134">
        <f>+Actuals!P289</f>
        <v>0</v>
      </c>
      <c r="T19" s="133">
        <f>+Actuals!Q289</f>
        <v>0</v>
      </c>
      <c r="U19" s="134">
        <f>+Actuals!R289</f>
        <v>-1800</v>
      </c>
      <c r="V19" s="133">
        <f>+Actuals!S289</f>
        <v>1383</v>
      </c>
      <c r="W19" s="134">
        <f>+Actuals!T289</f>
        <v>1977.69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+Actuals!Y289</f>
        <v>0</v>
      </c>
      <c r="AC19" s="134">
        <f>+Actuals!Z289</f>
        <v>0</v>
      </c>
      <c r="AD19" s="133">
        <f>+Actuals!AA489</f>
        <v>0</v>
      </c>
      <c r="AE19" s="134">
        <f>+Actuals!AB489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  <c r="AJ19" s="133">
        <f>+Actuals!AG489</f>
        <v>0</v>
      </c>
      <c r="AK19" s="134">
        <f>+Actuals!AH489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159339.66</v>
      </c>
      <c r="F20" s="60">
        <f>'TIE-OUT'!N20+RECLASS!N20</f>
        <v>0</v>
      </c>
      <c r="G20" s="38">
        <f>'TIE-OUT'!O20+RECLASS!O20</f>
        <v>198864.66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</f>
        <v>0</v>
      </c>
      <c r="L20" s="133">
        <f>+Actuals!I290</f>
        <v>0</v>
      </c>
      <c r="M20" s="182">
        <f>+Actuals!J290-39525</f>
        <v>-39525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+Actuals!Y290</f>
        <v>0</v>
      </c>
      <c r="AC20" s="134">
        <f>+Actuals!Z290</f>
        <v>0</v>
      </c>
      <c r="AD20" s="133">
        <f>+Actuals!AA490</f>
        <v>0</v>
      </c>
      <c r="AE20" s="165">
        <v>0</v>
      </c>
      <c r="AF20" s="133">
        <f>+Actuals!AC490</f>
        <v>0</v>
      </c>
      <c r="AG20" s="165">
        <v>0</v>
      </c>
      <c r="AH20" s="133">
        <f>+Actuals!AE490</f>
        <v>0</v>
      </c>
      <c r="AI20" s="165">
        <v>0</v>
      </c>
      <c r="AJ20" s="133">
        <f>+Actuals!AG490</f>
        <v>0</v>
      </c>
      <c r="AK20" s="165"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-14522114</v>
      </c>
      <c r="E21" s="38">
        <f t="shared" si="3"/>
        <v>-25005851</v>
      </c>
      <c r="F21" s="60">
        <f>'TIE-OUT'!N21+RECLASS!N21</f>
        <v>0</v>
      </c>
      <c r="G21" s="38">
        <f>'TIE-OUT'!O21+RECLASS!O21</f>
        <v>0</v>
      </c>
      <c r="H21" s="133">
        <f>+Actuals!E291</f>
        <v>-14522114</v>
      </c>
      <c r="I21" s="134">
        <f>+Actuals!F291</f>
        <v>-25005851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0</v>
      </c>
      <c r="O21" s="134">
        <f>+Actuals!L291</f>
        <v>0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0</v>
      </c>
      <c r="W21" s="134">
        <f>+Actuals!T291</f>
        <v>0</v>
      </c>
      <c r="X21" s="133">
        <f>+Actuals!U291</f>
        <v>0</v>
      </c>
      <c r="Y21" s="134">
        <f>+Actuals!V291</f>
        <v>0</v>
      </c>
      <c r="Z21" s="133">
        <f>+Actuals!W291</f>
        <v>-805845</v>
      </c>
      <c r="AA21" s="134">
        <f>+Actuals!X291</f>
        <v>-1361834</v>
      </c>
      <c r="AB21" s="133">
        <f>+Actuals!Y291</f>
        <v>805845</v>
      </c>
      <c r="AC21" s="134">
        <f>+Actuals!Z291</f>
        <v>1361834</v>
      </c>
      <c r="AD21" s="133">
        <f>+Actuals!AA491</f>
        <v>-805845</v>
      </c>
      <c r="AE21" s="134">
        <f>+Actuals!AB491</f>
        <v>-1361834</v>
      </c>
      <c r="AF21" s="133">
        <f>+Actuals!AC491</f>
        <v>0</v>
      </c>
      <c r="AG21" s="134">
        <f>+Actuals!AD491</f>
        <v>0</v>
      </c>
      <c r="AH21" s="133">
        <f>+Actuals!AE491</f>
        <v>805845</v>
      </c>
      <c r="AI21" s="134">
        <f>+Actuals!AF491</f>
        <v>1361834</v>
      </c>
      <c r="AJ21" s="133">
        <f>+Actuals!AG491</f>
        <v>0</v>
      </c>
      <c r="AK21" s="134">
        <f>+Actuals!AH491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+Actuals!Y292</f>
        <v>0</v>
      </c>
      <c r="AC22" s="134">
        <f>+Actuals!Z292</f>
        <v>0</v>
      </c>
      <c r="AD22" s="133">
        <f>+Actuals!AA492</f>
        <v>0</v>
      </c>
      <c r="AE22" s="134">
        <f>+Actuals!AB492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  <c r="AJ22" s="133">
        <f>+Actuals!AG492</f>
        <v>0</v>
      </c>
      <c r="AK22" s="134">
        <f>+Actuals!AH492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279227</v>
      </c>
      <c r="E23" s="38">
        <f t="shared" si="3"/>
        <v>466029.86100000003</v>
      </c>
      <c r="F23" s="81">
        <f>'TIE-OUT'!N23+RECLASS!N23</f>
        <v>0</v>
      </c>
      <c r="G23" s="82">
        <f>'TIE-OUT'!O23+RECLASS!O23</f>
        <v>0</v>
      </c>
      <c r="H23" s="133">
        <f>+Actuals!E293</f>
        <v>274328</v>
      </c>
      <c r="I23" s="134">
        <f>+Actuals!F293</f>
        <v>457853.43</v>
      </c>
      <c r="J23" s="133">
        <f>+Actuals!G293</f>
        <v>4936</v>
      </c>
      <c r="K23" s="134">
        <f>+Actuals!H293</f>
        <v>8238.1839999999993</v>
      </c>
      <c r="L23" s="133">
        <f>+Actuals!I293</f>
        <v>-97</v>
      </c>
      <c r="M23" s="134">
        <f>+Actuals!J293</f>
        <v>-161.893</v>
      </c>
      <c r="N23" s="133">
        <f>+Actuals!K293</f>
        <v>0</v>
      </c>
      <c r="O23" s="134">
        <f>+Actuals!L293</f>
        <v>0</v>
      </c>
      <c r="P23" s="133">
        <f>+Actuals!M293</f>
        <v>63</v>
      </c>
      <c r="Q23" s="134">
        <f>+Actuals!N293</f>
        <v>105.14700000000001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-3</v>
      </c>
      <c r="W23" s="134">
        <f>+Actuals!T293</f>
        <v>-5.0069999999999997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+Actuals!Y293</f>
        <v>0</v>
      </c>
      <c r="AC23" s="134">
        <f>+Actuals!Z293</f>
        <v>0</v>
      </c>
      <c r="AD23" s="133">
        <f>+Actuals!AA493</f>
        <v>0</v>
      </c>
      <c r="AE23" s="134">
        <f>+Actuals!AB493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  <c r="AJ23" s="133">
        <f>+Actuals!AG493</f>
        <v>0</v>
      </c>
      <c r="AK23" s="134">
        <f>+Actuals!AH493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-41862683</v>
      </c>
      <c r="E24" s="39">
        <f t="shared" si="4"/>
        <v>-70645306.629000008</v>
      </c>
      <c r="F24" s="61">
        <f t="shared" si="4"/>
        <v>0</v>
      </c>
      <c r="G24" s="39">
        <f t="shared" si="4"/>
        <v>198864.66</v>
      </c>
      <c r="H24" s="61">
        <f t="shared" si="4"/>
        <v>-42156557</v>
      </c>
      <c r="I24" s="39">
        <f t="shared" si="4"/>
        <v>-71644705.549999997</v>
      </c>
      <c r="J24" s="61">
        <f t="shared" si="4"/>
        <v>7978</v>
      </c>
      <c r="K24" s="39">
        <f t="shared" si="4"/>
        <v>531174.98399999994</v>
      </c>
      <c r="L24" s="61">
        <f t="shared" si="4"/>
        <v>279903</v>
      </c>
      <c r="M24" s="39">
        <f t="shared" si="4"/>
        <v>262563.85700000002</v>
      </c>
      <c r="N24" s="61">
        <f t="shared" si="4"/>
        <v>4550</v>
      </c>
      <c r="O24" s="39">
        <f t="shared" si="4"/>
        <v>6742.17</v>
      </c>
      <c r="P24" s="61">
        <f t="shared" si="4"/>
        <v>63</v>
      </c>
      <c r="Q24" s="39">
        <f t="shared" si="4"/>
        <v>-119.43300000000001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-1800</v>
      </c>
      <c r="V24" s="61">
        <f t="shared" si="4"/>
        <v>1380</v>
      </c>
      <c r="W24" s="39">
        <f t="shared" si="4"/>
        <v>1972.683</v>
      </c>
      <c r="X24" s="61">
        <f t="shared" si="4"/>
        <v>0</v>
      </c>
      <c r="Y24" s="39">
        <f t="shared" si="4"/>
        <v>0</v>
      </c>
      <c r="Z24" s="61">
        <f t="shared" si="4"/>
        <v>-805845</v>
      </c>
      <c r="AA24" s="39">
        <f t="shared" si="4"/>
        <v>-1361834</v>
      </c>
      <c r="AB24" s="61">
        <f t="shared" si="4"/>
        <v>805845</v>
      </c>
      <c r="AC24" s="39">
        <f t="shared" si="4"/>
        <v>1361834</v>
      </c>
      <c r="AD24" s="61">
        <f t="shared" si="4"/>
        <v>-805845</v>
      </c>
      <c r="AE24" s="39">
        <f t="shared" si="4"/>
        <v>-1361834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805845</v>
      </c>
      <c r="AI24" s="39">
        <f t="shared" si="5"/>
        <v>1361834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+Actuals!Y294</f>
        <v>0</v>
      </c>
      <c r="AC27" s="134">
        <f>+Actuals!Z294</f>
        <v>0</v>
      </c>
      <c r="AD27" s="133">
        <f>+Actuals!AA494</f>
        <v>0</v>
      </c>
      <c r="AE27" s="134">
        <f>+Actuals!AB494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  <c r="AJ27" s="133">
        <f>+Actuals!AG494</f>
        <v>0</v>
      </c>
      <c r="AK27" s="134">
        <f>+Actuals!AH494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+Actuals!Y295</f>
        <v>0</v>
      </c>
      <c r="AC28" s="134">
        <f>+Actuals!Z295</f>
        <v>0</v>
      </c>
      <c r="AD28" s="133">
        <f>+Actuals!AA495</f>
        <v>0</v>
      </c>
      <c r="AE28" s="134">
        <f>+Actuals!AB495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  <c r="AJ28" s="133">
        <f>+Actuals!AG495</f>
        <v>0</v>
      </c>
      <c r="AK28" s="134">
        <f>+Actuals!AH495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-127122</v>
      </c>
      <c r="E32" s="38">
        <f t="shared" si="8"/>
        <v>-259328.23600000003</v>
      </c>
      <c r="F32" s="64">
        <f>'TIE-OUT'!N32+RECLASS!N32</f>
        <v>0</v>
      </c>
      <c r="G32" s="68">
        <f>'TIE-OUT'!O32+RECLASS!O32</f>
        <v>0</v>
      </c>
      <c r="H32" s="133">
        <f>+Actuals!E296</f>
        <v>-123809</v>
      </c>
      <c r="I32" s="134">
        <f>+Actuals!F296</f>
        <v>-206637.22</v>
      </c>
      <c r="J32" s="133">
        <f>+Actuals!G296</f>
        <v>93189</v>
      </c>
      <c r="K32" s="134">
        <f>+Actuals!H296</f>
        <v>160370.4</v>
      </c>
      <c r="L32" s="133">
        <f>+Actuals!I296</f>
        <v>-53204</v>
      </c>
      <c r="M32" s="134">
        <f>+Actuals!J296</f>
        <v>-87600.107999999993</v>
      </c>
      <c r="N32" s="133">
        <f>+Actuals!K296</f>
        <v>0</v>
      </c>
      <c r="O32" s="134">
        <f>+Actuals!L296</f>
        <v>-40486.991999999998</v>
      </c>
      <c r="P32" s="133">
        <f>+Actuals!M296</f>
        <v>-1</v>
      </c>
      <c r="Q32" s="134">
        <f>+Actuals!N296</f>
        <v>-2.08</v>
      </c>
      <c r="R32" s="133">
        <f>+Actuals!O296</f>
        <v>1</v>
      </c>
      <c r="S32" s="134">
        <f>+Actuals!P296</f>
        <v>-584.68799999999999</v>
      </c>
      <c r="T32" s="133">
        <f>+Actuals!Q296</f>
        <v>0</v>
      </c>
      <c r="U32" s="134">
        <f>+Actuals!R296</f>
        <v>-72926.880000000005</v>
      </c>
      <c r="V32" s="133">
        <f>+Actuals!S296</f>
        <v>-43298</v>
      </c>
      <c r="W32" s="134">
        <f>+Actuals!T296</f>
        <v>-87225.68</v>
      </c>
      <c r="X32" s="133">
        <f>+Actuals!U296</f>
        <v>0</v>
      </c>
      <c r="Y32" s="134">
        <f>+Actuals!V296-694801</f>
        <v>75765.011999999988</v>
      </c>
      <c r="Z32" s="133">
        <f>+Actuals!W296</f>
        <v>0</v>
      </c>
      <c r="AA32" s="134">
        <f>+Actuals!X296</f>
        <v>0</v>
      </c>
      <c r="AB32" s="133">
        <f>+Actuals!Y296</f>
        <v>0</v>
      </c>
      <c r="AC32" s="134">
        <f>+Actuals!Z296</f>
        <v>0</v>
      </c>
      <c r="AD32" s="133">
        <f>+Actuals!AA496</f>
        <v>0</v>
      </c>
      <c r="AE32" s="134">
        <f>+Actuals!AB496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  <c r="AJ32" s="133">
        <f>+Actuals!AG496</f>
        <v>0</v>
      </c>
      <c r="AK32" s="134">
        <f>+Actuals!AH496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-57766</v>
      </c>
      <c r="E33" s="38">
        <f t="shared" si="8"/>
        <v>-115707.75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-31496</v>
      </c>
      <c r="K33" s="134">
        <f>+Actuals!H297</f>
        <v>-63063.040000000001</v>
      </c>
      <c r="L33" s="133">
        <f>+Actuals!I297</f>
        <v>-26269</v>
      </c>
      <c r="M33" s="134">
        <f>+Actuals!J297</f>
        <v>-52643.08</v>
      </c>
      <c r="N33" s="133">
        <f>+Actuals!K297</f>
        <v>-1</v>
      </c>
      <c r="O33" s="134">
        <f>+Actuals!L297</f>
        <v>-1.63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+Actuals!Y297</f>
        <v>0</v>
      </c>
      <c r="AC33" s="134">
        <f>+Actuals!Z297</f>
        <v>0</v>
      </c>
      <c r="AD33" s="133">
        <f>+Actuals!AA497</f>
        <v>0</v>
      </c>
      <c r="AE33" s="134">
        <f>+Actuals!AB497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  <c r="AJ33" s="133">
        <f>+Actuals!AG497</f>
        <v>0</v>
      </c>
      <c r="AK33" s="134">
        <f>+Actuals!AH497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188848</v>
      </c>
      <c r="E34" s="38">
        <f t="shared" si="8"/>
        <v>334482.68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157517</v>
      </c>
      <c r="K34" s="134">
        <f>+Actuals!H298</f>
        <v>52644.45</v>
      </c>
      <c r="L34" s="133">
        <f>+Actuals!I298</f>
        <v>31331</v>
      </c>
      <c r="M34" s="134">
        <f>+Actuals!J298</f>
        <v>62786.99</v>
      </c>
      <c r="N34" s="133">
        <f>+Actuals!K298</f>
        <v>0</v>
      </c>
      <c r="O34" s="134">
        <f>+Actuals!L298</f>
        <v>0</v>
      </c>
      <c r="P34" s="133">
        <f>+Actuals!M298</f>
        <v>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219051.24</v>
      </c>
      <c r="Z34" s="133">
        <f>+Actuals!W298</f>
        <v>0</v>
      </c>
      <c r="AA34" s="134">
        <f>+Actuals!X298</f>
        <v>0</v>
      </c>
      <c r="AB34" s="133">
        <f>+Actuals!Y298</f>
        <v>0</v>
      </c>
      <c r="AC34" s="134">
        <f>+Actuals!Z298</f>
        <v>0</v>
      </c>
      <c r="AD34" s="133">
        <f>+Actuals!AA498</f>
        <v>0</v>
      </c>
      <c r="AE34" s="134">
        <f>+Actuals!AB498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  <c r="AJ34" s="133">
        <f>+Actuals!AG498</f>
        <v>0</v>
      </c>
      <c r="AK34" s="134">
        <f>+Actuals!AH498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-551652</v>
      </c>
      <c r="E35" s="38">
        <f t="shared" si="8"/>
        <v>-225905.99</v>
      </c>
      <c r="F35" s="81">
        <f>'TIE-OUT'!N35+RECLASS!N35</f>
        <v>0</v>
      </c>
      <c r="G35" s="82">
        <f>'TIE-OUT'!O35+RECLASS!O35</f>
        <v>0</v>
      </c>
      <c r="H35" s="133">
        <f>+Actuals!E299</f>
        <v>-412644</v>
      </c>
      <c r="I35" s="134">
        <f>+Actuals!F299</f>
        <v>0.01</v>
      </c>
      <c r="J35" s="133">
        <f>+Actuals!G299</f>
        <v>-139005</v>
      </c>
      <c r="K35" s="134">
        <f>+Actuals!H299</f>
        <v>0</v>
      </c>
      <c r="L35" s="133">
        <f>+Actuals!I299</f>
        <v>0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-3</v>
      </c>
      <c r="S35" s="134">
        <f>+Actuals!P299</f>
        <v>0</v>
      </c>
      <c r="T35" s="133">
        <f>+Actuals!Q299</f>
        <v>0</v>
      </c>
      <c r="U35" s="134">
        <f>+Actuals!R299</f>
        <v>-920707</v>
      </c>
      <c r="V35" s="133">
        <f>+Actuals!S299</f>
        <v>0</v>
      </c>
      <c r="W35" s="165">
        <f>+Actuals!T299+694801</f>
        <v>694801</v>
      </c>
      <c r="X35" s="133">
        <f>+Actuals!U299</f>
        <v>0</v>
      </c>
      <c r="Y35" s="165">
        <f>+Actuals!V299</f>
        <v>0</v>
      </c>
      <c r="Z35" s="133">
        <f>+Actuals!W299</f>
        <v>0</v>
      </c>
      <c r="AA35" s="134">
        <f>+Actuals!X299</f>
        <v>0</v>
      </c>
      <c r="AB35" s="133">
        <f>+Actuals!Y299</f>
        <v>0</v>
      </c>
      <c r="AC35" s="134">
        <f>+Actuals!Z299</f>
        <v>0</v>
      </c>
      <c r="AD35" s="133">
        <f>+Actuals!AA499</f>
        <v>0</v>
      </c>
      <c r="AE35" s="134">
        <f>+Actuals!AB499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  <c r="AJ35" s="133">
        <f>+Actuals!AG499</f>
        <v>0</v>
      </c>
      <c r="AK35" s="134">
        <f>+Actuals!AH499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-547692</v>
      </c>
      <c r="E36" s="39">
        <f t="shared" si="9"/>
        <v>-266459.29600000003</v>
      </c>
      <c r="F36" s="61">
        <f t="shared" si="9"/>
        <v>0</v>
      </c>
      <c r="G36" s="39">
        <f t="shared" si="9"/>
        <v>0</v>
      </c>
      <c r="H36" s="61">
        <f t="shared" si="9"/>
        <v>-536453</v>
      </c>
      <c r="I36" s="39">
        <f t="shared" si="9"/>
        <v>-206637.21</v>
      </c>
      <c r="J36" s="61">
        <f t="shared" si="9"/>
        <v>80205</v>
      </c>
      <c r="K36" s="39">
        <f t="shared" si="9"/>
        <v>149951.81</v>
      </c>
      <c r="L36" s="61">
        <f t="shared" si="9"/>
        <v>-48142</v>
      </c>
      <c r="M36" s="39">
        <f t="shared" si="9"/>
        <v>-77456.198000000004</v>
      </c>
      <c r="N36" s="61">
        <f t="shared" si="9"/>
        <v>-1</v>
      </c>
      <c r="O36" s="39">
        <f t="shared" si="9"/>
        <v>-40488.621999999996</v>
      </c>
      <c r="P36" s="61">
        <f t="shared" si="9"/>
        <v>-1</v>
      </c>
      <c r="Q36" s="39">
        <f t="shared" si="9"/>
        <v>-2.08</v>
      </c>
      <c r="R36" s="61">
        <f t="shared" si="9"/>
        <v>-2</v>
      </c>
      <c r="S36" s="39">
        <f t="shared" si="9"/>
        <v>-584.68799999999999</v>
      </c>
      <c r="T36" s="61">
        <f t="shared" si="9"/>
        <v>0</v>
      </c>
      <c r="U36" s="39">
        <f t="shared" si="9"/>
        <v>-993633.88</v>
      </c>
      <c r="V36" s="61">
        <f t="shared" si="9"/>
        <v>-43298</v>
      </c>
      <c r="W36" s="39">
        <f t="shared" si="9"/>
        <v>607575.32000000007</v>
      </c>
      <c r="X36" s="61">
        <f t="shared" si="9"/>
        <v>0</v>
      </c>
      <c r="Y36" s="39">
        <f t="shared" si="9"/>
        <v>294816.25199999998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+Actuals!Y300</f>
        <v>0</v>
      </c>
      <c r="AC39" s="134">
        <f>+Actuals!Z300</f>
        <v>0</v>
      </c>
      <c r="AD39" s="133">
        <f>+Actuals!AA500</f>
        <v>0</v>
      </c>
      <c r="AE39" s="134">
        <f>+Actuals!AB500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  <c r="AJ39" s="133">
        <f>+Actuals!AG500</f>
        <v>0</v>
      </c>
      <c r="AK39" s="134">
        <f>+Actuals!AH500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-70654</v>
      </c>
      <c r="E40" s="38">
        <f t="shared" si="11"/>
        <v>-137089.09</v>
      </c>
      <c r="F40" s="60">
        <f>'TIE-OUT'!N40+RECLASS!N40</f>
        <v>0</v>
      </c>
      <c r="G40" s="38">
        <f>'TIE-OUT'!O40+RECLASS!O40</f>
        <v>0</v>
      </c>
      <c r="H40" s="133">
        <f>+Actuals!E301</f>
        <v>0</v>
      </c>
      <c r="I40" s="134">
        <f>+Actuals!F301</f>
        <v>0</v>
      </c>
      <c r="J40" s="133">
        <f>+Actuals!G301</f>
        <v>-70654</v>
      </c>
      <c r="K40" s="134">
        <f>+Actuals!H301</f>
        <v>-137089.09</v>
      </c>
      <c r="L40" s="133">
        <f>+Actuals!I301</f>
        <v>0</v>
      </c>
      <c r="M40" s="134">
        <f>+Actuals!J301</f>
        <v>0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+Actuals!Y301</f>
        <v>0</v>
      </c>
      <c r="AC40" s="134">
        <f>+Actuals!Z301</f>
        <v>0</v>
      </c>
      <c r="AD40" s="133">
        <f>+Actuals!AA501</f>
        <v>0</v>
      </c>
      <c r="AE40" s="134">
        <f>+Actuals!AB501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  <c r="AJ40" s="133">
        <f>+Actuals!AG501</f>
        <v>0</v>
      </c>
      <c r="AK40" s="134">
        <f>+Actuals!AH501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+Actuals!Y302</f>
        <v>0</v>
      </c>
      <c r="AC41" s="134">
        <f>+Actuals!Z302</f>
        <v>0</v>
      </c>
      <c r="AD41" s="133">
        <f>+Actuals!AA502</f>
        <v>0</v>
      </c>
      <c r="AE41" s="134">
        <f>+Actuals!AB502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  <c r="AJ41" s="133">
        <f>+Actuals!AG502</f>
        <v>0</v>
      </c>
      <c r="AK41" s="134">
        <f>+Actuals!AH502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-70654</v>
      </c>
      <c r="E42" s="39">
        <f t="shared" si="12"/>
        <v>-137089.09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-70654</v>
      </c>
      <c r="K42" s="39">
        <f t="shared" si="12"/>
        <v>-137089.09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-70654</v>
      </c>
      <c r="E43" s="39">
        <f t="shared" si="14"/>
        <v>-137089.09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-70654</v>
      </c>
      <c r="K43" s="39">
        <f t="shared" si="14"/>
        <v>-137089.09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+Actuals!Y303</f>
        <v>0</v>
      </c>
      <c r="AC45" s="134">
        <f>+Actuals!Z303</f>
        <v>0</v>
      </c>
      <c r="AD45" s="133">
        <f>+Actuals!AA503</f>
        <v>0</v>
      </c>
      <c r="AE45" s="134">
        <f>+Actuals!AB503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  <c r="AJ45" s="133">
        <f>+Actuals!AG503</f>
        <v>0</v>
      </c>
      <c r="AK45" s="134">
        <f>+Actuals!AH503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205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+Actuals!Y304</f>
        <v>0</v>
      </c>
      <c r="AC47" s="134">
        <f>+Actuals!Z304</f>
        <v>0</v>
      </c>
      <c r="AD47" s="133">
        <f>+Actuals!AA504</f>
        <v>0</v>
      </c>
      <c r="AE47" s="134">
        <f>+Actuals!AB504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  <c r="AJ47" s="133">
        <f>+Actuals!AG504</f>
        <v>0</v>
      </c>
      <c r="AK47" s="134">
        <f>+Actuals!AH504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-6310</v>
      </c>
      <c r="E49" s="38">
        <f t="shared" si="16"/>
        <v>-10928.490000000631</v>
      </c>
      <c r="F49" s="60">
        <f>'TIE-OUT'!N49+RECLASS!N49</f>
        <v>0</v>
      </c>
      <c r="G49" s="38">
        <f>'TIE-OUT'!O49+RECLASS!O49</f>
        <v>0</v>
      </c>
      <c r="H49" s="133">
        <f>+Actuals!E305</f>
        <v>-2</v>
      </c>
      <c r="I49" s="134">
        <f>+Actuals!F305</f>
        <v>-3.3380000000000001</v>
      </c>
      <c r="J49" s="133">
        <f>+Actuals!G305</f>
        <v>-21397</v>
      </c>
      <c r="K49" s="134">
        <f>+Actuals!H305</f>
        <v>-35711.593000000343</v>
      </c>
      <c r="L49" s="133">
        <f>+Actuals!I305</f>
        <v>128125</v>
      </c>
      <c r="M49" s="134">
        <f>+Actuals!J305</f>
        <v>2777586.5249999999</v>
      </c>
      <c r="N49" s="133">
        <f>+Actuals!K305</f>
        <v>-39589</v>
      </c>
      <c r="O49" s="134">
        <f>+Actuals!L305</f>
        <v>-2630217.0410000002</v>
      </c>
      <c r="P49" s="133">
        <f>+Actuals!M305</f>
        <v>-5062</v>
      </c>
      <c r="Q49" s="134">
        <f>+Actuals!N305</f>
        <v>-8448.4779999999992</v>
      </c>
      <c r="R49" s="133">
        <f>+Actuals!O305</f>
        <v>2</v>
      </c>
      <c r="S49" s="134">
        <f>+Actuals!P305</f>
        <v>3.3380000000000001</v>
      </c>
      <c r="T49" s="133">
        <f>+Actuals!Q305</f>
        <v>-131247</v>
      </c>
      <c r="U49" s="134">
        <f>+Actuals!R305</f>
        <v>-219051.24299999999</v>
      </c>
      <c r="V49" s="133">
        <f>+Actuals!S305</f>
        <v>131247</v>
      </c>
      <c r="W49" s="134">
        <f>+Actuals!T305</f>
        <v>219051.24299999999</v>
      </c>
      <c r="X49" s="133">
        <f>+Actuals!U305</f>
        <v>0</v>
      </c>
      <c r="Y49" s="134">
        <f>+Actuals!V305</f>
        <v>0</v>
      </c>
      <c r="Z49" s="133">
        <f>+Actuals!W305</f>
        <v>0</v>
      </c>
      <c r="AA49" s="134">
        <f>+Actuals!X305</f>
        <v>0</v>
      </c>
      <c r="AB49" s="133">
        <f>+Actuals!Y305</f>
        <v>-68387</v>
      </c>
      <c r="AC49" s="134">
        <f>+Actuals!Z305</f>
        <v>-114137.90300000001</v>
      </c>
      <c r="AD49" s="133">
        <f>+Actuals!AA505</f>
        <v>68387</v>
      </c>
      <c r="AE49" s="134">
        <f>+Actuals!AB505</f>
        <v>114137.90300000001</v>
      </c>
      <c r="AF49" s="133">
        <f>+Actuals!AC505</f>
        <v>0</v>
      </c>
      <c r="AG49" s="134">
        <f>+Actuals!AD505</f>
        <v>0</v>
      </c>
      <c r="AH49" s="133">
        <f>+Actuals!AE505</f>
        <v>-68387</v>
      </c>
      <c r="AI49" s="134">
        <f>+Actuals!AF505</f>
        <v>-114137.90300000001</v>
      </c>
      <c r="AJ49" s="133">
        <f>+Actuals!AG505</f>
        <v>0</v>
      </c>
      <c r="AK49" s="134">
        <f>+Actuals!AH505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-279227</v>
      </c>
      <c r="E51" s="38">
        <f t="shared" si="16"/>
        <v>-466029.86100000003</v>
      </c>
      <c r="F51" s="60">
        <f>'TIE-OUT'!N51+RECLASS!N51</f>
        <v>0</v>
      </c>
      <c r="G51" s="38">
        <f>'TIE-OUT'!O51+RECLASS!O51</f>
        <v>0</v>
      </c>
      <c r="H51" s="133">
        <f>+Actuals!E306</f>
        <v>-274328</v>
      </c>
      <c r="I51" s="134">
        <f>+Actuals!F306</f>
        <v>-457853.43</v>
      </c>
      <c r="J51" s="133">
        <f>+Actuals!G306</f>
        <v>-4936</v>
      </c>
      <c r="K51" s="134">
        <f>+Actuals!H306</f>
        <v>-8238.1839999999993</v>
      </c>
      <c r="L51" s="133">
        <f>+Actuals!I306</f>
        <v>97</v>
      </c>
      <c r="M51" s="134">
        <f>+Actuals!J306</f>
        <v>161.893</v>
      </c>
      <c r="N51" s="133">
        <f>+Actuals!K306</f>
        <v>0</v>
      </c>
      <c r="O51" s="134">
        <f>+Actuals!L306</f>
        <v>0</v>
      </c>
      <c r="P51" s="133">
        <f>+Actuals!M306</f>
        <v>-63</v>
      </c>
      <c r="Q51" s="134">
        <f>+Actuals!N306</f>
        <v>-105.14700000000001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3</v>
      </c>
      <c r="W51" s="134">
        <f>+Actuals!T306</f>
        <v>5.0069999999999997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+Actuals!Y306</f>
        <v>0</v>
      </c>
      <c r="AC51" s="134">
        <f>+Actuals!Z306</f>
        <v>0</v>
      </c>
      <c r="AD51" s="133">
        <f>+Actuals!AA506</f>
        <v>0</v>
      </c>
      <c r="AE51" s="134">
        <f>+Actuals!AB506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  <c r="AJ51" s="133">
        <f>+Actuals!AG506</f>
        <v>0</v>
      </c>
      <c r="AK51" s="134">
        <f>+Actuals!AH506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-11308571</v>
      </c>
      <c r="E54" s="38">
        <f>SUM(G54,I54,K54,M54,O54,Q54,S54,U54,W54,Y54,AA54,AC54,AE54,AG54,AI54,AK54)</f>
        <v>-110249.03</v>
      </c>
      <c r="F54" s="64">
        <f>'TIE-OUT'!N54+RECLASS!N54</f>
        <v>0</v>
      </c>
      <c r="G54" s="68">
        <f>'TIE-OUT'!O54+RECLASS!O54</f>
        <v>0</v>
      </c>
      <c r="H54" s="133">
        <f>+Actuals!E307</f>
        <v>-9921222</v>
      </c>
      <c r="I54" s="134">
        <f>+Actuals!F307</f>
        <v>-48881.85</v>
      </c>
      <c r="J54" s="133">
        <f>+Actuals!G307</f>
        <v>-1387349</v>
      </c>
      <c r="K54" s="134">
        <f>+Actuals!H307</f>
        <v>-61367.18</v>
      </c>
      <c r="L54" s="133">
        <f>+Actuals!I307</f>
        <v>0</v>
      </c>
      <c r="M54" s="134">
        <f>+Actuals!J307</f>
        <v>0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0</v>
      </c>
      <c r="R54" s="133">
        <f>+Actuals!O307</f>
        <v>0</v>
      </c>
      <c r="S54" s="134">
        <f>+Actuals!P307</f>
        <v>0</v>
      </c>
      <c r="T54" s="133">
        <f>+Actuals!Q307</f>
        <v>0</v>
      </c>
      <c r="U54" s="134">
        <f>+Actuals!R307</f>
        <v>0</v>
      </c>
      <c r="V54" s="133">
        <f>+Actuals!S307</f>
        <v>0</v>
      </c>
      <c r="W54" s="134">
        <f>+Actuals!T307</f>
        <v>219051</v>
      </c>
      <c r="X54" s="133">
        <f>+Actuals!U307</f>
        <v>0</v>
      </c>
      <c r="Y54" s="134">
        <f>+Actuals!V307</f>
        <v>-219051</v>
      </c>
      <c r="Z54" s="133">
        <f>+Actuals!W307</f>
        <v>0</v>
      </c>
      <c r="AA54" s="134">
        <f>+Actuals!X307</f>
        <v>0</v>
      </c>
      <c r="AB54" s="133">
        <f>+Actuals!Y307</f>
        <v>0</v>
      </c>
      <c r="AC54" s="134">
        <f>+Actuals!Z307</f>
        <v>0</v>
      </c>
      <c r="AD54" s="133">
        <f>+Actuals!AA507</f>
        <v>0</v>
      </c>
      <c r="AE54" s="134">
        <f>+Actuals!AB507</f>
        <v>0</v>
      </c>
      <c r="AF54" s="133">
        <f>+Actuals!AC507</f>
        <v>0</v>
      </c>
      <c r="AG54" s="134">
        <f>+Actuals!AD507</f>
        <v>0</v>
      </c>
      <c r="AH54" s="133">
        <f>+Actuals!AE507</f>
        <v>0</v>
      </c>
      <c r="AI54" s="134">
        <f>+Actuals!AF507</f>
        <v>0</v>
      </c>
      <c r="AJ54" s="133">
        <f>+Actuals!AG507</f>
        <v>0</v>
      </c>
      <c r="AK54" s="134">
        <f>+Actuals!AH507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-1124</v>
      </c>
      <c r="E55" s="38">
        <f>SUM(G55,I55,K55,M55,O55,Q55,S55,U55,W55,Y55,AA55,AC55,AE55,AG55,AI55,AK55)</f>
        <v>-1946335.2199999995</v>
      </c>
      <c r="F55" s="81">
        <f>'TIE-OUT'!N55+RECLASS!N55</f>
        <v>0</v>
      </c>
      <c r="G55" s="82">
        <f>'TIE-OUT'!O55+RECLASS!O55</f>
        <v>758928</v>
      </c>
      <c r="H55" s="133">
        <f>+Actuals!E308</f>
        <v>0</v>
      </c>
      <c r="I55" s="134">
        <f>+Actuals!F308</f>
        <v>-2761022.01</v>
      </c>
      <c r="J55" s="133">
        <f>+Actuals!G308</f>
        <v>0</v>
      </c>
      <c r="K55" s="134">
        <f>+Actuals!H308</f>
        <v>61977.87</v>
      </c>
      <c r="L55" s="133">
        <f>+Actuals!I308</f>
        <v>0</v>
      </c>
      <c r="M55" s="134">
        <f>+Actuals!J308</f>
        <v>-350.63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+Actuals!Y308</f>
        <v>0</v>
      </c>
      <c r="AC55" s="134">
        <f>+Actuals!Z308</f>
        <v>0</v>
      </c>
      <c r="AD55" s="133">
        <f>+Actuals!AA508</f>
        <v>0</v>
      </c>
      <c r="AE55" s="134">
        <f>+Actuals!AB508</f>
        <v>0</v>
      </c>
      <c r="AF55" s="133">
        <f>+Actuals!AC508</f>
        <v>-1124</v>
      </c>
      <c r="AG55" s="134">
        <f>+Actuals!AD508</f>
        <v>-5868.45</v>
      </c>
      <c r="AH55" s="133">
        <f>+Actuals!AE508</f>
        <v>0</v>
      </c>
      <c r="AI55" s="134">
        <f>+Actuals!AF508</f>
        <v>0</v>
      </c>
      <c r="AJ55" s="133">
        <f>+Actuals!AG508</f>
        <v>0</v>
      </c>
      <c r="AK55" s="134">
        <f>+Actuals!AH508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-11309695</v>
      </c>
      <c r="E56" s="39">
        <f t="shared" si="17"/>
        <v>-2056584.2499999995</v>
      </c>
      <c r="F56" s="61">
        <f t="shared" si="17"/>
        <v>0</v>
      </c>
      <c r="G56" s="39">
        <f t="shared" si="17"/>
        <v>758928</v>
      </c>
      <c r="H56" s="61">
        <f t="shared" si="17"/>
        <v>-9921222</v>
      </c>
      <c r="I56" s="39">
        <f t="shared" si="17"/>
        <v>-2809903.86</v>
      </c>
      <c r="J56" s="61">
        <f t="shared" si="17"/>
        <v>-1387349</v>
      </c>
      <c r="K56" s="39">
        <f t="shared" si="17"/>
        <v>610.69000000000233</v>
      </c>
      <c r="L56" s="61">
        <f t="shared" si="17"/>
        <v>0</v>
      </c>
      <c r="M56" s="39">
        <f t="shared" si="17"/>
        <v>-350.63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219051</v>
      </c>
      <c r="X56" s="61">
        <f t="shared" si="17"/>
        <v>0</v>
      </c>
      <c r="Y56" s="39">
        <f t="shared" si="17"/>
        <v>-219051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-1124</v>
      </c>
      <c r="AG56" s="39">
        <f t="shared" si="18"/>
        <v>-5868.45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+Actuals!Y309</f>
        <v>0</v>
      </c>
      <c r="AC59" s="134">
        <f>+Actuals!Z309</f>
        <v>0</v>
      </c>
      <c r="AD59" s="133">
        <f>+Actuals!AA509</f>
        <v>0</v>
      </c>
      <c r="AE59" s="134">
        <f>+Actuals!AB509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  <c r="AJ59" s="133">
        <f>+Actuals!AG509</f>
        <v>0</v>
      </c>
      <c r="AK59" s="134">
        <f>+Actuals!AH509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+Actuals!Y310</f>
        <v>0</v>
      </c>
      <c r="AC60" s="134">
        <f>+Actuals!Z310</f>
        <v>0</v>
      </c>
      <c r="AD60" s="133">
        <f>+Actuals!AA510</f>
        <v>0</v>
      </c>
      <c r="AE60" s="134">
        <f>+Actuals!AB510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  <c r="AJ60" s="133">
        <f>+Actuals!AG510</f>
        <v>0</v>
      </c>
      <c r="AK60" s="134">
        <f>+Actuals!AH510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+Actuals!Y311</f>
        <v>0</v>
      </c>
      <c r="AC64" s="134">
        <f>+Actuals!Z311</f>
        <v>0</v>
      </c>
      <c r="AD64" s="133">
        <f>+Actuals!AA511</f>
        <v>0</v>
      </c>
      <c r="AE64" s="134">
        <f>+Actuals!AB511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  <c r="AJ64" s="133">
        <f>+Actuals!AG511</f>
        <v>0</v>
      </c>
      <c r="AK64" s="134">
        <f>+Actuals!AH511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+Actuals!Y312</f>
        <v>0</v>
      </c>
      <c r="AC65" s="134">
        <f>+Actuals!Z312</f>
        <v>0</v>
      </c>
      <c r="AD65" s="133">
        <f>+Actuals!AA512</f>
        <v>0</v>
      </c>
      <c r="AE65" s="134">
        <f>+Actuals!AB512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  <c r="AJ65" s="133">
        <f>+Actuals!AG512</f>
        <v>0</v>
      </c>
      <c r="AK65" s="134">
        <f>+Actuals!AH512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-890515</v>
      </c>
      <c r="F70" s="64">
        <f>'TIE-OUT'!N70+RECLASS!N70</f>
        <v>0</v>
      </c>
      <c r="G70" s="68">
        <f>'TIE-OUT'!O70+RECLASS!O70</f>
        <v>594969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34">
        <f>+Actuals!J313</f>
        <v>0</v>
      </c>
      <c r="N70" s="133">
        <f>+Actuals!K313</f>
        <v>0</v>
      </c>
      <c r="O70" s="134">
        <v>-1485484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+Actuals!Y313</f>
        <v>0</v>
      </c>
      <c r="AC70" s="134">
        <f>+Actuals!Z313</f>
        <v>0</v>
      </c>
      <c r="AD70" s="133">
        <f>+Actuals!AA513</f>
        <v>0</v>
      </c>
      <c r="AE70" s="134">
        <f>+Actuals!AB513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  <c r="AJ70" s="133">
        <f>+Actuals!AG513</f>
        <v>0</v>
      </c>
      <c r="AK70" s="134">
        <f>+Actuals!AH513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+Actuals!Y314</f>
        <v>0</v>
      </c>
      <c r="AC71" s="134">
        <f>+Actuals!Z314</f>
        <v>0</v>
      </c>
      <c r="AD71" s="133">
        <f>+Actuals!AA514</f>
        <v>0</v>
      </c>
      <c r="AE71" s="134">
        <f>+Actuals!AB514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  <c r="AJ71" s="133">
        <f>+Actuals!AG514</f>
        <v>0</v>
      </c>
      <c r="AK71" s="134">
        <f>+Actuals!AH514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-890515</v>
      </c>
      <c r="F72" s="61">
        <f t="shared" si="23"/>
        <v>0</v>
      </c>
      <c r="G72" s="39">
        <f t="shared" si="23"/>
        <v>594969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-1485484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+Actuals!Y315</f>
        <v>0</v>
      </c>
      <c r="AC73" s="134">
        <f>+Actuals!Z315</f>
        <v>0</v>
      </c>
      <c r="AD73" s="133">
        <f>+Actuals!AA515</f>
        <v>0</v>
      </c>
      <c r="AE73" s="134">
        <f>+Actuals!AB515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  <c r="AJ73" s="133">
        <f>+Actuals!AG515</f>
        <v>0</v>
      </c>
      <c r="AK73" s="134">
        <f>+Actuals!AH515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512708.24</v>
      </c>
      <c r="F74" s="60">
        <f>'TIE-OUT'!N74+RECLASS!N74</f>
        <v>0</v>
      </c>
      <c r="G74" s="60">
        <f>'TIE-OUT'!O74+RECLASS!O74</f>
        <v>534292.23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+Actuals!H316-21583.99</f>
        <v>-21583.99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+Actuals!Y316</f>
        <v>0</v>
      </c>
      <c r="AC74" s="134">
        <f>+Actuals!Z316</f>
        <v>0</v>
      </c>
      <c r="AD74" s="133">
        <f>+Actuals!AA516</f>
        <v>0</v>
      </c>
      <c r="AE74" s="134">
        <f>+Actuals!AB516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  <c r="AJ74" s="133">
        <f>+Actuals!AG516</f>
        <v>0</v>
      </c>
      <c r="AK74" s="134">
        <f>+Actuals!AH516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45400</v>
      </c>
      <c r="F75" s="60">
        <f>'TIE-OUT'!N75+RECLASS!N75</f>
        <v>0</v>
      </c>
      <c r="G75" s="60">
        <f>'TIE-OUT'!O75+RECLASS!O75</f>
        <v>45400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+Actuals!Y317</f>
        <v>0</v>
      </c>
      <c r="AC75" s="134">
        <f>+Actuals!Z317</f>
        <v>0</v>
      </c>
      <c r="AD75" s="133">
        <f>+Actuals!AA517</f>
        <v>0</v>
      </c>
      <c r="AE75" s="134">
        <f>+Actuals!AB517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  <c r="AJ75" s="133">
        <f>+Actuals!AG517</f>
        <v>0</v>
      </c>
      <c r="AK75" s="134">
        <f>+Actuals!AH517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0</v>
      </c>
      <c r="J76" s="133">
        <f>+Actuals!G318</f>
        <v>0</v>
      </c>
      <c r="K76" s="134">
        <f>+Actuals!H318</f>
        <v>0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+Actuals!Y318</f>
        <v>0</v>
      </c>
      <c r="AC76" s="134">
        <f>+Actuals!Z318</f>
        <v>0</v>
      </c>
      <c r="AD76" s="133">
        <f>+Actuals!AA518</f>
        <v>0</v>
      </c>
      <c r="AE76" s="134">
        <f>+Actuals!AB518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  <c r="AJ76" s="133">
        <f>+Actuals!AG518</f>
        <v>0</v>
      </c>
      <c r="AK76" s="134">
        <f>+Actuals!AH518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+Actuals!Y319</f>
        <v>0</v>
      </c>
      <c r="AC77" s="134">
        <f>+Actuals!Z319</f>
        <v>0</v>
      </c>
      <c r="AD77" s="133">
        <f>+Actuals!AA519</f>
        <v>0</v>
      </c>
      <c r="AE77" s="134">
        <f>+Actuals!AB519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  <c r="AJ77" s="133">
        <f>+Actuals!AG519</f>
        <v>0</v>
      </c>
      <c r="AK77" s="134">
        <f>+Actuals!AH519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+Actuals!Y320</f>
        <v>0</v>
      </c>
      <c r="AC78" s="134">
        <f>+Actuals!Z320</f>
        <v>0</v>
      </c>
      <c r="AD78" s="133">
        <f>+Actuals!AA520</f>
        <v>0</v>
      </c>
      <c r="AE78" s="134">
        <f>+Actuals!AB520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  <c r="AJ78" s="133">
        <f>+Actuals!AG520</f>
        <v>0</v>
      </c>
      <c r="AK78" s="134">
        <f>+Actuals!AH520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+Actuals!Y321</f>
        <v>0</v>
      </c>
      <c r="AC79" s="134">
        <f>+Actuals!Z321</f>
        <v>0</v>
      </c>
      <c r="AD79" s="133">
        <f>+Actuals!AA521</f>
        <v>0</v>
      </c>
      <c r="AE79" s="134">
        <f>+Actuals!AB521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  <c r="AJ79" s="133">
        <f>+Actuals!AG521</f>
        <v>0</v>
      </c>
      <c r="AK79" s="134">
        <f>+Actuals!AH521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+Actuals!Y322</f>
        <v>0</v>
      </c>
      <c r="AC80" s="134">
        <f>+Actuals!Z322</f>
        <v>0</v>
      </c>
      <c r="AD80" s="133">
        <f>+Actuals!AA522</f>
        <v>0</v>
      </c>
      <c r="AE80" s="134">
        <f>+Actuals!AB522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  <c r="AJ80" s="133">
        <f>+Actuals!AG522</f>
        <v>0</v>
      </c>
      <c r="AK80" s="134">
        <f>+Actuals!AH522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52139.86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56149.86</v>
      </c>
      <c r="J81" s="133">
        <f>+Actuals!G323</f>
        <v>0</v>
      </c>
      <c r="K81" s="134">
        <f>+Actuals!H323</f>
        <v>-4010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+Actuals!Y323</f>
        <v>0</v>
      </c>
      <c r="AC81" s="134">
        <f>+Actuals!Z323</f>
        <v>0</v>
      </c>
      <c r="AD81" s="133">
        <f>+Actuals!AA523</f>
        <v>0</v>
      </c>
      <c r="AE81" s="134">
        <f>+Actuals!AB523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  <c r="AJ81" s="133">
        <f>+Actuals!AG523</f>
        <v>0</v>
      </c>
      <c r="AK81" s="134">
        <f>+Actuals!AH523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-270168.81600002619</v>
      </c>
      <c r="F82" s="92">
        <f>F16+F24+F29+F36+F43+F45+F47+F49</f>
        <v>0</v>
      </c>
      <c r="G82" s="93">
        <f>SUM(G72:G81)+G16+G24+G29+G36+G43+G45+G47+G49+G51+G56+G61+G66</f>
        <v>1017534.4700000001</v>
      </c>
      <c r="H82" s="92">
        <f>H16+H24+H29+H36+H43+H45+H47+H49</f>
        <v>0</v>
      </c>
      <c r="I82" s="93">
        <f>SUM(I72:I81)+I16+I24+I29+I36+I43+I45+I47+I49+I51+I56+I61+I66</f>
        <v>-85568.508000001777</v>
      </c>
      <c r="J82" s="92">
        <f>J16+J24+J29+J36+J43+J45+J47+J49</f>
        <v>0</v>
      </c>
      <c r="K82" s="166">
        <f>SUM(K72:K81)+K16+K24+K29+K36+K43+K45+K47+K49+K51+K56+K61+K66</f>
        <v>336919.47699999955</v>
      </c>
      <c r="L82" s="92">
        <f>L16+L24+L29+L36+L43+L45+L47+L49</f>
        <v>0</v>
      </c>
      <c r="M82" s="181">
        <f>SUM(M72:M81)+M16+M24+M29+M36+M43+M45+M47+M49+M51+M56+M61+M66</f>
        <v>2584532.997</v>
      </c>
      <c r="N82" s="92">
        <f>N16+N24+N29+N36+N43+N45+N47+N49</f>
        <v>0</v>
      </c>
      <c r="O82" s="93">
        <f>SUM(O72:O81)+O16+O24+O29+O36+O43+O45+O47+O49+O51+O56+O61+O66</f>
        <v>-4095112.2130000005</v>
      </c>
      <c r="P82" s="92">
        <f>P16+P24+P29+P36+P43+P45+P47+P49</f>
        <v>0</v>
      </c>
      <c r="Q82" s="93">
        <f>SUM(Q72:Q81)+Q16+Q24+Q29+Q36+Q43+Q45+Q47+Q49+Q51+Q56+Q61+Q66</f>
        <v>174.86200000000002</v>
      </c>
      <c r="R82" s="92">
        <f>R16+R24+R29+R36+R43+R45+R47+R49</f>
        <v>0</v>
      </c>
      <c r="S82" s="93">
        <f>SUM(S72:S81)+S16+S24+S29+S36+S43+S45+S47+S49+S51+S56+S61+S66</f>
        <v>-581.35</v>
      </c>
      <c r="T82" s="92">
        <f>T16+T24+T29+T36+T43+T45+T47+T49</f>
        <v>0</v>
      </c>
      <c r="U82" s="93">
        <f>SUM(U72:U81)+U16+U24+U29+U36+U43+U45+U47+U49+U51+U56+U61+U66</f>
        <v>-1214485.1229999999</v>
      </c>
      <c r="V82" s="92">
        <f>V16+V24+V29+V36+V43+V45+V47+V49</f>
        <v>0</v>
      </c>
      <c r="W82" s="93">
        <f>SUM(W72:W81)+W16+W24+W29+W36+W43+W45+W47+W49+W51+W56+W61+W66</f>
        <v>1113397.673</v>
      </c>
      <c r="X82" s="92">
        <f>X16+X24+X29+X36+X43+X45+X47+X49</f>
        <v>0</v>
      </c>
      <c r="Y82" s="93">
        <f>SUM(Y72:Y81)+Y16+Y24+Y29+Y36+Y43+Y45+Y47+Y49+Y51+Y56+Y61+Y66</f>
        <v>75765.251999999979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3122.0969999999943</v>
      </c>
      <c r="AD82" s="92">
        <f>AD16+AD24+AD29+AD36+AD43+AD45+AD47+AD49</f>
        <v>0</v>
      </c>
      <c r="AE82" s="93">
        <f>SUM(AE72:AE81)+AE16+AE24+AE29+AE36+AE43+AE45+AE47+AE49+AE51+AE56+AE61+AE66</f>
        <v>-3122.0969999999943</v>
      </c>
      <c r="AF82" s="92">
        <f>AF16+AF24+AF29+AF36+AF43+AF45+AF47+AF49</f>
        <v>0</v>
      </c>
      <c r="AG82" s="93">
        <f>SUM(AG72:AG81)+AG16+AG24+AG29+AG36+AG43+AG45+AG47+AG49+AG51+AG56+AG61+AG66</f>
        <v>-5868.45</v>
      </c>
      <c r="AH82" s="92">
        <f>AH16+AH24+AH29+AH36+AH43+AH45+AH47+AH49</f>
        <v>0</v>
      </c>
      <c r="AI82" s="93">
        <f>SUM(AI72:AI81)+AI16+AI24+AI29+AI36+AI43+AI45+AI47+AI49+AI51+AI56+AI61+AI66</f>
        <v>3122.0969999999943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K187"/>
  <sheetViews>
    <sheetView zoomScale="75" workbookViewId="0">
      <pane xSplit="3" ySplit="9" topLeftCell="E61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178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6006394</v>
      </c>
      <c r="E11" s="38">
        <f t="shared" si="0"/>
        <v>7404226.8800000008</v>
      </c>
      <c r="F11" s="60">
        <f>'TIE-OUT'!X11+RECLASS!X11</f>
        <v>0</v>
      </c>
      <c r="G11" s="38">
        <f>'TIE-OUT'!Y11+RECLASS!Y11</f>
        <v>0</v>
      </c>
      <c r="H11" s="136">
        <f>+Actuals!E84</f>
        <v>6005598</v>
      </c>
      <c r="I11" s="137">
        <f>+Actuals!F84</f>
        <v>7404225.5999999996</v>
      </c>
      <c r="J11" s="136">
        <f>+Actuals!G84</f>
        <v>800</v>
      </c>
      <c r="K11" s="153">
        <f>+Actuals!H84</f>
        <v>3660507.48</v>
      </c>
      <c r="L11" s="136">
        <f>+Actuals!I84</f>
        <v>-4</v>
      </c>
      <c r="M11" s="137">
        <f>+Actuals!J84</f>
        <v>51370.8</v>
      </c>
      <c r="N11" s="136">
        <f>+Actuals!K84</f>
        <v>0</v>
      </c>
      <c r="O11" s="137">
        <f>+Actuals!L84</f>
        <v>0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0</v>
      </c>
      <c r="X11" s="136">
        <f>+Actuals!U84</f>
        <v>0</v>
      </c>
      <c r="Y11" s="137">
        <f>+Actuals!V84</f>
        <v>-3711877</v>
      </c>
      <c r="Z11" s="136">
        <f>+Actuals!W84</f>
        <v>0</v>
      </c>
      <c r="AA11" s="137">
        <f>+Actuals!X84</f>
        <v>0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  <c r="AJ11" s="136">
        <f>+Actuals!AG84</f>
        <v>0</v>
      </c>
      <c r="AK11" s="137">
        <f>+Actuals!AH84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  <c r="AJ12" s="136">
        <f>+Actuals!AG85</f>
        <v>0</v>
      </c>
      <c r="AK12" s="137">
        <f>+Actuals!AH85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11044800</v>
      </c>
      <c r="E13" s="38">
        <f t="shared" si="0"/>
        <v>22182900</v>
      </c>
      <c r="F13" s="60">
        <f>'TIE-OUT'!X13+RECLASS!X13</f>
        <v>0</v>
      </c>
      <c r="G13" s="38">
        <f>'TIE-OUT'!Y13+RECLASS!Y13</f>
        <v>0</v>
      </c>
      <c r="H13" s="136">
        <f>+Actuals!E86</f>
        <v>11044800</v>
      </c>
      <c r="I13" s="137">
        <f>+Actuals!F86</f>
        <v>22182900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  <c r="AJ13" s="136">
        <f>+Actuals!AG86</f>
        <v>0</v>
      </c>
      <c r="AK13" s="137">
        <f>+Actuals!AH86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  <c r="AJ14" s="136">
        <f>+Actuals!AG87</f>
        <v>0</v>
      </c>
      <c r="AK14" s="137">
        <f>+Actuals!AH87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f>+Actuals!F88</f>
        <v>0</v>
      </c>
      <c r="J15" s="136">
        <f>+Actuals!G88</f>
        <v>0</v>
      </c>
      <c r="K15" s="153">
        <f>+Actuals!H88</f>
        <v>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  <c r="AJ15" s="136">
        <f>+Actuals!AG88</f>
        <v>0</v>
      </c>
      <c r="AK15" s="137">
        <f>+Actuals!AH88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17051194</v>
      </c>
      <c r="E16" s="39">
        <f t="shared" si="1"/>
        <v>29587126.880000003</v>
      </c>
      <c r="F16" s="61">
        <f t="shared" si="1"/>
        <v>0</v>
      </c>
      <c r="G16" s="39">
        <f t="shared" si="1"/>
        <v>0</v>
      </c>
      <c r="H16" s="61">
        <f t="shared" si="1"/>
        <v>17050398</v>
      </c>
      <c r="I16" s="39">
        <f t="shared" si="1"/>
        <v>29587125.600000001</v>
      </c>
      <c r="J16" s="61">
        <f t="shared" si="1"/>
        <v>800</v>
      </c>
      <c r="K16" s="154">
        <f t="shared" si="1"/>
        <v>3660507.48</v>
      </c>
      <c r="L16" s="61">
        <f t="shared" si="1"/>
        <v>-4</v>
      </c>
      <c r="M16" s="39">
        <f t="shared" si="1"/>
        <v>51370.8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-3711877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-3229965</v>
      </c>
      <c r="E19" s="38">
        <f t="shared" si="3"/>
        <v>-3101320.81</v>
      </c>
      <c r="F19" s="64">
        <f>'TIE-OUT'!X19+RECLASS!X19</f>
        <v>0</v>
      </c>
      <c r="G19" s="68">
        <f>'TIE-OUT'!Y19+RECLASS!Y19</f>
        <v>0</v>
      </c>
      <c r="H19" s="136">
        <f>+Actuals!E89</f>
        <v>-3229965</v>
      </c>
      <c r="I19" s="137">
        <f>+Actuals!F89</f>
        <v>-3102620.81</v>
      </c>
      <c r="J19" s="136">
        <f>+Actuals!G89</f>
        <v>0</v>
      </c>
      <c r="K19" s="153">
        <f>+Actuals!H89</f>
        <v>1300</v>
      </c>
      <c r="L19" s="136">
        <f>+Actuals!I89</f>
        <v>0</v>
      </c>
      <c r="M19" s="137">
        <f>+Actuals!J89</f>
        <v>0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  <c r="AJ19" s="136">
        <f>+Actuals!AG89</f>
        <v>0</v>
      </c>
      <c r="AK19" s="137">
        <f>+Actuals!AH89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  <c r="AJ20" s="136">
        <f>+Actuals!AG90</f>
        <v>0</v>
      </c>
      <c r="AK20" s="137">
        <f>+Actuals!AH90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-13070778</v>
      </c>
      <c r="E21" s="38">
        <f t="shared" si="3"/>
        <v>-25823734</v>
      </c>
      <c r="F21" s="60">
        <f>'TIE-OUT'!X21+RECLASS!X21</f>
        <v>0</v>
      </c>
      <c r="G21" s="38">
        <f>'TIE-OUT'!Y21+RECLASS!Y21</f>
        <v>0</v>
      </c>
      <c r="H21" s="136">
        <f>+Actuals!E91</f>
        <v>-13070778</v>
      </c>
      <c r="I21" s="137">
        <f>+Actuals!F91</f>
        <v>-25823734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  <c r="AJ21" s="136">
        <f>+Actuals!AG91</f>
        <v>0</v>
      </c>
      <c r="AK21" s="137">
        <f>+Actuals!AH91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  <c r="AJ22" s="136">
        <f>+Actuals!AG92</f>
        <v>0</v>
      </c>
      <c r="AK22" s="137">
        <f>+Actuals!AH92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4.0000000000000036E-3</v>
      </c>
      <c r="F23" s="81">
        <f>'TIE-OUT'!X23+RECLASS!X23</f>
        <v>0</v>
      </c>
      <c r="G23" s="82">
        <f>'TIE-OUT'!Y23+RECLASS!Y23</f>
        <v>0</v>
      </c>
      <c r="H23" s="136">
        <f>+Actuals!E93</f>
        <v>2</v>
      </c>
      <c r="I23" s="137">
        <f>+Actuals!F93</f>
        <v>3.58</v>
      </c>
      <c r="J23" s="136">
        <f>+Actuals!G93</f>
        <v>-2</v>
      </c>
      <c r="K23" s="153">
        <f>+Actuals!H93</f>
        <v>-3.5760000000000001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</f>
        <v>0</v>
      </c>
      <c r="W23" s="137">
        <f>+Actuals!T93</f>
        <v>0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  <c r="AJ23" s="136">
        <f>+Actuals!AG93</f>
        <v>0</v>
      </c>
      <c r="AK23" s="137">
        <f>+Actuals!AH93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-16300743</v>
      </c>
      <c r="E24" s="39">
        <f t="shared" si="4"/>
        <v>-28925054.805999998</v>
      </c>
      <c r="F24" s="61">
        <f t="shared" si="4"/>
        <v>0</v>
      </c>
      <c r="G24" s="39">
        <f t="shared" si="4"/>
        <v>0</v>
      </c>
      <c r="H24" s="61">
        <f t="shared" si="4"/>
        <v>-16300741</v>
      </c>
      <c r="I24" s="39">
        <f t="shared" si="4"/>
        <v>-28926351.23</v>
      </c>
      <c r="J24" s="61">
        <f t="shared" si="4"/>
        <v>-2</v>
      </c>
      <c r="K24" s="154">
        <f t="shared" si="4"/>
        <v>1296.424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  <c r="AJ27" s="136">
        <f>+Actuals!AG94</f>
        <v>0</v>
      </c>
      <c r="AK27" s="137">
        <f>+Actuals!AH94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  <c r="AJ28" s="136">
        <f>+Actuals!AG95</f>
        <v>0</v>
      </c>
      <c r="AK28" s="137">
        <f>+Actuals!AH95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4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  <c r="AJ31" s="136"/>
      <c r="AK31" s="137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0</v>
      </c>
      <c r="E32" s="38">
        <f t="shared" si="8"/>
        <v>0</v>
      </c>
      <c r="F32" s="64">
        <f>'TIE-OUT'!X32+RECLASS!X32</f>
        <v>0</v>
      </c>
      <c r="G32" s="68">
        <f>'TIE-OUT'!Y32+RECLASS!Y32</f>
        <v>0</v>
      </c>
      <c r="H32" s="136">
        <f>+Actuals!E96</f>
        <v>-2</v>
      </c>
      <c r="I32" s="137">
        <f>+Actuals!F96</f>
        <v>-3.58</v>
      </c>
      <c r="J32" s="136">
        <f>+Actuals!G96</f>
        <v>2</v>
      </c>
      <c r="K32" s="153">
        <f>+Actuals!H96</f>
        <v>3.58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  <c r="AJ32" s="136">
        <f>+Actuals!AG96</f>
        <v>0</v>
      </c>
      <c r="AK32" s="137">
        <f>+Actuals!AH96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0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  <c r="AJ33" s="136">
        <f>+Actuals!AG97</f>
        <v>0</v>
      </c>
      <c r="AK33" s="137">
        <f>+Actuals!AH97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  <c r="AJ34" s="136">
        <f>+Actuals!AG98</f>
        <v>0</v>
      </c>
      <c r="AK34" s="137">
        <f>+Actuals!AH98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  <c r="AJ35" s="136">
        <f>+Actuals!AG99</f>
        <v>0</v>
      </c>
      <c r="AK35" s="137">
        <f>+Actuals!AH99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-2</v>
      </c>
      <c r="I36" s="39">
        <f t="shared" si="9"/>
        <v>-3.58</v>
      </c>
      <c r="J36" s="61">
        <f t="shared" si="9"/>
        <v>2</v>
      </c>
      <c r="K36" s="154">
        <f t="shared" si="9"/>
        <v>3.58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  <c r="AJ39" s="136">
        <f>+Actuals!AG100</f>
        <v>0</v>
      </c>
      <c r="AK39" s="137">
        <f>+Actuals!AH100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-1070106</v>
      </c>
      <c r="E40" s="38">
        <f t="shared" si="11"/>
        <v>-0.04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0</v>
      </c>
      <c r="W40" s="137">
        <f>+Actuals!T101</f>
        <v>0</v>
      </c>
      <c r="X40" s="136">
        <f>+Actuals!U101</f>
        <v>-1070106</v>
      </c>
      <c r="Y40" s="137">
        <f>+Actuals!V101</f>
        <v>-0.04</v>
      </c>
      <c r="Z40" s="136">
        <f>+Actuals!W101</f>
        <v>0</v>
      </c>
      <c r="AA40" s="137">
        <f>+Actuals!X101</f>
        <v>0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  <c r="AJ40" s="136">
        <f>+Actuals!AG101</f>
        <v>0</v>
      </c>
      <c r="AK40" s="137">
        <f>+Actuals!AH101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  <c r="AJ41" s="136">
        <f>+Actuals!AG102</f>
        <v>0</v>
      </c>
      <c r="AK41" s="137">
        <f>+Actuals!AH102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-1070106</v>
      </c>
      <c r="E42" s="39">
        <f t="shared" si="12"/>
        <v>-0.04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-1070106</v>
      </c>
      <c r="Y42" s="39">
        <f t="shared" si="12"/>
        <v>-0.04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-1070106</v>
      </c>
      <c r="E43" s="39">
        <f t="shared" si="14"/>
        <v>-0.04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4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-1070106</v>
      </c>
      <c r="Y43" s="39">
        <f t="shared" si="14"/>
        <v>-0.04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  <c r="AJ45" s="136">
        <f>+Actuals!AG103</f>
        <v>0</v>
      </c>
      <c r="AK45" s="137">
        <f>+Actuals!AH103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  <c r="AJ47" s="136">
        <f>+Actuals!AG104</f>
        <v>0</v>
      </c>
      <c r="AK47" s="137">
        <f>+Actuals!AH104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319655</v>
      </c>
      <c r="E49" s="38">
        <f t="shared" si="16"/>
        <v>571146.47999999952</v>
      </c>
      <c r="F49" s="60">
        <f>'TIE-OUT'!X49+RECLASS!X49</f>
        <v>0</v>
      </c>
      <c r="G49" s="38">
        <f>'TIE-OUT'!Y49+RECLASS!Y49</f>
        <v>0</v>
      </c>
      <c r="H49" s="136">
        <f>+Actuals!E105</f>
        <v>-749655</v>
      </c>
      <c r="I49" s="137">
        <f>+Actuals!F105</f>
        <v>-1340383.1399999999</v>
      </c>
      <c r="J49" s="136">
        <f>+Actuals!G105</f>
        <v>-800</v>
      </c>
      <c r="K49" s="153">
        <f>+Actuals!H105</f>
        <v>-1430.4000000003725</v>
      </c>
      <c r="L49" s="136">
        <f>+Actuals!I105</f>
        <v>4</v>
      </c>
      <c r="M49" s="137">
        <f>+Actuals!J105</f>
        <v>-3622441.5080000004</v>
      </c>
      <c r="N49" s="136">
        <f>+Actuals!K105</f>
        <v>0</v>
      </c>
      <c r="O49" s="137">
        <f>+Actuals!L105</f>
        <v>3622052</v>
      </c>
      <c r="P49" s="136">
        <f>+Actuals!M105</f>
        <v>0</v>
      </c>
      <c r="Q49" s="137">
        <f>+Actuals!N105</f>
        <v>0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</f>
        <v>0</v>
      </c>
      <c r="W49" s="137">
        <f>+Actuals!T105</f>
        <v>0</v>
      </c>
      <c r="X49" s="136">
        <f>+Actuals!U105</f>
        <v>1070106</v>
      </c>
      <c r="Y49" s="137">
        <f>+Actuals!V105</f>
        <v>1913349.5279999999</v>
      </c>
      <c r="Z49" s="136">
        <f>+Actuals!W105</f>
        <v>0</v>
      </c>
      <c r="AA49" s="137">
        <f>+Actuals!X105</f>
        <v>0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  <c r="AJ49" s="136">
        <f>+Actuals!AG105</f>
        <v>0</v>
      </c>
      <c r="AK49" s="137">
        <f>+Actuals!AH105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303879</v>
      </c>
      <c r="E51" s="38">
        <f t="shared" si="16"/>
        <v>-4.0000000000000036E-3</v>
      </c>
      <c r="F51" s="60">
        <f>'TIE-OUT'!X51+RECLASS!X51</f>
        <v>0</v>
      </c>
      <c r="G51" s="38">
        <f>'TIE-OUT'!Y51+RECLASS!Y51</f>
        <v>0</v>
      </c>
      <c r="H51" s="136">
        <f>+Actuals!E106</f>
        <v>-2</v>
      </c>
      <c r="I51" s="137">
        <f>+Actuals!F106</f>
        <v>-3.58</v>
      </c>
      <c r="J51" s="136">
        <f>+Actuals!G106</f>
        <v>2</v>
      </c>
      <c r="K51" s="153">
        <f>+Actuals!H106</f>
        <v>3.5760000000000001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</f>
        <v>0</v>
      </c>
      <c r="W51" s="137">
        <f>+Actuals!T106</f>
        <v>0</v>
      </c>
      <c r="X51" s="136">
        <f>+Actuals!U106</f>
        <v>303879</v>
      </c>
      <c r="Y51" s="137">
        <f>+Actuals!V106</f>
        <v>0</v>
      </c>
      <c r="Z51" s="136">
        <f>+Actuals!W106</f>
        <v>0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  <c r="AJ51" s="136">
        <f>+Actuals!AG106</f>
        <v>0</v>
      </c>
      <c r="AK51" s="137">
        <f>+Actuals!AH106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-39504</v>
      </c>
      <c r="E54" s="38">
        <f>SUM(G54,I54,K54,M54,O54,Q54,S54,U54,W54,Y54,AA54,AC54,AE54,AG54,AI54,AK54)</f>
        <v>-444731.33</v>
      </c>
      <c r="F54" s="64">
        <f>'TIE-OUT'!X54+RECLASS!X54</f>
        <v>0</v>
      </c>
      <c r="G54" s="68">
        <f>'TIE-OUT'!Y54+RECLASS!Y54</f>
        <v>0</v>
      </c>
      <c r="H54" s="136">
        <f>+Actuals!E107</f>
        <v>-39504</v>
      </c>
      <c r="I54" s="137">
        <f>+Actuals!F107</f>
        <v>-583.05999999999995</v>
      </c>
      <c r="J54" s="136">
        <f>+Actuals!G107</f>
        <v>0</v>
      </c>
      <c r="K54" s="153">
        <f>+Actuals!H107</f>
        <v>-2.27</v>
      </c>
      <c r="L54" s="136">
        <f>+Actuals!I107</f>
        <v>0</v>
      </c>
      <c r="M54" s="137">
        <f>+Actuals!J107</f>
        <v>0</v>
      </c>
      <c r="N54" s="136">
        <f>+Actuals!K107</f>
        <v>0</v>
      </c>
      <c r="O54" s="137">
        <f>+Actuals!L107</f>
        <v>0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</f>
        <v>0</v>
      </c>
      <c r="X54" s="136">
        <f>+Actuals!U107</f>
        <v>0</v>
      </c>
      <c r="Y54" s="137">
        <f>+Actuals!V107-444146</f>
        <v>-444146</v>
      </c>
      <c r="Z54" s="136">
        <f>+Actuals!W107</f>
        <v>0</v>
      </c>
      <c r="AA54" s="137">
        <f>+Actuals!X107</f>
        <v>0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  <c r="AJ54" s="136">
        <f>+Actuals!AG107</f>
        <v>0</v>
      </c>
      <c r="AK54" s="137">
        <f>+Actuals!AH107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-5497.67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-5497.16</v>
      </c>
      <c r="J55" s="136">
        <f>+Actuals!G108</f>
        <v>0</v>
      </c>
      <c r="K55" s="153">
        <f>+Actuals!H108</f>
        <v>-0.51</v>
      </c>
      <c r="L55" s="136">
        <f>+Actuals!I108</f>
        <v>0</v>
      </c>
      <c r="M55" s="137">
        <f>+Actuals!J108</f>
        <v>0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  <c r="AJ55" s="136">
        <f>+Actuals!AG108</f>
        <v>0</v>
      </c>
      <c r="AK55" s="137">
        <f>+Actuals!AH108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-39504</v>
      </c>
      <c r="E56" s="39">
        <f t="shared" si="17"/>
        <v>-450229</v>
      </c>
      <c r="F56" s="61">
        <f t="shared" si="17"/>
        <v>0</v>
      </c>
      <c r="G56" s="39">
        <f t="shared" si="17"/>
        <v>0</v>
      </c>
      <c r="H56" s="61">
        <f t="shared" si="17"/>
        <v>-39504</v>
      </c>
      <c r="I56" s="39">
        <f t="shared" si="17"/>
        <v>-6080.2199999999993</v>
      </c>
      <c r="J56" s="61">
        <f t="shared" si="17"/>
        <v>0</v>
      </c>
      <c r="K56" s="154">
        <f t="shared" si="17"/>
        <v>-2.7800000000000002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-444146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  <c r="AJ59" s="136">
        <f>+Actuals!AG109</f>
        <v>0</v>
      </c>
      <c r="AK59" s="137">
        <f>+Actuals!AH109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  <c r="AJ60" s="136">
        <f>+Actuals!AG110</f>
        <v>0</v>
      </c>
      <c r="AK60" s="137">
        <f>+Actuals!AH110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154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  <c r="AJ64" s="136">
        <f>+Actuals!AG111</f>
        <v>0</v>
      </c>
      <c r="AK64" s="137">
        <f>+Actuals!AH111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  <c r="AJ65" s="136">
        <f>+Actuals!AG112</f>
        <v>0</v>
      </c>
      <c r="AK65" s="137">
        <f>+Actuals!AH112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154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'TIE-OUT'!X70+RECLASS!X70</f>
        <v>0</v>
      </c>
      <c r="G70" s="68">
        <f>'TIE-OUT'!Y70+RECLASS!Y70</f>
        <v>0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  <c r="AJ70" s="136">
        <f>+Actuals!AG113</f>
        <v>0</v>
      </c>
      <c r="AK70" s="137">
        <f>+Actuals!AH113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  <c r="AJ71" s="136">
        <f>+Actuals!AG114</f>
        <v>0</v>
      </c>
      <c r="AK71" s="137">
        <f>+Actuals!AH114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  <c r="AJ73" s="136">
        <f>+Actuals!AG115</f>
        <v>0</v>
      </c>
      <c r="AK73" s="137">
        <f>+Actuals!AH115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-113999</v>
      </c>
      <c r="F74" s="60">
        <f>'TIE-OUT'!X74+RECLASS!X74</f>
        <v>0</v>
      </c>
      <c r="G74" s="60">
        <f>'TIE-OUT'!Y74+RECLASS!Y74</f>
        <v>-113999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  <c r="AJ74" s="136">
        <f>+Actuals!AG116</f>
        <v>0</v>
      </c>
      <c r="AK74" s="137">
        <f>+Actuals!AH116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  <c r="AJ75" s="136">
        <f>+Actuals!AG117</f>
        <v>0</v>
      </c>
      <c r="AK75" s="137">
        <f>+Actuals!AH117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  <c r="AJ76" s="136">
        <f>+Actuals!AG118</f>
        <v>0</v>
      </c>
      <c r="AK76" s="137">
        <f>+Actuals!AH118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  <c r="AJ77" s="136">
        <f>+Actuals!AG119</f>
        <v>0</v>
      </c>
      <c r="AK77" s="137">
        <f>+Actuals!AH119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  <c r="AJ78" s="136">
        <f>+Actuals!AG120</f>
        <v>0</v>
      </c>
      <c r="AK78" s="137">
        <f>+Actuals!AH120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  <c r="AJ79" s="136">
        <f>+Actuals!AG121</f>
        <v>0</v>
      </c>
      <c r="AK79" s="137">
        <f>+Actuals!AH121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  <c r="AJ80" s="136">
        <f>+Actuals!AG122</f>
        <v>0</v>
      </c>
      <c r="AK80" s="137">
        <f>+Actuals!AH122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0</v>
      </c>
      <c r="F81" s="60">
        <f>'TIE-OUT'!X81+RECLASS!X81</f>
        <v>0</v>
      </c>
      <c r="G81" s="60">
        <f>'TIE-OUT'!Y81+RECLASS!Y81</f>
        <v>0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  <c r="AJ81" s="136">
        <f>+Actuals!AG123</f>
        <v>0</v>
      </c>
      <c r="AK81" s="137">
        <f>+Actuals!AH123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668990.5100000042</v>
      </c>
      <c r="F82" s="92">
        <f>F16+F24+F29+F36+F43+F45+F47+F49</f>
        <v>0</v>
      </c>
      <c r="G82" s="93">
        <f>SUM(G72:G81)+G16+G24+G29+G36+G43+G45+G47+G49+G51+G56+G61+G66</f>
        <v>-113999</v>
      </c>
      <c r="H82" s="92">
        <f>H16+H24+H29+H36+H43+H45+H47+H49</f>
        <v>0</v>
      </c>
      <c r="I82" s="93">
        <f>SUM(I72:I81)+I16+I24+I29+I36+I43+I45+I47+I49+I51+I56+I61+I66</f>
        <v>-685696.14999999874</v>
      </c>
      <c r="J82" s="92">
        <f>J16+J24+J29+J36+J43+J45+J47+J49</f>
        <v>0</v>
      </c>
      <c r="K82" s="166">
        <f>SUM(K72:K81)+K16+K24+K29+K36+K43+K45+K47+K49+K51+K56+K61+K66</f>
        <v>3660377.88</v>
      </c>
      <c r="L82" s="92">
        <f>L16+L24+L29+L36+L43+L45+L47+L49</f>
        <v>0</v>
      </c>
      <c r="M82" s="93">
        <f>SUM(M72:M81)+M16+M24+M29+M36+M43+M45+M47+M49+M51+M56+M61+M66</f>
        <v>-3571070.7080000006</v>
      </c>
      <c r="N82" s="92">
        <f>N16+N24+N29+N36+N43+N45+N47+N49</f>
        <v>0</v>
      </c>
      <c r="O82" s="93">
        <f>SUM(O72:O81)+O16+O24+O29+O36+O43+O45+O47+O49+O51+O56+O61+O66</f>
        <v>3622052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-2242673.5120000001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STG_VAR!D11+ONT_VAR!D11+'CE-VAR'!D11+'NE-VAR'!D11+'SE-EGM-VAR'!D11+'SE-LRC-VAR'!D11+'TX-EGM-VAR'!D11+'TX-HPL-VAR '!D11+'WE-VAR'!D11+BGC_VAR!D11</f>
        <v>217141654</v>
      </c>
      <c r="E11" s="65">
        <f>STG_VAR!E11+ONT_VAR!E11+'CE-VAR'!E11+'NE-VAR'!E11+'SE-EGM-VAR'!E11+'SE-LRC-VAR'!E11+'TX-EGM-VAR'!E11+'TX-HPL-VAR '!E11+'WE-VAR'!E11+BGC_VAR!E11</f>
        <v>382953123</v>
      </c>
      <c r="F11" s="65">
        <f>STG_VAR!F11+ONT_VAR!F11+'CE-VAR'!F11+'NE-VAR'!F11+'SE-EGM-VAR'!F11+'SE-LRC-VAR'!F11+'TX-EGM-VAR'!F11+'TX-HPL-VAR '!F11+'WE-VAR'!F11+BGC_VAR!F11</f>
        <v>224222717</v>
      </c>
      <c r="G11" s="65">
        <f>STG_VAR!G11+ONT_VAR!G11+'CE-VAR'!G11+'NE-VAR'!G11+'SE-EGM-VAR'!G11+'SE-LRC-VAR'!G11+'TX-EGM-VAR'!G11+'TX-HPL-VAR '!G11+'WE-VAR'!G11+BGC_VAR!G11</f>
        <v>459832128.32000005</v>
      </c>
      <c r="H11" s="60">
        <f>F11-D11</f>
        <v>7081063</v>
      </c>
      <c r="I11" s="38">
        <f>G11-E11</f>
        <v>76879005.320000052</v>
      </c>
    </row>
    <row r="12" spans="1:22" x14ac:dyDescent="0.2">
      <c r="A12" s="9">
        <v>2</v>
      </c>
      <c r="B12" s="7"/>
      <c r="C12" s="18" t="s">
        <v>30</v>
      </c>
      <c r="D12" s="65">
        <f>STG_VAR!D12+ONT_VAR!D12+'CE-VAR'!D12+'NE-VAR'!D12+'SE-EGM-VAR'!D12+'SE-LRC-VAR'!D12+'TX-EGM-VAR'!D12+'TX-HPL-VAR '!D12+'WE-VAR'!D12+BGC_VAR!D12</f>
        <v>0</v>
      </c>
      <c r="E12" s="65">
        <f>STG_VAR!E12+ONT_VAR!E12+'CE-VAR'!E12+'NE-VAR'!E12+'SE-EGM-VAR'!E12+'SE-LRC-VAR'!E12+'TX-EGM-VAR'!E12+'TX-HPL-VAR '!E12+'WE-VAR'!E12+BGC_VAR!E12</f>
        <v>0</v>
      </c>
      <c r="F12" s="65">
        <f>STG_VAR!F12+ONT_VAR!F12+'CE-VAR'!F12+'NE-VAR'!F12+'SE-EGM-VAR'!F12+'SE-LRC-VAR'!F12+'TX-EGM-VAR'!F12+'TX-HPL-VAR '!F12+'WE-VAR'!F12+BGC_VAR!F12</f>
        <v>0</v>
      </c>
      <c r="G12" s="65">
        <f>STG_VAR!G12+ONT_VAR!G12+'CE-VAR'!G12+'NE-VAR'!G12+'SE-EGM-VAR'!G12+'SE-LRC-VAR'!G12+'TX-EGM-VAR'!G12+'TX-HPL-VAR '!G12+'WE-VAR'!G12+BGC_VAR!G12</f>
        <v>-32726386.609999999</v>
      </c>
      <c r="H12" s="60">
        <f>F12-D12</f>
        <v>0</v>
      </c>
      <c r="I12" s="38">
        <f>G12-E12</f>
        <v>-32726386.609999999</v>
      </c>
    </row>
    <row r="13" spans="1:22" x14ac:dyDescent="0.2">
      <c r="A13" s="9">
        <v>3</v>
      </c>
      <c r="B13" s="7"/>
      <c r="C13" s="18" t="s">
        <v>31</v>
      </c>
      <c r="D13" s="65">
        <f>STG_VAR!D13+ONT_VAR!D13+'CE-VAR'!D13+'NE-VAR'!D13+'SE-EGM-VAR'!D13+'SE-LRC-VAR'!D13+'TX-EGM-VAR'!D13+'TX-HPL-VAR '!D13+'WE-VAR'!D13+BGC_VAR!D13</f>
        <v>110061683</v>
      </c>
      <c r="E13" s="65">
        <f>STG_VAR!E13+ONT_VAR!E13+'CE-VAR'!E13+'NE-VAR'!E13+'SE-EGM-VAR'!E13+'SE-LRC-VAR'!E13+'TX-EGM-VAR'!E13+'TX-HPL-VAR '!E13+'WE-VAR'!E13+BGC_VAR!E13</f>
        <v>203122265.00000003</v>
      </c>
      <c r="F13" s="65">
        <f>STG_VAR!F13+ONT_VAR!F13+'CE-VAR'!F13+'NE-VAR'!F13+'SE-EGM-VAR'!F13+'SE-LRC-VAR'!F13+'TX-EGM-VAR'!F13+'TX-HPL-VAR '!F13+'WE-VAR'!F13+BGC_VAR!F13</f>
        <v>94278264</v>
      </c>
      <c r="G13" s="65">
        <f>STG_VAR!G13+ONT_VAR!G13+'CE-VAR'!G13+'NE-VAR'!G13+'SE-EGM-VAR'!G13+'SE-LRC-VAR'!G13+'TX-EGM-VAR'!G13+'TX-HPL-VAR '!G13+'WE-VAR'!G13+BGC_VAR!G13</f>
        <v>169226781</v>
      </c>
      <c r="H13" s="60">
        <f t="shared" ref="H13:I15" si="0">F13-D13</f>
        <v>-15783419</v>
      </c>
      <c r="I13" s="38">
        <f t="shared" si="0"/>
        <v>-33895484.00000003</v>
      </c>
    </row>
    <row r="14" spans="1:22" x14ac:dyDescent="0.2">
      <c r="A14" s="9">
        <v>4</v>
      </c>
      <c r="B14" s="7"/>
      <c r="C14" s="18" t="s">
        <v>32</v>
      </c>
      <c r="D14" s="65">
        <f>STG_VAR!D14+ONT_VAR!D14+'CE-VAR'!D14+'NE-VAR'!D14+'SE-EGM-VAR'!D14+'SE-LRC-VAR'!D14+'TX-EGM-VAR'!D14+'TX-HPL-VAR '!D14+'WE-VAR'!D14+BGC_VAR!D14</f>
        <v>0</v>
      </c>
      <c r="E14" s="65">
        <f>STG_VAR!E14+ONT_VAR!E14+'CE-VAR'!E14+'NE-VAR'!E14+'SE-EGM-VAR'!E14+'SE-LRC-VAR'!E14+'TX-EGM-VAR'!E14+'TX-HPL-VAR '!E14+'WE-VAR'!E14+BGC_VAR!E14</f>
        <v>88910</v>
      </c>
      <c r="F14" s="65">
        <f>STG_VAR!F14+ONT_VAR!F14+'CE-VAR'!F14+'NE-VAR'!F14+'SE-EGM-VAR'!F14+'SE-LRC-VAR'!F14+'TX-EGM-VAR'!F14+'TX-HPL-VAR '!F14+'WE-VAR'!F14+BGC_VAR!F14</f>
        <v>0</v>
      </c>
      <c r="G14" s="65">
        <f>STG_VAR!G14+ONT_VAR!G14+'CE-VAR'!G14+'NE-VAR'!G14+'SE-EGM-VAR'!G14+'SE-LRC-VAR'!G14+'TX-EGM-VAR'!G14+'TX-HPL-VAR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-88910</v>
      </c>
    </row>
    <row r="15" spans="1:22" x14ac:dyDescent="0.2">
      <c r="A15" s="9">
        <v>5</v>
      </c>
      <c r="B15" s="7"/>
      <c r="C15" s="18" t="s">
        <v>33</v>
      </c>
      <c r="D15" s="65">
        <f>STG_VAR!D15+ONT_VAR!D15+'CE-VAR'!D15+'NE-VAR'!D15+'SE-EGM-VAR'!D15+'SE-LRC-VAR'!D15+'TX-EGM-VAR'!D15+'TX-HPL-VAR '!D15+'WE-VAR'!D15+BGC_VAR!D15</f>
        <v>0</v>
      </c>
      <c r="E15" s="65">
        <f>STG_VAR!E15+ONT_VAR!E15+'CE-VAR'!E15+'NE-VAR'!E15+'SE-EGM-VAR'!E15+'SE-LRC-VAR'!E15+'TX-EGM-VAR'!E15+'TX-HPL-VAR '!E15+'WE-VAR'!E15+BGC_VAR!E15</f>
        <v>120000</v>
      </c>
      <c r="F15" s="65">
        <f>STG_VAR!F15+ONT_VAR!F15+'CE-VAR'!F15+'NE-VAR'!F15+'SE-EGM-VAR'!F15+'SE-LRC-VAR'!F15+'TX-EGM-VAR'!F15+'TX-HPL-VAR '!F15+'WE-VAR'!F15+BGC_VAR!F15</f>
        <v>0</v>
      </c>
      <c r="G15" s="65">
        <f>STG_VAR!G15+ONT_VAR!G15+'CE-VAR'!G15+'NE-VAR'!G15+'SE-EGM-VAR'!G15+'SE-LRC-VAR'!G15+'TX-EGM-VAR'!G15+'TX-HPL-VAR '!G15+'WE-VAR'!G15+BGC_VAR!G15</f>
        <v>-3043675.7</v>
      </c>
      <c r="H15" s="60">
        <f t="shared" si="0"/>
        <v>0</v>
      </c>
      <c r="I15" s="38">
        <f t="shared" si="0"/>
        <v>-3163675.7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327203337</v>
      </c>
      <c r="E16" s="39">
        <f t="shared" si="1"/>
        <v>586284298</v>
      </c>
      <c r="F16" s="61">
        <f t="shared" si="1"/>
        <v>318500981</v>
      </c>
      <c r="G16" s="39">
        <f t="shared" si="1"/>
        <v>593288847.00999999</v>
      </c>
      <c r="H16" s="61">
        <f t="shared" si="1"/>
        <v>-8702356</v>
      </c>
      <c r="I16" s="39">
        <f t="shared" si="1"/>
        <v>7004549.0100000231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STG_VAR!D19+ONT_VAR!D19+'CE-VAR'!D19+'NE-VAR'!D19+'SE-EGM-VAR'!D19+'SE-LRC-VAR'!D19+'TX-EGM-VAR'!D19+'TX-HPL-VAR '!D19+'WE-VAR'!D19+BGC_VAR!D19</f>
        <v>-202519823</v>
      </c>
      <c r="E19" s="65">
        <f>STG_VAR!E19+ONT_VAR!E19+'CE-VAR'!E19+'NE-VAR'!E19+'SE-EGM-VAR'!E19+'SE-LRC-VAR'!E19+'TX-EGM-VAR'!E19+'TX-HPL-VAR '!E19+'WE-VAR'!E19+BGC_VAR!E19</f>
        <v>-356950884</v>
      </c>
      <c r="F19" s="65">
        <f>STG_VAR!F19+ONT_VAR!F19+'CE-VAR'!F19+'NE-VAR'!F19+'SE-EGM-VAR'!F19+'SE-LRC-VAR'!F19+'TX-EGM-VAR'!F19+'TX-HPL-VAR '!F19+'WE-VAR'!F19+BGC_VAR!F19</f>
        <v>-207428438</v>
      </c>
      <c r="G19" s="65">
        <f>STG_VAR!G19+ONT_VAR!G19+'CE-VAR'!G19+'NE-VAR'!G19+'SE-EGM-VAR'!G19+'SE-LRC-VAR'!G19+'TX-EGM-VAR'!G19+'TX-HPL-VAR '!G19+'WE-VAR'!G19+BGC_VAR!G19</f>
        <v>-372869549.98999995</v>
      </c>
      <c r="H19" s="60">
        <f>F19-D19</f>
        <v>-4908615</v>
      </c>
      <c r="I19" s="38">
        <f>G19-E19</f>
        <v>-15918665.98999995</v>
      </c>
    </row>
    <row r="20" spans="1:9" x14ac:dyDescent="0.2">
      <c r="A20" s="9">
        <v>7</v>
      </c>
      <c r="B20" s="7"/>
      <c r="C20" s="18" t="s">
        <v>30</v>
      </c>
      <c r="D20" s="65">
        <f>STG_VAR!D20+ONT_VAR!D20+'CE-VAR'!D20+'NE-VAR'!D20+'SE-EGM-VAR'!D20+'SE-LRC-VAR'!D20+'TX-EGM-VAR'!D20+'TX-HPL-VAR '!D20+'WE-VAR'!D20+BGC_VAR!D20</f>
        <v>0</v>
      </c>
      <c r="E20" s="65">
        <f>STG_VAR!E20+ONT_VAR!E20+'CE-VAR'!E20+'NE-VAR'!E20+'SE-EGM-VAR'!E20+'SE-LRC-VAR'!E20+'TX-EGM-VAR'!E20+'TX-HPL-VAR '!E20+'WE-VAR'!E20+BGC_VAR!E20</f>
        <v>0</v>
      </c>
      <c r="F20" s="65">
        <f>STG_VAR!F20+ONT_VAR!F20+'CE-VAR'!F20+'NE-VAR'!F20+'SE-EGM-VAR'!F20+'SE-LRC-VAR'!F20+'TX-EGM-VAR'!F20+'TX-HPL-VAR '!F20+'WE-VAR'!F20+BGC_VAR!F20</f>
        <v>0</v>
      </c>
      <c r="G20" s="65">
        <f>STG_VAR!G20+ONT_VAR!G20+'CE-VAR'!G20+'NE-VAR'!G20+'SE-EGM-VAR'!G20+'SE-LRC-VAR'!G20+'TX-EGM-VAR'!G20+'TX-HPL-VAR '!G20+'WE-VAR'!G20+BGC_VAR!G20</f>
        <v>4143337.8099999996</v>
      </c>
      <c r="H20" s="60">
        <f>F20-D20</f>
        <v>0</v>
      </c>
      <c r="I20" s="38">
        <f>G20-E20</f>
        <v>4143337.8099999996</v>
      </c>
    </row>
    <row r="21" spans="1:9" x14ac:dyDescent="0.2">
      <c r="A21" s="9">
        <v>8</v>
      </c>
      <c r="B21" s="7"/>
      <c r="C21" s="18" t="s">
        <v>31</v>
      </c>
      <c r="D21" s="65">
        <f>STG_VAR!D21+ONT_VAR!D21+'CE-VAR'!D21+'NE-VAR'!D21+'SE-EGM-VAR'!D21+'SE-LRC-VAR'!D21+'TX-EGM-VAR'!D21+'TX-HPL-VAR '!D21+'WE-VAR'!D21+BGC_VAR!D21</f>
        <v>-119842400</v>
      </c>
      <c r="E21" s="65">
        <f>STG_VAR!E21+ONT_VAR!E21+'CE-VAR'!E21+'NE-VAR'!E21+'SE-EGM-VAR'!E21+'SE-LRC-VAR'!E21+'TX-EGM-VAR'!E21+'TX-HPL-VAR '!E21+'WE-VAR'!E21+BGC_VAR!E21</f>
        <v>-220598653</v>
      </c>
      <c r="F21" s="65">
        <f>STG_VAR!F21+ONT_VAR!F21+'CE-VAR'!F21+'NE-VAR'!F21+'SE-EGM-VAR'!F21+'SE-LRC-VAR'!F21+'TX-EGM-VAR'!F21+'TX-HPL-VAR '!F21+'WE-VAR'!F21+BGC_VAR!F21</f>
        <v>-94278264</v>
      </c>
      <c r="G21" s="65">
        <f>STG_VAR!G21+ONT_VAR!G21+'CE-VAR'!G21+'NE-VAR'!G21+'SE-EGM-VAR'!G21+'SE-LRC-VAR'!G21+'TX-EGM-VAR'!G21+'TX-HPL-VAR '!G21+'WE-VAR'!G21+BGC_VAR!G21</f>
        <v>-175252734</v>
      </c>
      <c r="H21" s="60">
        <f t="shared" ref="H21:I23" si="2">F21-D21</f>
        <v>25564136</v>
      </c>
      <c r="I21" s="38">
        <f t="shared" si="2"/>
        <v>45345919</v>
      </c>
    </row>
    <row r="22" spans="1:9" x14ac:dyDescent="0.2">
      <c r="A22" s="9">
        <v>9</v>
      </c>
      <c r="B22" s="7"/>
      <c r="C22" s="18" t="s">
        <v>32</v>
      </c>
      <c r="D22" s="65">
        <f>STG_VAR!D22+ONT_VAR!D22+'CE-VAR'!D22+'NE-VAR'!D22+'SE-EGM-VAR'!D22+'SE-LRC-VAR'!D22+'TX-EGM-VAR'!D22+'TX-HPL-VAR '!D22+'WE-VAR'!D22+BGC_VAR!D22</f>
        <v>0</v>
      </c>
      <c r="E22" s="65">
        <f>STG_VAR!E22+ONT_VAR!E22+'CE-VAR'!E22+'NE-VAR'!E22+'SE-EGM-VAR'!E22+'SE-LRC-VAR'!E22+'TX-EGM-VAR'!E22+'TX-HPL-VAR '!E22+'WE-VAR'!E22+BGC_VAR!E22</f>
        <v>0</v>
      </c>
      <c r="F22" s="65">
        <f>STG_VAR!F22+ONT_VAR!F22+'CE-VAR'!F22+'NE-VAR'!F22+'SE-EGM-VAR'!F22+'SE-LRC-VAR'!F22+'TX-EGM-VAR'!F22+'TX-HPL-VAR '!F22+'WE-VAR'!F22+BGC_VAR!F22</f>
        <v>0</v>
      </c>
      <c r="G22" s="65">
        <f>STG_VAR!G22+ONT_VAR!G22+'CE-VAR'!G22+'NE-VAR'!G22+'SE-EGM-VAR'!G22+'SE-LRC-VAR'!G22+'TX-EGM-VAR'!G22+'TX-HPL-VAR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STG_VAR!D23+ONT_VAR!D23+'CE-VAR'!D23+'NE-VAR'!D23+'SE-EGM-VAR'!D23+'SE-LRC-VAR'!D23+'TX-EGM-VAR'!D23+'TX-HPL-VAR '!D23+'WE-VAR'!D23+BGC_VAR!D23</f>
        <v>1529245</v>
      </c>
      <c r="E23" s="65">
        <f>STG_VAR!E23+ONT_VAR!E23+'CE-VAR'!E23+'NE-VAR'!E23+'SE-EGM-VAR'!E23+'SE-LRC-VAR'!E23+'TX-EGM-VAR'!E23+'TX-HPL-VAR '!E23+'WE-VAR'!E23+BGC_VAR!E23</f>
        <v>2691919</v>
      </c>
      <c r="F23" s="65">
        <f>STG_VAR!F23+ONT_VAR!F23+'CE-VAR'!F23+'NE-VAR'!F23+'SE-EGM-VAR'!F23+'SE-LRC-VAR'!F23+'TX-EGM-VAR'!F23+'TX-HPL-VAR '!F23+'WE-VAR'!F23+BGC_VAR!F23</f>
        <v>1391845</v>
      </c>
      <c r="G23" s="65">
        <f>STG_VAR!G23+ONT_VAR!G23+'CE-VAR'!G23+'NE-VAR'!G23+'SE-EGM-VAR'!G23+'SE-LRC-VAR'!G23+'TX-EGM-VAR'!G23+'TX-HPL-VAR '!G23+'WE-VAR'!G23+BGC_VAR!G23</f>
        <v>2459315.3710000003</v>
      </c>
      <c r="H23" s="60">
        <f t="shared" si="2"/>
        <v>-137400</v>
      </c>
      <c r="I23" s="38">
        <f t="shared" si="2"/>
        <v>-232603.62899999972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-320832978</v>
      </c>
      <c r="E24" s="39">
        <f t="shared" si="3"/>
        <v>-574857618</v>
      </c>
      <c r="F24" s="61">
        <f t="shared" si="3"/>
        <v>-300314857</v>
      </c>
      <c r="G24" s="39">
        <f t="shared" si="3"/>
        <v>-541519630.8089999</v>
      </c>
      <c r="H24" s="61">
        <f t="shared" si="3"/>
        <v>20518121</v>
      </c>
      <c r="I24" s="39">
        <f t="shared" si="3"/>
        <v>33337987.191000052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STG_VAR!D27+ONT_VAR!D27+'CE-VAR'!D27+'NE-VAR'!D27+'SE-EGM-VAR'!D27+'SE-LRC-VAR'!D27+'TX-EGM-VAR'!D27+'TX-HPL-VAR '!D27+'WE-VAR'!D27+BGC_VAR!D27</f>
        <v>31921840</v>
      </c>
      <c r="E27" s="65">
        <f>STG_VAR!E27+ONT_VAR!E27+'CE-VAR'!E27+'NE-VAR'!E27+'SE-EGM-VAR'!E27+'SE-LRC-VAR'!E27+'TX-EGM-VAR'!E27+'TX-HPL-VAR '!E27+'WE-VAR'!E27+BGC_VAR!E27</f>
        <v>55893609</v>
      </c>
      <c r="F27" s="65">
        <f>STG_VAR!F27+ONT_VAR!F27+'CE-VAR'!F27+'NE-VAR'!F27+'SE-EGM-VAR'!F27+'SE-LRC-VAR'!F27+'TX-EGM-VAR'!F27+'TX-HPL-VAR '!F27+'WE-VAR'!F27+BGC_VAR!F27</f>
        <v>25579077</v>
      </c>
      <c r="G27" s="65">
        <f>STG_VAR!G27+ONT_VAR!G27+'CE-VAR'!G27+'NE-VAR'!G27+'SE-EGM-VAR'!G27+'SE-LRC-VAR'!G27+'TX-EGM-VAR'!G27+'TX-HPL-VAR '!G27+'WE-VAR'!G27+BGC_VAR!G27</f>
        <v>45511414.806699991</v>
      </c>
      <c r="H27" s="60">
        <f>F27-D27</f>
        <v>-6342763</v>
      </c>
      <c r="I27" s="38">
        <f>G27-E27</f>
        <v>-10382194.193300009</v>
      </c>
    </row>
    <row r="28" spans="1:9" x14ac:dyDescent="0.2">
      <c r="A28" s="9">
        <v>12</v>
      </c>
      <c r="B28" s="7"/>
      <c r="C28" s="18" t="s">
        <v>40</v>
      </c>
      <c r="D28" s="65">
        <f>STG_VAR!D28+ONT_VAR!D28+'CE-VAR'!D28+'NE-VAR'!D28+'SE-EGM-VAR'!D28+'SE-LRC-VAR'!D28+'TX-EGM-VAR'!D28+'TX-HPL-VAR '!D28+'WE-VAR'!D28+BGC_VAR!D28</f>
        <v>-31921840</v>
      </c>
      <c r="E28" s="65">
        <f>STG_VAR!E28+ONT_VAR!E28+'CE-VAR'!E28+'NE-VAR'!E28+'SE-EGM-VAR'!E28+'SE-LRC-VAR'!E28+'TX-EGM-VAR'!E28+'TX-HPL-VAR '!E28+'WE-VAR'!E28+BGC_VAR!E28</f>
        <v>-55893609</v>
      </c>
      <c r="F28" s="65">
        <f>STG_VAR!F28+ONT_VAR!F28+'CE-VAR'!F28+'NE-VAR'!F28+'SE-EGM-VAR'!F28+'SE-LRC-VAR'!F28+'TX-EGM-VAR'!F28+'TX-HPL-VAR '!F28+'WE-VAR'!F28+BGC_VAR!F28</f>
        <v>-36458294</v>
      </c>
      <c r="G28" s="65">
        <f>STG_VAR!G28+ONT_VAR!G28+'CE-VAR'!G28+'NE-VAR'!G28+'SE-EGM-VAR'!G28+'SE-LRC-VAR'!G28+'TX-EGM-VAR'!G28+'TX-HPL-VAR '!G28+'WE-VAR'!G28+BGC_VAR!G28</f>
        <v>-64783265.92750001</v>
      </c>
      <c r="H28" s="60">
        <f>F28-D28</f>
        <v>-4536454</v>
      </c>
      <c r="I28" s="38">
        <f>G28-E28</f>
        <v>-8889656.9275000095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-10879217</v>
      </c>
      <c r="G29" s="70">
        <f t="shared" si="4"/>
        <v>-19271851.120800018</v>
      </c>
      <c r="H29" s="69">
        <f t="shared" si="4"/>
        <v>-10879217</v>
      </c>
      <c r="I29" s="70">
        <f t="shared" si="4"/>
        <v>-19271851.120800018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STG_VAR!D32+ONT_VAR!D32+'CE-VAR'!D32+'NE-VAR'!D32+'SE-EGM-VAR'!D32+'SE-LRC-VAR'!D32+'TX-EGM-VAR'!D32+'TX-HPL-VAR '!D32+'WE-VAR'!D32+BGC_VAR!D32</f>
        <v>3534312</v>
      </c>
      <c r="E32" s="65">
        <f>STG_VAR!E32+ONT_VAR!E32+'CE-VAR'!E32+'NE-VAR'!E32+'SE-EGM-VAR'!E32+'SE-LRC-VAR'!E32+'TX-EGM-VAR'!E32+'TX-HPL-VAR '!E32+'WE-VAR'!E32+BGC_VAR!E32</f>
        <v>6472250</v>
      </c>
      <c r="F32" s="65">
        <f>STG_VAR!F32+ONT_VAR!F32+'CE-VAR'!F32+'NE-VAR'!F32+'SE-EGM-VAR'!F32+'SE-LRC-VAR'!F32+'TX-EGM-VAR'!F32+'TX-HPL-VAR '!F32+'WE-VAR'!F32+BGC_VAR!F32</f>
        <v>192453</v>
      </c>
      <c r="G32" s="65">
        <f>STG_VAR!G32+ONT_VAR!G32+'CE-VAR'!G32+'NE-VAR'!G32+'SE-EGM-VAR'!G32+'SE-LRC-VAR'!G32+'TX-EGM-VAR'!G32+'TX-HPL-VAR '!G32+'WE-VAR'!G32+BGC_VAR!G32</f>
        <v>294392.45799999975</v>
      </c>
      <c r="H32" s="60">
        <f>F32-D32</f>
        <v>-3341859</v>
      </c>
      <c r="I32" s="38">
        <f>G32-E32</f>
        <v>-6177857.5420000004</v>
      </c>
    </row>
    <row r="33" spans="1:9" x14ac:dyDescent="0.2">
      <c r="A33" s="9">
        <v>14</v>
      </c>
      <c r="B33" s="7"/>
      <c r="C33" s="18" t="s">
        <v>44</v>
      </c>
      <c r="D33" s="65">
        <f>STG_VAR!D33+ONT_VAR!D33+'CE-VAR'!D33+'NE-VAR'!D33+'SE-EGM-VAR'!D33+'SE-LRC-VAR'!D33+'TX-EGM-VAR'!D33+'TX-HPL-VAR '!D33+'WE-VAR'!D33+BGC_VAR!D33</f>
        <v>-3712483</v>
      </c>
      <c r="E33" s="65">
        <f>STG_VAR!E33+ONT_VAR!E33+'CE-VAR'!E33+'NE-VAR'!E33+'SE-EGM-VAR'!E33+'SE-LRC-VAR'!E33+'TX-EGM-VAR'!E33+'TX-HPL-VAR '!E33+'WE-VAR'!E33+BGC_VAR!E33</f>
        <v>-6690039.4910483323</v>
      </c>
      <c r="F33" s="65">
        <f>STG_VAR!F33+ONT_VAR!F33+'CE-VAR'!F33+'NE-VAR'!F33+'SE-EGM-VAR'!F33+'SE-LRC-VAR'!F33+'TX-EGM-VAR'!F33+'TX-HPL-VAR '!F33+'WE-VAR'!F33+BGC_VAR!F33</f>
        <v>-166019</v>
      </c>
      <c r="G33" s="65">
        <f>STG_VAR!G33+ONT_VAR!G33+'CE-VAR'!G33+'NE-VAR'!G33+'SE-EGM-VAR'!G33+'SE-LRC-VAR'!G33+'TX-EGM-VAR'!G33+'TX-HPL-VAR '!G33+'WE-VAR'!G33+BGC_VAR!G33</f>
        <v>-303609.41000000003</v>
      </c>
      <c r="H33" s="60">
        <f t="shared" ref="H33:I35" si="5">F33-D33</f>
        <v>3546464</v>
      </c>
      <c r="I33" s="38">
        <f t="shared" si="5"/>
        <v>6386430.0810483322</v>
      </c>
    </row>
    <row r="34" spans="1:9" x14ac:dyDescent="0.2">
      <c r="A34" s="9">
        <v>15</v>
      </c>
      <c r="B34" s="7"/>
      <c r="C34" s="18" t="s">
        <v>45</v>
      </c>
      <c r="D34" s="65">
        <f>STG_VAR!D34+ONT_VAR!D34+'CE-VAR'!D34+'NE-VAR'!D34+'SE-EGM-VAR'!D34+'SE-LRC-VAR'!D34+'TX-EGM-VAR'!D34+'TX-HPL-VAR '!D34+'WE-VAR'!D34+BGC_VAR!D34</f>
        <v>497396</v>
      </c>
      <c r="E34" s="65">
        <f>STG_VAR!E34+ONT_VAR!E34+'CE-VAR'!E34+'NE-VAR'!E34+'SE-EGM-VAR'!E34+'SE-LRC-VAR'!E34+'TX-EGM-VAR'!E34+'TX-HPL-VAR '!E34+'WE-VAR'!E34+BGC_VAR!E34</f>
        <v>873705</v>
      </c>
      <c r="F34" s="65">
        <f>STG_VAR!F34+ONT_VAR!F34+'CE-VAR'!F34+'NE-VAR'!F34+'SE-EGM-VAR'!F34+'SE-LRC-VAR'!F34+'TX-EGM-VAR'!F34+'TX-HPL-VAR '!F34+'WE-VAR'!F34+BGC_VAR!F34</f>
        <v>419443</v>
      </c>
      <c r="G34" s="65">
        <f>STG_VAR!G34+ONT_VAR!G34+'CE-VAR'!G34+'NE-VAR'!G34+'SE-EGM-VAR'!G34+'SE-LRC-VAR'!G34+'TX-EGM-VAR'!G34+'TX-HPL-VAR '!G34+'WE-VAR'!G34+BGC_VAR!G34</f>
        <v>705654.17999999993</v>
      </c>
      <c r="H34" s="60">
        <f t="shared" si="5"/>
        <v>-77953</v>
      </c>
      <c r="I34" s="38">
        <f t="shared" si="5"/>
        <v>-168050.82000000007</v>
      </c>
    </row>
    <row r="35" spans="1:9" x14ac:dyDescent="0.2">
      <c r="A35" s="9">
        <v>16</v>
      </c>
      <c r="B35" s="7"/>
      <c r="C35" s="18" t="s">
        <v>46</v>
      </c>
      <c r="D35" s="65">
        <f>STG_VAR!D35+ONT_VAR!D35+'CE-VAR'!D35+'NE-VAR'!D35+'SE-EGM-VAR'!D35+'SE-LRC-VAR'!D35+'TX-EGM-VAR'!D35+'TX-HPL-VAR '!D35+'WE-VAR'!D35+BGC_VAR!D35</f>
        <v>-248298</v>
      </c>
      <c r="E35" s="65">
        <f>STG_VAR!E35+ONT_VAR!E35+'CE-VAR'!E35+'NE-VAR'!E35+'SE-EGM-VAR'!E35+'SE-LRC-VAR'!E35+'TX-EGM-VAR'!E35+'TX-HPL-VAR '!E35+'WE-VAR'!E35+BGC_VAR!E35</f>
        <v>-438477</v>
      </c>
      <c r="F35" s="65">
        <f>STG_VAR!F35+ONT_VAR!F35+'CE-VAR'!F35+'NE-VAR'!F35+'SE-EGM-VAR'!F35+'SE-LRC-VAR'!F35+'TX-EGM-VAR'!F35+'TX-HPL-VAR '!F35+'WE-VAR'!F35+BGC_VAR!F35</f>
        <v>-136514</v>
      </c>
      <c r="G35" s="65">
        <f>STG_VAR!G35+ONT_VAR!G35+'CE-VAR'!G35+'NE-VAR'!G35+'SE-EGM-VAR'!G35+'SE-LRC-VAR'!G35+'TX-EGM-VAR'!G35+'TX-HPL-VAR '!G35+'WE-VAR'!G35+BGC_VAR!G35</f>
        <v>444755.12</v>
      </c>
      <c r="H35" s="60">
        <f t="shared" si="5"/>
        <v>111784</v>
      </c>
      <c r="I35" s="38">
        <f t="shared" si="5"/>
        <v>883232.12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70927</v>
      </c>
      <c r="E36" s="39">
        <f t="shared" si="6"/>
        <v>217438.5089516677</v>
      </c>
      <c r="F36" s="61">
        <f t="shared" si="6"/>
        <v>309363</v>
      </c>
      <c r="G36" s="39">
        <f t="shared" si="6"/>
        <v>1141192.3479999998</v>
      </c>
      <c r="H36" s="61">
        <f t="shared" si="6"/>
        <v>238436</v>
      </c>
      <c r="I36" s="39">
        <f t="shared" si="6"/>
        <v>923753.83904833172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STG_VAR!D39+ONT_VAR!D39+'CE-VAR'!D39+'NE-VAR'!D39+'SE-EGM-VAR'!D39+'SE-LRC-VAR'!D39+'TX-EGM-VAR'!D39+'TX-HPL-VAR '!D39+'WE-VAR'!D39+BGC_VAR!D39</f>
        <v>5026078</v>
      </c>
      <c r="E39" s="65">
        <f>STG_VAR!E39+ONT_VAR!E39+'CE-VAR'!E39+'NE-VAR'!E39+'SE-EGM-VAR'!E39+'SE-LRC-VAR'!E39+'TX-EGM-VAR'!E39+'TX-HPL-VAR '!E39+'WE-VAR'!E39+BGC_VAR!E39</f>
        <v>9112638</v>
      </c>
      <c r="F39" s="65">
        <f>STG_VAR!F39+ONT_VAR!F39+'CE-VAR'!F39+'NE-VAR'!F39+'SE-EGM-VAR'!F39+'SE-LRC-VAR'!F39+'TX-EGM-VAR'!F39+'TX-HPL-VAR '!F39+'WE-VAR'!F39+BGC_VAR!F39</f>
        <v>3098753</v>
      </c>
      <c r="G39" s="65">
        <f>STG_VAR!G39+ONT_VAR!G39+'CE-VAR'!G39+'NE-VAR'!G39+'SE-EGM-VAR'!G39+'SE-LRC-VAR'!G39+'TX-EGM-VAR'!G39+'TX-HPL-VAR '!G39+'WE-VAR'!G39+BGC_VAR!G39</f>
        <v>5310682.5599999987</v>
      </c>
      <c r="H39" s="60">
        <f t="shared" ref="H39:I41" si="7">F39-D39</f>
        <v>-1927325</v>
      </c>
      <c r="I39" s="38">
        <f t="shared" si="7"/>
        <v>-3801955.4400000013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STG_VAR!D40+ONT_VAR!D40+'CE-VAR'!D40+'NE-VAR'!D40+'SE-EGM-VAR'!D40+'SE-LRC-VAR'!D40+'TX-EGM-VAR'!D40+'TX-HPL-VAR '!D40+'WE-VAR'!D40+BGC_VAR!D40</f>
        <v>-11411604</v>
      </c>
      <c r="E40" s="65">
        <f>STG_VAR!E40+ONT_VAR!E40+'CE-VAR'!E40+'NE-VAR'!E40+'SE-EGM-VAR'!E40+'SE-LRC-VAR'!E40+'TX-EGM-VAR'!E40+'TX-HPL-VAR '!E40+'WE-VAR'!E40+BGC_VAR!E40</f>
        <v>-13549180</v>
      </c>
      <c r="F40" s="65">
        <f>STG_VAR!F40+ONT_VAR!F40+'CE-VAR'!F40+'NE-VAR'!F40+'SE-EGM-VAR'!F40+'SE-LRC-VAR'!F40+'TX-EGM-VAR'!F40+'TX-HPL-VAR '!F40+'WE-VAR'!F40+BGC_VAR!F40</f>
        <v>-11006021</v>
      </c>
      <c r="G40" s="65">
        <f>STG_VAR!G40+ONT_VAR!G40+'CE-VAR'!G40+'NE-VAR'!G40+'SE-EGM-VAR'!G40+'SE-LRC-VAR'!G40+'TX-EGM-VAR'!G40+'TX-HPL-VAR '!G40+'WE-VAR'!G40+BGC_VAR!G40</f>
        <v>-21971866.169999998</v>
      </c>
      <c r="H40" s="60">
        <f t="shared" si="7"/>
        <v>405583</v>
      </c>
      <c r="I40" s="38">
        <f t="shared" si="7"/>
        <v>-8422686.1699999981</v>
      </c>
    </row>
    <row r="41" spans="1:9" x14ac:dyDescent="0.2">
      <c r="A41" s="9">
        <v>19</v>
      </c>
      <c r="B41" s="7"/>
      <c r="C41" s="18" t="s">
        <v>51</v>
      </c>
      <c r="D41" s="65">
        <f>STG_VAR!D41+ONT_VAR!D41+'CE-VAR'!D41+'NE-VAR'!D41+'SE-EGM-VAR'!D41+'SE-LRC-VAR'!D41+'TX-EGM-VAR'!D41+'TX-HPL-VAR '!D41+'WE-VAR'!D41+BGC_VAR!D41</f>
        <v>0</v>
      </c>
      <c r="E41" s="65">
        <f>STG_VAR!E41+ONT_VAR!E41+'CE-VAR'!E41+'NE-VAR'!E41+'SE-EGM-VAR'!E41+'SE-LRC-VAR'!E41+'TX-EGM-VAR'!E41+'TX-HPL-VAR '!E41+'WE-VAR'!E41+BGC_VAR!E41</f>
        <v>0</v>
      </c>
      <c r="F41" s="65">
        <f>STG_VAR!F41+ONT_VAR!F41+'CE-VAR'!F41+'NE-VAR'!F41+'SE-EGM-VAR'!F41+'SE-LRC-VAR'!F41+'TX-EGM-VAR'!F41+'TX-HPL-VAR '!F41+'WE-VAR'!F41+BGC_VAR!F41</f>
        <v>0</v>
      </c>
      <c r="G41" s="65">
        <f>STG_VAR!G41+ONT_VAR!G41+'CE-VAR'!G41+'NE-VAR'!G41+'SE-EGM-VAR'!G41+'SE-LRC-VAR'!G41+'TX-EGM-VAR'!G41+'TX-HPL-VAR '!G41+'WE-VAR'!G41+BGC_VAR!G41</f>
        <v>20947</v>
      </c>
      <c r="H41" s="60">
        <f t="shared" si="7"/>
        <v>0</v>
      </c>
      <c r="I41" s="38">
        <f t="shared" si="7"/>
        <v>20947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-11411604</v>
      </c>
      <c r="E42" s="70">
        <f t="shared" si="8"/>
        <v>-13549180</v>
      </c>
      <c r="F42" s="69">
        <f t="shared" si="8"/>
        <v>-11006021</v>
      </c>
      <c r="G42" s="70">
        <f t="shared" si="8"/>
        <v>-21950919.169999998</v>
      </c>
      <c r="H42" s="69">
        <f t="shared" si="8"/>
        <v>405583</v>
      </c>
      <c r="I42" s="70">
        <f t="shared" si="8"/>
        <v>-8401739.1699999981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-6385526</v>
      </c>
      <c r="E43" s="39">
        <f t="shared" si="9"/>
        <v>-4436542</v>
      </c>
      <c r="F43" s="61">
        <f t="shared" si="9"/>
        <v>-7907268</v>
      </c>
      <c r="G43" s="39">
        <f t="shared" si="9"/>
        <v>-16640236.609999999</v>
      </c>
      <c r="H43" s="61">
        <f t="shared" si="9"/>
        <v>-1521742</v>
      </c>
      <c r="I43" s="39">
        <f t="shared" si="9"/>
        <v>-12203694.609999999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STG_VAR!D45+ONT_VAR!D45+'CE-VAR'!D45+'NE-VAR'!D45+'SE-EGM-VAR'!D45+'SE-LRC-VAR'!D45+'TX-EGM-VAR'!D45+'TX-HPL-VAR '!D45+'WE-VAR'!D45+BGC_VAR!D45</f>
        <v>0</v>
      </c>
      <c r="E45" s="65">
        <f>STG_VAR!E45+ONT_VAR!E45+'CE-VAR'!E45+'NE-VAR'!E45+'SE-EGM-VAR'!E45+'SE-LRC-VAR'!E45+'TX-EGM-VAR'!E45+'TX-HPL-VAR '!E45+'WE-VAR'!E45+BGC_VAR!E45</f>
        <v>0</v>
      </c>
      <c r="F45" s="65">
        <f>STG_VAR!F45+ONT_VAR!F45+'CE-VAR'!F45+'NE-VAR'!F45+'SE-EGM-VAR'!F45+'SE-LRC-VAR'!F45+'TX-EGM-VAR'!F45+'TX-HPL-VAR '!F45+'WE-VAR'!F45+BGC_VAR!F45</f>
        <v>5865</v>
      </c>
      <c r="G45" s="65">
        <f>STG_VAR!G45+ONT_VAR!G45+'CE-VAR'!G45+'NE-VAR'!G45+'SE-EGM-VAR'!G45+'SE-LRC-VAR'!G45+'TX-EGM-VAR'!G45+'TX-HPL-VAR '!G45+'WE-VAR'!G45+BGC_VAR!G45</f>
        <v>10025.870000000001</v>
      </c>
      <c r="H45" s="60">
        <f>F45-D45</f>
        <v>5865</v>
      </c>
      <c r="I45" s="38">
        <f>G45-E45</f>
        <v>10025.870000000001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STG_VAR!D47+ONT_VAR!D47+'CE-VAR'!D47+'NE-VAR'!D47+'SE-EGM-VAR'!D47+'SE-LRC-VAR'!D47+'TX-EGM-VAR'!D47+'TX-HPL-VAR '!D47+'WE-VAR'!D47+BGC_VAR!D47</f>
        <v>0</v>
      </c>
      <c r="E47" s="65">
        <f>STG_VAR!E47+ONT_VAR!E47+'CE-VAR'!E47+'NE-VAR'!E47+'SE-EGM-VAR'!E47+'SE-LRC-VAR'!E47+'TX-EGM-VAR'!E47+'TX-HPL-VAR '!E47+'WE-VAR'!E47+BGC_VAR!E47</f>
        <v>0</v>
      </c>
      <c r="F47" s="65">
        <f>STG_VAR!F47+ONT_VAR!F47+'CE-VAR'!F47+'NE-VAR'!F47+'SE-EGM-VAR'!F47+'SE-LRC-VAR'!F47+'TX-EGM-VAR'!F47+'TX-HPL-VAR '!F47+'WE-VAR'!F47+BGC_VAR!F47</f>
        <v>0</v>
      </c>
      <c r="G47" s="65">
        <f>STG_VAR!G47+ONT_VAR!G47+'CE-VAR'!G47+'NE-VAR'!G47+'SE-EGM-VAR'!G47+'SE-LRC-VAR'!G47+'TX-EGM-VAR'!G47+'TX-HPL-VAR '!G47+'WE-VAR'!G47+BGC_VAR!G47</f>
        <v>6920.1200000000135</v>
      </c>
      <c r="H47" s="60">
        <f>F47-D47</f>
        <v>0</v>
      </c>
      <c r="I47" s="38">
        <f>G47-E47</f>
        <v>6920.1200000000135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STG_VAR!D49+ONT_VAR!D49+'CE-VAR'!D49+'NE-VAR'!D49+'SE-EGM-VAR'!D49+'SE-LRC-VAR'!D49+'TX-EGM-VAR'!D49+'TX-HPL-VAR '!D49+'WE-VAR'!D49+BGC_VAR!D49</f>
        <v>0</v>
      </c>
      <c r="E49" s="65">
        <f>STG_VAR!E49+ONT_VAR!E49+'CE-VAR'!E49+'NE-VAR'!E49+'SE-EGM-VAR'!E49+'SE-LRC-VAR'!E49+'TX-EGM-VAR'!E49+'TX-HPL-VAR '!E49+'WE-VAR'!E49+BGC_VAR!E49</f>
        <v>0</v>
      </c>
      <c r="F49" s="65">
        <f>STG_VAR!F49+ONT_VAR!F49+'CE-VAR'!F49+'NE-VAR'!F49+'SE-EGM-VAR'!F49+'SE-LRC-VAR'!F49+'TX-EGM-VAR'!F49+'TX-HPL-VAR '!F49+'WE-VAR'!F49+BGC_VAR!F49</f>
        <v>285133</v>
      </c>
      <c r="G49" s="65">
        <f>STG_VAR!G49+ONT_VAR!G49+'CE-VAR'!G49+'NE-VAR'!G49+'SE-EGM-VAR'!G49+'SE-LRC-VAR'!G49+'TX-EGM-VAR'!G49+'TX-HPL-VAR '!G49+'WE-VAR'!G49+BGC_VAR!G49</f>
        <v>519610.64899999899</v>
      </c>
      <c r="H49" s="60">
        <f>F49-D49</f>
        <v>285133</v>
      </c>
      <c r="I49" s="38">
        <f>G49-E49</f>
        <v>519610.64899999899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STG_VAR!D51+ONT_VAR!D51+'CE-VAR'!D51+'NE-VAR'!D51+'SE-EGM-VAR'!D51+'SE-LRC-VAR'!D51+'TX-EGM-VAR'!D51+'TX-HPL-VAR '!D51+'WE-VAR'!D51+BGC_VAR!D51</f>
        <v>-1529189</v>
      </c>
      <c r="E51" s="65">
        <f>STG_VAR!E51+ONT_VAR!E51+'CE-VAR'!E51+'NE-VAR'!E51+'SE-EGM-VAR'!E51+'SE-LRC-VAR'!E51+'TX-EGM-VAR'!E51+'TX-HPL-VAR '!E51+'WE-VAR'!E51+BGC_VAR!E51</f>
        <v>-2743877</v>
      </c>
      <c r="F51" s="65">
        <f>STG_VAR!F51+ONT_VAR!F51+'CE-VAR'!F51+'NE-VAR'!F51+'SE-EGM-VAR'!F51+'SE-LRC-VAR'!F51+'TX-EGM-VAR'!F51+'TX-HPL-VAR '!F51+'WE-VAR'!F51+BGC_VAR!F51</f>
        <v>-1419550</v>
      </c>
      <c r="G51" s="65">
        <f>STG_VAR!G51+ONT_VAR!G51+'CE-VAR'!G51+'NE-VAR'!G51+'SE-EGM-VAR'!G51+'SE-LRC-VAR'!G51+'TX-EGM-VAR'!G51+'TX-HPL-VAR '!G51+'WE-VAR'!G51+BGC_VAR!G51</f>
        <v>-2613765.0810000002</v>
      </c>
      <c r="H51" s="60">
        <f>F51-D51</f>
        <v>109639</v>
      </c>
      <c r="I51" s="38">
        <f>G51-E51</f>
        <v>130111.91899999976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STG_VAR!D54+ONT_VAR!D54+'CE-VAR'!D54+'NE-VAR'!D54+'SE-EGM-VAR'!D54+'SE-LRC-VAR'!D54+'TX-EGM-VAR'!D54+'TX-HPL-VAR '!D54+'WE-VAR'!D54+BGC_VAR!D54</f>
        <v>0</v>
      </c>
      <c r="E54" s="65">
        <f>STG_VAR!E54+ONT_VAR!E54+'CE-VAR'!E54+'NE-VAR'!E54+'SE-EGM-VAR'!E54+'SE-LRC-VAR'!E54+'TX-EGM-VAR'!E54+'TX-HPL-VAR '!E54+'WE-VAR'!E54+BGC_VAR!E54</f>
        <v>-2785523</v>
      </c>
      <c r="F54" s="65">
        <f>STG_VAR!F54+ONT_VAR!F54+'CE-VAR'!F54+'NE-VAR'!F54+'SE-EGM-VAR'!F54+'SE-LRC-VAR'!F54+'TX-EGM-VAR'!F54+'TX-HPL-VAR '!F54+'WE-VAR'!F54+BGC_VAR!F54</f>
        <v>-34812042</v>
      </c>
      <c r="G54" s="65">
        <f>STG_VAR!G54+ONT_VAR!G54+'CE-VAR'!G54+'NE-VAR'!G54+'SE-EGM-VAR'!G54+'SE-LRC-VAR'!G54+'TX-EGM-VAR'!G54+'TX-HPL-VAR '!G54+'WE-VAR'!G54+BGC_VAR!G54</f>
        <v>-759160.41999999993</v>
      </c>
      <c r="H54" s="60">
        <f>F54-D54</f>
        <v>-34812042</v>
      </c>
      <c r="I54" s="38">
        <f>G54-E54</f>
        <v>2026362.58</v>
      </c>
    </row>
    <row r="55" spans="1:9" x14ac:dyDescent="0.2">
      <c r="A55" s="9">
        <v>25</v>
      </c>
      <c r="B55" s="7"/>
      <c r="C55" s="18" t="s">
        <v>60</v>
      </c>
      <c r="D55" s="65">
        <f>STG_VAR!D55+ONT_VAR!D55+'CE-VAR'!D55+'NE-VAR'!D55+'SE-EGM-VAR'!D55+'SE-LRC-VAR'!D55+'TX-EGM-VAR'!D55+'TX-HPL-VAR '!D55+'WE-VAR'!D55+BGC_VAR!D55</f>
        <v>0</v>
      </c>
      <c r="E55" s="65">
        <f>STG_VAR!E55+ONT_VAR!E55+'CE-VAR'!E55+'NE-VAR'!E55+'SE-EGM-VAR'!E55+'SE-LRC-VAR'!E55+'TX-EGM-VAR'!E55+'TX-HPL-VAR '!E55+'WE-VAR'!E55+BGC_VAR!E55</f>
        <v>-20441585</v>
      </c>
      <c r="F55" s="65">
        <f>STG_VAR!F55+ONT_VAR!F55+'CE-VAR'!F55+'NE-VAR'!F55+'SE-EGM-VAR'!F55+'SE-LRC-VAR'!F55+'TX-EGM-VAR'!F55+'TX-HPL-VAR '!F55+'WE-VAR'!F55+BGC_VAR!F55</f>
        <v>-1124</v>
      </c>
      <c r="G55" s="65">
        <f>STG_VAR!G55+ONT_VAR!G55+'CE-VAR'!G55+'NE-VAR'!G55+'SE-EGM-VAR'!G55+'SE-LRC-VAR'!G55+'TX-EGM-VAR'!G55+'TX-HPL-VAR '!G55+'WE-VAR'!G55+BGC_VAR!G55</f>
        <v>-19962389.970000003</v>
      </c>
      <c r="H55" s="60">
        <f>F55-D55</f>
        <v>-1124</v>
      </c>
      <c r="I55" s="38">
        <f>G55-E55</f>
        <v>479195.02999999747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-23227108</v>
      </c>
      <c r="F56" s="61">
        <f t="shared" si="10"/>
        <v>-34813166</v>
      </c>
      <c r="G56" s="39">
        <f t="shared" si="10"/>
        <v>-20721550.390000001</v>
      </c>
      <c r="H56" s="61">
        <f t="shared" si="10"/>
        <v>-34813166</v>
      </c>
      <c r="I56" s="39">
        <f t="shared" si="10"/>
        <v>2505557.6099999975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STG_VAR!D59+ONT_VAR!D59+'CE-VAR'!D59+'NE-VAR'!D59+'SE-EGM-VAR'!D59+'SE-LRC-VAR'!D59+'TX-EGM-VAR'!D59+'TX-HPL-VAR '!D59+'WE-VAR'!D59+BGC_VAR!D59</f>
        <v>0</v>
      </c>
      <c r="E59" s="65">
        <f>STG_VAR!E59+ONT_VAR!E59+'CE-VAR'!E59+'NE-VAR'!E59+'SE-EGM-VAR'!E59+'SE-LRC-VAR'!E59+'TX-EGM-VAR'!E59+'TX-HPL-VAR '!E59+'WE-VAR'!E59+BGC_VAR!E59</f>
        <v>0</v>
      </c>
      <c r="F59" s="65">
        <f>STG_VAR!F59+ONT_VAR!F59+'CE-VAR'!F59+'NE-VAR'!F59+'SE-EGM-VAR'!F59+'SE-LRC-VAR'!F59+'TX-EGM-VAR'!F59+'TX-HPL-VAR '!F59+'WE-VAR'!F59+BGC_VAR!F59</f>
        <v>3300586</v>
      </c>
      <c r="G59" s="65">
        <f>STG_VAR!G59+ONT_VAR!G59+'CE-VAR'!G59+'NE-VAR'!G59+'SE-EGM-VAR'!G59+'SE-LRC-VAR'!G59+'TX-EGM-VAR'!G59+'TX-HPL-VAR '!G59+'WE-VAR'!G59+BGC_VAR!G59</f>
        <v>123754.12999999989</v>
      </c>
      <c r="H59" s="60">
        <f>F59-D59</f>
        <v>3300586</v>
      </c>
      <c r="I59" s="38">
        <f>G59-E59</f>
        <v>123754.12999999989</v>
      </c>
    </row>
    <row r="60" spans="1:9" x14ac:dyDescent="0.2">
      <c r="A60" s="9">
        <v>27</v>
      </c>
      <c r="B60" s="11"/>
      <c r="C60" s="18" t="s">
        <v>64</v>
      </c>
      <c r="D60" s="65">
        <f>STG_VAR!D60+ONT_VAR!D60+'CE-VAR'!D60+'NE-VAR'!D60+'SE-EGM-VAR'!D60+'SE-LRC-VAR'!D60+'TX-EGM-VAR'!D60+'TX-HPL-VAR '!D60+'WE-VAR'!D60+BGC_VAR!D60</f>
        <v>0</v>
      </c>
      <c r="E60" s="65">
        <f>STG_VAR!E60+ONT_VAR!E60+'CE-VAR'!E60+'NE-VAR'!E60+'SE-EGM-VAR'!E60+'SE-LRC-VAR'!E60+'TX-EGM-VAR'!E60+'TX-HPL-VAR '!E60+'WE-VAR'!E60+BGC_VAR!E60</f>
        <v>0</v>
      </c>
      <c r="F60" s="65">
        <f>STG_VAR!F60+ONT_VAR!F60+'CE-VAR'!F60+'NE-VAR'!F60+'SE-EGM-VAR'!F60+'SE-LRC-VAR'!F60+'TX-EGM-VAR'!F60+'TX-HPL-VAR '!F60+'WE-VAR'!F60+BGC_VAR!F60</f>
        <v>0</v>
      </c>
      <c r="G60" s="65">
        <f>STG_VAR!G60+ONT_VAR!G60+'CE-VAR'!G60+'NE-VAR'!G60+'SE-EGM-VAR'!G60+'SE-LRC-VAR'!G60+'TX-EGM-VAR'!G60+'TX-HPL-VAR '!G60+'WE-VAR'!G60+BGC_VAR!G60</f>
        <v>808927</v>
      </c>
      <c r="H60" s="60">
        <f>F60-D60</f>
        <v>0</v>
      </c>
      <c r="I60" s="38">
        <f>G60-E60</f>
        <v>808927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3300586</v>
      </c>
      <c r="G61" s="70">
        <f t="shared" si="11"/>
        <v>932681.12999999989</v>
      </c>
      <c r="H61" s="69">
        <f t="shared" si="11"/>
        <v>3300586</v>
      </c>
      <c r="I61" s="70">
        <f t="shared" si="11"/>
        <v>932681.12999999989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STG_VAR!D64+ONT_VAR!D64+'CE-VAR'!D64+'NE-VAR'!D64+'SE-EGM-VAR'!D64+'SE-LRC-VAR'!D64+'TX-EGM-VAR'!D64+'TX-HPL-VAR '!D64+'WE-VAR'!D64+BGC_VAR!D64</f>
        <v>0</v>
      </c>
      <c r="E64" s="65">
        <f>STG_VAR!E64+ONT_VAR!E64+'CE-VAR'!E64+'NE-VAR'!E64+'SE-EGM-VAR'!E64+'SE-LRC-VAR'!E64+'TX-EGM-VAR'!E64+'TX-HPL-VAR '!E64+'WE-VAR'!E64+BGC_VAR!E64</f>
        <v>158915.965</v>
      </c>
      <c r="F64" s="65">
        <f>STG_VAR!F64+ONT_VAR!F64+'CE-VAR'!F64+'NE-VAR'!F64+'SE-EGM-VAR'!F64+'SE-LRC-VAR'!F64+'TX-EGM-VAR'!F64+'TX-HPL-VAR '!F64+'WE-VAR'!F64+BGC_VAR!F64</f>
        <v>-88608679</v>
      </c>
      <c r="G64" s="65">
        <f>STG_VAR!G64+ONT_VAR!G64+'CE-VAR'!G64+'NE-VAR'!G64+'SE-EGM-VAR'!G64+'SE-LRC-VAR'!G64+'TX-EGM-VAR'!G64+'TX-HPL-VAR '!G64+'WE-VAR'!G64+BGC_VAR!G64</f>
        <v>-5003543.3299999982</v>
      </c>
      <c r="H64" s="60">
        <f>F64-D64</f>
        <v>-88608679</v>
      </c>
      <c r="I64" s="38">
        <f>G64-E64</f>
        <v>-5162459.2949999981</v>
      </c>
    </row>
    <row r="65" spans="1:9" x14ac:dyDescent="0.2">
      <c r="A65" s="9">
        <v>29</v>
      </c>
      <c r="B65" s="11"/>
      <c r="C65" s="18" t="s">
        <v>67</v>
      </c>
      <c r="D65" s="65">
        <f>STG_VAR!D65+ONT_VAR!D65+'CE-VAR'!D65+'NE-VAR'!D65+'SE-EGM-VAR'!D65+'SE-LRC-VAR'!D65+'TX-EGM-VAR'!D65+'TX-HPL-VAR '!D65+'WE-VAR'!D65+BGC_VAR!D65</f>
        <v>0</v>
      </c>
      <c r="E65" s="65">
        <f>STG_VAR!E65+ONT_VAR!E65+'CE-VAR'!E65+'NE-VAR'!E65+'SE-EGM-VAR'!E65+'SE-LRC-VAR'!E65+'TX-EGM-VAR'!E65+'TX-HPL-VAR '!E65+'WE-VAR'!E65+BGC_VAR!E65</f>
        <v>0</v>
      </c>
      <c r="F65" s="65">
        <f>STG_VAR!F65+ONT_VAR!F65+'CE-VAR'!F65+'NE-VAR'!F65+'SE-EGM-VAR'!F65+'SE-LRC-VAR'!F65+'TX-EGM-VAR'!F65+'TX-HPL-VAR '!F65+'WE-VAR'!F65+BGC_VAR!F65</f>
        <v>19865068</v>
      </c>
      <c r="G65" s="65">
        <f>STG_VAR!G65+ONT_VAR!G65+'CE-VAR'!G65+'NE-VAR'!G65+'SE-EGM-VAR'!G65+'SE-LRC-VAR'!G65+'TX-EGM-VAR'!G65+'TX-HPL-VAR '!G65+'WE-VAR'!G65+BGC_VAR!G65</f>
        <v>3202409.35</v>
      </c>
      <c r="H65" s="60">
        <f>F65-D65</f>
        <v>19865068</v>
      </c>
      <c r="I65" s="38">
        <f>G65-E65</f>
        <v>3202409.35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158915.965</v>
      </c>
      <c r="F66" s="61">
        <f t="shared" si="12"/>
        <v>-68743611</v>
      </c>
      <c r="G66" s="39">
        <f t="shared" si="12"/>
        <v>-1801133.9799999981</v>
      </c>
      <c r="H66" s="61">
        <f t="shared" si="12"/>
        <v>-68743611</v>
      </c>
      <c r="I66" s="39">
        <f t="shared" si="12"/>
        <v>-1960049.944999998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STG_VAR!D70+ONT_VAR!D70+'CE-VAR'!D70+'NE-VAR'!D70+'SE-EGM-VAR'!D70+'SE-LRC-VAR'!D70+'TX-EGM-VAR'!D70+'TX-HPL-VAR '!D70+'WE-VAR'!D70+BGC_VAR!D70</f>
        <v>0</v>
      </c>
      <c r="E70" s="65">
        <f>STG_VAR!E70+ONT_VAR!E70+'CE-VAR'!E70+'NE-VAR'!E70+'SE-EGM-VAR'!E70+'SE-LRC-VAR'!E70+'TX-EGM-VAR'!E70+'TX-HPL-VAR '!E70+'WE-VAR'!E70+BGC_VAR!E70</f>
        <v>-22153.955000000919</v>
      </c>
      <c r="F70" s="65">
        <f>STG_VAR!F70+ONT_VAR!F70+'CE-VAR'!F70+'NE-VAR'!F70+'SE-EGM-VAR'!F70+'SE-LRC-VAR'!F70+'TX-EGM-VAR'!F70+'TX-HPL-VAR '!F70+'WE-VAR'!F70+BGC_VAR!F70</f>
        <v>0</v>
      </c>
      <c r="G70" s="65">
        <f>STG_VAR!G70+ONT_VAR!G70+'CE-VAR'!G70+'NE-VAR'!G70+'SE-EGM-VAR'!G70+'SE-LRC-VAR'!G70+'TX-EGM-VAR'!G70+'TX-HPL-VAR '!G70+'WE-VAR'!G70+BGC_VAR!G70</f>
        <v>-2834560.4600000009</v>
      </c>
      <c r="H70" s="60">
        <f>F70-D70</f>
        <v>0</v>
      </c>
      <c r="I70" s="38">
        <f>G70-E70</f>
        <v>-2812406.5049999999</v>
      </c>
    </row>
    <row r="71" spans="1:9" x14ac:dyDescent="0.2">
      <c r="A71" s="9">
        <v>31</v>
      </c>
      <c r="B71" s="3"/>
      <c r="C71" s="10" t="s">
        <v>72</v>
      </c>
      <c r="D71" s="65">
        <f>STG_VAR!D71+ONT_VAR!D71+'CE-VAR'!D71+'NE-VAR'!D71+'SE-EGM-VAR'!D71+'SE-LRC-VAR'!D71+'TX-EGM-VAR'!D71+'TX-HPL-VAR '!D71+'WE-VAR'!D71+BGC_VAR!D71</f>
        <v>0</v>
      </c>
      <c r="E71" s="65">
        <f>STG_VAR!E71+ONT_VAR!E71+'CE-VAR'!E71+'NE-VAR'!E71+'SE-EGM-VAR'!E71+'SE-LRC-VAR'!E71+'TX-EGM-VAR'!E71+'TX-HPL-VAR '!E71+'WE-VAR'!E71+BGC_VAR!E71</f>
        <v>2581823</v>
      </c>
      <c r="F71" s="65">
        <f>STG_VAR!F71+ONT_VAR!F71+'CE-VAR'!F71+'NE-VAR'!F71+'SE-EGM-VAR'!F71+'SE-LRC-VAR'!F71+'TX-EGM-VAR'!F71+'TX-HPL-VAR '!F71+'WE-VAR'!F71+BGC_VAR!F71</f>
        <v>0</v>
      </c>
      <c r="G71" s="65">
        <f>STG_VAR!G71+ONT_VAR!G71+'CE-VAR'!G71+'NE-VAR'!G71+'SE-EGM-VAR'!G71+'SE-LRC-VAR'!G71+'TX-EGM-VAR'!G71+'TX-HPL-VAR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-2581823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2559669.044999999</v>
      </c>
      <c r="F72" s="69">
        <f t="shared" si="13"/>
        <v>0</v>
      </c>
      <c r="G72" s="70">
        <f t="shared" si="13"/>
        <v>-2834560.4600000009</v>
      </c>
      <c r="H72" s="69">
        <f t="shared" si="13"/>
        <v>0</v>
      </c>
      <c r="I72" s="70">
        <f t="shared" si="13"/>
        <v>-5394229.5049999999</v>
      </c>
    </row>
    <row r="73" spans="1:9" x14ac:dyDescent="0.2">
      <c r="A73" s="9">
        <v>32</v>
      </c>
      <c r="B73" s="3"/>
      <c r="C73" s="10" t="s">
        <v>74</v>
      </c>
      <c r="D73" s="65">
        <f>STG_VAR!D73+ONT_VAR!D73+'CE-VAR'!D73+'NE-VAR'!D73+'SE-EGM-VAR'!D73+'SE-LRC-VAR'!D73+'TX-EGM-VAR'!D73+'TX-HPL-VAR '!D73+'WE-VAR'!D73+BGC_VAR!D73</f>
        <v>0</v>
      </c>
      <c r="E73" s="65">
        <f>STG_VAR!E73+ONT_VAR!E73+'CE-VAR'!E73+'NE-VAR'!E73+'SE-EGM-VAR'!E73+'SE-LRC-VAR'!E73+'TX-EGM-VAR'!E73+'TX-HPL-VAR '!E73+'WE-VAR'!E73+BGC_VAR!E73</f>
        <v>0</v>
      </c>
      <c r="F73" s="65">
        <f>STG_VAR!F73+ONT_VAR!F73+'CE-VAR'!F73+'NE-VAR'!F73+'SE-EGM-VAR'!F73+'SE-LRC-VAR'!F73+'TX-EGM-VAR'!F73+'TX-HPL-VAR '!F73+'WE-VAR'!F73+BGC_VAR!F73</f>
        <v>0</v>
      </c>
      <c r="G73" s="65">
        <f>STG_VAR!G73+ONT_VAR!G73+'CE-VAR'!G73+'NE-VAR'!G73+'SE-EGM-VAR'!G73+'SE-LRC-VAR'!G73+'TX-EGM-VAR'!G73+'TX-HPL-VAR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STG_VAR!D74+ONT_VAR!D74+'CE-VAR'!D74+'NE-VAR'!D74+'SE-EGM-VAR'!D74+'SE-LRC-VAR'!D74+'TX-EGM-VAR'!D74+'TX-HPL-VAR '!D74+'WE-VAR'!D74+BGC_VAR!D74</f>
        <v>0</v>
      </c>
      <c r="E74" s="65">
        <f>STG_VAR!E74+ONT_VAR!E74+'CE-VAR'!E74+'NE-VAR'!E74+'SE-EGM-VAR'!E74+'SE-LRC-VAR'!E74+'TX-EGM-VAR'!E74+'TX-HPL-VAR '!E74+'WE-VAR'!E74+BGC_VAR!E74</f>
        <v>130406.08542352938</v>
      </c>
      <c r="F74" s="65">
        <f>STG_VAR!F74+ONT_VAR!F74+'CE-VAR'!F74+'NE-VAR'!F74+'SE-EGM-VAR'!F74+'SE-LRC-VAR'!F74+'TX-EGM-VAR'!F74+'TX-HPL-VAR '!F74+'WE-VAR'!F74+BGC_VAR!F74</f>
        <v>0</v>
      </c>
      <c r="G74" s="65">
        <f>STG_VAR!G74+ONT_VAR!G74+'CE-VAR'!G74+'NE-VAR'!G74+'SE-EGM-VAR'!G74+'SE-LRC-VAR'!G74+'TX-EGM-VAR'!G74+'TX-HPL-VAR '!G74+'WE-VAR'!G74+BGC_VAR!G74</f>
        <v>14164264.220000001</v>
      </c>
      <c r="H74" s="60">
        <f t="shared" ref="H74:I79" si="14">F74-D74</f>
        <v>0</v>
      </c>
      <c r="I74" s="38">
        <f t="shared" si="14"/>
        <v>14033858.134576472</v>
      </c>
    </row>
    <row r="75" spans="1:9" x14ac:dyDescent="0.2">
      <c r="A75" s="9">
        <v>34</v>
      </c>
      <c r="B75" s="3"/>
      <c r="C75" s="10" t="s">
        <v>76</v>
      </c>
      <c r="D75" s="65">
        <f>STG_VAR!D75+ONT_VAR!D75+'CE-VAR'!D75+'NE-VAR'!D75+'SE-EGM-VAR'!D75+'SE-LRC-VAR'!D75+'TX-EGM-VAR'!D75+'TX-HPL-VAR '!D75+'WE-VAR'!D75+BGC_VAR!D75</f>
        <v>0</v>
      </c>
      <c r="E75" s="65">
        <f>STG_VAR!E75+ONT_VAR!E75+'CE-VAR'!E75+'NE-VAR'!E75+'SE-EGM-VAR'!E75+'SE-LRC-VAR'!E75+'TX-EGM-VAR'!E75+'TX-HPL-VAR '!E75+'WE-VAR'!E75+BGC_VAR!E75</f>
        <v>171537.95</v>
      </c>
      <c r="F75" s="65">
        <f>STG_VAR!F75+ONT_VAR!F75+'CE-VAR'!F75+'NE-VAR'!F75+'SE-EGM-VAR'!F75+'SE-LRC-VAR'!F75+'TX-EGM-VAR'!F75+'TX-HPL-VAR '!F75+'WE-VAR'!F75+BGC_VAR!F75</f>
        <v>0</v>
      </c>
      <c r="G75" s="65">
        <f>STG_VAR!G75+ONT_VAR!G75+'CE-VAR'!G75+'NE-VAR'!G75+'SE-EGM-VAR'!G75+'SE-LRC-VAR'!G75+'TX-EGM-VAR'!G75+'TX-HPL-VAR '!G75+'WE-VAR'!G75+BGC_VAR!G75</f>
        <v>171700</v>
      </c>
      <c r="H75" s="60">
        <f t="shared" si="14"/>
        <v>0</v>
      </c>
      <c r="I75" s="38">
        <f t="shared" si="14"/>
        <v>162.04999999998836</v>
      </c>
    </row>
    <row r="76" spans="1:9" x14ac:dyDescent="0.2">
      <c r="A76" s="9">
        <v>35</v>
      </c>
      <c r="B76" s="3"/>
      <c r="C76" s="10" t="s">
        <v>77</v>
      </c>
      <c r="D76" s="65">
        <f>STG_VAR!D76+ONT_VAR!D76+'CE-VAR'!D76+'NE-VAR'!D76+'SE-EGM-VAR'!D76+'SE-LRC-VAR'!D76+'TX-EGM-VAR'!D76+'TX-HPL-VAR '!D76+'WE-VAR'!D76+BGC_VAR!D76</f>
        <v>0</v>
      </c>
      <c r="E76" s="65">
        <f>STG_VAR!E76+ONT_VAR!E76+'CE-VAR'!E76+'NE-VAR'!E76+'SE-EGM-VAR'!E76+'SE-LRC-VAR'!E76+'TX-EGM-VAR'!E76+'TX-HPL-VAR '!E76+'WE-VAR'!E76+BGC_VAR!E76</f>
        <v>-8405</v>
      </c>
      <c r="F76" s="65">
        <f>STG_VAR!F76+ONT_VAR!F76+'CE-VAR'!F76+'NE-VAR'!F76+'SE-EGM-VAR'!F76+'SE-LRC-VAR'!F76+'TX-EGM-VAR'!F76+'TX-HPL-VAR '!F76+'WE-VAR'!F76+BGC_VAR!F76</f>
        <v>0</v>
      </c>
      <c r="G76" s="65">
        <f>STG_VAR!G76+ONT_VAR!G76+'CE-VAR'!G76+'NE-VAR'!G76+'SE-EGM-VAR'!G76+'SE-LRC-VAR'!G76+'TX-EGM-VAR'!G76+'TX-HPL-VAR '!G76+'WE-VAR'!G76+BGC_VAR!G76</f>
        <v>-188897.62</v>
      </c>
      <c r="H76" s="60">
        <f t="shared" si="14"/>
        <v>0</v>
      </c>
      <c r="I76" s="38">
        <f t="shared" si="14"/>
        <v>-180492.62</v>
      </c>
    </row>
    <row r="77" spans="1:9" x14ac:dyDescent="0.2">
      <c r="A77" s="9">
        <v>36</v>
      </c>
      <c r="B77" s="3"/>
      <c r="C77" s="10" t="s">
        <v>78</v>
      </c>
      <c r="D77" s="65">
        <f>STG_VAR!D77+ONT_VAR!D77+'CE-VAR'!D77+'NE-VAR'!D77+'SE-EGM-VAR'!D77+'SE-LRC-VAR'!D77+'TX-EGM-VAR'!D77+'TX-HPL-VAR '!D77+'WE-VAR'!D77+BGC_VAR!D77</f>
        <v>0</v>
      </c>
      <c r="E77" s="65">
        <f>STG_VAR!E77+ONT_VAR!E77+'CE-VAR'!E77+'NE-VAR'!E77+'SE-EGM-VAR'!E77+'SE-LRC-VAR'!E77+'TX-EGM-VAR'!E77+'TX-HPL-VAR '!E77+'WE-VAR'!E77+BGC_VAR!E77</f>
        <v>-1261726</v>
      </c>
      <c r="F77" s="65">
        <f>STG_VAR!F77+ONT_VAR!F77+'CE-VAR'!F77+'NE-VAR'!F77+'SE-EGM-VAR'!F77+'SE-LRC-VAR'!F77+'TX-EGM-VAR'!F77+'TX-HPL-VAR '!F77+'WE-VAR'!F77+BGC_VAR!F77</f>
        <v>0</v>
      </c>
      <c r="G77" s="65">
        <f>STG_VAR!G77+ONT_VAR!G77+'CE-VAR'!G77+'NE-VAR'!G77+'SE-EGM-VAR'!G77+'SE-LRC-VAR'!G77+'TX-EGM-VAR'!G77+'TX-HPL-VAR '!G77+'WE-VAR'!G77+BGC_VAR!G77</f>
        <v>-4310392</v>
      </c>
      <c r="H77" s="60">
        <f t="shared" si="14"/>
        <v>0</v>
      </c>
      <c r="I77" s="38">
        <f t="shared" si="14"/>
        <v>-3048666</v>
      </c>
    </row>
    <row r="78" spans="1:9" x14ac:dyDescent="0.2">
      <c r="A78" s="9">
        <v>37</v>
      </c>
      <c r="B78" s="3"/>
      <c r="C78" s="10" t="s">
        <v>79</v>
      </c>
      <c r="D78" s="65">
        <f>STG_VAR!D78+ONT_VAR!D78+'CE-VAR'!D78+'NE-VAR'!D78+'SE-EGM-VAR'!D78+'SE-LRC-VAR'!D78+'TX-EGM-VAR'!D78+'TX-HPL-VAR '!D78+'WE-VAR'!D78+BGC_VAR!D78</f>
        <v>0</v>
      </c>
      <c r="E78" s="65">
        <f>STG_VAR!E78+ONT_VAR!E78+'CE-VAR'!E78+'NE-VAR'!E78+'SE-EGM-VAR'!E78+'SE-LRC-VAR'!E78+'TX-EGM-VAR'!E78+'TX-HPL-VAR '!E78+'WE-VAR'!E78+BGC_VAR!E78</f>
        <v>23732.945</v>
      </c>
      <c r="F78" s="65">
        <f>STG_VAR!F78+ONT_VAR!F78+'CE-VAR'!F78+'NE-VAR'!F78+'SE-EGM-VAR'!F78+'SE-LRC-VAR'!F78+'TX-EGM-VAR'!F78+'TX-HPL-VAR '!F78+'WE-VAR'!F78+BGC_VAR!F78</f>
        <v>0</v>
      </c>
      <c r="G78" s="65">
        <f>STG_VAR!G78+ONT_VAR!G78+'CE-VAR'!G78+'NE-VAR'!G78+'SE-EGM-VAR'!G78+'SE-LRC-VAR'!G78+'TX-EGM-VAR'!G78+'TX-HPL-VAR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STG_VAR!D79+ONT_VAR!D79+'CE-VAR'!D79+'NE-VAR'!D79+'SE-EGM-VAR'!D79+'SE-LRC-VAR'!D79+'TX-EGM-VAR'!D79+'TX-HPL-VAR '!D79+'WE-VAR'!D79+BGC_VAR!D79</f>
        <v>0</v>
      </c>
      <c r="E79" s="65">
        <f>STG_VAR!E79+ONT_VAR!E79+'CE-VAR'!E79+'NE-VAR'!E79+'SE-EGM-VAR'!E79+'SE-LRC-VAR'!E79+'TX-EGM-VAR'!E79+'TX-HPL-VAR '!E79+'WE-VAR'!E79+BGC_VAR!E79</f>
        <v>18138591</v>
      </c>
      <c r="F79" s="65">
        <f>STG_VAR!F79+ONT_VAR!F79+'CE-VAR'!F79+'NE-VAR'!F79+'SE-EGM-VAR'!F79+'SE-LRC-VAR'!F79+'TX-EGM-VAR'!F79+'TX-HPL-VAR '!F79+'WE-VAR'!F79+BGC_VAR!F79</f>
        <v>0</v>
      </c>
      <c r="G79" s="65">
        <f>STG_VAR!G79+ONT_VAR!G79+'CE-VAR'!G79+'NE-VAR'!G79+'SE-EGM-VAR'!G79+'SE-LRC-VAR'!G79+'TX-EGM-VAR'!G79+'TX-HPL-VAR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-18138591</v>
      </c>
    </row>
    <row r="80" spans="1:9" x14ac:dyDescent="0.2">
      <c r="A80" s="9">
        <v>39</v>
      </c>
      <c r="B80" s="3"/>
      <c r="C80" s="10" t="s">
        <v>81</v>
      </c>
      <c r="D80" s="65">
        <f>STG_VAR!D80+ONT_VAR!D80+'CE-VAR'!D80+'NE-VAR'!D80+'SE-EGM-VAR'!D80+'SE-LRC-VAR'!D80+'TX-EGM-VAR'!D80+'TX-HPL-VAR '!D80+'WE-VAR'!D80+BGC_VAR!D80</f>
        <v>0</v>
      </c>
      <c r="E80" s="65">
        <f>STG_VAR!E80+ONT_VAR!E80+'CE-VAR'!E80+'NE-VAR'!E80+'SE-EGM-VAR'!E80+'SE-LRC-VAR'!E80+'TX-EGM-VAR'!E80+'TX-HPL-VAR '!E80+'WE-VAR'!E80+BGC_VAR!E80</f>
        <v>164679.23000000001</v>
      </c>
      <c r="F80" s="65">
        <f>STG_VAR!F80+ONT_VAR!F80+'CE-VAR'!F80+'NE-VAR'!F80+'SE-EGM-VAR'!F80+'SE-LRC-VAR'!F80+'TX-EGM-VAR'!F80+'TX-HPL-VAR '!F80+'WE-VAR'!F80+BGC_VAR!F80</f>
        <v>0</v>
      </c>
      <c r="G80" s="65">
        <f>STG_VAR!G80+ONT_VAR!G80+'CE-VAR'!G80+'NE-VAR'!G80+'SE-EGM-VAR'!G80+'SE-LRC-VAR'!G80+'TX-EGM-VAR'!G80+'TX-HPL-VAR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-164679.23000000001</v>
      </c>
    </row>
    <row r="81" spans="1:9" x14ac:dyDescent="0.2">
      <c r="A81" s="9">
        <v>40</v>
      </c>
      <c r="B81" s="3"/>
      <c r="C81" s="10" t="s">
        <v>82</v>
      </c>
      <c r="D81" s="65">
        <f>STG_VAR!D81+ONT_VAR!D81+'CE-VAR'!D81+'NE-VAR'!D81+'SE-EGM-VAR'!D81+'SE-LRC-VAR'!D81+'TX-EGM-VAR'!D81+'TX-HPL-VAR '!D81+'WE-VAR'!D81+BGC_VAR!D81</f>
        <v>0</v>
      </c>
      <c r="E81" s="65">
        <f>STG_VAR!E81+ONT_VAR!E81+'CE-VAR'!E81+'NE-VAR'!E81+'SE-EGM-VAR'!E81+'SE-LRC-VAR'!E81+'TX-EGM-VAR'!E81+'TX-HPL-VAR '!E81+'WE-VAR'!E81+BGC_VAR!E81</f>
        <v>-1517652</v>
      </c>
      <c r="F81" s="65">
        <f>STG_VAR!F81+ONT_VAR!F81+'CE-VAR'!F81+'NE-VAR'!F81+'SE-EGM-VAR'!F81+'SE-LRC-VAR'!F81+'TX-EGM-VAR'!F81+'TX-HPL-VAR '!F81+'WE-VAR'!F81+BGC_VAR!F81</f>
        <v>-25993375</v>
      </c>
      <c r="G81" s="65">
        <f>STG_VAR!G81+ONT_VAR!G81+'CE-VAR'!G81+'NE-VAR'!G81+'SE-EGM-VAR'!G81+'SE-LRC-VAR'!G81+'TX-EGM-VAR'!G81+'TX-HPL-VAR '!G81+'WE-VAR'!G81+BGC_VAR!G81</f>
        <v>606612.72000000009</v>
      </c>
      <c r="H81" s="60">
        <f>F81-D81</f>
        <v>-25993375</v>
      </c>
      <c r="I81" s="38">
        <f>G81-E81</f>
        <v>2124264.7200000002</v>
      </c>
    </row>
    <row r="82" spans="1:9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55760</v>
      </c>
      <c r="E82" s="93">
        <f>SUM(E72:E81)+E16+E24+E29+E36+E43+E45+E47+E49+E51+E56+E61+E66</f>
        <v>-203659.27062478647</v>
      </c>
      <c r="F82" s="92">
        <f>F16+F24+F29+F36+F43+F45+F47+F49</f>
        <v>0</v>
      </c>
      <c r="G82" s="93">
        <f>SUM(G72:G81)+G16+G24+G29+G36+G43+G45+G47+G49+G51+G56+G61+G66</f>
        <v>939835.99620009167</v>
      </c>
      <c r="H82" s="92">
        <f>H16+H24+H29+H36+H43+H45+H47+H49</f>
        <v>-55760</v>
      </c>
      <c r="I82" s="93">
        <f>SUM(I72:I81)+I16+I24+I29+I36+I43+I45+I47+I49+I51+I56+I61+I66</f>
        <v>1143495.2668248601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192</v>
      </c>
      <c r="B85" s="3"/>
      <c r="F85" s="31"/>
      <c r="G85" s="31"/>
      <c r="H85" s="31"/>
      <c r="I85" s="31"/>
    </row>
    <row r="86" spans="1:9" x14ac:dyDescent="0.2">
      <c r="A86" s="183"/>
      <c r="B86" s="3"/>
      <c r="C86" s="10" t="s">
        <v>189</v>
      </c>
      <c r="D86" s="184">
        <f>STG_VAR!D86+ONT_VAR!D86+'CE-VAR'!D86+'NE-VAR'!D86+'SE-EGM-VAR'!D86+'SE-LRC-VAR'!D86+'TX-EGM-VAR'!D86+'TX-HPL-VAR '!D86+'WE-VAR'!D86+BGC_VAR!D86</f>
        <v>0</v>
      </c>
      <c r="E86" s="184">
        <f>STG_VAR!E86+ONT_VAR!E86+'CE-VAR'!E86+'NE-VAR'!E86+'SE-EGM-VAR'!E86+'SE-LRC-VAR'!E86+'TX-EGM-VAR'!E86+'TX-HPL-VAR '!E86+'WE-VAR'!E86+BGC_VAR!E86</f>
        <v>196727</v>
      </c>
      <c r="F86" s="184">
        <f>STG_VAR!F86+ONT_VAR!F86+'CE-VAR'!F86+'NE-VAR'!F86+'SE-EGM-VAR'!F86+'SE-LRC-VAR'!F86+'TX-EGM-VAR'!F86+'TX-HPL-VAR '!F86+'WE-VAR'!F86+BGC_VAR!F86</f>
        <v>0</v>
      </c>
      <c r="G86" s="184">
        <f>STG_VAR!G86+ONT_VAR!G86+'CE-VAR'!G86+'NE-VAR'!G86+'SE-EGM-VAR'!G86+'SE-LRC-VAR'!G86+'TX-EGM-VAR'!G86+'TX-HPL-VAR '!G86+'WE-VAR'!G86+BGC_VAR!G86</f>
        <v>192870.46000000002</v>
      </c>
      <c r="H86" s="184">
        <f t="shared" ref="H86:I88" si="15">F86-D86</f>
        <v>0</v>
      </c>
      <c r="I86" s="184">
        <f t="shared" si="15"/>
        <v>-3856.539999999979</v>
      </c>
    </row>
    <row r="87" spans="1:9" x14ac:dyDescent="0.2">
      <c r="A87" s="183"/>
      <c r="B87" s="3"/>
      <c r="C87" s="10" t="s">
        <v>75</v>
      </c>
      <c r="D87" s="185">
        <f>STG_VAR!D87+ONT_VAR!D87+'CE-VAR'!D87+'NE-VAR'!D87+'SE-EGM-VAR'!D87+'SE-LRC-VAR'!D87+'TX-EGM-VAR'!D87+'TX-HPL-VAR '!D87+'WE-VAR'!D87+BGC_VAR!D87</f>
        <v>0</v>
      </c>
      <c r="E87" s="185">
        <f>STG_VAR!E87+ONT_VAR!E87+'CE-VAR'!E87+'NE-VAR'!E87+'SE-EGM-VAR'!E87+'SE-LRC-VAR'!E87+'TX-EGM-VAR'!E87+'TX-HPL-VAR '!E87+'WE-VAR'!E87+BGC_VAR!E87</f>
        <v>0</v>
      </c>
      <c r="F87" s="185">
        <f>STG_VAR!F87+ONT_VAR!F87+'CE-VAR'!F87+'NE-VAR'!F87+'SE-EGM-VAR'!F87+'SE-LRC-VAR'!F87+'TX-EGM-VAR'!F87+'TX-HPL-VAR '!F87+'WE-VAR'!F87+BGC_VAR!F87</f>
        <v>0</v>
      </c>
      <c r="G87" s="185">
        <f>STG_VAR!G87+ONT_VAR!G87+'CE-VAR'!G87+'NE-VAR'!G87+'SE-EGM-VAR'!G87+'SE-LRC-VAR'!G87+'TX-EGM-VAR'!G87+'TX-HPL-VAR '!G87+'WE-VAR'!G87+BGC_VAR!G87</f>
        <v>0</v>
      </c>
      <c r="H87" s="185">
        <f t="shared" si="15"/>
        <v>0</v>
      </c>
      <c r="I87" s="185">
        <f t="shared" si="15"/>
        <v>0</v>
      </c>
    </row>
    <row r="88" spans="1:9" x14ac:dyDescent="0.2">
      <c r="A88" s="183"/>
      <c r="B88" s="3"/>
      <c r="C88" s="10" t="s">
        <v>76</v>
      </c>
      <c r="D88" s="186">
        <f>STG_VAR!D88+ONT_VAR!D88+'CE-VAR'!D88+'NE-VAR'!D88+'SE-EGM-VAR'!D88+'SE-LRC-VAR'!D88+'TX-EGM-VAR'!D88+'TX-HPL-VAR '!D88+'WE-VAR'!D88+BGC_VAR!D88</f>
        <v>0</v>
      </c>
      <c r="E88" s="186">
        <f>STG_VAR!E88+ONT_VAR!E88+'CE-VAR'!E88+'NE-VAR'!E88+'SE-EGM-VAR'!E88+'SE-LRC-VAR'!E88+'TX-EGM-VAR'!E88+'TX-HPL-VAR '!E88+'WE-VAR'!E88+BGC_VAR!E88</f>
        <v>-48556</v>
      </c>
      <c r="F88" s="186">
        <f>STG_VAR!F88+ONT_VAR!F88+'CE-VAR'!F88+'NE-VAR'!F88+'SE-EGM-VAR'!F88+'SE-LRC-VAR'!F88+'TX-EGM-VAR'!F88+'TX-HPL-VAR '!F88+'WE-VAR'!F88+BGC_VAR!F88</f>
        <v>0</v>
      </c>
      <c r="G88" s="186">
        <f>STG_VAR!G88+ONT_VAR!G88+'CE-VAR'!G88+'NE-VAR'!G88+'SE-EGM-VAR'!G88+'SE-LRC-VAR'!G88+'TX-EGM-VAR'!G88+'TX-HPL-VAR '!G88+'WE-VAR'!G88+BGC_VAR!G88</f>
        <v>-51649</v>
      </c>
      <c r="H88" s="186">
        <f t="shared" si="15"/>
        <v>0</v>
      </c>
      <c r="I88" s="186">
        <f t="shared" si="15"/>
        <v>-3093</v>
      </c>
    </row>
    <row r="89" spans="1:9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148171</v>
      </c>
      <c r="F89" s="190">
        <f t="shared" si="16"/>
        <v>0</v>
      </c>
      <c r="G89" s="190">
        <f t="shared" si="16"/>
        <v>141221.46000000002</v>
      </c>
      <c r="H89" s="190">
        <f t="shared" si="16"/>
        <v>0</v>
      </c>
      <c r="I89" s="190">
        <f t="shared" si="16"/>
        <v>-6949.539999999979</v>
      </c>
    </row>
    <row r="90" spans="1:9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9" s="149" customFormat="1" x14ac:dyDescent="0.2">
      <c r="A91" s="187"/>
      <c r="B91" s="188"/>
      <c r="C91" s="189" t="s">
        <v>191</v>
      </c>
      <c r="D91" s="190">
        <f t="shared" ref="D91:I91" si="17">+D82+D89</f>
        <v>55760</v>
      </c>
      <c r="E91" s="190">
        <f t="shared" si="17"/>
        <v>-55488.27062478647</v>
      </c>
      <c r="F91" s="190">
        <f t="shared" si="17"/>
        <v>0</v>
      </c>
      <c r="G91" s="190">
        <f t="shared" si="17"/>
        <v>1081057.4562000916</v>
      </c>
      <c r="H91" s="190">
        <f t="shared" si="17"/>
        <v>-55760</v>
      </c>
      <c r="I91" s="190">
        <f t="shared" si="17"/>
        <v>1136545.7268248601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K187"/>
  <sheetViews>
    <sheetView zoomScale="75" workbookViewId="0">
      <pane xSplit="3" ySplit="9" topLeftCell="AC1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0</v>
      </c>
      <c r="E11" s="38">
        <f t="shared" si="0"/>
        <v>20833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>
        <v>20833</v>
      </c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66215</v>
      </c>
      <c r="F12" s="60">
        <f>'TIE-OUT'!T12+RECLASS!T12</f>
        <v>0</v>
      </c>
      <c r="G12" s="38">
        <f>'TIE-OUT'!U12+RECLASS!U12</f>
        <v>66215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>
        <v>0</v>
      </c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</row>
    <row r="13" spans="1:37" x14ac:dyDescent="0.2">
      <c r="A13" s="9">
        <v>3</v>
      </c>
      <c r="B13" s="7"/>
      <c r="C13" s="18" t="s">
        <v>207</v>
      </c>
      <c r="D13" s="60">
        <f t="shared" si="0"/>
        <v>0</v>
      </c>
      <c r="E13" s="38">
        <f t="shared" si="0"/>
        <v>-6025953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>
        <v>-6014660</v>
      </c>
      <c r="Z13" s="60"/>
      <c r="AA13" s="38"/>
      <c r="AB13" s="60"/>
      <c r="AC13" s="38"/>
      <c r="AD13" s="60"/>
      <c r="AE13" s="38">
        <v>-11296</v>
      </c>
      <c r="AF13" s="60"/>
      <c r="AG13" s="38"/>
      <c r="AH13" s="60"/>
      <c r="AI13" s="38">
        <v>3</v>
      </c>
      <c r="AJ13" s="60"/>
      <c r="AK13" s="38"/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</row>
    <row r="16" spans="1:37" x14ac:dyDescent="0.2">
      <c r="A16" s="9"/>
      <c r="B16" s="7" t="s">
        <v>34</v>
      </c>
      <c r="C16" s="6"/>
      <c r="D16" s="61">
        <f>SUM(D11:D15)</f>
        <v>0</v>
      </c>
      <c r="E16" s="39">
        <f>SUM(E11:E15)</f>
        <v>-5938905</v>
      </c>
      <c r="F16" s="61">
        <f t="shared" ref="F16:AD16" si="1">SUM(F11:F15)</f>
        <v>0</v>
      </c>
      <c r="G16" s="39">
        <f t="shared" si="1"/>
        <v>66215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20833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-6014660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-11296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3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</row>
    <row r="21" spans="1:37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</row>
    <row r="23" spans="1:37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</row>
    <row r="24" spans="1:37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E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si="5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</row>
    <row r="29" spans="1:37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E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</row>
    <row r="33" spans="1:3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</row>
    <row r="34" spans="1:3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</row>
    <row r="35" spans="1:3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</row>
    <row r="36" spans="1:37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E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si="12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-117344</v>
      </c>
      <c r="F41" s="81">
        <f>'TIE-OUT'!T41+RECLASS!T41</f>
        <v>0</v>
      </c>
      <c r="G41" s="82">
        <f>'TIE-OUT'!U41+RECLASS!U41</f>
        <v>-117344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</row>
    <row r="42" spans="1:37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-117344</v>
      </c>
      <c r="F42" s="61">
        <f t="shared" ref="F42:AD42" si="16">SUM(F40:F41)</f>
        <v>0</v>
      </c>
      <c r="G42" s="39">
        <f t="shared" si="16"/>
        <v>-117344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-117344</v>
      </c>
      <c r="F43" s="61">
        <f t="shared" ref="F43:AD43" si="19">F42+F39</f>
        <v>0</v>
      </c>
      <c r="G43" s="39">
        <f t="shared" si="19"/>
        <v>-117344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E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0</v>
      </c>
      <c r="E49" s="38">
        <f t="shared" si="22"/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0</v>
      </c>
      <c r="E51" s="38">
        <f t="shared" si="22"/>
        <v>-105777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-22627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-83150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>
        <v>635000</v>
      </c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172">
        <v>-635000</v>
      </c>
      <c r="AF55" s="60"/>
      <c r="AG55" s="172"/>
      <c r="AH55" s="60"/>
      <c r="AI55" s="172"/>
      <c r="AJ55" s="60"/>
      <c r="AK55" s="172"/>
    </row>
    <row r="56" spans="1:37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23">SUM(F54:F55)</f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54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635000</v>
      </c>
      <c r="T56" s="61">
        <f t="shared" si="23"/>
        <v>0</v>
      </c>
      <c r="U56" s="39">
        <f t="shared" ref="U56:AE56" si="24">SUM(U54:U55)</f>
        <v>0</v>
      </c>
      <c r="V56" s="61">
        <f t="shared" si="23"/>
        <v>0</v>
      </c>
      <c r="W56" s="39">
        <f t="shared" si="24"/>
        <v>0</v>
      </c>
      <c r="X56" s="61">
        <f t="shared" si="23"/>
        <v>0</v>
      </c>
      <c r="Y56" s="39">
        <f t="shared" si="24"/>
        <v>0</v>
      </c>
      <c r="Z56" s="61">
        <f t="shared" si="23"/>
        <v>0</v>
      </c>
      <c r="AA56" s="39">
        <f t="shared" si="24"/>
        <v>0</v>
      </c>
      <c r="AB56" s="61">
        <f t="shared" si="23"/>
        <v>0</v>
      </c>
      <c r="AC56" s="39">
        <f t="shared" si="24"/>
        <v>0</v>
      </c>
      <c r="AD56" s="61">
        <f t="shared" si="23"/>
        <v>0</v>
      </c>
      <c r="AE56" s="39">
        <f t="shared" si="24"/>
        <v>-635000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202828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172">
        <f>111833-19005</f>
        <v>92828</v>
      </c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>
        <v>110000</v>
      </c>
      <c r="AF60" s="60"/>
      <c r="AG60" s="38"/>
      <c r="AH60" s="60"/>
      <c r="AI60" s="38"/>
      <c r="AJ60" s="60"/>
      <c r="AK60" s="38"/>
    </row>
    <row r="61" spans="1:37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202828</v>
      </c>
      <c r="F61" s="61">
        <f t="shared" ref="F61:AD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92828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ref="U61:AE61" si="27">SUM(U59:U60)</f>
        <v>0</v>
      </c>
      <c r="V61" s="61">
        <f t="shared" si="26"/>
        <v>0</v>
      </c>
      <c r="W61" s="39">
        <f t="shared" si="27"/>
        <v>0</v>
      </c>
      <c r="X61" s="61">
        <f t="shared" si="26"/>
        <v>0</v>
      </c>
      <c r="Y61" s="39">
        <f t="shared" si="27"/>
        <v>0</v>
      </c>
      <c r="Z61" s="61">
        <f t="shared" si="26"/>
        <v>0</v>
      </c>
      <c r="AA61" s="39">
        <f t="shared" si="27"/>
        <v>0</v>
      </c>
      <c r="AB61" s="61">
        <f t="shared" si="26"/>
        <v>0</v>
      </c>
      <c r="AC61" s="39">
        <f t="shared" si="27"/>
        <v>0</v>
      </c>
      <c r="AD61" s="61">
        <f t="shared" si="26"/>
        <v>0</v>
      </c>
      <c r="AE61" s="39">
        <f t="shared" si="27"/>
        <v>110000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-120383</v>
      </c>
      <c r="F64" s="64">
        <f>'TIE-OUT'!T64+RECLASS!T64</f>
        <v>0</v>
      </c>
      <c r="G64" s="68">
        <f>'TIE-OUT'!U64+RECLASS!U64</f>
        <v>-120383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410000</v>
      </c>
      <c r="F65" s="81">
        <f>'TIE-OUT'!T65+RECLASS!T65</f>
        <v>0</v>
      </c>
      <c r="G65" s="82">
        <f>'TIE-OUT'!U65+RECLASS!U65</f>
        <v>410000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68</v>
      </c>
      <c r="C66" s="6"/>
      <c r="D66" s="61">
        <f>SUM(D64:D65)</f>
        <v>0</v>
      </c>
      <c r="E66" s="39">
        <f>SUM(E64:E65)</f>
        <v>289617</v>
      </c>
      <c r="F66" s="61">
        <f t="shared" ref="F66:AD66" si="29">SUM(F64:F65)</f>
        <v>0</v>
      </c>
      <c r="G66" s="39">
        <f t="shared" si="29"/>
        <v>289617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54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ref="U66:AE66" si="30">SUM(U64:U65)</f>
        <v>0</v>
      </c>
      <c r="V66" s="61">
        <f t="shared" si="29"/>
        <v>0</v>
      </c>
      <c r="W66" s="39">
        <f t="shared" si="30"/>
        <v>0</v>
      </c>
      <c r="X66" s="61">
        <f t="shared" si="29"/>
        <v>0</v>
      </c>
      <c r="Y66" s="39">
        <f t="shared" si="30"/>
        <v>0</v>
      </c>
      <c r="Z66" s="61">
        <f t="shared" si="29"/>
        <v>0</v>
      </c>
      <c r="AA66" s="39">
        <f t="shared" si="30"/>
        <v>0</v>
      </c>
      <c r="AB66" s="61">
        <f t="shared" si="29"/>
        <v>0</v>
      </c>
      <c r="AC66" s="39">
        <f t="shared" si="30"/>
        <v>0</v>
      </c>
      <c r="AD66" s="61">
        <f t="shared" si="29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37841</v>
      </c>
      <c r="F70" s="64">
        <f>'TIE-OUT'!T70+RECLASS!T70</f>
        <v>0</v>
      </c>
      <c r="G70" s="68">
        <f>'TIE-OUT'!U70+RECLASS!U70</f>
        <v>37841</v>
      </c>
      <c r="H70" s="60"/>
      <c r="I70" s="38"/>
      <c r="J70" s="60"/>
      <c r="K70" s="153"/>
      <c r="L70" s="60"/>
      <c r="M70" s="38">
        <v>6921606</v>
      </c>
      <c r="N70" s="60"/>
      <c r="O70" s="38">
        <v>-12923089</v>
      </c>
      <c r="P70" s="60"/>
      <c r="Q70" s="38"/>
      <c r="R70" s="60"/>
      <c r="S70" s="38"/>
      <c r="T70" s="60"/>
      <c r="U70" s="38"/>
      <c r="V70" s="60"/>
      <c r="W70" s="38"/>
      <c r="X70" s="60"/>
      <c r="Y70" s="38">
        <f>-13177+6014660</f>
        <v>6001483</v>
      </c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37841</v>
      </c>
      <c r="F72" s="61">
        <f t="shared" ref="F72:AD72" si="32">SUM(F70:F71)</f>
        <v>0</v>
      </c>
      <c r="G72" s="39">
        <f t="shared" si="32"/>
        <v>37841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54">
        <f t="shared" si="32"/>
        <v>0</v>
      </c>
      <c r="L72" s="61">
        <f t="shared" si="32"/>
        <v>0</v>
      </c>
      <c r="M72" s="39">
        <f t="shared" si="32"/>
        <v>6921606</v>
      </c>
      <c r="N72" s="61">
        <f t="shared" si="32"/>
        <v>0</v>
      </c>
      <c r="O72" s="39">
        <f t="shared" si="32"/>
        <v>-12923089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ref="U72:AE72" si="33">SUM(U70:U71)</f>
        <v>0</v>
      </c>
      <c r="V72" s="61">
        <f t="shared" si="32"/>
        <v>0</v>
      </c>
      <c r="W72" s="39">
        <f t="shared" si="33"/>
        <v>0</v>
      </c>
      <c r="X72" s="61">
        <f t="shared" si="32"/>
        <v>0</v>
      </c>
      <c r="Y72" s="39">
        <f t="shared" si="33"/>
        <v>6001483</v>
      </c>
      <c r="Z72" s="61">
        <f t="shared" si="32"/>
        <v>0</v>
      </c>
      <c r="AA72" s="39">
        <f t="shared" si="33"/>
        <v>0</v>
      </c>
      <c r="AB72" s="61">
        <f t="shared" si="32"/>
        <v>0</v>
      </c>
      <c r="AC72" s="39">
        <f t="shared" si="33"/>
        <v>0</v>
      </c>
      <c r="AD72" s="61">
        <f t="shared" si="32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7418139.6600000001</v>
      </c>
      <c r="F74" s="60">
        <f>'TIE-OUT'!T74+RECLASS!T74</f>
        <v>0</v>
      </c>
      <c r="G74" s="60">
        <f>'TIE-OUT'!U74+RECLASS!U74</f>
        <v>7418139.6600000001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60">
        <f>'TIE-OUT'!T76+RECLASS!T76</f>
        <v>0</v>
      </c>
      <c r="G76" s="60">
        <f>'TIE-OUT'!U76+RECLASS!U76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-213583</v>
      </c>
      <c r="F77" s="60">
        <f>'TIE-OUT'!T77+RECLASS!T77</f>
        <v>0</v>
      </c>
      <c r="G77" s="60">
        <f>'TIE-OUT'!U77+RECLASS!U77</f>
        <v>-657000</v>
      </c>
      <c r="H77" s="60"/>
      <c r="I77" s="38"/>
      <c r="J77" s="60"/>
      <c r="K77" s="153"/>
      <c r="L77" s="60"/>
      <c r="M77" s="38"/>
      <c r="N77" s="60"/>
      <c r="O77" s="38">
        <f>-376583+820000</f>
        <v>443417</v>
      </c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</row>
    <row r="81" spans="1:3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-92704</v>
      </c>
      <c r="F81" s="60">
        <f>'TIE-OUT'!T81+RECLASS!T81</f>
        <v>0</v>
      </c>
      <c r="G81" s="60">
        <f>'TIE-OUT'!U81+RECLASS!U81</f>
        <v>0</v>
      </c>
      <c r="H81" s="60"/>
      <c r="I81" s="38"/>
      <c r="J81" s="60"/>
      <c r="K81" s="153"/>
      <c r="L81" s="60"/>
      <c r="M81" s="38"/>
      <c r="N81" s="60"/>
      <c r="O81" s="38">
        <v>-125739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f>35744-2709</f>
        <v>33035</v>
      </c>
      <c r="AB81" s="60"/>
      <c r="AC81" s="38"/>
      <c r="AD81" s="60"/>
      <c r="AE81" s="38"/>
      <c r="AF81" s="60"/>
      <c r="AG81" s="38"/>
      <c r="AH81" s="60"/>
      <c r="AI81" s="38"/>
      <c r="AJ81" s="60"/>
      <c r="AK81" s="38"/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1480112.6600000001</v>
      </c>
      <c r="F82" s="92">
        <f>F16+F24+F29+F36+F43+F45+F47+F49</f>
        <v>0</v>
      </c>
      <c r="G82" s="93">
        <f>SUM(G72:G81)+G16+G24+G29+G36+G43+G45+G47+G49+G51+G56+G61+G66</f>
        <v>7037468.6600000001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6921606</v>
      </c>
      <c r="N82" s="92">
        <f>N16+N24+N29+N36+N43+N45+N47+N49</f>
        <v>0</v>
      </c>
      <c r="O82" s="93">
        <f>SUM(O72:O81)+O16+O24+O29+O36+O43+O45+O47+O49+O51+O56+O61+O66</f>
        <v>-12535210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655833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-13177</v>
      </c>
      <c r="Z82" s="92">
        <f>Z16+Z24+Z29+Z36+Z43+Z45+Z47+Z49</f>
        <v>0</v>
      </c>
      <c r="AA82" s="93">
        <f>SUM(AA72:AA81)+AA16+AA24+AA29+AA36+AA43+AA45+AA47+AA49+AA51+AA56+AA61+AA66</f>
        <v>-50115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-536296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3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E84" s="31">
        <f>+E72+E12-G12</f>
        <v>37841</v>
      </c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U187"/>
  <sheetViews>
    <sheetView zoomScale="75" workbookViewId="0">
      <pane xSplit="3" ySplit="9" topLeftCell="S71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5" t="s">
        <v>183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183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'TIE-OUT'!V12+RECLASS!V12</f>
        <v>0</v>
      </c>
      <c r="G12" s="38">
        <f>'TIE-OUT'!W12+RECLASS!W12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</row>
    <row r="16" spans="1:37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</row>
    <row r="21" spans="1:37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</row>
    <row r="23" spans="1:37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</row>
    <row r="24" spans="1:37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E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si="5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</row>
    <row r="29" spans="1:37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E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</row>
    <row r="33" spans="1:3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</row>
    <row r="34" spans="1:3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</row>
    <row r="35" spans="1:3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</row>
    <row r="36" spans="1:37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E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si="12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</row>
    <row r="42" spans="1:37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E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0</v>
      </c>
      <c r="E49" s="38">
        <f t="shared" si="22"/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0</v>
      </c>
      <c r="E51" s="38">
        <f t="shared" si="22"/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619010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53">
        <v>15705</v>
      </c>
      <c r="L54" s="60"/>
      <c r="M54" s="38">
        <v>604295</v>
      </c>
      <c r="N54" s="60"/>
      <c r="O54" s="38"/>
      <c r="P54" s="60"/>
      <c r="Q54" s="38"/>
      <c r="R54" s="60"/>
      <c r="S54" s="38"/>
      <c r="T54" s="60"/>
      <c r="U54" s="38"/>
      <c r="V54" s="60"/>
      <c r="W54" s="38">
        <v>-990</v>
      </c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</row>
    <row r="56" spans="1:37" x14ac:dyDescent="0.2">
      <c r="A56" s="9"/>
      <c r="B56" s="7" t="s">
        <v>61</v>
      </c>
      <c r="C56" s="6"/>
      <c r="D56" s="61">
        <f>SUM(D54:D55)</f>
        <v>0</v>
      </c>
      <c r="E56" s="39">
        <f>SUM(E54:E55)</f>
        <v>619010</v>
      </c>
      <c r="F56" s="61">
        <f t="shared" ref="F56:AD56" si="23">SUM(F54:F55)</f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54">
        <f t="shared" si="23"/>
        <v>15705</v>
      </c>
      <c r="L56" s="61">
        <f t="shared" si="23"/>
        <v>0</v>
      </c>
      <c r="M56" s="39">
        <f t="shared" si="23"/>
        <v>604295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ref="U56:AE56" si="24">SUM(U54:U55)</f>
        <v>0</v>
      </c>
      <c r="V56" s="61">
        <f t="shared" si="23"/>
        <v>0</v>
      </c>
      <c r="W56" s="39">
        <f t="shared" si="24"/>
        <v>-990</v>
      </c>
      <c r="X56" s="61">
        <f t="shared" si="23"/>
        <v>0</v>
      </c>
      <c r="Y56" s="39">
        <f t="shared" si="24"/>
        <v>0</v>
      </c>
      <c r="Z56" s="61">
        <f t="shared" si="23"/>
        <v>0</v>
      </c>
      <c r="AA56" s="39">
        <f t="shared" si="24"/>
        <v>0</v>
      </c>
      <c r="AB56" s="61">
        <f t="shared" si="23"/>
        <v>0</v>
      </c>
      <c r="AC56" s="39">
        <f t="shared" si="24"/>
        <v>0</v>
      </c>
      <c r="AD56" s="61">
        <f t="shared" si="23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</row>
    <row r="61" spans="1:37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D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ref="U61:AE61" si="27">SUM(U59:U60)</f>
        <v>0</v>
      </c>
      <c r="V61" s="61">
        <f t="shared" si="26"/>
        <v>0</v>
      </c>
      <c r="W61" s="39">
        <f t="shared" si="27"/>
        <v>0</v>
      </c>
      <c r="X61" s="61">
        <f t="shared" si="26"/>
        <v>0</v>
      </c>
      <c r="Y61" s="39">
        <f t="shared" si="27"/>
        <v>0</v>
      </c>
      <c r="Z61" s="61">
        <f t="shared" si="26"/>
        <v>0</v>
      </c>
      <c r="AA61" s="39">
        <f t="shared" si="27"/>
        <v>0</v>
      </c>
      <c r="AB61" s="61">
        <f t="shared" si="26"/>
        <v>0</v>
      </c>
      <c r="AC61" s="39">
        <f t="shared" si="27"/>
        <v>0</v>
      </c>
      <c r="AD61" s="61">
        <f t="shared" si="26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>
        <v>0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AD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54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ref="U66:AE66" si="30">SUM(U64:U65)</f>
        <v>0</v>
      </c>
      <c r="V66" s="61">
        <f t="shared" si="29"/>
        <v>0</v>
      </c>
      <c r="W66" s="39">
        <f t="shared" si="30"/>
        <v>0</v>
      </c>
      <c r="X66" s="61">
        <f t="shared" si="29"/>
        <v>0</v>
      </c>
      <c r="Y66" s="39">
        <f t="shared" si="30"/>
        <v>0</v>
      </c>
      <c r="Z66" s="61">
        <f t="shared" si="29"/>
        <v>0</v>
      </c>
      <c r="AA66" s="39">
        <f t="shared" si="30"/>
        <v>0</v>
      </c>
      <c r="AB66" s="61">
        <f t="shared" si="29"/>
        <v>0</v>
      </c>
      <c r="AC66" s="39">
        <f t="shared" si="30"/>
        <v>0</v>
      </c>
      <c r="AD66" s="61">
        <f t="shared" si="29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176228</v>
      </c>
      <c r="F70" s="64">
        <f>'TIE-OUT'!V70+RECLASS!V70</f>
        <v>0</v>
      </c>
      <c r="G70" s="68">
        <f>'TIE-OUT'!W70+RECLASS!W70</f>
        <v>176228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176228</v>
      </c>
      <c r="F72" s="61">
        <f t="shared" ref="F72:AD72" si="32">SUM(F70:F71)</f>
        <v>0</v>
      </c>
      <c r="G72" s="39">
        <f t="shared" si="32"/>
        <v>176228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54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ref="U72:AE72" si="33">SUM(U70:U71)</f>
        <v>0</v>
      </c>
      <c r="V72" s="61">
        <f t="shared" si="32"/>
        <v>0</v>
      </c>
      <c r="W72" s="39">
        <f t="shared" si="33"/>
        <v>0</v>
      </c>
      <c r="X72" s="61">
        <f t="shared" si="32"/>
        <v>0</v>
      </c>
      <c r="Y72" s="39">
        <f t="shared" si="33"/>
        <v>0</v>
      </c>
      <c r="Z72" s="61">
        <f t="shared" si="32"/>
        <v>0</v>
      </c>
      <c r="AA72" s="39">
        <f t="shared" si="33"/>
        <v>0</v>
      </c>
      <c r="AB72" s="61">
        <f t="shared" si="32"/>
        <v>0</v>
      </c>
      <c r="AC72" s="39">
        <f t="shared" si="33"/>
        <v>0</v>
      </c>
      <c r="AD72" s="61">
        <f t="shared" si="32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0</v>
      </c>
      <c r="F74" s="60">
        <f>'TIE-OUT'!V74+RECLASS!V74</f>
        <v>0</v>
      </c>
      <c r="G74" s="60">
        <f>'TIE-OUT'!W74+RECLASS!W74</f>
        <v>0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</row>
    <row r="81" spans="1:73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-620000</v>
      </c>
      <c r="F81" s="60">
        <f>'TIE-OUT'!V81+RECLASS!V81</f>
        <v>0</v>
      </c>
      <c r="G81" s="60">
        <f>'TIE-OUT'!W81+RECLASS!W81</f>
        <v>0</v>
      </c>
      <c r="H81" s="60"/>
      <c r="I81" s="38">
        <v>-140148</v>
      </c>
      <c r="J81" s="60"/>
      <c r="K81" s="153">
        <v>0</v>
      </c>
      <c r="L81" s="60"/>
      <c r="M81" s="38"/>
      <c r="N81" s="60"/>
      <c r="O81" s="38">
        <v>140148</v>
      </c>
      <c r="P81" s="60"/>
      <c r="Q81" s="38"/>
      <c r="R81" s="60"/>
      <c r="S81" s="38"/>
      <c r="T81" s="60"/>
      <c r="U81" s="38">
        <v>-620000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</row>
    <row r="82" spans="1:73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175238</v>
      </c>
      <c r="F82" s="92">
        <f>F16+F24+F29+F36+F43+F45+F47+F49</f>
        <v>0</v>
      </c>
      <c r="G82" s="93">
        <f>SUM(G72:G81)+G16+G24+G29+G36+G43+G45+G47+G49+G51+G56+G61+G66</f>
        <v>176228</v>
      </c>
      <c r="H82" s="92">
        <f>H16+H24+H29+H36+H43+H45+H47+H49</f>
        <v>0</v>
      </c>
      <c r="I82" s="93">
        <f>SUM(I72:I81)+I16+I24+I29+I36+I43+I45+I47+I49+I51+I56+I61+I66</f>
        <v>-140148</v>
      </c>
      <c r="J82" s="92">
        <f>J16+J24+J29+J36+J43+J45+J47+J49</f>
        <v>0</v>
      </c>
      <c r="K82" s="118">
        <f>SUM(K72:K81)+K16+K24+K29+K36+K43+K45+K47+K49+K51+K56+K61+K66</f>
        <v>15705</v>
      </c>
      <c r="L82" s="92">
        <f>L16+L24+L29+L36+L43+L45+L47+L49</f>
        <v>0</v>
      </c>
      <c r="M82" s="93">
        <f>SUM(M72:M81)+M16+M24+M29+M36+M43+M45+M47+M49+M51+M56+M61+M66</f>
        <v>604295</v>
      </c>
      <c r="N82" s="92">
        <f>N16+N24+N29+N36+N43+N45+N47+N49</f>
        <v>0</v>
      </c>
      <c r="O82" s="93">
        <f>SUM(O72:O81)+O16+O24+O29+O36+O43+O45+O47+O49+O51+O56+O61+O66</f>
        <v>140148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-620000</v>
      </c>
      <c r="V82" s="92">
        <f>V16+V24+V29+V36+V43+V45+V47+V49</f>
        <v>0</v>
      </c>
      <c r="W82" s="93">
        <f>SUM(W72:W81)+W16+W24+W29+W36+W43+W45+W47+W49+W51+W56+W61+W66</f>
        <v>-990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3" ht="13.5" thickTop="1" x14ac:dyDescent="0.2">
      <c r="A83" s="4"/>
      <c r="B83" s="3"/>
    </row>
    <row r="84" spans="1:73" x14ac:dyDescent="0.2">
      <c r="A84" s="4"/>
      <c r="B84" s="3"/>
    </row>
    <row r="85" spans="1:73" x14ac:dyDescent="0.2">
      <c r="A85" s="4" t="s">
        <v>188</v>
      </c>
      <c r="B85" s="3"/>
      <c r="F85" s="31"/>
      <c r="G85" s="31"/>
      <c r="H85" s="31"/>
      <c r="I85" s="31"/>
      <c r="K85"/>
      <c r="L85" s="45"/>
    </row>
    <row r="86" spans="1:73" s="3" customFormat="1" x14ac:dyDescent="0.2">
      <c r="A86" s="183"/>
      <c r="C86" s="10" t="s">
        <v>189</v>
      </c>
      <c r="D86" s="184">
        <f t="shared" ref="D86:E88" si="37">SUM(F86,H86,J86,L86,N86,P86,R86,T86,V86,X86,Z86,AB86,AD86)</f>
        <v>0</v>
      </c>
      <c r="E86" s="184">
        <f t="shared" si="37"/>
        <v>132179</v>
      </c>
      <c r="F86" s="184">
        <f>'TIE-OUT'!V86+RECLASS!V86</f>
        <v>0</v>
      </c>
      <c r="G86" s="184">
        <f>'TIE-OUT'!W86+RECLASS!W86</f>
        <v>0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132179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</row>
    <row r="87" spans="1:73" s="3" customFormat="1" x14ac:dyDescent="0.2">
      <c r="A87" s="183"/>
      <c r="C87" s="10" t="s">
        <v>75</v>
      </c>
      <c r="D87" s="185">
        <f t="shared" si="37"/>
        <v>0</v>
      </c>
      <c r="E87" s="185">
        <f t="shared" si="37"/>
        <v>0</v>
      </c>
      <c r="F87" s="185">
        <f>'TIE-OUT'!V87+RECLASS!V87</f>
        <v>0</v>
      </c>
      <c r="G87" s="185">
        <f>'TIE-OUT'!W87+RECLASS!W87</f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5">
        <v>0</v>
      </c>
      <c r="Z87" s="185">
        <v>0</v>
      </c>
      <c r="AA87" s="185">
        <v>0</v>
      </c>
      <c r="AB87" s="185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185">
        <v>0</v>
      </c>
      <c r="AJ87" s="185">
        <v>0</v>
      </c>
      <c r="AK87" s="185">
        <v>0</v>
      </c>
    </row>
    <row r="88" spans="1:73" s="3" customFormat="1" x14ac:dyDescent="0.2">
      <c r="A88" s="183"/>
      <c r="C88" s="10" t="s">
        <v>76</v>
      </c>
      <c r="D88" s="186">
        <f t="shared" si="37"/>
        <v>0</v>
      </c>
      <c r="E88" s="186">
        <f t="shared" si="37"/>
        <v>-3049</v>
      </c>
      <c r="F88" s="186">
        <f>'TIE-OUT'!V88+RECLASS!V88</f>
        <v>0</v>
      </c>
      <c r="G88" s="186">
        <f>'TIE-OUT'!W88+RECLASS!W88</f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-3049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</row>
    <row r="89" spans="1:73" s="44" customFormat="1" ht="20.25" customHeight="1" x14ac:dyDescent="0.2">
      <c r="A89" s="192"/>
      <c r="B89" s="193"/>
      <c r="C89" s="189" t="s">
        <v>190</v>
      </c>
      <c r="D89" s="196">
        <f>SUM(D86:D88)</f>
        <v>0</v>
      </c>
      <c r="E89" s="196">
        <f t="shared" ref="E89:AE89" si="38">SUM(E86:E88)</f>
        <v>129130</v>
      </c>
      <c r="F89" s="196">
        <f t="shared" si="38"/>
        <v>0</v>
      </c>
      <c r="G89" s="196">
        <f t="shared" si="38"/>
        <v>0</v>
      </c>
      <c r="H89" s="196">
        <f t="shared" si="38"/>
        <v>0</v>
      </c>
      <c r="I89" s="196">
        <f t="shared" si="38"/>
        <v>0</v>
      </c>
      <c r="J89" s="196">
        <f t="shared" si="38"/>
        <v>0</v>
      </c>
      <c r="K89" s="196">
        <f t="shared" si="38"/>
        <v>0</v>
      </c>
      <c r="L89" s="196">
        <f t="shared" si="38"/>
        <v>0</v>
      </c>
      <c r="M89" s="196">
        <f t="shared" si="38"/>
        <v>0</v>
      </c>
      <c r="N89" s="196">
        <f t="shared" si="38"/>
        <v>0</v>
      </c>
      <c r="O89" s="196">
        <f t="shared" si="38"/>
        <v>0</v>
      </c>
      <c r="P89" s="196">
        <f t="shared" si="38"/>
        <v>0</v>
      </c>
      <c r="Q89" s="196">
        <f t="shared" si="38"/>
        <v>0</v>
      </c>
      <c r="R89" s="196">
        <f t="shared" si="38"/>
        <v>0</v>
      </c>
      <c r="S89" s="196">
        <f t="shared" si="38"/>
        <v>0</v>
      </c>
      <c r="T89" s="196">
        <f t="shared" si="38"/>
        <v>0</v>
      </c>
      <c r="U89" s="196">
        <f t="shared" si="38"/>
        <v>0</v>
      </c>
      <c r="V89" s="196">
        <f t="shared" si="38"/>
        <v>0</v>
      </c>
      <c r="W89" s="196">
        <f t="shared" si="38"/>
        <v>129130</v>
      </c>
      <c r="X89" s="196">
        <f t="shared" si="38"/>
        <v>0</v>
      </c>
      <c r="Y89" s="196">
        <f t="shared" si="38"/>
        <v>0</v>
      </c>
      <c r="Z89" s="196">
        <f t="shared" si="38"/>
        <v>0</v>
      </c>
      <c r="AA89" s="196">
        <f t="shared" si="38"/>
        <v>0</v>
      </c>
      <c r="AB89" s="196">
        <f t="shared" si="38"/>
        <v>0</v>
      </c>
      <c r="AC89" s="196">
        <f t="shared" si="38"/>
        <v>0</v>
      </c>
      <c r="AD89" s="196">
        <f t="shared" si="38"/>
        <v>0</v>
      </c>
      <c r="AE89" s="196">
        <f t="shared" si="38"/>
        <v>0</v>
      </c>
      <c r="AF89" s="196">
        <f t="shared" ref="AF89:AK89" si="39">SUM(AF86:AF88)</f>
        <v>0</v>
      </c>
      <c r="AG89" s="196">
        <f t="shared" si="39"/>
        <v>0</v>
      </c>
      <c r="AH89" s="196">
        <f t="shared" si="39"/>
        <v>0</v>
      </c>
      <c r="AI89" s="196">
        <f t="shared" si="39"/>
        <v>0</v>
      </c>
      <c r="AJ89" s="196">
        <f t="shared" si="39"/>
        <v>0</v>
      </c>
      <c r="AK89" s="196">
        <f t="shared" si="39"/>
        <v>0</v>
      </c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</row>
    <row r="90" spans="1:73" x14ac:dyDescent="0.2">
      <c r="A90" s="4"/>
      <c r="B90" s="3"/>
      <c r="F90" s="31"/>
      <c r="G90" s="31"/>
      <c r="H90" s="31"/>
      <c r="I90" s="31"/>
      <c r="K90"/>
    </row>
    <row r="91" spans="1:73" s="44" customFormat="1" ht="20.25" customHeight="1" x14ac:dyDescent="0.2">
      <c r="A91" s="192"/>
      <c r="B91" s="193"/>
      <c r="C91" s="189" t="s">
        <v>191</v>
      </c>
      <c r="D91" s="196">
        <f>+D82+D89</f>
        <v>0</v>
      </c>
      <c r="E91" s="196">
        <f t="shared" ref="E91:AE91" si="40">+E82+E89</f>
        <v>304368</v>
      </c>
      <c r="F91" s="196">
        <f t="shared" si="40"/>
        <v>0</v>
      </c>
      <c r="G91" s="196">
        <f t="shared" si="40"/>
        <v>176228</v>
      </c>
      <c r="H91" s="196">
        <f t="shared" si="40"/>
        <v>0</v>
      </c>
      <c r="I91" s="196">
        <f t="shared" si="40"/>
        <v>-140148</v>
      </c>
      <c r="J91" s="196">
        <f t="shared" si="40"/>
        <v>0</v>
      </c>
      <c r="K91" s="196">
        <f t="shared" si="40"/>
        <v>15705</v>
      </c>
      <c r="L91" s="196">
        <f t="shared" si="40"/>
        <v>0</v>
      </c>
      <c r="M91" s="196">
        <f t="shared" si="40"/>
        <v>604295</v>
      </c>
      <c r="N91" s="196">
        <f t="shared" si="40"/>
        <v>0</v>
      </c>
      <c r="O91" s="196">
        <f t="shared" si="40"/>
        <v>140148</v>
      </c>
      <c r="P91" s="196">
        <f t="shared" si="40"/>
        <v>0</v>
      </c>
      <c r="Q91" s="196">
        <f t="shared" si="40"/>
        <v>0</v>
      </c>
      <c r="R91" s="196">
        <f t="shared" si="40"/>
        <v>0</v>
      </c>
      <c r="S91" s="196">
        <f t="shared" si="40"/>
        <v>0</v>
      </c>
      <c r="T91" s="196">
        <f t="shared" si="40"/>
        <v>0</v>
      </c>
      <c r="U91" s="196">
        <f t="shared" si="40"/>
        <v>-620000</v>
      </c>
      <c r="V91" s="196">
        <f t="shared" si="40"/>
        <v>0</v>
      </c>
      <c r="W91" s="196">
        <f t="shared" si="40"/>
        <v>128140</v>
      </c>
      <c r="X91" s="196">
        <f t="shared" si="40"/>
        <v>0</v>
      </c>
      <c r="Y91" s="196">
        <f t="shared" si="40"/>
        <v>0</v>
      </c>
      <c r="Z91" s="196">
        <f t="shared" si="40"/>
        <v>0</v>
      </c>
      <c r="AA91" s="196">
        <f t="shared" si="40"/>
        <v>0</v>
      </c>
      <c r="AB91" s="196">
        <f t="shared" si="40"/>
        <v>0</v>
      </c>
      <c r="AC91" s="196">
        <f t="shared" si="40"/>
        <v>0</v>
      </c>
      <c r="AD91" s="196">
        <f t="shared" si="40"/>
        <v>0</v>
      </c>
      <c r="AE91" s="196">
        <f t="shared" si="40"/>
        <v>0</v>
      </c>
      <c r="AF91" s="196">
        <f t="shared" ref="AF91:AK91" si="41">+AF82+AF89</f>
        <v>0</v>
      </c>
      <c r="AG91" s="196">
        <f t="shared" si="41"/>
        <v>0</v>
      </c>
      <c r="AH91" s="196">
        <f t="shared" si="41"/>
        <v>0</v>
      </c>
      <c r="AI91" s="196">
        <f t="shared" si="41"/>
        <v>0</v>
      </c>
      <c r="AJ91" s="196">
        <f t="shared" si="41"/>
        <v>0</v>
      </c>
      <c r="AK91" s="196">
        <f t="shared" si="41"/>
        <v>0</v>
      </c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10" activePane="bottomRight" state="frozen"/>
      <selection activeCell="AC651" sqref="AC651"/>
      <selection pane="topRight" activeCell="AC651" sqref="AC651"/>
      <selection pane="bottomLeft" activeCell="AC651" sqref="AC651"/>
      <selection pane="bottomRight" activeCell="AC651" sqref="AC65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'CE-FLSH'!L11</f>
        <v>44934747</v>
      </c>
      <c r="E11" s="66">
        <f>'CE-FLSH'!M11</f>
        <v>81138704</v>
      </c>
      <c r="F11" s="60">
        <f>CE_GL!D11</f>
        <v>44681847</v>
      </c>
      <c r="G11" s="38">
        <f>CE_GL!E11</f>
        <v>94052452.710000008</v>
      </c>
      <c r="H11" s="60">
        <f>F11-D11</f>
        <v>-252900</v>
      </c>
      <c r="I11" s="38">
        <f>G11-E11</f>
        <v>12913748.710000008</v>
      </c>
    </row>
    <row r="12" spans="1:22" x14ac:dyDescent="0.2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-9962194.8699999992</v>
      </c>
      <c r="H12" s="60">
        <f>F12-D12</f>
        <v>0</v>
      </c>
      <c r="I12" s="38">
        <f>G12-E12</f>
        <v>-9962194.8699999992</v>
      </c>
    </row>
    <row r="13" spans="1:22" x14ac:dyDescent="0.2">
      <c r="A13" s="9">
        <v>3</v>
      </c>
      <c r="B13" s="7"/>
      <c r="C13" s="18" t="s">
        <v>31</v>
      </c>
      <c r="D13" s="65">
        <f>'CE-FLSH'!L13</f>
        <v>15160831</v>
      </c>
      <c r="E13" s="66">
        <f>'CE-FLSH'!M13</f>
        <v>26741159</v>
      </c>
      <c r="F13" s="60">
        <f>CE_GL!D13</f>
        <v>14314155</v>
      </c>
      <c r="G13" s="38">
        <f>CE_GL!E13</f>
        <v>25175609</v>
      </c>
      <c r="H13" s="60">
        <f t="shared" ref="H13:I15" si="0">F13-D13</f>
        <v>-846676</v>
      </c>
      <c r="I13" s="38">
        <f t="shared" si="0"/>
        <v>-1565550</v>
      </c>
    </row>
    <row r="14" spans="1:22" x14ac:dyDescent="0.2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-3043675.7</v>
      </c>
      <c r="H15" s="60">
        <f t="shared" si="0"/>
        <v>0</v>
      </c>
      <c r="I15" s="38">
        <f t="shared" si="0"/>
        <v>-3043675.7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60095578</v>
      </c>
      <c r="E16" s="39">
        <f t="shared" si="1"/>
        <v>107879863</v>
      </c>
      <c r="F16" s="61">
        <f t="shared" si="1"/>
        <v>58996002</v>
      </c>
      <c r="G16" s="39">
        <f t="shared" si="1"/>
        <v>106222191.14</v>
      </c>
      <c r="H16" s="61">
        <f t="shared" si="1"/>
        <v>-1099576</v>
      </c>
      <c r="I16" s="39">
        <f t="shared" si="1"/>
        <v>-1657671.859999991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'CE-FLSH'!L19</f>
        <v>-37048464</v>
      </c>
      <c r="E19" s="66">
        <f>'CE-FLSH'!M19</f>
        <v>-66159116</v>
      </c>
      <c r="F19" s="60">
        <f>CE_GL!D19</f>
        <v>-45082549</v>
      </c>
      <c r="G19" s="38">
        <f>CE_GL!E19</f>
        <v>-79723326.00999999</v>
      </c>
      <c r="H19" s="60">
        <f>F19-D19</f>
        <v>-8034085</v>
      </c>
      <c r="I19" s="38">
        <f>G19-E19</f>
        <v>-13564210.00999999</v>
      </c>
    </row>
    <row r="20" spans="1:9" x14ac:dyDescent="0.2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213876.88</v>
      </c>
      <c r="H20" s="60">
        <f>F20-D20</f>
        <v>0</v>
      </c>
      <c r="I20" s="38">
        <f>G20-E20</f>
        <v>213876.88</v>
      </c>
    </row>
    <row r="21" spans="1:9" x14ac:dyDescent="0.2">
      <c r="A21" s="9">
        <v>8</v>
      </c>
      <c r="B21" s="7"/>
      <c r="C21" s="18" t="s">
        <v>31</v>
      </c>
      <c r="D21" s="65">
        <f>'CE-FLSH'!L21</f>
        <v>-23344043</v>
      </c>
      <c r="E21" s="66">
        <f>'CE-FLSH'!M21</f>
        <v>-40617148</v>
      </c>
      <c r="F21" s="60">
        <f>CE_GL!D21</f>
        <v>-15162621</v>
      </c>
      <c r="G21" s="38">
        <f>CE_GL!E21</f>
        <v>-26636734</v>
      </c>
      <c r="H21" s="60">
        <f t="shared" ref="H21:I23" si="2">F21-D21</f>
        <v>8181422</v>
      </c>
      <c r="I21" s="38">
        <f t="shared" si="2"/>
        <v>13980414</v>
      </c>
    </row>
    <row r="22" spans="1:9" x14ac:dyDescent="0.2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'CE-FLSH'!L23</f>
        <v>319974</v>
      </c>
      <c r="E23" s="66">
        <f>'CE-FLSH'!M23</f>
        <v>544806</v>
      </c>
      <c r="F23" s="60">
        <f>CE_GL!D23</f>
        <v>212651</v>
      </c>
      <c r="G23" s="38">
        <f>CE_GL!E23</f>
        <v>381708.5500000001</v>
      </c>
      <c r="H23" s="60">
        <f t="shared" si="2"/>
        <v>-107323</v>
      </c>
      <c r="I23" s="38">
        <f t="shared" si="2"/>
        <v>-163097.4499999999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-60072533</v>
      </c>
      <c r="E24" s="39">
        <f t="shared" si="3"/>
        <v>-106231458</v>
      </c>
      <c r="F24" s="61">
        <f t="shared" si="3"/>
        <v>-60032519</v>
      </c>
      <c r="G24" s="39">
        <f t="shared" si="3"/>
        <v>-105764474.58</v>
      </c>
      <c r="H24" s="61">
        <f t="shared" si="3"/>
        <v>40014</v>
      </c>
      <c r="I24" s="39">
        <f t="shared" si="3"/>
        <v>466983.42000001046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337409</v>
      </c>
      <c r="G27" s="38">
        <f>CE_GL!E27</f>
        <v>598943.06999999995</v>
      </c>
      <c r="H27" s="60">
        <f>F27-D27</f>
        <v>337409</v>
      </c>
      <c r="I27" s="38">
        <f>G27-E27</f>
        <v>598943.06999999995</v>
      </c>
    </row>
    <row r="28" spans="1:9" x14ac:dyDescent="0.2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-613076</v>
      </c>
      <c r="G28" s="38">
        <f>CE_GL!E28</f>
        <v>-1110780.1499999999</v>
      </c>
      <c r="H28" s="60">
        <f>F28-D28</f>
        <v>-613076</v>
      </c>
      <c r="I28" s="38">
        <f>G28-E28</f>
        <v>-1110780.1499999999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-275667</v>
      </c>
      <c r="G29" s="70">
        <f t="shared" si="4"/>
        <v>-511837.07999999996</v>
      </c>
      <c r="H29" s="69">
        <f t="shared" si="4"/>
        <v>-275667</v>
      </c>
      <c r="I29" s="70">
        <f t="shared" si="4"/>
        <v>-511837.07999999996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'CE-FLSH'!L32</f>
        <v>3305327</v>
      </c>
      <c r="E32" s="66">
        <f>'CE-FLSH'!M32</f>
        <v>6039892</v>
      </c>
      <c r="F32" s="60">
        <f>CE_GL!D32</f>
        <v>-10799</v>
      </c>
      <c r="G32" s="38">
        <f>CE_GL!E32</f>
        <v>-19385.005000000023</v>
      </c>
      <c r="H32" s="60">
        <f>F32-D32</f>
        <v>-3316126</v>
      </c>
      <c r="I32" s="38">
        <f>G32-E32</f>
        <v>-6059277.0049999999</v>
      </c>
    </row>
    <row r="33" spans="1:9" x14ac:dyDescent="0.2">
      <c r="A33" s="9">
        <v>14</v>
      </c>
      <c r="B33" s="7"/>
      <c r="C33" s="18" t="s">
        <v>44</v>
      </c>
      <c r="D33" s="65">
        <f>'CE-FLSH'!L33</f>
        <v>-3353971</v>
      </c>
      <c r="E33" s="66">
        <f>'CE-FLSH'!M33</f>
        <v>-6027879.4058935335</v>
      </c>
      <c r="F33" s="60">
        <f>CE_GL!D33</f>
        <v>-5188</v>
      </c>
      <c r="G33" s="38">
        <f>CE_GL!E33</f>
        <v>-8789.18</v>
      </c>
      <c r="H33" s="60">
        <f t="shared" ref="H33:I35" si="5">F33-D33</f>
        <v>3348783</v>
      </c>
      <c r="I33" s="38">
        <f t="shared" si="5"/>
        <v>6019090.2258935338</v>
      </c>
    </row>
    <row r="34" spans="1:9" x14ac:dyDescent="0.2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27813</v>
      </c>
      <c r="G34" s="38">
        <f>CE_GL!E34</f>
        <v>20460.309999999998</v>
      </c>
      <c r="H34" s="60">
        <f t="shared" si="5"/>
        <v>27813</v>
      </c>
      <c r="I34" s="38">
        <f t="shared" si="5"/>
        <v>20460.309999999998</v>
      </c>
    </row>
    <row r="35" spans="1:9" x14ac:dyDescent="0.2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415138</v>
      </c>
      <c r="G35" s="38">
        <f>CE_GL!E35</f>
        <v>707028.11</v>
      </c>
      <c r="H35" s="60">
        <f t="shared" si="5"/>
        <v>415138</v>
      </c>
      <c r="I35" s="38">
        <f t="shared" si="5"/>
        <v>707028.11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-48644</v>
      </c>
      <c r="E36" s="39">
        <f t="shared" si="6"/>
        <v>12012.594106466509</v>
      </c>
      <c r="F36" s="61">
        <f t="shared" si="6"/>
        <v>426964</v>
      </c>
      <c r="G36" s="39">
        <f t="shared" si="6"/>
        <v>699314.23499999999</v>
      </c>
      <c r="H36" s="61">
        <f t="shared" si="6"/>
        <v>475608</v>
      </c>
      <c r="I36" s="39">
        <f t="shared" si="6"/>
        <v>687301.64089353383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'CE-FLSH'!L39</f>
        <v>103162</v>
      </c>
      <c r="E39" s="66">
        <f>'CE-FLSH'!M39</f>
        <v>183113</v>
      </c>
      <c r="F39" s="60">
        <f>CE_GL!D39</f>
        <v>87224</v>
      </c>
      <c r="G39" s="38">
        <f>CE_GL!E39</f>
        <v>156567.09</v>
      </c>
      <c r="H39" s="60">
        <f t="shared" ref="H39:I41" si="7">F39-D39</f>
        <v>-15938</v>
      </c>
      <c r="I39" s="38">
        <f t="shared" si="7"/>
        <v>-26545.910000000003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'CE-FLSH'!L40</f>
        <v>-21803</v>
      </c>
      <c r="E40" s="66">
        <f>'CE-FLSH'!M40</f>
        <v>-38374</v>
      </c>
      <c r="F40" s="60">
        <f>CE_GL!D40</f>
        <v>39511</v>
      </c>
      <c r="G40" s="38">
        <f>CE_GL!E40</f>
        <v>0</v>
      </c>
      <c r="H40" s="60">
        <f t="shared" si="7"/>
        <v>61314</v>
      </c>
      <c r="I40" s="38">
        <f t="shared" si="7"/>
        <v>38374</v>
      </c>
    </row>
    <row r="41" spans="1:9" x14ac:dyDescent="0.2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-21803</v>
      </c>
      <c r="E42" s="70">
        <f t="shared" si="8"/>
        <v>-38374</v>
      </c>
      <c r="F42" s="69">
        <f t="shared" si="8"/>
        <v>39511</v>
      </c>
      <c r="G42" s="70">
        <f t="shared" si="8"/>
        <v>0</v>
      </c>
      <c r="H42" s="69">
        <f t="shared" si="8"/>
        <v>61314</v>
      </c>
      <c r="I42" s="70">
        <f t="shared" si="8"/>
        <v>38374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81359</v>
      </c>
      <c r="E43" s="39">
        <f t="shared" si="9"/>
        <v>144739</v>
      </c>
      <c r="F43" s="61">
        <f t="shared" si="9"/>
        <v>126735</v>
      </c>
      <c r="G43" s="39">
        <f t="shared" si="9"/>
        <v>156567.09</v>
      </c>
      <c r="H43" s="61">
        <f t="shared" si="9"/>
        <v>45376</v>
      </c>
      <c r="I43" s="39">
        <f t="shared" si="9"/>
        <v>11828.089999999997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758485</v>
      </c>
      <c r="G49" s="38">
        <f>CE_GL!E49</f>
        <v>1361083.105</v>
      </c>
      <c r="H49" s="60">
        <f>F49-D49</f>
        <v>758485</v>
      </c>
      <c r="I49" s="38">
        <f>G49-E49</f>
        <v>1361083.105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'CE-FLSH'!L51</f>
        <v>-319974</v>
      </c>
      <c r="E51" s="66">
        <f>'CE-FLSH'!M51</f>
        <v>-544806</v>
      </c>
      <c r="F51" s="60">
        <f>CE_GL!D51</f>
        <v>-212651</v>
      </c>
      <c r="G51" s="38">
        <f>CE_GL!E51</f>
        <v>-381708.5500000001</v>
      </c>
      <c r="H51" s="60">
        <f>F51-D51</f>
        <v>107323</v>
      </c>
      <c r="I51" s="38">
        <f>G51-E51</f>
        <v>163097.4499999999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-111994</v>
      </c>
      <c r="F54" s="60">
        <f>CE_GL!D54</f>
        <v>-13277425</v>
      </c>
      <c r="G54" s="38">
        <f>CE_GL!E54</f>
        <v>-863495.22</v>
      </c>
      <c r="H54" s="60">
        <f>F54-D54</f>
        <v>-13277425</v>
      </c>
      <c r="I54" s="38">
        <f>G54-E54</f>
        <v>-751501.22</v>
      </c>
    </row>
    <row r="55" spans="1:9" x14ac:dyDescent="0.2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-1755333</v>
      </c>
      <c r="F55" s="60">
        <f>CE_GL!D55</f>
        <v>0</v>
      </c>
      <c r="G55" s="38">
        <f>CE_GL!E55</f>
        <v>-2122112.1599999997</v>
      </c>
      <c r="H55" s="60">
        <f>F55-D55</f>
        <v>0</v>
      </c>
      <c r="I55" s="38">
        <f>G55-E55</f>
        <v>-366779.15999999968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-1867327</v>
      </c>
      <c r="F56" s="61">
        <f t="shared" si="10"/>
        <v>-13277425</v>
      </c>
      <c r="G56" s="39">
        <f t="shared" si="10"/>
        <v>-2985607.38</v>
      </c>
      <c r="H56" s="61">
        <f t="shared" si="10"/>
        <v>-13277425</v>
      </c>
      <c r="I56" s="39">
        <f t="shared" si="10"/>
        <v>-1118280.3799999997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2345878</v>
      </c>
      <c r="F70" s="60">
        <f>CE_GL!D70</f>
        <v>0</v>
      </c>
      <c r="G70" s="38">
        <f>CE_GL!E70</f>
        <v>1012601</v>
      </c>
      <c r="H70" s="60">
        <f>F70-D70</f>
        <v>0</v>
      </c>
      <c r="I70" s="38">
        <f>G70-E70</f>
        <v>-1333277</v>
      </c>
    </row>
    <row r="71" spans="1:9" x14ac:dyDescent="0.2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-1540441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1540441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805437</v>
      </c>
      <c r="F72" s="69">
        <f t="shared" si="13"/>
        <v>0</v>
      </c>
      <c r="G72" s="70">
        <f t="shared" si="13"/>
        <v>1012601</v>
      </c>
      <c r="H72" s="69">
        <f t="shared" si="13"/>
        <v>0</v>
      </c>
      <c r="I72" s="70">
        <f t="shared" si="13"/>
        <v>207164</v>
      </c>
    </row>
    <row r="73" spans="1:9" x14ac:dyDescent="0.2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-1058947.8445764706</v>
      </c>
      <c r="F74" s="60">
        <f>CE_GL!D74</f>
        <v>0</v>
      </c>
      <c r="G74" s="38">
        <f>CE_GL!E74</f>
        <v>-763897.26</v>
      </c>
      <c r="H74" s="60">
        <f t="shared" ref="H74:I79" si="14">F74-D74</f>
        <v>0</v>
      </c>
      <c r="I74" s="38">
        <f t="shared" si="14"/>
        <v>295050.58457647054</v>
      </c>
    </row>
    <row r="75" spans="1:9" x14ac:dyDescent="0.2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57171</v>
      </c>
      <c r="F75" s="60">
        <f>CE_GL!D75</f>
        <v>0</v>
      </c>
      <c r="G75" s="38">
        <f>CE_GL!E75</f>
        <v>57200</v>
      </c>
      <c r="H75" s="60">
        <f t="shared" si="14"/>
        <v>0</v>
      </c>
      <c r="I75" s="38">
        <f t="shared" si="14"/>
        <v>29</v>
      </c>
    </row>
    <row r="76" spans="1:9" x14ac:dyDescent="0.2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-3775</v>
      </c>
      <c r="F76" s="60">
        <f>CE_GL!D76</f>
        <v>0</v>
      </c>
      <c r="G76" s="38">
        <f>CE_GL!E76</f>
        <v>-4337.63</v>
      </c>
      <c r="H76" s="60">
        <f t="shared" si="14"/>
        <v>0</v>
      </c>
      <c r="I76" s="38">
        <f t="shared" si="14"/>
        <v>-562.63000000000011</v>
      </c>
    </row>
    <row r="77" spans="1:9" x14ac:dyDescent="0.2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1129931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-1129931</v>
      </c>
    </row>
    <row r="80" spans="1:9" x14ac:dyDescent="0.2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0</v>
      </c>
      <c r="F81" s="60">
        <f>CE_GL!D81</f>
        <v>0</v>
      </c>
      <c r="G81" s="38">
        <f>CE_GL!E81</f>
        <v>875475.91</v>
      </c>
      <c r="H81" s="60">
        <f>F81-D81</f>
        <v>0</v>
      </c>
      <c r="I81" s="38">
        <f>G81-E81</f>
        <v>875475.91</v>
      </c>
    </row>
    <row r="82" spans="1:63" s="44" customFormat="1" ht="20.25" customHeight="1" thickBot="1" x14ac:dyDescent="0.3">
      <c r="A82" s="40"/>
      <c r="B82" s="41"/>
      <c r="C82" s="42" t="s">
        <v>83</v>
      </c>
      <c r="D82" s="71">
        <f>D16+D24+D29+D36+D43+D45+D47+D49</f>
        <v>55760</v>
      </c>
      <c r="E82" s="72">
        <f>SUM(E72:E81)+E16+E24+E29+E36+E43+E45+E47+E49+E51+E56+E61+E66</f>
        <v>322839.7495299885</v>
      </c>
      <c r="F82" s="71">
        <f>F16+F24+F29+F36+F43+F45+F47+F49</f>
        <v>0</v>
      </c>
      <c r="G82" s="72">
        <f>SUM(G72:G81)+G16+G24+G29+G36+G43+G45+G47+G49+G51+G56+G61+G66</f>
        <v>-27430.000000002328</v>
      </c>
      <c r="H82" s="71">
        <f>H16+H24+H29+H36+H43+H45+H47+H49</f>
        <v>-55760</v>
      </c>
      <c r="I82" s="72">
        <f>SUM(I72:I81)+I16+I24+I29+I36+I43+I45+I47+I49+I51+I56+I61+I66</f>
        <v>-350269.74952997593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J9" sqref="J9"/>
      <selection pane="topRight" activeCell="J9" sqref="J9"/>
      <selection pane="bottomLeft" activeCell="J9" sqref="J9"/>
      <selection pane="bottomRight" activeCell="C8" sqref="C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'NE-FLSH'!L11</f>
        <v>93951748</v>
      </c>
      <c r="E11" s="66">
        <f>'NE-FLSH'!M11</f>
        <v>168966082</v>
      </c>
      <c r="F11" s="60">
        <f>NE_GL!D11</f>
        <v>101715521</v>
      </c>
      <c r="G11" s="38">
        <f>NE_GL!E11</f>
        <v>219252310.66000003</v>
      </c>
      <c r="H11" s="60">
        <f>F11-D11</f>
        <v>7763773</v>
      </c>
      <c r="I11" s="38">
        <f>G11-E11</f>
        <v>50286228.660000026</v>
      </c>
    </row>
    <row r="12" spans="1:22" x14ac:dyDescent="0.2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-10594664.110000001</v>
      </c>
      <c r="H12" s="60">
        <f>F12-D12</f>
        <v>0</v>
      </c>
      <c r="I12" s="38">
        <f>G12-E12</f>
        <v>-10594664.110000001</v>
      </c>
    </row>
    <row r="13" spans="1:22" x14ac:dyDescent="0.2">
      <c r="A13" s="9">
        <v>3</v>
      </c>
      <c r="B13" s="7"/>
      <c r="C13" s="18" t="s">
        <v>31</v>
      </c>
      <c r="D13" s="65">
        <f>'NE-FLSH'!L13</f>
        <v>63965777</v>
      </c>
      <c r="E13" s="66">
        <f>'NE-FLSH'!M13</f>
        <v>119726634.42029975</v>
      </c>
      <c r="F13" s="60">
        <f>NE_GL!D13</f>
        <v>51679271</v>
      </c>
      <c r="G13" s="38">
        <f>NE_GL!E13</f>
        <v>98255083</v>
      </c>
      <c r="H13" s="60">
        <f t="shared" ref="H13:I15" si="0">F13-D13</f>
        <v>-12286506</v>
      </c>
      <c r="I13" s="38">
        <f t="shared" si="0"/>
        <v>-21471551.420299754</v>
      </c>
    </row>
    <row r="14" spans="1:22" x14ac:dyDescent="0.2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88910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-88910</v>
      </c>
    </row>
    <row r="15" spans="1:22" x14ac:dyDescent="0.2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157917525</v>
      </c>
      <c r="E16" s="39">
        <f t="shared" si="1"/>
        <v>288781626.42029977</v>
      </c>
      <c r="F16" s="61">
        <f t="shared" si="1"/>
        <v>153394792</v>
      </c>
      <c r="G16" s="39">
        <f t="shared" si="1"/>
        <v>306912729.55000001</v>
      </c>
      <c r="H16" s="61">
        <f t="shared" si="1"/>
        <v>-4522733</v>
      </c>
      <c r="I16" s="39">
        <f t="shared" si="1"/>
        <v>18131103.129700273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'NE-FLSH'!L19</f>
        <v>-94462979</v>
      </c>
      <c r="E19" s="66">
        <f>'NE-FLSH'!M19</f>
        <v>-171418036</v>
      </c>
      <c r="F19" s="60">
        <f>NE_GL!D19</f>
        <v>-100742104</v>
      </c>
      <c r="G19" s="38">
        <f>NE_GL!E19</f>
        <v>-190049504.99000001</v>
      </c>
      <c r="H19" s="60">
        <f>F19-D19</f>
        <v>-6279125</v>
      </c>
      <c r="I19" s="38">
        <f>G19-E19</f>
        <v>-18631468.99000001</v>
      </c>
    </row>
    <row r="20" spans="1:9" x14ac:dyDescent="0.2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3776970.28</v>
      </c>
      <c r="H20" s="60">
        <f>F20-D20</f>
        <v>0</v>
      </c>
      <c r="I20" s="38">
        <f>G20-E20</f>
        <v>3776970.28</v>
      </c>
    </row>
    <row r="21" spans="1:9" x14ac:dyDescent="0.2">
      <c r="A21" s="9">
        <v>8</v>
      </c>
      <c r="B21" s="7"/>
      <c r="C21" s="18" t="s">
        <v>31</v>
      </c>
      <c r="D21" s="65">
        <f>'NE-FLSH'!L21</f>
        <v>-55713434</v>
      </c>
      <c r="E21" s="66">
        <f>'NE-FLSH'!M21</f>
        <v>-106066009</v>
      </c>
      <c r="F21" s="60">
        <f>NE_GL!D21</f>
        <v>-50191436</v>
      </c>
      <c r="G21" s="38">
        <f>NE_GL!E21</f>
        <v>-95514268</v>
      </c>
      <c r="H21" s="60">
        <f t="shared" ref="H21:I23" si="2">F21-D21</f>
        <v>5521998</v>
      </c>
      <c r="I21" s="38">
        <f t="shared" si="2"/>
        <v>10551741</v>
      </c>
    </row>
    <row r="22" spans="1:9" x14ac:dyDescent="0.2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'NE-FLSH'!L23</f>
        <v>627064</v>
      </c>
      <c r="E23" s="66">
        <f>'NE-FLSH'!M23</f>
        <v>1144342</v>
      </c>
      <c r="F23" s="60">
        <f>NE_GL!D23</f>
        <v>895129</v>
      </c>
      <c r="G23" s="38">
        <f>NE_GL!E23</f>
        <v>1600490.656</v>
      </c>
      <c r="H23" s="60">
        <f t="shared" si="2"/>
        <v>268065</v>
      </c>
      <c r="I23" s="38">
        <f t="shared" si="2"/>
        <v>456148.65599999996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-149549349</v>
      </c>
      <c r="E24" s="39">
        <f t="shared" si="3"/>
        <v>-276339703</v>
      </c>
      <c r="F24" s="61">
        <f t="shared" si="3"/>
        <v>-150038411</v>
      </c>
      <c r="G24" s="39">
        <f t="shared" si="3"/>
        <v>-280186312.05400002</v>
      </c>
      <c r="H24" s="61">
        <f t="shared" si="3"/>
        <v>-489062</v>
      </c>
      <c r="I24" s="39">
        <f t="shared" si="3"/>
        <v>-3846609.0540000102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'NE-FLSH'!L27</f>
        <v>-842723</v>
      </c>
      <c r="E27" s="66">
        <f>'NE-FLSH'!M27</f>
        <v>-1517548</v>
      </c>
      <c r="F27" s="60">
        <f>NE_GL!D27</f>
        <v>8074037</v>
      </c>
      <c r="G27" s="38">
        <f>NE_GL!E27</f>
        <v>14398794.130000001</v>
      </c>
      <c r="H27" s="60">
        <f>F27-D27</f>
        <v>8916760</v>
      </c>
      <c r="I27" s="38">
        <f>G27-E27</f>
        <v>15916342.130000001</v>
      </c>
    </row>
    <row r="28" spans="1:9" x14ac:dyDescent="0.2">
      <c r="A28" s="9">
        <v>12</v>
      </c>
      <c r="B28" s="7"/>
      <c r="C28" s="18" t="s">
        <v>40</v>
      </c>
      <c r="D28" s="65">
        <f>'NE-FLSH'!L28</f>
        <v>922792</v>
      </c>
      <c r="E28" s="66">
        <f>'NE-FLSH'!M28</f>
        <v>1649530</v>
      </c>
      <c r="F28" s="60">
        <f>NE_GL!D28</f>
        <v>-1763144</v>
      </c>
      <c r="G28" s="38">
        <f>NE_GL!E28</f>
        <v>-3119865.53</v>
      </c>
      <c r="H28" s="60">
        <f>F28-D28</f>
        <v>-2685936</v>
      </c>
      <c r="I28" s="38">
        <f>G28-E28</f>
        <v>-4769395.5299999993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80069</v>
      </c>
      <c r="E29" s="70">
        <f t="shared" si="4"/>
        <v>131982</v>
      </c>
      <c r="F29" s="69">
        <f t="shared" si="4"/>
        <v>6310893</v>
      </c>
      <c r="G29" s="70">
        <f t="shared" si="4"/>
        <v>11278928.600000001</v>
      </c>
      <c r="H29" s="69">
        <f t="shared" si="4"/>
        <v>6230824</v>
      </c>
      <c r="I29" s="70">
        <f t="shared" si="4"/>
        <v>11146946.600000001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'NE-FLSH'!L32</f>
        <v>226478</v>
      </c>
      <c r="E32" s="66">
        <f>'NE-FLSH'!M32</f>
        <v>427573</v>
      </c>
      <c r="F32" s="60">
        <f>NE_GL!D32</f>
        <v>-93357</v>
      </c>
      <c r="G32" s="38">
        <f>NE_GL!E32</f>
        <v>-166921.66299999997</v>
      </c>
      <c r="H32" s="60">
        <f>F32-D32</f>
        <v>-319835</v>
      </c>
      <c r="I32" s="38">
        <f>G32-E32</f>
        <v>-594494.66299999994</v>
      </c>
    </row>
    <row r="33" spans="1:9" x14ac:dyDescent="0.2">
      <c r="A33" s="9">
        <v>14</v>
      </c>
      <c r="B33" s="7"/>
      <c r="C33" s="18" t="s">
        <v>44</v>
      </c>
      <c r="D33" s="65">
        <f>'NE-FLSH'!L33</f>
        <v>-360353</v>
      </c>
      <c r="E33" s="66">
        <f>'NE-FLSH'!M33</f>
        <v>-666916.89810825116</v>
      </c>
      <c r="F33" s="60">
        <f>NE_GL!D33</f>
        <v>-103065</v>
      </c>
      <c r="G33" s="38">
        <f>NE_GL!E33</f>
        <v>-179112.48</v>
      </c>
      <c r="H33" s="60">
        <f t="shared" ref="H33:I35" si="5">F33-D33</f>
        <v>257288</v>
      </c>
      <c r="I33" s="38">
        <f t="shared" si="5"/>
        <v>487804.41810825118</v>
      </c>
    </row>
    <row r="34" spans="1:9" x14ac:dyDescent="0.2">
      <c r="A34" s="9">
        <v>15</v>
      </c>
      <c r="B34" s="7"/>
      <c r="C34" s="18" t="s">
        <v>45</v>
      </c>
      <c r="D34" s="65">
        <f>'NE-FLSH'!L34</f>
        <v>488068</v>
      </c>
      <c r="E34" s="66">
        <f>'NE-FLSH'!M34</f>
        <v>855329</v>
      </c>
      <c r="F34" s="60">
        <f>NE_GL!D34</f>
        <v>202782</v>
      </c>
      <c r="G34" s="38">
        <f>NE_GL!E34</f>
        <v>350711.18999999994</v>
      </c>
      <c r="H34" s="60">
        <f t="shared" si="5"/>
        <v>-285286</v>
      </c>
      <c r="I34" s="38">
        <f t="shared" si="5"/>
        <v>-504617.81000000006</v>
      </c>
    </row>
    <row r="35" spans="1:9" x14ac:dyDescent="0.2">
      <c r="A35" s="9">
        <v>16</v>
      </c>
      <c r="B35" s="7"/>
      <c r="C35" s="18" t="s">
        <v>46</v>
      </c>
      <c r="D35" s="65">
        <f>'NE-FLSH'!L35</f>
        <v>-238970</v>
      </c>
      <c r="E35" s="66">
        <f>'NE-FLSH'!M35</f>
        <v>-419914</v>
      </c>
      <c r="F35" s="60">
        <f>NE_GL!D35</f>
        <v>0</v>
      </c>
      <c r="G35" s="38">
        <f>NE_GL!E35</f>
        <v>-36367</v>
      </c>
      <c r="H35" s="60">
        <f t="shared" si="5"/>
        <v>238970</v>
      </c>
      <c r="I35" s="38">
        <f t="shared" si="5"/>
        <v>383547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115223</v>
      </c>
      <c r="E36" s="39">
        <f t="shared" si="6"/>
        <v>196071.10189174884</v>
      </c>
      <c r="F36" s="61">
        <f t="shared" si="6"/>
        <v>6360</v>
      </c>
      <c r="G36" s="39">
        <f t="shared" si="6"/>
        <v>-31689.953000000038</v>
      </c>
      <c r="H36" s="61">
        <f t="shared" si="6"/>
        <v>-108863</v>
      </c>
      <c r="I36" s="39">
        <f t="shared" si="6"/>
        <v>-227761.05489174882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'NE-FLSH'!L39</f>
        <v>112201</v>
      </c>
      <c r="E39" s="66">
        <f>'NE-FLSH'!M39</f>
        <v>203400</v>
      </c>
      <c r="F39" s="60">
        <f>NE_GL!D39</f>
        <v>-5666</v>
      </c>
      <c r="G39" s="38">
        <f>NE_GL!E39</f>
        <v>-13116.79</v>
      </c>
      <c r="H39" s="60">
        <f t="shared" ref="H39:I41" si="7">F39-D39</f>
        <v>-117867</v>
      </c>
      <c r="I39" s="38">
        <f t="shared" si="7"/>
        <v>-216516.79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'NE-FLSH'!L40</f>
        <v>-8395722</v>
      </c>
      <c r="E40" s="66">
        <f>'NE-FLSH'!M40</f>
        <v>-10119290</v>
      </c>
      <c r="F40" s="60">
        <f>NE_GL!D40</f>
        <v>-8999127</v>
      </c>
      <c r="G40" s="38">
        <f>NE_GL!E40</f>
        <v>-20191031.359999999</v>
      </c>
      <c r="H40" s="60">
        <f t="shared" si="7"/>
        <v>-603405</v>
      </c>
      <c r="I40" s="38">
        <f t="shared" si="7"/>
        <v>-10071741.359999999</v>
      </c>
    </row>
    <row r="41" spans="1:9" x14ac:dyDescent="0.2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117344</v>
      </c>
      <c r="H41" s="60">
        <f t="shared" si="7"/>
        <v>0</v>
      </c>
      <c r="I41" s="38">
        <f t="shared" si="7"/>
        <v>117344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-8395722</v>
      </c>
      <c r="E42" s="70">
        <f t="shared" si="8"/>
        <v>-10119290</v>
      </c>
      <c r="F42" s="69">
        <f t="shared" si="8"/>
        <v>-8999127</v>
      </c>
      <c r="G42" s="70">
        <f t="shared" si="8"/>
        <v>-20073687.359999999</v>
      </c>
      <c r="H42" s="69">
        <f t="shared" si="8"/>
        <v>-603405</v>
      </c>
      <c r="I42" s="70">
        <f t="shared" si="8"/>
        <v>-9954397.3599999994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-8283521</v>
      </c>
      <c r="E43" s="39">
        <f t="shared" si="9"/>
        <v>-9915890</v>
      </c>
      <c r="F43" s="61">
        <f t="shared" si="9"/>
        <v>-9004793</v>
      </c>
      <c r="G43" s="39">
        <f t="shared" si="9"/>
        <v>-20086804.149999999</v>
      </c>
      <c r="H43" s="61">
        <f t="shared" si="9"/>
        <v>-721272</v>
      </c>
      <c r="I43" s="39">
        <f t="shared" si="9"/>
        <v>-10170914.149999999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'NE-FLSH'!L49</f>
        <v>-190556</v>
      </c>
      <c r="E49" s="66">
        <f>'NE-FLSH'!M49</f>
        <v>-337495.17154456058</v>
      </c>
      <c r="F49" s="60">
        <f>NE_GL!D49</f>
        <v>-668841</v>
      </c>
      <c r="G49" s="38">
        <f>NE_GL!E49</f>
        <v>-1196284.7279999999</v>
      </c>
      <c r="H49" s="60">
        <f>F49-D49</f>
        <v>-478285</v>
      </c>
      <c r="I49" s="38">
        <f>G49-E49</f>
        <v>-858789.55645543931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'NE-FLSH'!L51</f>
        <v>-627064</v>
      </c>
      <c r="E51" s="66">
        <f>'NE-FLSH'!M51</f>
        <v>-1196394</v>
      </c>
      <c r="F51" s="60">
        <f>NE_GL!D51</f>
        <v>-1199008</v>
      </c>
      <c r="G51" s="38">
        <f>NE_GL!E51</f>
        <v>-1600490.656</v>
      </c>
      <c r="H51" s="60">
        <f>F51-D51</f>
        <v>-571944</v>
      </c>
      <c r="I51" s="38">
        <f>G51-E51</f>
        <v>-404096.65599999996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-1086700</v>
      </c>
      <c r="F54" s="60">
        <f>NE_GL!D54</f>
        <v>-47485773</v>
      </c>
      <c r="G54" s="38">
        <f>NE_GL!E54</f>
        <v>-1135895.81</v>
      </c>
      <c r="H54" s="60">
        <f>F54-D54</f>
        <v>-47485773</v>
      </c>
      <c r="I54" s="38">
        <f>G54-E54</f>
        <v>-49195.810000000056</v>
      </c>
    </row>
    <row r="55" spans="1:9" x14ac:dyDescent="0.2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-12261836</v>
      </c>
      <c r="F55" s="60">
        <f>NE_GL!D55</f>
        <v>0</v>
      </c>
      <c r="G55" s="38">
        <f>NE_GL!E55</f>
        <v>-15285348.920000002</v>
      </c>
      <c r="H55" s="60">
        <f>F55-D55</f>
        <v>0</v>
      </c>
      <c r="I55" s="38">
        <f>G55-E55</f>
        <v>-3023512.9200000018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-13348536</v>
      </c>
      <c r="F56" s="61">
        <f t="shared" si="10"/>
        <v>-47485773</v>
      </c>
      <c r="G56" s="39">
        <f t="shared" si="10"/>
        <v>-16421244.730000002</v>
      </c>
      <c r="H56" s="61">
        <f t="shared" si="10"/>
        <v>-47485773</v>
      </c>
      <c r="I56" s="39">
        <f t="shared" si="10"/>
        <v>-3072708.7300000018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-112176.6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112176.6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-112176.6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112176.6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158915.965</v>
      </c>
      <c r="F64" s="60">
        <f>NE_GL!D64</f>
        <v>0</v>
      </c>
      <c r="G64" s="38">
        <f>NE_GL!E64</f>
        <v>27083</v>
      </c>
      <c r="H64" s="60">
        <f>F64-D64</f>
        <v>0</v>
      </c>
      <c r="I64" s="38">
        <f>G64-E64</f>
        <v>-131832.965</v>
      </c>
    </row>
    <row r="65" spans="1:9" x14ac:dyDescent="0.2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-410000</v>
      </c>
      <c r="H65" s="60">
        <f>F65-D65</f>
        <v>0</v>
      </c>
      <c r="I65" s="38">
        <f>G65-E65</f>
        <v>-410000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158915.965</v>
      </c>
      <c r="F66" s="61">
        <f t="shared" si="12"/>
        <v>0</v>
      </c>
      <c r="G66" s="39">
        <f t="shared" si="12"/>
        <v>-382917</v>
      </c>
      <c r="H66" s="61">
        <f t="shared" si="12"/>
        <v>0</v>
      </c>
      <c r="I66" s="39">
        <f t="shared" si="12"/>
        <v>-541832.96499999997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-2435307.935000001</v>
      </c>
      <c r="F70" s="60">
        <f>NE_GL!D70</f>
        <v>0</v>
      </c>
      <c r="G70" s="38">
        <f>NE_GL!E70</f>
        <v>-3030699.9600000009</v>
      </c>
      <c r="H70" s="60">
        <f>F70-D70</f>
        <v>0</v>
      </c>
      <c r="I70" s="38">
        <f>G70-E70</f>
        <v>-595392.02499999991</v>
      </c>
    </row>
    <row r="71" spans="1:9" x14ac:dyDescent="0.2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3892110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-3892110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1456802.064999999</v>
      </c>
      <c r="F72" s="69">
        <f t="shared" si="13"/>
        <v>0</v>
      </c>
      <c r="G72" s="70">
        <f t="shared" si="13"/>
        <v>-3030699.9600000009</v>
      </c>
      <c r="H72" s="69">
        <f t="shared" si="13"/>
        <v>0</v>
      </c>
      <c r="I72" s="70">
        <f t="shared" si="13"/>
        <v>-4487502.0250000004</v>
      </c>
    </row>
    <row r="73" spans="1:9" x14ac:dyDescent="0.2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5713</v>
      </c>
      <c r="F74" s="60">
        <f>NE_GL!D74</f>
        <v>0</v>
      </c>
      <c r="G74" s="38">
        <f>NE_GL!E74</f>
        <v>6332587.0399999991</v>
      </c>
      <c r="H74" s="60">
        <f t="shared" ref="H74:I79" si="14">F74-D74</f>
        <v>0</v>
      </c>
      <c r="I74" s="38">
        <f t="shared" si="14"/>
        <v>6326874.0399999991</v>
      </c>
    </row>
    <row r="75" spans="1:9" x14ac:dyDescent="0.2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16223.95</v>
      </c>
      <c r="F75" s="60">
        <f>NE_GL!D75</f>
        <v>0</v>
      </c>
      <c r="G75" s="38">
        <f>NE_GL!E75</f>
        <v>16300</v>
      </c>
      <c r="H75" s="60">
        <f t="shared" si="14"/>
        <v>0</v>
      </c>
      <c r="I75" s="38">
        <f t="shared" si="14"/>
        <v>76.049999999999272</v>
      </c>
    </row>
    <row r="76" spans="1:9" x14ac:dyDescent="0.2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0</v>
      </c>
      <c r="F76" s="60">
        <f>NE_GL!D76</f>
        <v>0</v>
      </c>
      <c r="G76" s="38">
        <f>NE_GL!E76</f>
        <v>-184499.99</v>
      </c>
      <c r="H76" s="60">
        <f t="shared" si="14"/>
        <v>0</v>
      </c>
      <c r="I76" s="38">
        <f t="shared" si="14"/>
        <v>-184499.99</v>
      </c>
    </row>
    <row r="77" spans="1:9" x14ac:dyDescent="0.2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1738274</v>
      </c>
      <c r="F77" s="60">
        <f>NE_GL!D77</f>
        <v>0</v>
      </c>
      <c r="G77" s="38">
        <f>NE_GL!E77</f>
        <v>-3276809</v>
      </c>
      <c r="H77" s="60">
        <f t="shared" si="14"/>
        <v>0</v>
      </c>
      <c r="I77" s="38">
        <f t="shared" si="14"/>
        <v>-5015083</v>
      </c>
    </row>
    <row r="78" spans="1:9" x14ac:dyDescent="0.2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23732.945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11753580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-11753580</v>
      </c>
    </row>
    <row r="80" spans="1:9" x14ac:dyDescent="0.2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164679.23000000001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-164679.23000000001</v>
      </c>
    </row>
    <row r="81" spans="1:9" x14ac:dyDescent="0.2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-2000000</v>
      </c>
      <c r="F81" s="60">
        <f>NE_GL!D81</f>
        <v>0</v>
      </c>
      <c r="G81" s="38">
        <f>NE_GL!E81</f>
        <v>476861.95</v>
      </c>
      <c r="H81" s="60">
        <f>F81-D81</f>
        <v>0</v>
      </c>
      <c r="I81" s="38">
        <f>G81-E81</f>
        <v>2476861.9500000002</v>
      </c>
    </row>
    <row r="82" spans="1:9" s="149" customFormat="1" ht="20.25" customHeight="1" thickBot="1" x14ac:dyDescent="0.25">
      <c r="A82" s="198"/>
      <c r="B82" s="199"/>
      <c r="C82" s="200" t="s">
        <v>83</v>
      </c>
      <c r="D82" s="117">
        <f>D16+D24+D29+D36+D43+D45+D47+D49</f>
        <v>89391</v>
      </c>
      <c r="E82" s="118">
        <f>SUM(E72:E81)+E16+E24+E29+E36+E43+E45+E47+E49+E51+E56+E61+E66</f>
        <v>1177405.9056469535</v>
      </c>
      <c r="F82" s="117">
        <f>F16+F24+F29+F36+F43+F45+F47+F49</f>
        <v>0</v>
      </c>
      <c r="G82" s="118">
        <f>SUM(G72:G81)+G16+G24+G29+G36+G43+G45+G47+G49+G51+G56+G61+G66</f>
        <v>-1380345.0809999872</v>
      </c>
      <c r="H82" s="117">
        <f>H16+H24+H29+H36+H43+H45+H47+H49</f>
        <v>-89391</v>
      </c>
      <c r="I82" s="118">
        <f>SUM(I72:I81)+I16+I24+I29+I36+I43+I45+I47+I49+I51+I56+I61+I66</f>
        <v>-2557750.986646926</v>
      </c>
    </row>
    <row r="83" spans="1:9" ht="13.5" thickTop="1" x14ac:dyDescent="0.2">
      <c r="A83" s="4"/>
      <c r="B83" s="3"/>
    </row>
    <row r="84" spans="1:9" x14ac:dyDescent="0.2">
      <c r="A84" s="4"/>
      <c r="B84" s="3"/>
    </row>
    <row r="85" spans="1:9" x14ac:dyDescent="0.2">
      <c r="A85" s="4" t="s">
        <v>195</v>
      </c>
      <c r="B85" s="3"/>
      <c r="F85" s="31"/>
      <c r="G85" s="31"/>
      <c r="H85" s="31"/>
      <c r="I85" s="31"/>
    </row>
    <row r="86" spans="1:9" x14ac:dyDescent="0.2">
      <c r="A86" s="183"/>
      <c r="B86" s="3"/>
      <c r="C86" s="10" t="s">
        <v>189</v>
      </c>
      <c r="D86" s="184">
        <f>'NE-FLSH'!L86</f>
        <v>0</v>
      </c>
      <c r="E86" s="184">
        <f>'NE-FLSH'!M86</f>
        <v>0</v>
      </c>
      <c r="F86" s="184">
        <f>NE_GL!D86</f>
        <v>0</v>
      </c>
      <c r="G86" s="184">
        <f>NE_GL!E86</f>
        <v>-6906.04</v>
      </c>
      <c r="H86" s="184">
        <f t="shared" ref="H86:I88" si="15">F86-D86</f>
        <v>0</v>
      </c>
      <c r="I86" s="184">
        <f t="shared" si="15"/>
        <v>-6906.04</v>
      </c>
    </row>
    <row r="87" spans="1:9" x14ac:dyDescent="0.2">
      <c r="A87" s="183"/>
      <c r="B87" s="3"/>
      <c r="C87" s="10" t="s">
        <v>75</v>
      </c>
      <c r="D87" s="185">
        <f>'NE-FLSH'!L87</f>
        <v>0</v>
      </c>
      <c r="E87" s="185">
        <f>'NE-FLSH'!M87</f>
        <v>0</v>
      </c>
      <c r="F87" s="185">
        <f>NE_GL!D87</f>
        <v>0</v>
      </c>
      <c r="G87" s="185">
        <f>NE_GL!E87</f>
        <v>0</v>
      </c>
      <c r="H87" s="185">
        <f t="shared" si="15"/>
        <v>0</v>
      </c>
      <c r="I87" s="185">
        <f t="shared" si="15"/>
        <v>0</v>
      </c>
    </row>
    <row r="88" spans="1:9" x14ac:dyDescent="0.2">
      <c r="A88" s="183"/>
      <c r="B88" s="3"/>
      <c r="C88" s="10" t="s">
        <v>76</v>
      </c>
      <c r="D88" s="186">
        <f>'NE-FLSH'!L88</f>
        <v>0</v>
      </c>
      <c r="E88" s="186">
        <f>'NE-FLSH'!M88</f>
        <v>0</v>
      </c>
      <c r="F88" s="186">
        <f>NE_GL!D88</f>
        <v>0</v>
      </c>
      <c r="G88" s="186">
        <f>NE_GL!E88</f>
        <v>0</v>
      </c>
      <c r="H88" s="186">
        <f t="shared" si="15"/>
        <v>0</v>
      </c>
      <c r="I88" s="186">
        <f t="shared" si="15"/>
        <v>0</v>
      </c>
    </row>
    <row r="89" spans="1:9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0</v>
      </c>
      <c r="F89" s="190">
        <f t="shared" si="16"/>
        <v>0</v>
      </c>
      <c r="G89" s="190">
        <f t="shared" si="16"/>
        <v>-6906.04</v>
      </c>
      <c r="H89" s="190">
        <f t="shared" si="16"/>
        <v>0</v>
      </c>
      <c r="I89" s="190">
        <f t="shared" si="16"/>
        <v>-6906.04</v>
      </c>
    </row>
    <row r="90" spans="1:9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9" s="149" customFormat="1" x14ac:dyDescent="0.2">
      <c r="A91" s="187"/>
      <c r="B91" s="188"/>
      <c r="C91" s="189" t="s">
        <v>191</v>
      </c>
      <c r="D91" s="190">
        <f t="shared" ref="D91:I91" si="17">+D82+D89</f>
        <v>89391</v>
      </c>
      <c r="E91" s="190">
        <f t="shared" si="17"/>
        <v>1177405.9056469535</v>
      </c>
      <c r="F91" s="190">
        <f t="shared" si="17"/>
        <v>0</v>
      </c>
      <c r="G91" s="190">
        <f t="shared" si="17"/>
        <v>-1387251.1209999872</v>
      </c>
      <c r="H91" s="190">
        <f t="shared" si="17"/>
        <v>-89391</v>
      </c>
      <c r="I91" s="190">
        <f t="shared" si="17"/>
        <v>-2564657.0266469261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'SE-LRC-FLSH'!L11</f>
        <v>8756483</v>
      </c>
      <c r="E11" s="66">
        <f>'SE-LRC-FLSH'!M11</f>
        <v>15999987</v>
      </c>
      <c r="F11" s="60">
        <f>'SE-LRC-GL'!D11</f>
        <v>8810649</v>
      </c>
      <c r="G11" s="38">
        <f>'SE-LRC-GL'!E11</f>
        <v>17116005.479999997</v>
      </c>
      <c r="H11" s="60">
        <f>F11-D11</f>
        <v>54166</v>
      </c>
      <c r="I11" s="38">
        <f>G11-E11</f>
        <v>1116018.4799999967</v>
      </c>
    </row>
    <row r="12" spans="1:22" x14ac:dyDescent="0.2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'SE-LRC-FLSH'!L13</f>
        <v>2430728</v>
      </c>
      <c r="E13" s="66">
        <f>'SE-LRC-FLSH'!M13</f>
        <v>4354318.5797002474</v>
      </c>
      <c r="F13" s="60">
        <f>'SE-LRC-GL'!D13</f>
        <v>0</v>
      </c>
      <c r="G13" s="38">
        <f>'SE-LRC-GL'!E13</f>
        <v>0</v>
      </c>
      <c r="H13" s="60">
        <f t="shared" ref="H13:I15" si="0">F13-D13</f>
        <v>-2430728</v>
      </c>
      <c r="I13" s="38">
        <f t="shared" si="0"/>
        <v>-4354318.5797002474</v>
      </c>
    </row>
    <row r="14" spans="1:22" x14ac:dyDescent="0.2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11187211</v>
      </c>
      <c r="E16" s="39">
        <f t="shared" si="1"/>
        <v>20354305.579700246</v>
      </c>
      <c r="F16" s="61">
        <f t="shared" si="1"/>
        <v>8810649</v>
      </c>
      <c r="G16" s="39">
        <f t="shared" si="1"/>
        <v>17116005.479999997</v>
      </c>
      <c r="H16" s="61">
        <f t="shared" si="1"/>
        <v>-2376562</v>
      </c>
      <c r="I16" s="39">
        <f t="shared" si="1"/>
        <v>-3238300.0997002507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'SE-LRC-FLSH'!L19</f>
        <v>-3595574</v>
      </c>
      <c r="E19" s="66">
        <f>'SE-LRC-FLSH'!M19</f>
        <v>-6362818</v>
      </c>
      <c r="F19" s="60">
        <f>'SE-LRC-GL'!D19</f>
        <v>-3643430</v>
      </c>
      <c r="G19" s="38">
        <f>'SE-LRC-GL'!E19</f>
        <v>-6449666.7599999998</v>
      </c>
      <c r="H19" s="60">
        <f>F19-D19</f>
        <v>-47856</v>
      </c>
      <c r="I19" s="38">
        <f>G19-E19</f>
        <v>-86848.759999999776</v>
      </c>
    </row>
    <row r="20" spans="1:9" x14ac:dyDescent="0.2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-1135706.29</v>
      </c>
      <c r="H20" s="60">
        <f>F20-D20</f>
        <v>0</v>
      </c>
      <c r="I20" s="38">
        <f>G20-E20</f>
        <v>-1135706.29</v>
      </c>
    </row>
    <row r="21" spans="1:9" x14ac:dyDescent="0.2">
      <c r="A21" s="9">
        <v>8</v>
      </c>
      <c r="B21" s="7"/>
      <c r="C21" s="18" t="s">
        <v>31</v>
      </c>
      <c r="D21" s="65">
        <f>'SE-LRC-FLSH'!L21</f>
        <v>-8411446</v>
      </c>
      <c r="E21" s="66">
        <f>'SE-LRC-FLSH'!M21</f>
        <v>-14851847</v>
      </c>
      <c r="F21" s="60">
        <f>'SE-LRC-GL'!D21</f>
        <v>0</v>
      </c>
      <c r="G21" s="38">
        <f>'SE-LRC-GL'!E21</f>
        <v>0</v>
      </c>
      <c r="H21" s="60">
        <f t="shared" ref="H21:I23" si="2">F21-D21</f>
        <v>8411446</v>
      </c>
      <c r="I21" s="38">
        <f t="shared" si="2"/>
        <v>14851847</v>
      </c>
    </row>
    <row r="22" spans="1:9" x14ac:dyDescent="0.2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-154</v>
      </c>
      <c r="G23" s="38">
        <f>'SE-LRC-GL'!E23</f>
        <v>2047.83</v>
      </c>
      <c r="H23" s="60">
        <f t="shared" si="2"/>
        <v>-154</v>
      </c>
      <c r="I23" s="38">
        <f t="shared" si="2"/>
        <v>2047.83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-12007020</v>
      </c>
      <c r="E24" s="39">
        <f t="shared" si="3"/>
        <v>-21214665</v>
      </c>
      <c r="F24" s="61">
        <f t="shared" si="3"/>
        <v>-3643584</v>
      </c>
      <c r="G24" s="39">
        <f t="shared" si="3"/>
        <v>-7583325.2199999997</v>
      </c>
      <c r="H24" s="61">
        <f t="shared" si="3"/>
        <v>8363436</v>
      </c>
      <c r="I24" s="39">
        <f t="shared" si="3"/>
        <v>13631339.779999999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'SE-LRC-FLSH'!L27</f>
        <v>842723</v>
      </c>
      <c r="E27" s="66">
        <f>'SE-LRC-FLSH'!M27</f>
        <v>1517548</v>
      </c>
      <c r="F27" s="60">
        <f>'SE-LRC-GL'!D27</f>
        <v>2715487</v>
      </c>
      <c r="G27" s="38">
        <f>'SE-LRC-GL'!E27</f>
        <v>4857225.72</v>
      </c>
      <c r="H27" s="60">
        <f>F27-D27</f>
        <v>1872764</v>
      </c>
      <c r="I27" s="38">
        <f>G27-E27</f>
        <v>3339677.7199999997</v>
      </c>
    </row>
    <row r="28" spans="1:9" x14ac:dyDescent="0.2">
      <c r="A28" s="9">
        <v>12</v>
      </c>
      <c r="B28" s="7"/>
      <c r="C28" s="18" t="s">
        <v>40</v>
      </c>
      <c r="D28" s="65">
        <f>'SE-LRC-FLSH'!L28</f>
        <v>-922792</v>
      </c>
      <c r="E28" s="66">
        <f>'SE-LRC-FLSH'!M28</f>
        <v>-1649530</v>
      </c>
      <c r="F28" s="60">
        <f>'SE-LRC-GL'!D28</f>
        <v>-8644052</v>
      </c>
      <c r="G28" s="38">
        <f>'SE-LRC-GL'!E28</f>
        <v>-15414020.459999999</v>
      </c>
      <c r="H28" s="60">
        <f>F28-D28</f>
        <v>-7721260</v>
      </c>
      <c r="I28" s="38">
        <f>G28-E28</f>
        <v>-13764490.459999999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-80069</v>
      </c>
      <c r="E29" s="70">
        <f t="shared" si="4"/>
        <v>-131982</v>
      </c>
      <c r="F29" s="69">
        <f t="shared" si="4"/>
        <v>-5928565</v>
      </c>
      <c r="G29" s="70">
        <f t="shared" si="4"/>
        <v>-10556794.739999998</v>
      </c>
      <c r="H29" s="69">
        <f t="shared" si="4"/>
        <v>-5848496</v>
      </c>
      <c r="I29" s="70">
        <f t="shared" si="4"/>
        <v>-10424812.739999998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'SE-LRC-FLSH'!L32</f>
        <v>0</v>
      </c>
      <c r="E32" s="66">
        <f>'SE-LRC-FLSH'!M32</f>
        <v>0</v>
      </c>
      <c r="F32" s="60">
        <f>'SE-LRC-GL'!D32</f>
        <v>182593</v>
      </c>
      <c r="G32" s="38">
        <f>'SE-LRC-GL'!E32</f>
        <v>326476.28400000004</v>
      </c>
      <c r="H32" s="60">
        <f>F32-D32</f>
        <v>182593</v>
      </c>
      <c r="I32" s="38">
        <f>G32-E32</f>
        <v>326476.28400000004</v>
      </c>
    </row>
    <row r="33" spans="1:9" x14ac:dyDescent="0.2">
      <c r="A33" s="9">
        <v>14</v>
      </c>
      <c r="B33" s="7"/>
      <c r="C33" s="18" t="s">
        <v>44</v>
      </c>
      <c r="D33" s="65">
        <f>'SE-LRC-FLSH'!L33</f>
        <v>0</v>
      </c>
      <c r="E33" s="66">
        <f>'SE-LRC-FLSH'!M33</f>
        <v>0</v>
      </c>
      <c r="F33" s="60">
        <f>'SE-LRC-GL'!D33</f>
        <v>0</v>
      </c>
      <c r="G33" s="38">
        <f>'SE-LRC-GL'!E33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182593</v>
      </c>
      <c r="G36" s="39">
        <f t="shared" si="6"/>
        <v>326476.28400000004</v>
      </c>
      <c r="H36" s="61">
        <f t="shared" si="6"/>
        <v>182593</v>
      </c>
      <c r="I36" s="39">
        <f t="shared" si="6"/>
        <v>326476.28400000004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'SE-LRC-FLSH'!L39</f>
        <v>1542723</v>
      </c>
      <c r="E39" s="66">
        <f>'SE-LRC-FLSH'!M39</f>
        <v>2816830</v>
      </c>
      <c r="F39" s="60">
        <f>'SE-LRC-GL'!D39</f>
        <v>1518213</v>
      </c>
      <c r="G39" s="38">
        <f>'SE-LRC-GL'!E39</f>
        <v>2755556.61</v>
      </c>
      <c r="H39" s="60">
        <f t="shared" ref="H39:I41" si="7">F39-D39</f>
        <v>-24510</v>
      </c>
      <c r="I39" s="38">
        <f t="shared" si="7"/>
        <v>-61273.39000000013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'SE-LRC-FLSH'!L40</f>
        <v>-922792</v>
      </c>
      <c r="E40" s="66">
        <f>'SE-LRC-FLSH'!M40</f>
        <v>-1670255</v>
      </c>
      <c r="F40" s="60">
        <f>'SE-LRC-GL'!D40</f>
        <v>-905645</v>
      </c>
      <c r="G40" s="38">
        <f>'SE-LRC-GL'!E40</f>
        <v>-1643745.6800000002</v>
      </c>
      <c r="H40" s="60">
        <f t="shared" si="7"/>
        <v>17147</v>
      </c>
      <c r="I40" s="38">
        <f t="shared" si="7"/>
        <v>26509.319999999832</v>
      </c>
    </row>
    <row r="41" spans="1:9" x14ac:dyDescent="0.2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-922792</v>
      </c>
      <c r="E42" s="70">
        <f t="shared" si="8"/>
        <v>-1670255</v>
      </c>
      <c r="F42" s="69">
        <f t="shared" si="8"/>
        <v>-905645</v>
      </c>
      <c r="G42" s="70">
        <f t="shared" si="8"/>
        <v>-1643745.6800000002</v>
      </c>
      <c r="H42" s="69">
        <f t="shared" si="8"/>
        <v>17147</v>
      </c>
      <c r="I42" s="70">
        <f t="shared" si="8"/>
        <v>26509.319999999832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619931</v>
      </c>
      <c r="E43" s="39">
        <f t="shared" si="9"/>
        <v>1146575</v>
      </c>
      <c r="F43" s="61">
        <f t="shared" si="9"/>
        <v>612568</v>
      </c>
      <c r="G43" s="39">
        <f t="shared" si="9"/>
        <v>1111810.9299999997</v>
      </c>
      <c r="H43" s="61">
        <f t="shared" si="9"/>
        <v>-7363</v>
      </c>
      <c r="I43" s="39">
        <f t="shared" si="9"/>
        <v>-34764.070000000298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5865</v>
      </c>
      <c r="G45" s="38">
        <f>'SE-LRC-GL'!E45</f>
        <v>10025.870000000001</v>
      </c>
      <c r="H45" s="60">
        <f>F45-D45</f>
        <v>5865</v>
      </c>
      <c r="I45" s="38">
        <f>G45-E45</f>
        <v>10025.870000000001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0</v>
      </c>
      <c r="G47" s="38">
        <f>'SE-LRC-GL'!E47</f>
        <v>1.4551915228366852E-11</v>
      </c>
      <c r="H47" s="60">
        <f>F47-D47</f>
        <v>0</v>
      </c>
      <c r="I47" s="38">
        <f>G47-E47</f>
        <v>1.4551915228366852E-11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'SE-LRC-FLSH'!L49</f>
        <v>190556</v>
      </c>
      <c r="E49" s="66">
        <f>'SE-LRC-FLSH'!M49</f>
        <v>337495.17154456058</v>
      </c>
      <c r="F49" s="60">
        <f>'SE-LRC-GL'!D49</f>
        <v>-39526</v>
      </c>
      <c r="G49" s="38">
        <f>'SE-LRC-GL'!E49</f>
        <v>-70672.488000000012</v>
      </c>
      <c r="H49" s="60">
        <f>F49-D49</f>
        <v>-230082</v>
      </c>
      <c r="I49" s="38">
        <f>G49-E49</f>
        <v>-408167.65954456059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-27551</v>
      </c>
      <c r="G51" s="38">
        <f>'SE-LRC-GL'!E51</f>
        <v>-50720.54</v>
      </c>
      <c r="H51" s="60">
        <f>F51-D51</f>
        <v>-27551</v>
      </c>
      <c r="I51" s="38">
        <f>G51-E51</f>
        <v>-50720.54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886869</v>
      </c>
      <c r="G54" s="38">
        <f>'SE-LRC-GL'!E54</f>
        <v>1136642.72</v>
      </c>
      <c r="H54" s="60">
        <f>F54-D54</f>
        <v>886869</v>
      </c>
      <c r="I54" s="38">
        <f>G54-E54</f>
        <v>1136642.72</v>
      </c>
    </row>
    <row r="55" spans="1:9" x14ac:dyDescent="0.2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886869</v>
      </c>
      <c r="G56" s="39">
        <f t="shared" si="10"/>
        <v>1136642.72</v>
      </c>
      <c r="H56" s="61">
        <f t="shared" si="10"/>
        <v>886869</v>
      </c>
      <c r="I56" s="39">
        <f t="shared" si="10"/>
        <v>1136642.72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3300586</v>
      </c>
      <c r="G59" s="38">
        <f>'SE-LRC-GL'!E59</f>
        <v>122122.00999999989</v>
      </c>
      <c r="H59" s="60">
        <f>F59-D59</f>
        <v>3300586</v>
      </c>
      <c r="I59" s="38">
        <f>G59-E59</f>
        <v>122122.00999999989</v>
      </c>
    </row>
    <row r="60" spans="1:9" x14ac:dyDescent="0.2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112176.6</v>
      </c>
      <c r="F60" s="60">
        <f>'SE-LRC-GL'!D60</f>
        <v>0</v>
      </c>
      <c r="G60" s="38">
        <f>'SE-LRC-GL'!E60</f>
        <v>606099</v>
      </c>
      <c r="H60" s="60">
        <f>F60-D60</f>
        <v>0</v>
      </c>
      <c r="I60" s="38">
        <f>G60-E60</f>
        <v>493922.4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112176.6</v>
      </c>
      <c r="F61" s="69">
        <f t="shared" si="11"/>
        <v>3300586</v>
      </c>
      <c r="G61" s="70">
        <f t="shared" si="11"/>
        <v>728221.00999999989</v>
      </c>
      <c r="H61" s="69">
        <f t="shared" si="11"/>
        <v>3300586</v>
      </c>
      <c r="I61" s="70">
        <f t="shared" si="11"/>
        <v>616044.40999999992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-20499921</v>
      </c>
      <c r="G64" s="38">
        <f>'SE-LRC-GL'!E64</f>
        <v>-3513725.3499999992</v>
      </c>
      <c r="H64" s="60">
        <f>F64-D64</f>
        <v>-20499921</v>
      </c>
      <c r="I64" s="38">
        <f>G64-E64</f>
        <v>-3513725.3499999992</v>
      </c>
    </row>
    <row r="65" spans="1:9" x14ac:dyDescent="0.2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19865068</v>
      </c>
      <c r="G65" s="38">
        <f>'SE-LRC-GL'!E65</f>
        <v>1949593.35</v>
      </c>
      <c r="H65" s="60">
        <f>F65-D65</f>
        <v>19865068</v>
      </c>
      <c r="I65" s="38">
        <f>G65-E65</f>
        <v>1949593.35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-634853</v>
      </c>
      <c r="G66" s="39">
        <f t="shared" si="12"/>
        <v>-1564131.9999999991</v>
      </c>
      <c r="H66" s="61">
        <f t="shared" si="12"/>
        <v>-634853</v>
      </c>
      <c r="I66" s="39">
        <f t="shared" si="12"/>
        <v>-1564131.9999999991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83</v>
      </c>
      <c r="D82" s="71">
        <f>D16+D24+D29+D36+D43+D45+D47+D49</f>
        <v>-89391</v>
      </c>
      <c r="E82" s="72">
        <f>SUM(E72:E81)+E16+E24+E29+E36+E43+E45+E47+E49+E51+E56+E61+E66</f>
        <v>-2396094.6487551928</v>
      </c>
      <c r="F82" s="71">
        <f>F16+F24+F29+F36+F43+F45+F47+F49</f>
        <v>0</v>
      </c>
      <c r="G82" s="72">
        <f>SUM(G72:G81)+G16+G24+G29+G36+G43+G45+G47+G49+G51+G56+G61+G66</f>
        <v>603537.30599999987</v>
      </c>
      <c r="H82" s="71">
        <f>H16+H24+H29+H36+H43+H45+H47+H49</f>
        <v>89391</v>
      </c>
      <c r="I82" s="72">
        <f>SUM(I72:I81)+I16+I24+I29+I36+I43+I45+I47+I49+I51+I56+I61+I66</f>
        <v>2999631.9547551898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C65" sqref="C6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'SE-CON-FLSH'!L11</f>
        <v>8756483</v>
      </c>
      <c r="E11" s="66">
        <f>'SE-CON-FLSH'!M11</f>
        <v>15999987</v>
      </c>
      <c r="F11" s="60">
        <f>'SE-CON-GL '!D11</f>
        <v>8810649</v>
      </c>
      <c r="G11" s="38">
        <f>'SE-CON-GL '!E11</f>
        <v>17116005.479999997</v>
      </c>
      <c r="H11" s="60">
        <f>F11-D11</f>
        <v>54166</v>
      </c>
      <c r="I11" s="38">
        <f>G11-E11</f>
        <v>1116018.4799999967</v>
      </c>
    </row>
    <row r="12" spans="1:22" x14ac:dyDescent="0.2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'SE-CON-FLSH'!L13</f>
        <v>2430728</v>
      </c>
      <c r="E13" s="66">
        <f>'SE-CON-FLSH'!M13</f>
        <v>4354318.5797002474</v>
      </c>
      <c r="F13" s="60">
        <f>'SE-CON-GL '!D13</f>
        <v>0</v>
      </c>
      <c r="G13" s="38">
        <f>'SE-CON-GL '!E13</f>
        <v>0</v>
      </c>
      <c r="H13" s="60">
        <f t="shared" ref="H13:I15" si="0">F13-D13</f>
        <v>-2430728</v>
      </c>
      <c r="I13" s="38">
        <f t="shared" si="0"/>
        <v>-4354318.5797002474</v>
      </c>
    </row>
    <row r="14" spans="1:22" x14ac:dyDescent="0.2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11187211</v>
      </c>
      <c r="E16" s="39">
        <f t="shared" si="1"/>
        <v>20354305.579700246</v>
      </c>
      <c r="F16" s="61">
        <f t="shared" si="1"/>
        <v>8810649</v>
      </c>
      <c r="G16" s="39">
        <f t="shared" si="1"/>
        <v>17116005.479999997</v>
      </c>
      <c r="H16" s="61">
        <f t="shared" si="1"/>
        <v>-2376562</v>
      </c>
      <c r="I16" s="39">
        <f t="shared" si="1"/>
        <v>-3238300.0997002507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'SE-CON-FLSH'!L19</f>
        <v>-3595574</v>
      </c>
      <c r="E19" s="66">
        <f>'SE-CON-FLSH'!M19</f>
        <v>-6362818</v>
      </c>
      <c r="F19" s="60">
        <f>'SE-CON-GL '!D19</f>
        <v>-3643430</v>
      </c>
      <c r="G19" s="38">
        <f>'SE-CON-GL '!E19</f>
        <v>-6449666.7599999998</v>
      </c>
      <c r="H19" s="60">
        <f>F19-D19</f>
        <v>-47856</v>
      </c>
      <c r="I19" s="38">
        <f>G19-E19</f>
        <v>-86848.759999999776</v>
      </c>
    </row>
    <row r="20" spans="1:9" x14ac:dyDescent="0.2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-1135706.29</v>
      </c>
      <c r="H20" s="60">
        <f>F20-D20</f>
        <v>0</v>
      </c>
      <c r="I20" s="38">
        <f>G20-E20</f>
        <v>-1135706.29</v>
      </c>
    </row>
    <row r="21" spans="1:9" x14ac:dyDescent="0.2">
      <c r="A21" s="9">
        <v>8</v>
      </c>
      <c r="B21" s="7"/>
      <c r="C21" s="18" t="s">
        <v>31</v>
      </c>
      <c r="D21" s="65">
        <f>'SE-CON-FLSH'!L21</f>
        <v>-8411446</v>
      </c>
      <c r="E21" s="66">
        <f>'SE-CON-FLSH'!M21</f>
        <v>-14851847</v>
      </c>
      <c r="F21" s="60">
        <f>'SE-CON-GL '!D21</f>
        <v>0</v>
      </c>
      <c r="G21" s="38">
        <f>'SE-CON-GL '!E21</f>
        <v>0</v>
      </c>
      <c r="H21" s="60">
        <f t="shared" ref="H21:I23" si="2">F21-D21</f>
        <v>8411446</v>
      </c>
      <c r="I21" s="38">
        <f t="shared" si="2"/>
        <v>14851847</v>
      </c>
    </row>
    <row r="22" spans="1:9" x14ac:dyDescent="0.2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-154</v>
      </c>
      <c r="G23" s="38">
        <f>'SE-CON-GL '!E23</f>
        <v>2047.83</v>
      </c>
      <c r="H23" s="60">
        <f t="shared" si="2"/>
        <v>-154</v>
      </c>
      <c r="I23" s="38">
        <f t="shared" si="2"/>
        <v>2047.83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-12007020</v>
      </c>
      <c r="E24" s="39">
        <f t="shared" si="3"/>
        <v>-21214665</v>
      </c>
      <c r="F24" s="61">
        <f t="shared" si="3"/>
        <v>-3643584</v>
      </c>
      <c r="G24" s="39">
        <f t="shared" si="3"/>
        <v>-7583325.2199999997</v>
      </c>
      <c r="H24" s="61">
        <f t="shared" si="3"/>
        <v>8363436</v>
      </c>
      <c r="I24" s="39">
        <f t="shared" si="3"/>
        <v>13631339.779999999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'SE-CON-FLSH'!L27</f>
        <v>842723</v>
      </c>
      <c r="E27" s="66">
        <f>'SE-CON-FLSH'!M27</f>
        <v>1517548</v>
      </c>
      <c r="F27" s="60">
        <f>'SE-CON-GL '!D27</f>
        <v>2715487</v>
      </c>
      <c r="G27" s="38">
        <f>'SE-CON-GL '!E27</f>
        <v>4857225.4799999995</v>
      </c>
      <c r="H27" s="60">
        <f>F27-D27</f>
        <v>1872764</v>
      </c>
      <c r="I27" s="38">
        <f>G27-E27</f>
        <v>3339677.4799999995</v>
      </c>
    </row>
    <row r="28" spans="1:9" x14ac:dyDescent="0.2">
      <c r="A28" s="9">
        <v>12</v>
      </c>
      <c r="B28" s="7"/>
      <c r="C28" s="18" t="s">
        <v>40</v>
      </c>
      <c r="D28" s="65">
        <f>'SE-CON-FLSH'!L28</f>
        <v>-922792</v>
      </c>
      <c r="E28" s="66">
        <f>'SE-CON-FLSH'!M28</f>
        <v>-1649530</v>
      </c>
      <c r="F28" s="60">
        <f>'SE-CON-GL '!D28</f>
        <v>-8644052</v>
      </c>
      <c r="G28" s="38">
        <f>'SE-CON-GL '!E28</f>
        <v>-15414020.219999999</v>
      </c>
      <c r="H28" s="60">
        <f>F28-D28</f>
        <v>-7721260</v>
      </c>
      <c r="I28" s="38">
        <f>G28-E28</f>
        <v>-13764490.219999999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-80069</v>
      </c>
      <c r="E29" s="70">
        <f t="shared" si="4"/>
        <v>-131982</v>
      </c>
      <c r="F29" s="69">
        <f t="shared" si="4"/>
        <v>-5928565</v>
      </c>
      <c r="G29" s="70">
        <f t="shared" si="4"/>
        <v>-10556794.739999998</v>
      </c>
      <c r="H29" s="69">
        <f t="shared" si="4"/>
        <v>-5848496</v>
      </c>
      <c r="I29" s="70">
        <f t="shared" si="4"/>
        <v>-10424812.739999998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'SE-CON-FLSH'!L32</f>
        <v>0</v>
      </c>
      <c r="E32" s="66">
        <f>'SE-CON-FLSH'!M32</f>
        <v>0</v>
      </c>
      <c r="F32" s="60">
        <f>'SE-CON-GL '!D32</f>
        <v>-715</v>
      </c>
      <c r="G32" s="38">
        <f>'SE-CON-GL '!E32</f>
        <v>-1278.4200000000055</v>
      </c>
      <c r="H32" s="60">
        <f>F32-D32</f>
        <v>-715</v>
      </c>
      <c r="I32" s="38">
        <f>G32-E32</f>
        <v>-1278.4200000000055</v>
      </c>
    </row>
    <row r="33" spans="1:9" x14ac:dyDescent="0.2">
      <c r="A33" s="9">
        <v>14</v>
      </c>
      <c r="B33" s="7"/>
      <c r="C33" s="18" t="s">
        <v>44</v>
      </c>
      <c r="D33" s="65">
        <f>'SE-CON-FLSH'!L33</f>
        <v>0</v>
      </c>
      <c r="E33" s="66">
        <f>'SE-CON-FLSH'!M33</f>
        <v>0</v>
      </c>
      <c r="F33" s="60">
        <f>'SE-CON-GL '!D33</f>
        <v>0</v>
      </c>
      <c r="G33" s="38">
        <f>'SE-CON-GL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-715</v>
      </c>
      <c r="G36" s="39">
        <f t="shared" si="6"/>
        <v>-1278.4200000000055</v>
      </c>
      <c r="H36" s="61">
        <f t="shared" si="6"/>
        <v>-715</v>
      </c>
      <c r="I36" s="39">
        <f t="shared" si="6"/>
        <v>-1278.4200000000055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'SE-CON-FLSH'!L39</f>
        <v>1542723</v>
      </c>
      <c r="E39" s="66">
        <f>'SE-CON-FLSH'!M39</f>
        <v>2816830</v>
      </c>
      <c r="F39" s="60">
        <f>'SE-CON-GL '!D39</f>
        <v>1518213</v>
      </c>
      <c r="G39" s="38">
        <f>'SE-CON-GL '!E39</f>
        <v>2755556.61</v>
      </c>
      <c r="H39" s="60">
        <f t="shared" ref="H39:I41" si="7">F39-D39</f>
        <v>-24510</v>
      </c>
      <c r="I39" s="38">
        <f t="shared" si="7"/>
        <v>-61273.39000000013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'SE-CON-FLSH'!L40</f>
        <v>-922792</v>
      </c>
      <c r="E40" s="66">
        <f>'SE-CON-FLSH'!M40</f>
        <v>-1670255</v>
      </c>
      <c r="F40" s="60">
        <f>'SE-CON-GL '!D40</f>
        <v>-905645</v>
      </c>
      <c r="G40" s="38">
        <f>'SE-CON-GL '!E40</f>
        <v>-1643745.6800000002</v>
      </c>
      <c r="H40" s="60">
        <f t="shared" si="7"/>
        <v>17147</v>
      </c>
      <c r="I40" s="38">
        <f t="shared" si="7"/>
        <v>26509.319999999832</v>
      </c>
    </row>
    <row r="41" spans="1:9" x14ac:dyDescent="0.2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-922792</v>
      </c>
      <c r="E42" s="70">
        <f t="shared" si="8"/>
        <v>-1670255</v>
      </c>
      <c r="F42" s="69">
        <f t="shared" si="8"/>
        <v>-905645</v>
      </c>
      <c r="G42" s="70">
        <f t="shared" si="8"/>
        <v>-1643745.6800000002</v>
      </c>
      <c r="H42" s="69">
        <f t="shared" si="8"/>
        <v>17147</v>
      </c>
      <c r="I42" s="70">
        <f t="shared" si="8"/>
        <v>26509.319999999832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619931</v>
      </c>
      <c r="E43" s="39">
        <f t="shared" si="9"/>
        <v>1146575</v>
      </c>
      <c r="F43" s="61">
        <f t="shared" si="9"/>
        <v>612568</v>
      </c>
      <c r="G43" s="39">
        <f t="shared" si="9"/>
        <v>1111810.9299999997</v>
      </c>
      <c r="H43" s="61">
        <f t="shared" si="9"/>
        <v>-7363</v>
      </c>
      <c r="I43" s="39">
        <f t="shared" si="9"/>
        <v>-34764.070000000298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5865</v>
      </c>
      <c r="G45" s="38">
        <f>'SE-CON-GL '!E45</f>
        <v>10025.630000000001</v>
      </c>
      <c r="H45" s="60">
        <f>F45-D45</f>
        <v>5865</v>
      </c>
      <c r="I45" s="38">
        <f>G45-E45</f>
        <v>10025.630000000001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0</v>
      </c>
      <c r="G47" s="38">
        <f>'SE-CON-GL '!E47</f>
        <v>1.4551915228366852E-11</v>
      </c>
      <c r="H47" s="60">
        <f>F47-D47</f>
        <v>0</v>
      </c>
      <c r="I47" s="38">
        <f>G47-E47</f>
        <v>1.4551915228366852E-11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'SE-CON-FLSH'!L49</f>
        <v>190556</v>
      </c>
      <c r="E49" s="66">
        <f>'SE-CON-FLSH'!M49</f>
        <v>337495.17154456058</v>
      </c>
      <c r="F49" s="60">
        <f>'SE-CON-GL '!D49</f>
        <v>143782</v>
      </c>
      <c r="G49" s="38">
        <f>'SE-CON-GL '!E49</f>
        <v>257082.21600000001</v>
      </c>
      <c r="H49" s="60">
        <f>F49-D49</f>
        <v>-46774</v>
      </c>
      <c r="I49" s="38">
        <f>G49-E49</f>
        <v>-80412.955544560566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-27551</v>
      </c>
      <c r="G51" s="38">
        <f>'SE-CON-GL '!E51</f>
        <v>-50720.54</v>
      </c>
      <c r="H51" s="60">
        <f>F51-D51</f>
        <v>-27551</v>
      </c>
      <c r="I51" s="38">
        <f>G51-E51</f>
        <v>-50720.54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886869</v>
      </c>
      <c r="G54" s="38">
        <f>'SE-CON-GL '!E54</f>
        <v>1136642.72</v>
      </c>
      <c r="H54" s="60">
        <f>F54-D54</f>
        <v>886869</v>
      </c>
      <c r="I54" s="38">
        <f>G54-E54</f>
        <v>1136642.72</v>
      </c>
    </row>
    <row r="55" spans="1:9" x14ac:dyDescent="0.2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886869</v>
      </c>
      <c r="G56" s="39">
        <f t="shared" si="10"/>
        <v>1136642.72</v>
      </c>
      <c r="H56" s="61">
        <f t="shared" si="10"/>
        <v>886869</v>
      </c>
      <c r="I56" s="39">
        <f t="shared" si="10"/>
        <v>1136642.72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3300586</v>
      </c>
      <c r="G59" s="38">
        <f>'SE-CON-GL '!E59</f>
        <v>122122.00999999989</v>
      </c>
      <c r="H59" s="60">
        <f>F59-D59</f>
        <v>3300586</v>
      </c>
      <c r="I59" s="38">
        <f>G59-E59</f>
        <v>122122.00999999989</v>
      </c>
    </row>
    <row r="60" spans="1:9" x14ac:dyDescent="0.2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112176.6</v>
      </c>
      <c r="F60" s="60">
        <f>'SE-CON-GL '!D60</f>
        <v>0</v>
      </c>
      <c r="G60" s="38">
        <f>'SE-CON-GL '!E60</f>
        <v>606099</v>
      </c>
      <c r="H60" s="60">
        <f>F60-D60</f>
        <v>0</v>
      </c>
      <c r="I60" s="38">
        <f>G60-E60</f>
        <v>493922.4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112176.6</v>
      </c>
      <c r="F61" s="69">
        <f t="shared" si="11"/>
        <v>3300586</v>
      </c>
      <c r="G61" s="70">
        <f t="shared" si="11"/>
        <v>728221.00999999989</v>
      </c>
      <c r="H61" s="69">
        <f t="shared" si="11"/>
        <v>3300586</v>
      </c>
      <c r="I61" s="70">
        <f t="shared" si="11"/>
        <v>616044.40999999992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-13552117</v>
      </c>
      <c r="G64" s="38">
        <f>'SE-CON-GL '!E64</f>
        <v>-3439972.3</v>
      </c>
      <c r="H64" s="60">
        <f>F64-D64</f>
        <v>-13552117</v>
      </c>
      <c r="I64" s="38">
        <f>G64-E64</f>
        <v>-3439972.3</v>
      </c>
    </row>
    <row r="65" spans="1:9" x14ac:dyDescent="0.2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19861418</v>
      </c>
      <c r="G65" s="38">
        <f>'SE-CON-GL '!E65</f>
        <v>1949228.35</v>
      </c>
      <c r="H65" s="60">
        <f>F65-D65</f>
        <v>19861418</v>
      </c>
      <c r="I65" s="38">
        <f>G65-E65</f>
        <v>1949228.35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6309301</v>
      </c>
      <c r="G66" s="39">
        <f t="shared" si="12"/>
        <v>-1490743.9499999997</v>
      </c>
      <c r="H66" s="61">
        <f t="shared" si="12"/>
        <v>6309301</v>
      </c>
      <c r="I66" s="39">
        <f t="shared" si="12"/>
        <v>-1490743.9499999997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-89391</v>
      </c>
      <c r="E82" s="118">
        <f>SUM(E72:E81)+E16+E24+E29+E36+E43+E45+E47+E49+E51+E56+E61+E66</f>
        <v>-2396094.6487551928</v>
      </c>
      <c r="F82" s="117">
        <f>F16+F24+F29+F36+F43+F45+F47+F49</f>
        <v>0</v>
      </c>
      <c r="G82" s="118">
        <f>SUM(G72:G81)+G16+G24+G29+G36+G43+G45+G47+G49+G51+G56+G61+G66</f>
        <v>676925.11599999946</v>
      </c>
      <c r="H82" s="117">
        <f>H16+H24+H29+H36+H43+H45+H47+H49</f>
        <v>89391</v>
      </c>
      <c r="I82" s="118">
        <f>SUM(I72:I81)+I16+I24+I29+I36+I43+I45+I47+I49+I51+I56+I61+I66</f>
        <v>3073019.764755189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D84" sqref="D8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+'EAST-CON-FLSH'!D11</f>
        <v>108743829</v>
      </c>
      <c r="E11" s="66">
        <f>+'EAST-CON-FLSH'!E11</f>
        <v>192403728</v>
      </c>
      <c r="F11" s="60">
        <f>+'EAST-CON-GL'!D11</f>
        <v>116536014</v>
      </c>
      <c r="G11" s="38">
        <f>+'EAST-CON-GL'!E11</f>
        <v>243771993.70000011</v>
      </c>
      <c r="H11" s="60">
        <f>F11-D11</f>
        <v>7792185</v>
      </c>
      <c r="I11" s="38">
        <f>G11-E11</f>
        <v>51368265.700000107</v>
      </c>
    </row>
    <row r="12" spans="1:22" x14ac:dyDescent="0.2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-10594664.110000001</v>
      </c>
      <c r="H12" s="60">
        <f>F12-D12</f>
        <v>0</v>
      </c>
      <c r="I12" s="38">
        <f>G12-E12</f>
        <v>-10594664.110000001</v>
      </c>
    </row>
    <row r="13" spans="1:22" x14ac:dyDescent="0.2">
      <c r="A13" s="9">
        <v>3</v>
      </c>
      <c r="B13" s="7"/>
      <c r="C13" s="18" t="s">
        <v>31</v>
      </c>
      <c r="D13" s="65">
        <f>+'EAST-CON-FLSH'!D13</f>
        <v>77490594</v>
      </c>
      <c r="E13" s="66">
        <f>+'EAST-CON-FLSH'!E13</f>
        <v>146381942</v>
      </c>
      <c r="F13" s="60">
        <f>+'EAST-CON-GL'!D13</f>
        <v>62509996</v>
      </c>
      <c r="G13" s="38">
        <f>+'EAST-CON-GL'!E13</f>
        <v>120063718</v>
      </c>
      <c r="H13" s="60">
        <f t="shared" ref="H13:I15" si="0">F13-D13</f>
        <v>-14980598</v>
      </c>
      <c r="I13" s="38">
        <f t="shared" si="0"/>
        <v>-26318224</v>
      </c>
    </row>
    <row r="14" spans="1:22" x14ac:dyDescent="0.2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88910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-88910</v>
      </c>
    </row>
    <row r="15" spans="1:22" x14ac:dyDescent="0.2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186234423</v>
      </c>
      <c r="E16" s="39">
        <f t="shared" si="1"/>
        <v>338874580</v>
      </c>
      <c r="F16" s="61">
        <f t="shared" si="1"/>
        <v>179046010</v>
      </c>
      <c r="G16" s="39">
        <f t="shared" si="1"/>
        <v>353241047.59000009</v>
      </c>
      <c r="H16" s="61">
        <f t="shared" si="1"/>
        <v>-7188413</v>
      </c>
      <c r="I16" s="39">
        <f t="shared" si="1"/>
        <v>14366467.590000108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+'EAST-CON-FLSH'!D19</f>
        <v>-101288518</v>
      </c>
      <c r="E19" s="66">
        <f>+'EAST-CON-FLSH'!E19</f>
        <v>-180885869</v>
      </c>
      <c r="F19" s="60">
        <f>+'EAST-CON-GL'!D19</f>
        <v>-107567578</v>
      </c>
      <c r="G19" s="38">
        <f>+'EAST-CON-GL'!E19</f>
        <v>-199560528.14000002</v>
      </c>
      <c r="H19" s="60">
        <f>F19-D19</f>
        <v>-6279060</v>
      </c>
      <c r="I19" s="38">
        <f>G19-E19</f>
        <v>-18674659.140000015</v>
      </c>
    </row>
    <row r="20" spans="1:9" x14ac:dyDescent="0.2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2641263.9899999998</v>
      </c>
      <c r="H20" s="60">
        <f>F20-D20</f>
        <v>0</v>
      </c>
      <c r="I20" s="38">
        <f>G20-E20</f>
        <v>2641263.9899999998</v>
      </c>
    </row>
    <row r="21" spans="1:9" x14ac:dyDescent="0.2">
      <c r="A21" s="9">
        <v>8</v>
      </c>
      <c r="B21" s="7"/>
      <c r="C21" s="18" t="s">
        <v>31</v>
      </c>
      <c r="D21" s="65">
        <f>+'EAST-CON-FLSH'!D21</f>
        <v>-77256212</v>
      </c>
      <c r="E21" s="66">
        <f>+'EAST-CON-FLSH'!E21</f>
        <v>-146880759</v>
      </c>
      <c r="F21" s="60">
        <f>+'EAST-CON-GL'!D21</f>
        <v>-63062698</v>
      </c>
      <c r="G21" s="38">
        <f>+'EAST-CON-GL'!E21</f>
        <v>-121005117</v>
      </c>
      <c r="H21" s="60">
        <f t="shared" ref="H21:I23" si="2">F21-D21</f>
        <v>14193514</v>
      </c>
      <c r="I21" s="38">
        <f t="shared" si="2"/>
        <v>25875642</v>
      </c>
    </row>
    <row r="22" spans="1:9" x14ac:dyDescent="0.2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+'EAST-CON-FLSH'!D23</f>
        <v>930943</v>
      </c>
      <c r="E23" s="66">
        <f>+'EAST-CON-FLSH'!E23</f>
        <v>1697126</v>
      </c>
      <c r="F23" s="60">
        <f>+'EAST-CON-GL'!D23</f>
        <v>897924</v>
      </c>
      <c r="G23" s="38">
        <f>+'EAST-CON-GL'!E23</f>
        <v>1607811.3019999999</v>
      </c>
      <c r="H23" s="60">
        <f t="shared" si="2"/>
        <v>-33019</v>
      </c>
      <c r="I23" s="38">
        <f t="shared" si="2"/>
        <v>-89314.698000000091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-177613787</v>
      </c>
      <c r="E24" s="39">
        <f t="shared" si="3"/>
        <v>-326069502</v>
      </c>
      <c r="F24" s="61">
        <f t="shared" si="3"/>
        <v>-169732352</v>
      </c>
      <c r="G24" s="39">
        <f t="shared" si="3"/>
        <v>-316316569.84799999</v>
      </c>
      <c r="H24" s="61">
        <f t="shared" si="3"/>
        <v>7881435</v>
      </c>
      <c r="I24" s="39">
        <f t="shared" si="3"/>
        <v>9752932.1519999839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10789524</v>
      </c>
      <c r="G27" s="38">
        <f>+'EAST-CON-GL'!E27</f>
        <v>19222921.690000001</v>
      </c>
      <c r="H27" s="60">
        <f>F27-D27</f>
        <v>10789524</v>
      </c>
      <c r="I27" s="38">
        <f>G27-E27</f>
        <v>19222921.690000001</v>
      </c>
    </row>
    <row r="28" spans="1:9" x14ac:dyDescent="0.2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-10407196</v>
      </c>
      <c r="G28" s="38">
        <f>+'EAST-CON-GL'!E28</f>
        <v>-18556136.23</v>
      </c>
      <c r="H28" s="60">
        <f>F28-D28</f>
        <v>-10407196</v>
      </c>
      <c r="I28" s="38">
        <f>G28-E28</f>
        <v>-18556136.23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382328</v>
      </c>
      <c r="G29" s="70">
        <f t="shared" si="4"/>
        <v>666785.46000000089</v>
      </c>
      <c r="H29" s="69">
        <f t="shared" si="4"/>
        <v>382328</v>
      </c>
      <c r="I29" s="70">
        <f t="shared" si="4"/>
        <v>666785.46000000089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+'EAST-CON-FLSH'!D32</f>
        <v>228474</v>
      </c>
      <c r="E32" s="66">
        <f>+'EAST-CON-FLSH'!E32</f>
        <v>431505</v>
      </c>
      <c r="F32" s="60">
        <f>+'EAST-CON-GL'!D32</f>
        <v>-866453</v>
      </c>
      <c r="G32" s="38">
        <f>+'EAST-CON-GL'!E32</f>
        <v>-1644449.1439999996</v>
      </c>
      <c r="H32" s="60">
        <f>F32-D32</f>
        <v>-1094927</v>
      </c>
      <c r="I32" s="38">
        <f>G32-E32</f>
        <v>-2075954.1439999996</v>
      </c>
    </row>
    <row r="33" spans="1:9" x14ac:dyDescent="0.2">
      <c r="A33" s="9">
        <v>14</v>
      </c>
      <c r="B33" s="7"/>
      <c r="C33" s="18" t="s">
        <v>44</v>
      </c>
      <c r="D33" s="65">
        <f>+'EAST-CON-FLSH'!D33</f>
        <v>-360353</v>
      </c>
      <c r="E33" s="66">
        <f>+'EAST-CON-FLSH'!E33</f>
        <v>-666916.89810825116</v>
      </c>
      <c r="F33" s="60">
        <f>+'EAST-CON-GL'!D33</f>
        <v>-24222</v>
      </c>
      <c r="G33" s="38">
        <f>+'EAST-CON-GL'!E33</f>
        <v>-42280.5</v>
      </c>
      <c r="H33" s="60">
        <f t="shared" ref="H33:I35" si="5">F33-D33</f>
        <v>336131</v>
      </c>
      <c r="I33" s="38">
        <f t="shared" si="5"/>
        <v>624636.39810825116</v>
      </c>
    </row>
    <row r="34" spans="1:9" x14ac:dyDescent="0.2">
      <c r="A34" s="9">
        <v>15</v>
      </c>
      <c r="B34" s="7"/>
      <c r="C34" s="18" t="s">
        <v>45</v>
      </c>
      <c r="D34" s="65">
        <f>+'EAST-CON-FLSH'!D34</f>
        <v>497396</v>
      </c>
      <c r="E34" s="66">
        <f>+'EAST-CON-FLSH'!E34</f>
        <v>873705</v>
      </c>
      <c r="F34" s="60">
        <f>+'EAST-CON-GL'!D34</f>
        <v>163056</v>
      </c>
      <c r="G34" s="38">
        <f>+'EAST-CON-GL'!E34</f>
        <v>283100.53999999998</v>
      </c>
      <c r="H34" s="60">
        <f t="shared" si="5"/>
        <v>-334340</v>
      </c>
      <c r="I34" s="38">
        <f t="shared" si="5"/>
        <v>-590604.46</v>
      </c>
    </row>
    <row r="35" spans="1:9" x14ac:dyDescent="0.2">
      <c r="A35" s="9">
        <v>16</v>
      </c>
      <c r="B35" s="7"/>
      <c r="C35" s="18" t="s">
        <v>46</v>
      </c>
      <c r="D35" s="65">
        <f>+'EAST-CON-FLSH'!D35</f>
        <v>-248298</v>
      </c>
      <c r="E35" s="66">
        <f>+'EAST-CON-FLSH'!E35</f>
        <v>-438477</v>
      </c>
      <c r="F35" s="60">
        <f>+'EAST-CON-GL'!D35</f>
        <v>364400</v>
      </c>
      <c r="G35" s="38">
        <f>+'EAST-CON-GL'!E35</f>
        <v>0</v>
      </c>
      <c r="H35" s="60">
        <f t="shared" si="5"/>
        <v>612698</v>
      </c>
      <c r="I35" s="38">
        <f t="shared" si="5"/>
        <v>438477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117219</v>
      </c>
      <c r="E36" s="39">
        <f t="shared" si="6"/>
        <v>199816.10189174884</v>
      </c>
      <c r="F36" s="61">
        <f t="shared" si="6"/>
        <v>-363219</v>
      </c>
      <c r="G36" s="39">
        <f t="shared" si="6"/>
        <v>-1403629.1039999996</v>
      </c>
      <c r="H36" s="61">
        <f t="shared" si="6"/>
        <v>-480438</v>
      </c>
      <c r="I36" s="39">
        <f t="shared" si="6"/>
        <v>-1603445.2058917484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+'EAST-CON-FLSH'!D39</f>
        <v>1654924</v>
      </c>
      <c r="E39" s="66">
        <f>+'EAST-CON-FLSH'!E39</f>
        <v>3020230</v>
      </c>
      <c r="F39" s="60">
        <f>+'EAST-CON-GL'!D39</f>
        <v>1518213</v>
      </c>
      <c r="G39" s="38">
        <f>+'EAST-CON-GL'!E39</f>
        <v>2755556.61</v>
      </c>
      <c r="H39" s="60">
        <f t="shared" ref="H39:I41" si="7">F39-D39</f>
        <v>-136711</v>
      </c>
      <c r="I39" s="38">
        <f t="shared" si="7"/>
        <v>-264673.39000000013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+'EAST-CON-FLSH'!D40</f>
        <v>-10392779</v>
      </c>
      <c r="E40" s="66">
        <f>+'EAST-CON-FLSH'!E40</f>
        <v>-11789648</v>
      </c>
      <c r="F40" s="60">
        <f>+'EAST-CON-GL'!D40</f>
        <v>-10665051</v>
      </c>
      <c r="G40" s="38">
        <f>+'EAST-CON-GL'!E40</f>
        <v>-23633084.649999999</v>
      </c>
      <c r="H40" s="60">
        <f t="shared" si="7"/>
        <v>-272272</v>
      </c>
      <c r="I40" s="38">
        <f t="shared" si="7"/>
        <v>-11843436.649999999</v>
      </c>
    </row>
    <row r="41" spans="1:9" x14ac:dyDescent="0.2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117344</v>
      </c>
      <c r="H41" s="60">
        <f t="shared" si="7"/>
        <v>0</v>
      </c>
      <c r="I41" s="38">
        <f t="shared" si="7"/>
        <v>117344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-10392779</v>
      </c>
      <c r="E42" s="70">
        <f t="shared" si="8"/>
        <v>-11789648</v>
      </c>
      <c r="F42" s="69">
        <f t="shared" si="8"/>
        <v>-10665051</v>
      </c>
      <c r="G42" s="70">
        <f t="shared" si="8"/>
        <v>-23515740.649999999</v>
      </c>
      <c r="H42" s="69">
        <f t="shared" si="8"/>
        <v>-272272</v>
      </c>
      <c r="I42" s="70">
        <f t="shared" si="8"/>
        <v>-11726092.649999999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-8737855</v>
      </c>
      <c r="E43" s="39">
        <f t="shared" si="9"/>
        <v>-8769418</v>
      </c>
      <c r="F43" s="61">
        <f t="shared" si="9"/>
        <v>-9146838</v>
      </c>
      <c r="G43" s="39">
        <f t="shared" si="9"/>
        <v>-20760184.039999999</v>
      </c>
      <c r="H43" s="61">
        <f t="shared" si="9"/>
        <v>-408983</v>
      </c>
      <c r="I43" s="39">
        <f t="shared" si="9"/>
        <v>-11990766.039999999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5865</v>
      </c>
      <c r="G45" s="38">
        <f>+'EAST-CON-GL'!E45</f>
        <v>10025.630000000001</v>
      </c>
      <c r="H45" s="60">
        <f>F45-D45</f>
        <v>5865</v>
      </c>
      <c r="I45" s="38">
        <f>G45-E45</f>
        <v>10025.630000000001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0</v>
      </c>
      <c r="G47" s="38">
        <f>+'EAST-CON-GL'!E47</f>
        <v>1.4551915228366852E-11</v>
      </c>
      <c r="H47" s="60">
        <f>F47-D47</f>
        <v>0</v>
      </c>
      <c r="I47" s="38">
        <f>G47-E47</f>
        <v>1.4551915228366852E-11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-191794</v>
      </c>
      <c r="G49" s="38">
        <f>+'EAST-CON-GL'!E49</f>
        <v>-1305127.3520000009</v>
      </c>
      <c r="H49" s="60">
        <f>F49-D49</f>
        <v>-191794</v>
      </c>
      <c r="I49" s="38">
        <f>G49-E49</f>
        <v>-1305127.3520000009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+'EAST-CON-FLSH'!D51</f>
        <v>-930943</v>
      </c>
      <c r="E51" s="66">
        <f>+'EAST-CON-FLSH'!E51</f>
        <v>-1749178</v>
      </c>
      <c r="F51" s="60">
        <f>+'EAST-CON-GL'!D51</f>
        <v>-925629</v>
      </c>
      <c r="G51" s="38">
        <f>+'EAST-CON-GL'!E51</f>
        <v>-1656484.0120000001</v>
      </c>
      <c r="H51" s="60">
        <f>F51-D51</f>
        <v>5314</v>
      </c>
      <c r="I51" s="38">
        <f>G51-E51</f>
        <v>92693.987999999896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-1567382</v>
      </c>
      <c r="F54" s="60">
        <f>+'EAST-CON-GL'!D54</f>
        <v>-46636203</v>
      </c>
      <c r="G54" s="38">
        <f>+'EAST-CON-GL'!E54</f>
        <v>-477491.57999999996</v>
      </c>
      <c r="H54" s="60">
        <f>F54-D54</f>
        <v>-46636203</v>
      </c>
      <c r="I54" s="38">
        <f>G54-E54</f>
        <v>1089890.42</v>
      </c>
    </row>
    <row r="55" spans="1:9" x14ac:dyDescent="0.2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-16004960</v>
      </c>
      <c r="F55" s="60">
        <f>+'EAST-CON-GL'!D55</f>
        <v>0</v>
      </c>
      <c r="G55" s="38">
        <f>+'EAST-CON-GL'!E55</f>
        <v>-15295827.550000001</v>
      </c>
      <c r="H55" s="60">
        <f>F55-D55</f>
        <v>0</v>
      </c>
      <c r="I55" s="38">
        <f>G55-E55</f>
        <v>709132.44999999925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-17572342</v>
      </c>
      <c r="F56" s="61">
        <f t="shared" si="10"/>
        <v>-46636203</v>
      </c>
      <c r="G56" s="39">
        <f t="shared" si="10"/>
        <v>-15773319.130000001</v>
      </c>
      <c r="H56" s="61">
        <f t="shared" si="10"/>
        <v>-46636203</v>
      </c>
      <c r="I56" s="39">
        <f t="shared" si="10"/>
        <v>1799022.8699999992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3300586</v>
      </c>
      <c r="G59" s="38">
        <f>+'EAST-CON-GL'!E59</f>
        <v>122122.00999999989</v>
      </c>
      <c r="H59" s="60">
        <f>F59-D59</f>
        <v>3300586</v>
      </c>
      <c r="I59" s="38">
        <f>G59-E59</f>
        <v>122122.00999999989</v>
      </c>
    </row>
    <row r="60" spans="1:9" x14ac:dyDescent="0.2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606099</v>
      </c>
      <c r="H60" s="60">
        <f>F60-D60</f>
        <v>0</v>
      </c>
      <c r="I60" s="38">
        <f>G60-E60</f>
        <v>606099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3300586</v>
      </c>
      <c r="G61" s="70">
        <f t="shared" si="11"/>
        <v>728221.00999999989</v>
      </c>
      <c r="H61" s="69">
        <f t="shared" si="11"/>
        <v>3300586</v>
      </c>
      <c r="I61" s="70">
        <f t="shared" si="11"/>
        <v>728221.00999999989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158915.965</v>
      </c>
      <c r="F64" s="60">
        <f>+'EAST-CON-GL'!D64</f>
        <v>-13359471</v>
      </c>
      <c r="G64" s="38">
        <f>+'EAST-CON-GL'!E64</f>
        <v>-3420632.78</v>
      </c>
      <c r="H64" s="60">
        <f>F64-D64</f>
        <v>-13359471</v>
      </c>
      <c r="I64" s="38">
        <f>G64-E64</f>
        <v>-3579548.7449999996</v>
      </c>
    </row>
    <row r="65" spans="1:9" x14ac:dyDescent="0.2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19855124</v>
      </c>
      <c r="G65" s="38">
        <f>+'EAST-CON-GL'!E65</f>
        <v>1538598.9500000002</v>
      </c>
      <c r="H65" s="60">
        <f>F65-D65</f>
        <v>19855124</v>
      </c>
      <c r="I65" s="38">
        <f>G65-E65</f>
        <v>1538598.9500000002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158915.965</v>
      </c>
      <c r="F66" s="61">
        <f t="shared" si="12"/>
        <v>6495653</v>
      </c>
      <c r="G66" s="39">
        <f t="shared" si="12"/>
        <v>-1882033.8299999996</v>
      </c>
      <c r="H66" s="61">
        <f t="shared" si="12"/>
        <v>6495653</v>
      </c>
      <c r="I66" s="39">
        <f t="shared" si="12"/>
        <v>-2040949.7949999995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-2549306.935000001</v>
      </c>
      <c r="F70" s="60">
        <f>+'EAST-CON-GL'!D70</f>
        <v>0</v>
      </c>
      <c r="G70" s="38">
        <f>+'EAST-CON-GL'!E70</f>
        <v>1497196.0399999991</v>
      </c>
      <c r="H70" s="60">
        <f>F70-D70</f>
        <v>0</v>
      </c>
      <c r="I70" s="38">
        <f>G70-E70</f>
        <v>4046502.9750000001</v>
      </c>
    </row>
    <row r="71" spans="1:9" x14ac:dyDescent="0.2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3892110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-3892110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1342803.064999999</v>
      </c>
      <c r="F72" s="69">
        <f t="shared" si="13"/>
        <v>0</v>
      </c>
      <c r="G72" s="70">
        <f t="shared" si="13"/>
        <v>1497196.0399999991</v>
      </c>
      <c r="H72" s="69">
        <f t="shared" si="13"/>
        <v>0</v>
      </c>
      <c r="I72" s="70">
        <f t="shared" si="13"/>
        <v>154392.97500000009</v>
      </c>
    </row>
    <row r="73" spans="1:9" x14ac:dyDescent="0.2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5713</v>
      </c>
      <c r="F74" s="60">
        <f>+'EAST-CON-GL'!D74</f>
        <v>0</v>
      </c>
      <c r="G74" s="38">
        <f>+'EAST-CON-GL'!E74</f>
        <v>6218588.0399999991</v>
      </c>
      <c r="H74" s="60">
        <f t="shared" ref="H74:I79" si="14">F74-D74</f>
        <v>0</v>
      </c>
      <c r="I74" s="38">
        <f t="shared" si="14"/>
        <v>6212875.0399999991</v>
      </c>
    </row>
    <row r="75" spans="1:9" x14ac:dyDescent="0.2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16223.95</v>
      </c>
      <c r="F75" s="60">
        <f>+'EAST-CON-GL'!D75</f>
        <v>0</v>
      </c>
      <c r="G75" s="38">
        <f>+'EAST-CON-GL'!E75</f>
        <v>16300</v>
      </c>
      <c r="H75" s="60">
        <f t="shared" si="14"/>
        <v>0</v>
      </c>
      <c r="I75" s="38">
        <f t="shared" si="14"/>
        <v>76.049999999999272</v>
      </c>
    </row>
    <row r="76" spans="1:9" x14ac:dyDescent="0.2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0</v>
      </c>
      <c r="F76" s="60">
        <f>+'EAST-CON-GL'!D76</f>
        <v>0</v>
      </c>
      <c r="G76" s="38">
        <f>+'EAST-CON-GL'!E76</f>
        <v>-184499.99</v>
      </c>
      <c r="H76" s="60">
        <f t="shared" si="14"/>
        <v>0</v>
      </c>
      <c r="I76" s="38">
        <f t="shared" si="14"/>
        <v>-184499.99</v>
      </c>
    </row>
    <row r="77" spans="1:9" x14ac:dyDescent="0.2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-1261726</v>
      </c>
      <c r="F77" s="60">
        <f>+'EAST-CON-GL'!D77</f>
        <v>0</v>
      </c>
      <c r="G77" s="38">
        <f>+'EAST-CON-GL'!E77</f>
        <v>-3276809</v>
      </c>
      <c r="H77" s="60">
        <f t="shared" si="14"/>
        <v>0</v>
      </c>
      <c r="I77" s="38">
        <f t="shared" si="14"/>
        <v>-2015083</v>
      </c>
    </row>
    <row r="78" spans="1:9" x14ac:dyDescent="0.2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23732.945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15496704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-15496704</v>
      </c>
    </row>
    <row r="80" spans="1:9" x14ac:dyDescent="0.2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164679.23000000001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-164679.23000000001</v>
      </c>
    </row>
    <row r="81" spans="1:63" x14ac:dyDescent="0.2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-2000000</v>
      </c>
      <c r="F81" s="60">
        <f>+'EAST-CON-GL'!D81</f>
        <v>0</v>
      </c>
      <c r="G81" s="38">
        <f>+'EAST-CON-GL'!E81</f>
        <v>476861.95</v>
      </c>
      <c r="H81" s="60">
        <f>F81-D81</f>
        <v>0</v>
      </c>
      <c r="I81" s="38">
        <f>G81-E81</f>
        <v>2476861.9500000002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-1138997.7431082537</v>
      </c>
      <c r="F82" s="117">
        <f>F16+F24+F29+F36+F43+F45+F47+F49</f>
        <v>0</v>
      </c>
      <c r="G82" s="118">
        <f>SUM(G72:G81)+G16+G24+G29+G36+G43+G45+G47+G49+G51+G56+G61+G66</f>
        <v>296369.41400011862</v>
      </c>
      <c r="H82" s="117">
        <f>H16+H24+H29+H36+H43+H45+H47+H49</f>
        <v>0</v>
      </c>
      <c r="I82" s="118">
        <f>SUM(I72:I81)+I16+I24+I29+I36+I43+I45+I47+I49+I51+I56+I61+I66</f>
        <v>1435367.1571083409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-1138997.7431082393</v>
      </c>
      <c r="F84" s="31">
        <f>+'SE-EGM-VAR'!F82+'NE-VAR'!F82+'SE-LRC-VAR'!F82+BGC_VAR!F82</f>
        <v>0</v>
      </c>
      <c r="G84" s="31">
        <f>+'SE-EGM-VAR'!G82+'NE-VAR'!G82+'SE-LRC-VAR'!G82+BGC_VAR!G82</f>
        <v>-107817.26499998313</v>
      </c>
      <c r="H84" s="31">
        <f>+'SE-EGM-VAR'!H82+'NE-VAR'!H82+'SE-LRC-VAR'!H82+BGC_VAR!H82</f>
        <v>0</v>
      </c>
      <c r="I84" s="31">
        <f>+'SE-EGM-VAR'!I82+'NE-VAR'!I82+'SE-LRC-VAR'!I82+BGC_VAR!I82</f>
        <v>1031180.4781082645</v>
      </c>
    </row>
    <row r="85" spans="1:63" x14ac:dyDescent="0.2">
      <c r="A85" s="4" t="s">
        <v>195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+'EAST-CON-FLSH'!D86</f>
        <v>0</v>
      </c>
      <c r="E86" s="184">
        <f>+'EAST-CON-FLSH'!E86</f>
        <v>0</v>
      </c>
      <c r="F86" s="184">
        <f>+'EAST-CON-GL'!D86</f>
        <v>0</v>
      </c>
      <c r="G86" s="184">
        <f>+'EAST-CON-GL'!E86</f>
        <v>-6906.04</v>
      </c>
      <c r="H86" s="184">
        <f t="shared" ref="H86:I88" si="15">F86-D86</f>
        <v>0</v>
      </c>
      <c r="I86" s="184">
        <f t="shared" si="15"/>
        <v>-6906.04</v>
      </c>
    </row>
    <row r="87" spans="1:63" x14ac:dyDescent="0.2">
      <c r="A87" s="183"/>
      <c r="B87" s="3"/>
      <c r="C87" s="10" t="s">
        <v>75</v>
      </c>
      <c r="D87" s="185">
        <f>+'EAST-CON-FLSH'!D87</f>
        <v>0</v>
      </c>
      <c r="E87" s="185">
        <f>+'EAST-CON-FLSH'!E87</f>
        <v>0</v>
      </c>
      <c r="F87" s="185">
        <f>+'EAST-CON-GL'!D87</f>
        <v>0</v>
      </c>
      <c r="G87" s="185">
        <f>+'EAST-CON-GL'!E87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+'EAST-CON-FLSH'!D88</f>
        <v>0</v>
      </c>
      <c r="E88" s="186">
        <f>+'EAST-CON-FLSH'!E88</f>
        <v>0</v>
      </c>
      <c r="F88" s="186">
        <f>+'EAST-CON-GL'!D88</f>
        <v>0</v>
      </c>
      <c r="G88" s="186">
        <f>+'EAST-CON-GL'!E88</f>
        <v>0</v>
      </c>
      <c r="H88" s="186">
        <f t="shared" si="15"/>
        <v>0</v>
      </c>
      <c r="I88" s="186">
        <f t="shared" si="15"/>
        <v>0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0</v>
      </c>
      <c r="F89" s="190">
        <f t="shared" si="16"/>
        <v>0</v>
      </c>
      <c r="G89" s="190">
        <f t="shared" si="16"/>
        <v>-6906.04</v>
      </c>
      <c r="H89" s="190">
        <f t="shared" si="16"/>
        <v>0</v>
      </c>
      <c r="I89" s="190">
        <f t="shared" si="16"/>
        <v>-6906.04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-1138997.7431082537</v>
      </c>
      <c r="F91" s="190">
        <f t="shared" si="17"/>
        <v>0</v>
      </c>
      <c r="G91" s="190">
        <f t="shared" si="17"/>
        <v>289463.37400011864</v>
      </c>
      <c r="H91" s="190">
        <f t="shared" si="17"/>
        <v>0</v>
      </c>
      <c r="I91" s="190">
        <f t="shared" si="17"/>
        <v>1428461.1171083408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75" header="0.5" footer="0.5"/>
  <pageSetup paperSize="5" scale="74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1" activePane="bottomRight" state="frozen"/>
      <selection activeCell="D10" sqref="D10"/>
      <selection pane="topRight" activeCell="D10" sqref="D10"/>
      <selection pane="bottomLeft" activeCell="D10" sqref="D10"/>
      <selection pane="bottomRight" activeCell="C71" sqref="C7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'TX-EGM-FLSH'!L11</f>
        <v>49063050</v>
      </c>
      <c r="E11" s="66">
        <f>'TX-EGM-FLSH'!M11</f>
        <v>85978116</v>
      </c>
      <c r="F11" s="60">
        <f>'TX-EGM-GL'!D11</f>
        <v>14496329</v>
      </c>
      <c r="G11" s="38">
        <f>'TX-EGM-GL'!E11</f>
        <v>34021863.050000004</v>
      </c>
      <c r="H11" s="60">
        <f>F11-D11</f>
        <v>-34566721</v>
      </c>
      <c r="I11" s="38">
        <f>G11-E11</f>
        <v>-51956252.949999996</v>
      </c>
    </row>
    <row r="12" spans="1:22" x14ac:dyDescent="0.2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-8747843.2300000004</v>
      </c>
      <c r="H12" s="60">
        <f>F12-D12</f>
        <v>0</v>
      </c>
      <c r="I12" s="38">
        <f>G12-E12</f>
        <v>-8747843.2300000004</v>
      </c>
    </row>
    <row r="13" spans="1:22" x14ac:dyDescent="0.2">
      <c r="A13" s="9">
        <v>3</v>
      </c>
      <c r="B13" s="7"/>
      <c r="C13" s="18" t="s">
        <v>31</v>
      </c>
      <c r="D13" s="65">
        <f>'TX-EGM-FLSH'!L13</f>
        <v>1181827</v>
      </c>
      <c r="E13" s="66">
        <f>'TX-EGM-FLSH'!M13</f>
        <v>2001964.88</v>
      </c>
      <c r="F13" s="60">
        <f>'TX-EGM-GL'!D13</f>
        <v>1181827</v>
      </c>
      <c r="G13" s="38">
        <f>'TX-EGM-GL'!E13</f>
        <v>2001964</v>
      </c>
      <c r="H13" s="60">
        <f t="shared" ref="H13:I15" si="0">F13-D13</f>
        <v>0</v>
      </c>
      <c r="I13" s="38">
        <f t="shared" si="0"/>
        <v>-0.87999999988824129</v>
      </c>
    </row>
    <row r="14" spans="1:22" x14ac:dyDescent="0.2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50244877</v>
      </c>
      <c r="E16" s="39">
        <f t="shared" si="1"/>
        <v>87980080.879999995</v>
      </c>
      <c r="F16" s="61">
        <f t="shared" si="1"/>
        <v>15678156</v>
      </c>
      <c r="G16" s="39">
        <f t="shared" si="1"/>
        <v>27275983.820000004</v>
      </c>
      <c r="H16" s="61">
        <f t="shared" si="1"/>
        <v>-34566721</v>
      </c>
      <c r="I16" s="39">
        <f t="shared" si="1"/>
        <v>-60704097.059999995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'TX-EGM-FLSH'!L19</f>
        <v>-57166638</v>
      </c>
      <c r="E19" s="66">
        <f>'TX-EGM-FLSH'!M19</f>
        <v>-99465173</v>
      </c>
      <c r="F19" s="60">
        <f>'TX-EGM-GL'!D19</f>
        <v>-22184854</v>
      </c>
      <c r="G19" s="38">
        <f>'TX-EGM-GL'!E19</f>
        <v>-38647543.75</v>
      </c>
      <c r="H19" s="60">
        <f>F19-D19</f>
        <v>34981784</v>
      </c>
      <c r="I19" s="38">
        <f>G19-E19</f>
        <v>60817629.25</v>
      </c>
    </row>
    <row r="20" spans="1:9" x14ac:dyDescent="0.2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535659.33000000007</v>
      </c>
      <c r="H20" s="60">
        <f>F20-D20</f>
        <v>0</v>
      </c>
      <c r="I20" s="38">
        <f>G20-E20</f>
        <v>535659.33000000007</v>
      </c>
    </row>
    <row r="21" spans="1:9" x14ac:dyDescent="0.2">
      <c r="A21" s="9">
        <v>8</v>
      </c>
      <c r="B21" s="7"/>
      <c r="C21" s="18" t="s">
        <v>31</v>
      </c>
      <c r="D21" s="65">
        <f>'TX-EGM-FLSH'!L21</f>
        <v>-1337043</v>
      </c>
      <c r="E21" s="66">
        <f>'TX-EGM-FLSH'!M21</f>
        <v>-2280277.71</v>
      </c>
      <c r="F21" s="60">
        <f>'TX-EGM-GL'!D21</f>
        <v>-1331315</v>
      </c>
      <c r="G21" s="38">
        <f>'TX-EGM-GL'!E21</f>
        <v>-2272147</v>
      </c>
      <c r="H21" s="60">
        <f t="shared" ref="H21:I23" si="2">F21-D21</f>
        <v>5728</v>
      </c>
      <c r="I21" s="38">
        <f t="shared" si="2"/>
        <v>8130.7099999999627</v>
      </c>
    </row>
    <row r="22" spans="1:9" x14ac:dyDescent="0.2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'TX-EGM-FLSH'!L23</f>
        <v>0</v>
      </c>
      <c r="E23" s="66">
        <f>'TX-EGM-FLSH'!M23</f>
        <v>0</v>
      </c>
      <c r="F23" s="60">
        <f>'TX-EGM-GL'!D23</f>
        <v>4992</v>
      </c>
      <c r="G23" s="38">
        <f>'TX-EGM-GL'!E23</f>
        <v>9038.4700000000012</v>
      </c>
      <c r="H23" s="60">
        <f t="shared" si="2"/>
        <v>4992</v>
      </c>
      <c r="I23" s="38">
        <f t="shared" si="2"/>
        <v>9038.4700000000012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-58503681</v>
      </c>
      <c r="E24" s="39">
        <f t="shared" si="3"/>
        <v>-101745450.70999999</v>
      </c>
      <c r="F24" s="61">
        <f t="shared" si="3"/>
        <v>-23511177</v>
      </c>
      <c r="G24" s="39">
        <f t="shared" si="3"/>
        <v>-40374992.950000003</v>
      </c>
      <c r="H24" s="61">
        <f t="shared" si="3"/>
        <v>34992504</v>
      </c>
      <c r="I24" s="39">
        <f t="shared" si="3"/>
        <v>61370457.759999998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'TX-EGM-FLSH'!L27</f>
        <v>29598230</v>
      </c>
      <c r="E27" s="66">
        <f>'TX-EGM-FLSH'!M27</f>
        <v>51845686.640000001</v>
      </c>
      <c r="F27" s="60">
        <f>'TX-EGM-GL'!D27</f>
        <v>12294877</v>
      </c>
      <c r="G27" s="38">
        <f>'TX-EGM-GL'!E27</f>
        <v>21881850.099999998</v>
      </c>
      <c r="H27" s="60">
        <f>F27-D27</f>
        <v>-17303353</v>
      </c>
      <c r="I27" s="38">
        <f>G27-E27</f>
        <v>-29963836.540000003</v>
      </c>
    </row>
    <row r="28" spans="1:9" x14ac:dyDescent="0.2">
      <c r="A28" s="9">
        <v>12</v>
      </c>
      <c r="B28" s="7"/>
      <c r="C28" s="18" t="s">
        <v>40</v>
      </c>
      <c r="D28" s="65">
        <f>'TX-EGM-FLSH'!L28</f>
        <v>-28848210</v>
      </c>
      <c r="E28" s="66">
        <f>'TX-EGM-FLSH'!M28</f>
        <v>-50416224.18</v>
      </c>
      <c r="F28" s="60">
        <f>'TX-EGM-GL'!D28</f>
        <v>-6123075</v>
      </c>
      <c r="G28" s="38">
        <f>'TX-EGM-GL'!E28</f>
        <v>-10779197.060000002</v>
      </c>
      <c r="H28" s="60">
        <f>F28-D28</f>
        <v>22725135</v>
      </c>
      <c r="I28" s="38">
        <f>G28-E28</f>
        <v>39637027.119999997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750020</v>
      </c>
      <c r="E29" s="70">
        <f t="shared" si="4"/>
        <v>1429462.4600000009</v>
      </c>
      <c r="F29" s="69">
        <f t="shared" si="4"/>
        <v>6171802</v>
      </c>
      <c r="G29" s="70">
        <f t="shared" si="4"/>
        <v>11102653.039999995</v>
      </c>
      <c r="H29" s="69">
        <f t="shared" si="4"/>
        <v>5421782</v>
      </c>
      <c r="I29" s="70">
        <f t="shared" si="4"/>
        <v>9673190.5799999945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240567</v>
      </c>
      <c r="G32" s="38">
        <f>'TX-EGM-GL'!E32</f>
        <v>412571.80899999983</v>
      </c>
      <c r="H32" s="60">
        <f>F32-D32</f>
        <v>240567</v>
      </c>
      <c r="I32" s="38">
        <f>G32-E32</f>
        <v>412571.80899999983</v>
      </c>
    </row>
    <row r="33" spans="1:9" x14ac:dyDescent="0.2">
      <c r="A33" s="9">
        <v>14</v>
      </c>
      <c r="B33" s="7"/>
      <c r="C33" s="18" t="s">
        <v>44</v>
      </c>
      <c r="D33" s="65">
        <f>'TX-EGM-FLSH'!L33</f>
        <v>7508784</v>
      </c>
      <c r="E33" s="66">
        <f>'TX-EGM-FLSH'!M33</f>
        <v>12889227.374123955</v>
      </c>
      <c r="F33" s="60">
        <f>'TX-EGM-GL'!D33</f>
        <v>0</v>
      </c>
      <c r="G33" s="38">
        <f>'TX-EGM-GL'!E33</f>
        <v>0</v>
      </c>
      <c r="H33" s="60">
        <f t="shared" ref="H33:I35" si="5">F33-D33</f>
        <v>-7508784</v>
      </c>
      <c r="I33" s="38">
        <f t="shared" si="5"/>
        <v>-12889227.374123955</v>
      </c>
    </row>
    <row r="34" spans="1:9" x14ac:dyDescent="0.2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7508784</v>
      </c>
      <c r="E36" s="39">
        <f t="shared" si="6"/>
        <v>12889227.374123955</v>
      </c>
      <c r="F36" s="61">
        <f t="shared" si="6"/>
        <v>240567</v>
      </c>
      <c r="G36" s="39">
        <f t="shared" si="6"/>
        <v>412571.80899999983</v>
      </c>
      <c r="H36" s="61">
        <f t="shared" si="6"/>
        <v>-7268217</v>
      </c>
      <c r="I36" s="39">
        <f t="shared" si="6"/>
        <v>-12476655.565123955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'TX-EGM-FLSH'!L39</f>
        <v>0</v>
      </c>
      <c r="E39" s="66">
        <f>'TX-EGM-FLSH'!M39</f>
        <v>0</v>
      </c>
      <c r="F39" s="60">
        <f>'TX-EGM-GL'!D39</f>
        <v>1498982</v>
      </c>
      <c r="G39" s="38">
        <f>'TX-EGM-GL'!E39</f>
        <v>2411675.6499999994</v>
      </c>
      <c r="H39" s="60">
        <f t="shared" ref="H39:I41" si="7">F39-D39</f>
        <v>1498982</v>
      </c>
      <c r="I39" s="38">
        <f t="shared" si="7"/>
        <v>2411675.6499999994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20947</v>
      </c>
      <c r="H41" s="60">
        <f t="shared" si="7"/>
        <v>0</v>
      </c>
      <c r="I41" s="38">
        <f t="shared" si="7"/>
        <v>20947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20947</v>
      </c>
      <c r="H42" s="69">
        <f t="shared" si="8"/>
        <v>0</v>
      </c>
      <c r="I42" s="70">
        <f t="shared" si="8"/>
        <v>20947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1498982</v>
      </c>
      <c r="G43" s="39">
        <f t="shared" si="9"/>
        <v>2432622.6499999994</v>
      </c>
      <c r="H43" s="61">
        <f t="shared" si="9"/>
        <v>1498982</v>
      </c>
      <c r="I43" s="39">
        <f t="shared" si="9"/>
        <v>2432622.6499999994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-78330</v>
      </c>
      <c r="G49" s="38">
        <f>'TX-EGM-GL'!E49</f>
        <v>-134733.22999999998</v>
      </c>
      <c r="H49" s="60">
        <f>F49-D49</f>
        <v>-78330</v>
      </c>
      <c r="I49" s="38">
        <f>G49-E49</f>
        <v>-134733.22999999998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-4992</v>
      </c>
      <c r="G51" s="38">
        <f>'TX-EGM-GL'!E51</f>
        <v>-9038.4700000000012</v>
      </c>
      <c r="H51" s="60">
        <f>F51-D51</f>
        <v>-4992</v>
      </c>
      <c r="I51" s="38">
        <f>G51-E51</f>
        <v>15961.529999999999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-293671</v>
      </c>
      <c r="F54" s="60">
        <f>'TX-EGM-GL'!D54</f>
        <v>21945770</v>
      </c>
      <c r="G54" s="38">
        <f>'TX-EGM-GL'!E54</f>
        <v>25240.99000000006</v>
      </c>
      <c r="H54" s="60">
        <f>F54-D54</f>
        <v>21945770</v>
      </c>
      <c r="I54" s="38">
        <f>G54-E54</f>
        <v>318911.99000000005</v>
      </c>
    </row>
    <row r="55" spans="1:9" x14ac:dyDescent="0.2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-293671</v>
      </c>
      <c r="F56" s="61">
        <f t="shared" si="10"/>
        <v>21945770</v>
      </c>
      <c r="G56" s="39">
        <f t="shared" si="10"/>
        <v>25240.99000000006</v>
      </c>
      <c r="H56" s="61">
        <f t="shared" si="10"/>
        <v>21945770</v>
      </c>
      <c r="I56" s="39">
        <f t="shared" si="10"/>
        <v>318911.99000000005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-56076580</v>
      </c>
      <c r="G64" s="38">
        <f>'TX-EGM-GL'!E64</f>
        <v>-636909.37999999989</v>
      </c>
      <c r="H64" s="60">
        <f>F64-D64</f>
        <v>-56076580</v>
      </c>
      <c r="I64" s="38">
        <f>G64-E64</f>
        <v>-636909.37999999989</v>
      </c>
    </row>
    <row r="65" spans="1:9" x14ac:dyDescent="0.2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498887</v>
      </c>
      <c r="H65" s="60">
        <f>F65-D65</f>
        <v>0</v>
      </c>
      <c r="I65" s="38">
        <f>G65-E65</f>
        <v>498887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-56076580</v>
      </c>
      <c r="G66" s="39">
        <f t="shared" si="12"/>
        <v>-138022.37999999989</v>
      </c>
      <c r="H66" s="61">
        <f t="shared" si="12"/>
        <v>-56076580</v>
      </c>
      <c r="I66" s="39">
        <f t="shared" si="12"/>
        <v>-138022.37999999989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138111.41</v>
      </c>
      <c r="F70" s="60">
        <f>'TX-EGM-GL'!D70</f>
        <v>0</v>
      </c>
      <c r="G70" s="38">
        <f>'TX-EGM-GL'!E70</f>
        <v>-140015.5</v>
      </c>
      <c r="H70" s="60">
        <f>F70-D70</f>
        <v>0</v>
      </c>
      <c r="I70" s="38">
        <f>G70-E70</f>
        <v>-278126.91000000003</v>
      </c>
    </row>
    <row r="71" spans="1:9" x14ac:dyDescent="0.2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987605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-987605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1125716.4099999999</v>
      </c>
      <c r="F72" s="69">
        <f t="shared" si="13"/>
        <v>0</v>
      </c>
      <c r="G72" s="70">
        <f t="shared" si="13"/>
        <v>-140015.5</v>
      </c>
      <c r="H72" s="69">
        <f t="shared" si="13"/>
        <v>0</v>
      </c>
      <c r="I72" s="70">
        <f t="shared" si="13"/>
        <v>-1265731.9100000001</v>
      </c>
    </row>
    <row r="73" spans="1:9" x14ac:dyDescent="0.2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-301843.07</v>
      </c>
      <c r="F74" s="60">
        <f>'TX-EGM-GL'!D74</f>
        <v>0</v>
      </c>
      <c r="G74" s="38">
        <f>'TX-EGM-GL'!E74</f>
        <v>-208274.45999999996</v>
      </c>
      <c r="H74" s="60">
        <f t="shared" ref="H74:I79" si="14">F74-D74</f>
        <v>0</v>
      </c>
      <c r="I74" s="38">
        <f t="shared" si="14"/>
        <v>93568.610000000044</v>
      </c>
    </row>
    <row r="75" spans="1:9" x14ac:dyDescent="0.2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52737</v>
      </c>
      <c r="F75" s="60">
        <f>'TX-EGM-GL'!D75</f>
        <v>0</v>
      </c>
      <c r="G75" s="38">
        <f>'TX-EGM-GL'!E75</f>
        <v>52800</v>
      </c>
      <c r="H75" s="60">
        <f t="shared" si="14"/>
        <v>0</v>
      </c>
      <c r="I75" s="38">
        <f t="shared" si="14"/>
        <v>63</v>
      </c>
    </row>
    <row r="76" spans="1:9" x14ac:dyDescent="0.2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-60</v>
      </c>
      <c r="F76" s="60">
        <f>'TX-EGM-GL'!D76</f>
        <v>0</v>
      </c>
      <c r="G76" s="38">
        <f>'TX-EGM-GL'!E76</f>
        <v>-60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315590</v>
      </c>
      <c r="F81" s="60">
        <f>'TX-EGM-GL'!D81</f>
        <v>-25993375</v>
      </c>
      <c r="G81" s="38">
        <f>'TX-EGM-GL'!E81</f>
        <v>-50600</v>
      </c>
      <c r="H81" s="60">
        <f>F81-D81</f>
        <v>-25993375</v>
      </c>
      <c r="I81" s="38">
        <f>G81-E81</f>
        <v>-366190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1426789.3441239614</v>
      </c>
      <c r="F82" s="117">
        <f>F16+F24+F29+F36+F43+F45+F47+F49</f>
        <v>0</v>
      </c>
      <c r="G82" s="118">
        <f>SUM(G72:G81)+G16+G24+G29+G36+G43+G45+G47+G49+G51+G56+G61+G66</f>
        <v>246135.31899999507</v>
      </c>
      <c r="H82" s="117">
        <f>H16+H24+H29+H36+H43+H45+H47+H49</f>
        <v>0</v>
      </c>
      <c r="I82" s="118">
        <f>SUM(I72:I81)+I16+I24+I29+I36+I43+I45+I47+I49+I51+I56+I61+I66</f>
        <v>-1180654.0251239548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196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'TX-EGM-FLSH'!L86</f>
        <v>0</v>
      </c>
      <c r="E86" s="184">
        <f>'TX-EGM-FLSH'!M86</f>
        <v>67597</v>
      </c>
      <c r="F86" s="184">
        <f>'TX-EGM-GL'!D86</f>
        <v>0</v>
      </c>
      <c r="G86" s="184">
        <f>'TX-EGM-GL'!E86</f>
        <v>67597.5</v>
      </c>
      <c r="H86" s="184">
        <f t="shared" ref="H86:I88" si="15">F86-D86</f>
        <v>0</v>
      </c>
      <c r="I86" s="184">
        <f t="shared" si="15"/>
        <v>0.5</v>
      </c>
    </row>
    <row r="87" spans="1:63" x14ac:dyDescent="0.2">
      <c r="A87" s="183"/>
      <c r="B87" s="3"/>
      <c r="C87" s="10" t="s">
        <v>75</v>
      </c>
      <c r="D87" s="185">
        <f>'TX-EGM-FLSH'!L87</f>
        <v>0</v>
      </c>
      <c r="E87" s="185">
        <f>'TX-EGM-FLSH'!M87</f>
        <v>0</v>
      </c>
      <c r="F87" s="185">
        <f>'TX-EGM-GL'!D87</f>
        <v>0</v>
      </c>
      <c r="G87" s="185">
        <f>'TX-EGM-GL'!E87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'TX-EGM-FLSH'!L88</f>
        <v>0</v>
      </c>
      <c r="E88" s="186">
        <f>'TX-EGM-FLSH'!M88</f>
        <v>-48556</v>
      </c>
      <c r="F88" s="186">
        <f>'TX-EGM-GL'!D88</f>
        <v>0</v>
      </c>
      <c r="G88" s="186">
        <f>'TX-EGM-GL'!E88</f>
        <v>-48600</v>
      </c>
      <c r="H88" s="186">
        <f t="shared" si="15"/>
        <v>0</v>
      </c>
      <c r="I88" s="186">
        <f t="shared" si="15"/>
        <v>-44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19041</v>
      </c>
      <c r="F89" s="190">
        <f t="shared" si="16"/>
        <v>0</v>
      </c>
      <c r="G89" s="190">
        <f t="shared" si="16"/>
        <v>18997.5</v>
      </c>
      <c r="H89" s="190">
        <f t="shared" si="16"/>
        <v>0</v>
      </c>
      <c r="I89" s="190">
        <f t="shared" si="16"/>
        <v>-43.5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1445830.3441239614</v>
      </c>
      <c r="F91" s="190">
        <f t="shared" si="17"/>
        <v>0</v>
      </c>
      <c r="G91" s="190">
        <f t="shared" si="17"/>
        <v>265132.81899999507</v>
      </c>
      <c r="H91" s="190">
        <f t="shared" si="17"/>
        <v>0</v>
      </c>
      <c r="I91" s="190">
        <f t="shared" si="17"/>
        <v>-1180697.5251239548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'TX-HPL-FLSH'!L11</f>
        <v>-12142761</v>
      </c>
      <c r="E11" s="66">
        <f>'TX-HPL-FLSH'!M11</f>
        <v>-22129928</v>
      </c>
      <c r="F11" s="60">
        <f>'TX-HPL-GL '!D11</f>
        <v>22082849</v>
      </c>
      <c r="G11" s="38">
        <f>'TX-HPL-GL '!E11</f>
        <v>40894199.420000002</v>
      </c>
      <c r="H11" s="60">
        <f>F11-D11</f>
        <v>34225610</v>
      </c>
      <c r="I11" s="38">
        <f>G11-E11</f>
        <v>63024127.420000002</v>
      </c>
    </row>
    <row r="12" spans="1:22" x14ac:dyDescent="0.2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-2372979.98</v>
      </c>
      <c r="H12" s="60">
        <f>F12-D12</f>
        <v>0</v>
      </c>
      <c r="I12" s="38">
        <f>G12-E12</f>
        <v>-2372979.98</v>
      </c>
    </row>
    <row r="13" spans="1:22" x14ac:dyDescent="0.2">
      <c r="A13" s="9">
        <v>3</v>
      </c>
      <c r="B13" s="7"/>
      <c r="C13" s="18" t="s">
        <v>31</v>
      </c>
      <c r="D13" s="65">
        <f>'TX-HPL-FLSH'!L13</f>
        <v>0</v>
      </c>
      <c r="E13" s="66">
        <f>'TX-HPL-FLSH'!M13</f>
        <v>-0.87999999988824129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0.87999999988824129</v>
      </c>
    </row>
    <row r="14" spans="1:22" x14ac:dyDescent="0.2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-12142761</v>
      </c>
      <c r="E16" s="39">
        <f t="shared" si="1"/>
        <v>-22009928.879999999</v>
      </c>
      <c r="F16" s="61">
        <f t="shared" si="1"/>
        <v>22082849</v>
      </c>
      <c r="G16" s="39">
        <f t="shared" si="1"/>
        <v>38521219.440000005</v>
      </c>
      <c r="H16" s="61">
        <f t="shared" si="1"/>
        <v>34225610</v>
      </c>
      <c r="I16" s="39">
        <f t="shared" si="1"/>
        <v>60531148.320000008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'TX-HPL-FLSH'!L19</f>
        <v>18007351</v>
      </c>
      <c r="E19" s="66">
        <f>'TX-HPL-FLSH'!M19</f>
        <v>31323545</v>
      </c>
      <c r="F19" s="60">
        <f>'TX-HPL-GL '!D19</f>
        <v>-4925740</v>
      </c>
      <c r="G19" s="38">
        <f>'TX-HPL-GL '!E19</f>
        <v>-8633362.5199999977</v>
      </c>
      <c r="H19" s="60">
        <f>F19-D19</f>
        <v>-22933091</v>
      </c>
      <c r="I19" s="38">
        <f>G19-E19</f>
        <v>-39956907.519999996</v>
      </c>
    </row>
    <row r="20" spans="1:9" x14ac:dyDescent="0.2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593197.94999999995</v>
      </c>
      <c r="H20" s="60">
        <f>F20-D20</f>
        <v>0</v>
      </c>
      <c r="I20" s="38">
        <f>G20-E20</f>
        <v>593197.94999999995</v>
      </c>
    </row>
    <row r="21" spans="1:9" x14ac:dyDescent="0.2">
      <c r="A21" s="9">
        <v>8</v>
      </c>
      <c r="B21" s="7"/>
      <c r="C21" s="18" t="s">
        <v>31</v>
      </c>
      <c r="D21" s="65">
        <f>'TX-HPL-FLSH'!L21</f>
        <v>0</v>
      </c>
      <c r="E21" s="66">
        <f>'TX-HPL-FLSH'!M21</f>
        <v>-4.2900000000372529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4.2900000000372529</v>
      </c>
    </row>
    <row r="22" spans="1:9" x14ac:dyDescent="0.2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'TX-HPL-FLSH'!L23</f>
        <v>56</v>
      </c>
      <c r="E23" s="66">
        <f>'TX-HPL-FLSH'!M23</f>
        <v>94</v>
      </c>
      <c r="F23" s="60">
        <f>'TX-HPL-GL '!D23</f>
        <v>0</v>
      </c>
      <c r="G23" s="38">
        <f>'TX-HPL-GL '!E23</f>
        <v>0</v>
      </c>
      <c r="H23" s="60">
        <f t="shared" si="2"/>
        <v>-56</v>
      </c>
      <c r="I23" s="38">
        <f t="shared" si="2"/>
        <v>-94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18007407</v>
      </c>
      <c r="E24" s="39">
        <f t="shared" si="3"/>
        <v>31323634.710000001</v>
      </c>
      <c r="F24" s="61">
        <f t="shared" si="3"/>
        <v>-4925740</v>
      </c>
      <c r="G24" s="39">
        <f t="shared" si="3"/>
        <v>-8040164.5699999975</v>
      </c>
      <c r="H24" s="61">
        <f t="shared" si="3"/>
        <v>-22933147</v>
      </c>
      <c r="I24" s="39">
        <f t="shared" si="3"/>
        <v>-39363799.279999994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'TX-HPL-FLSH'!L27</f>
        <v>2323610</v>
      </c>
      <c r="E27" s="66">
        <f>'TX-HPL-FLSH'!M27</f>
        <v>4047922.36</v>
      </c>
      <c r="F27" s="60">
        <f>'TX-HPL-GL '!D27</f>
        <v>2157267</v>
      </c>
      <c r="G27" s="38">
        <f>'TX-HPL-GL '!E27</f>
        <v>3774601.7866999954</v>
      </c>
      <c r="H27" s="60">
        <f>F27-D27</f>
        <v>-166343</v>
      </c>
      <c r="I27" s="38">
        <f>G27-E27</f>
        <v>-273320.57330000447</v>
      </c>
    </row>
    <row r="28" spans="1:9" x14ac:dyDescent="0.2">
      <c r="A28" s="9">
        <v>12</v>
      </c>
      <c r="B28" s="7"/>
      <c r="C28" s="18" t="s">
        <v>40</v>
      </c>
      <c r="D28" s="65">
        <f>'TX-HPL-FLSH'!L28</f>
        <v>-3073630</v>
      </c>
      <c r="E28" s="66">
        <f>'TX-HPL-FLSH'!M28</f>
        <v>-5477384.8200000003</v>
      </c>
      <c r="F28" s="60">
        <f>'TX-HPL-GL '!D28</f>
        <v>-19314947</v>
      </c>
      <c r="G28" s="38">
        <f>'TX-HPL-GL '!E28</f>
        <v>-34359402.727500007</v>
      </c>
      <c r="H28" s="60">
        <f>F28-D28</f>
        <v>-16241317</v>
      </c>
      <c r="I28" s="38">
        <f>G28-E28</f>
        <v>-28882017.907500006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-750020</v>
      </c>
      <c r="E29" s="70">
        <f t="shared" si="4"/>
        <v>-1429462.4600000004</v>
      </c>
      <c r="F29" s="69">
        <f t="shared" si="4"/>
        <v>-17157680</v>
      </c>
      <c r="G29" s="70">
        <f t="shared" si="4"/>
        <v>-30584800.940800011</v>
      </c>
      <c r="H29" s="69">
        <f t="shared" si="4"/>
        <v>-16407660</v>
      </c>
      <c r="I29" s="70">
        <f t="shared" si="4"/>
        <v>-29155338.48080001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571</v>
      </c>
      <c r="G32" s="38">
        <f>'TX-HPL-GL '!E32</f>
        <v>979.26899999998841</v>
      </c>
      <c r="H32" s="60">
        <f>F32-D32</f>
        <v>571</v>
      </c>
      <c r="I32" s="38">
        <f>G32-E32</f>
        <v>979.26899999998841</v>
      </c>
    </row>
    <row r="33" spans="1:9" x14ac:dyDescent="0.2">
      <c r="A33" s="9">
        <v>14</v>
      </c>
      <c r="B33" s="7"/>
      <c r="C33" s="18" t="s">
        <v>44</v>
      </c>
      <c r="D33" s="65">
        <f>'TX-HPL-FLSH'!L33</f>
        <v>-7496031</v>
      </c>
      <c r="E33" s="66">
        <f>'TX-HPL-FLSH'!M33</f>
        <v>-12867349.665533965</v>
      </c>
      <c r="F33" s="60">
        <f>'TX-HPL-GL '!D33</f>
        <v>0</v>
      </c>
      <c r="G33" s="38">
        <f>'TX-HPL-GL '!E33</f>
        <v>0</v>
      </c>
      <c r="H33" s="60">
        <f t="shared" ref="H33:I35" si="5">F33-D33</f>
        <v>7496031</v>
      </c>
      <c r="I33" s="38">
        <f t="shared" si="5"/>
        <v>12867349.665533965</v>
      </c>
    </row>
    <row r="34" spans="1:9" x14ac:dyDescent="0.2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-7496031</v>
      </c>
      <c r="E36" s="39">
        <f t="shared" si="6"/>
        <v>-12867349.665533965</v>
      </c>
      <c r="F36" s="61">
        <f t="shared" si="6"/>
        <v>571</v>
      </c>
      <c r="G36" s="39">
        <f t="shared" si="6"/>
        <v>979.26899999998841</v>
      </c>
      <c r="H36" s="61">
        <f t="shared" si="6"/>
        <v>7496602</v>
      </c>
      <c r="I36" s="39">
        <f t="shared" si="6"/>
        <v>12868328.934533965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'TX-HPL-FLSH'!L39</f>
        <v>3267992</v>
      </c>
      <c r="E39" s="66">
        <f>'TX-HPL-FLSH'!M39</f>
        <v>5909295</v>
      </c>
      <c r="F39" s="60">
        <f>'TX-HPL-GL '!D39</f>
        <v>0</v>
      </c>
      <c r="G39" s="38">
        <f>'TX-HPL-GL '!E39</f>
        <v>0</v>
      </c>
      <c r="H39" s="60">
        <f t="shared" ref="H39:I41" si="7">F39-D39</f>
        <v>-3267992</v>
      </c>
      <c r="I39" s="38">
        <f t="shared" si="7"/>
        <v>-5909295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'TX-HPL-FLSH'!L40</f>
        <v>-886587</v>
      </c>
      <c r="E40" s="66">
        <f>'TX-HPL-FLSH'!M40</f>
        <v>-1545938</v>
      </c>
      <c r="F40" s="60">
        <f>'TX-HPL-GL '!D40</f>
        <v>0</v>
      </c>
      <c r="G40" s="38">
        <f>'TX-HPL-GL '!E40</f>
        <v>0</v>
      </c>
      <c r="H40" s="60">
        <f t="shared" si="7"/>
        <v>886587</v>
      </c>
      <c r="I40" s="38">
        <f t="shared" si="7"/>
        <v>1545938</v>
      </c>
    </row>
    <row r="41" spans="1:9" x14ac:dyDescent="0.2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-886587</v>
      </c>
      <c r="E42" s="70">
        <f t="shared" si="8"/>
        <v>-1545938</v>
      </c>
      <c r="F42" s="69">
        <f t="shared" si="8"/>
        <v>0</v>
      </c>
      <c r="G42" s="70">
        <f t="shared" si="8"/>
        <v>0</v>
      </c>
      <c r="H42" s="69">
        <f t="shared" si="8"/>
        <v>886587</v>
      </c>
      <c r="I42" s="70">
        <f t="shared" si="8"/>
        <v>1545938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2381405</v>
      </c>
      <c r="E43" s="39">
        <f t="shared" si="9"/>
        <v>4363357</v>
      </c>
      <c r="F43" s="61">
        <f t="shared" si="9"/>
        <v>0</v>
      </c>
      <c r="G43" s="39">
        <f t="shared" si="9"/>
        <v>0</v>
      </c>
      <c r="H43" s="61">
        <f t="shared" si="9"/>
        <v>-2381405</v>
      </c>
      <c r="I43" s="39">
        <f t="shared" si="9"/>
        <v>-4363357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6920.119999999999</v>
      </c>
      <c r="H47" s="60">
        <f>F47-D47</f>
        <v>0</v>
      </c>
      <c r="I47" s="38">
        <f>G47-E47</f>
        <v>6920.119999999999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-604336</v>
      </c>
      <c r="F54" s="60">
        <f>'TX-HPL-GL '!D54</f>
        <v>14466592</v>
      </c>
      <c r="G54" s="38">
        <f>'TX-HPL-GL '!E54</f>
        <v>14317.26</v>
      </c>
      <c r="H54" s="60">
        <f>F54-D54</f>
        <v>14466592</v>
      </c>
      <c r="I54" s="38">
        <f>G54-E54</f>
        <v>618653.26</v>
      </c>
    </row>
    <row r="55" spans="1:9" x14ac:dyDescent="0.2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-603096</v>
      </c>
      <c r="H55" s="60">
        <f>F55-D55</f>
        <v>0</v>
      </c>
      <c r="I55" s="38">
        <f>G55-E55</f>
        <v>-603096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-604336</v>
      </c>
      <c r="F56" s="61">
        <f t="shared" si="10"/>
        <v>14466592</v>
      </c>
      <c r="G56" s="39">
        <f t="shared" si="10"/>
        <v>-588778.74</v>
      </c>
      <c r="H56" s="61">
        <f t="shared" si="10"/>
        <v>14466592</v>
      </c>
      <c r="I56" s="39">
        <f t="shared" si="10"/>
        <v>15557.260000000009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1632.12</v>
      </c>
      <c r="H59" s="60">
        <f>F59-D59</f>
        <v>0</v>
      </c>
      <c r="I59" s="38">
        <f>G59-E59</f>
        <v>1632.12</v>
      </c>
    </row>
    <row r="60" spans="1:9" x14ac:dyDescent="0.2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1632.12</v>
      </c>
      <c r="H61" s="69">
        <f t="shared" si="11"/>
        <v>0</v>
      </c>
      <c r="I61" s="70">
        <f t="shared" si="11"/>
        <v>1632.12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-12032178</v>
      </c>
      <c r="G64" s="38">
        <f>'TX-HPL-GL '!E64</f>
        <v>-759608.6</v>
      </c>
      <c r="H64" s="60">
        <f>F64-D64</f>
        <v>-12032178</v>
      </c>
      <c r="I64" s="38">
        <f>G64-E64</f>
        <v>-759608.6</v>
      </c>
    </row>
    <row r="65" spans="1:9" x14ac:dyDescent="0.2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753929</v>
      </c>
      <c r="H65" s="60">
        <f>F65-D65</f>
        <v>0</v>
      </c>
      <c r="I65" s="38">
        <f>G65-E65</f>
        <v>753929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-12032178</v>
      </c>
      <c r="G66" s="39">
        <f t="shared" si="12"/>
        <v>-5679.5999999999767</v>
      </c>
      <c r="H66" s="61">
        <f t="shared" si="12"/>
        <v>-12032178</v>
      </c>
      <c r="I66" s="39">
        <f t="shared" si="12"/>
        <v>-5679.5999999999767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987000</v>
      </c>
      <c r="H74" s="60">
        <f t="shared" ref="H74:I79" si="14">F74-D74</f>
        <v>0</v>
      </c>
      <c r="I74" s="38">
        <f t="shared" si="14"/>
        <v>987000</v>
      </c>
    </row>
    <row r="75" spans="1:9" x14ac:dyDescent="0.2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-34561</v>
      </c>
      <c r="H81" s="60">
        <f>F81-D81</f>
        <v>0</v>
      </c>
      <c r="I81" s="38">
        <f>G81-E81</f>
        <v>-34561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-1199085.2955339644</v>
      </c>
      <c r="F82" s="117">
        <f>F16+F24+F29+F36+F43+F45+F47+F49</f>
        <v>0</v>
      </c>
      <c r="G82" s="118">
        <f>SUM(G72:G81)+G16+G24+G29+G36+G43+G45+G47+G49+G51+G56+G61+G66</f>
        <v>-556233.90180000267</v>
      </c>
      <c r="H82" s="117">
        <f>H16+H24+H29+H36+H43+H45+H47+H49</f>
        <v>0</v>
      </c>
      <c r="I82" s="118">
        <f>SUM(I72:I81)+I16+I24+I29+I36+I43+I45+I47+I49+I51+I56+I61+I66</f>
        <v>642851.39373396861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P64" activePane="bottomRight" state="frozen"/>
      <selection activeCell="D10" sqref="D10"/>
      <selection pane="topRight" activeCell="D10" sqref="D10"/>
      <selection pane="bottomLeft" activeCell="D10" sqref="D10"/>
      <selection pane="bottomRight" activeCell="U74" sqref="U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9902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123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-1959305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>
        <v>-2025520</v>
      </c>
      <c r="T12" s="60"/>
      <c r="U12" s="38">
        <f>42215+24000</f>
        <v>66215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-3043675.7</v>
      </c>
      <c r="F15" s="60"/>
      <c r="G15" s="38">
        <f>-637573.26-758928-987027-235669.68-424477.76</f>
        <v>-3043675.7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-5002980.7</v>
      </c>
      <c r="F16" s="61">
        <f t="shared" si="1"/>
        <v>0</v>
      </c>
      <c r="G16" s="39">
        <f t="shared" si="1"/>
        <v>-3043675.7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-2025520</v>
      </c>
      <c r="T16" s="61">
        <f t="shared" si="2"/>
        <v>0</v>
      </c>
      <c r="U16" s="39">
        <f t="shared" si="2"/>
        <v>66215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1411504.76</v>
      </c>
      <c r="F19" s="60"/>
      <c r="G19" s="38">
        <f>424477.76+987027</f>
        <v>1411504.76</v>
      </c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1411504.76</v>
      </c>
      <c r="F24" s="61">
        <f t="shared" si="4"/>
        <v>0</v>
      </c>
      <c r="G24" s="39">
        <f t="shared" si="4"/>
        <v>1411504.76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v>117344</v>
      </c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>
        <v>-117344</v>
      </c>
      <c r="V41" s="60"/>
      <c r="W41" s="38"/>
      <c r="X41" s="60"/>
      <c r="Y41" s="38"/>
    </row>
    <row r="42" spans="1:25" x14ac:dyDescent="0.2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117344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-117344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117344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-117344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1632170.94</v>
      </c>
      <c r="F55" s="60"/>
      <c r="G55" s="38">
        <v>235669.68</v>
      </c>
      <c r="H55" s="60"/>
      <c r="I55" s="38">
        <v>637573.26</v>
      </c>
      <c r="J55" s="60"/>
      <c r="K55" s="38"/>
      <c r="L55" s="60"/>
      <c r="M55" s="38"/>
      <c r="N55" s="60"/>
      <c r="O55" s="38">
        <v>758928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</row>
    <row r="56" spans="1:25" x14ac:dyDescent="0.2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1632170.94</v>
      </c>
      <c r="F56" s="61">
        <f t="shared" si="16"/>
        <v>0</v>
      </c>
      <c r="G56" s="39">
        <f t="shared" si="16"/>
        <v>235669.68</v>
      </c>
      <c r="H56" s="61">
        <f t="shared" si="16"/>
        <v>0</v>
      </c>
      <c r="I56" s="39">
        <f t="shared" si="16"/>
        <v>637573.26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758928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>
        <f>27083</f>
        <v>27083</v>
      </c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f>-27083-93300</f>
        <v>-120383</v>
      </c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>
        <f>-170000-240000</f>
        <v>-410000</v>
      </c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f>170000+240000</f>
        <v>410000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-382917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289617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40393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-40393</v>
      </c>
    </row>
    <row r="71" spans="1:25" x14ac:dyDescent="0.2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40393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-40393</v>
      </c>
    </row>
    <row r="73" spans="1:25" x14ac:dyDescent="0.2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1959305</v>
      </c>
      <c r="F74" s="60"/>
      <c r="G74" s="38">
        <f>214350-145662</f>
        <v>68688</v>
      </c>
      <c r="H74" s="60"/>
      <c r="I74" s="38">
        <f>113999+480000</f>
        <v>593999</v>
      </c>
      <c r="J74" s="60"/>
      <c r="K74" s="38"/>
      <c r="L74" s="60"/>
      <c r="M74" s="38"/>
      <c r="N74" s="60"/>
      <c r="O74" s="38">
        <v>47210</v>
      </c>
      <c r="P74" s="60"/>
      <c r="Q74" s="38">
        <v>987000</v>
      </c>
      <c r="R74" s="60"/>
      <c r="S74" s="38">
        <f>2025520-987000-86800-98300</f>
        <v>853420</v>
      </c>
      <c r="T74" s="60"/>
      <c r="U74" s="38">
        <f>987000-214350-480000+86800-47210-42215-24000-987000+145662+98300</f>
        <v>-477013</v>
      </c>
      <c r="V74" s="60"/>
      <c r="W74" s="38"/>
      <c r="X74" s="60"/>
      <c r="Y74" s="38">
        <v>-113999</v>
      </c>
    </row>
    <row r="75" spans="1:25" x14ac:dyDescent="0.2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-240000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240000</v>
      </c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-2.3283064365386963E-10</v>
      </c>
      <c r="F82" s="92">
        <f>F16+F24+F29+F36+F43+F45+F47+F49</f>
        <v>0</v>
      </c>
      <c r="G82" s="93">
        <f>SUM(G72:G81)+G16+G24+G29+G36+G43+G45+G47+G49+G51+G56+G61+G66</f>
        <v>-1327813.2600000002</v>
      </c>
      <c r="H82" s="92">
        <f>H16+H24+H29+H36+H43+H45+H47+H49</f>
        <v>0</v>
      </c>
      <c r="I82" s="93">
        <f>SUM(I72:I81)+I16+I24+I29+I36+I43+I45+I47+I49+I51+I56+I61+I66</f>
        <v>766392.26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806138</v>
      </c>
      <c r="P82" s="92">
        <f>P16+P24+P29+P36+P43+P45+P47+P49</f>
        <v>0</v>
      </c>
      <c r="Q82" s="93">
        <f>SUM(Q72:Q81)+Q16+Q24+Q29+Q36+Q43+Q45+Q47+Q49+Q51+Q56+Q61+Q66</f>
        <v>987000</v>
      </c>
      <c r="R82" s="92">
        <f>R16+R24+R29+R36+R43+R45+R47+R49</f>
        <v>0</v>
      </c>
      <c r="S82" s="93">
        <f>SUM(S72:S81)+S16+S24+S29+S36+S43+S45+S47+S49+S51+S56+S61+S66</f>
        <v>-1078800</v>
      </c>
      <c r="T82" s="92">
        <f>T16+T24+T29+T36+T43+T45+T47+T49</f>
        <v>0</v>
      </c>
      <c r="U82" s="93">
        <f>SUM(U72:U81)+U16+U24+U29+U36+U43+U45+U47+U49+U51+U56+U61+U66</f>
        <v>1475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-154392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2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'TX-CON-FLSH'!L11</f>
        <v>36920289</v>
      </c>
      <c r="E11" s="66">
        <f>'TX-CON-FLSH'!M11</f>
        <v>63848188</v>
      </c>
      <c r="F11" s="60">
        <f>'TX-CON-GL '!D11</f>
        <v>36601806</v>
      </c>
      <c r="G11" s="38">
        <f>'TX-CON-GL '!E11</f>
        <v>74958078.790000007</v>
      </c>
      <c r="H11" s="60">
        <f>F11-D11</f>
        <v>-318483</v>
      </c>
      <c r="I11" s="38">
        <f>G11-E11</f>
        <v>11109890.790000007</v>
      </c>
    </row>
    <row r="12" spans="1:22" x14ac:dyDescent="0.2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-11120823.210000001</v>
      </c>
      <c r="H12" s="60">
        <f>F12-D12</f>
        <v>0</v>
      </c>
      <c r="I12" s="38">
        <f>G12-E12</f>
        <v>-11120823.210000001</v>
      </c>
    </row>
    <row r="13" spans="1:22" x14ac:dyDescent="0.2">
      <c r="A13" s="9">
        <v>3</v>
      </c>
      <c r="B13" s="7"/>
      <c r="C13" s="18" t="s">
        <v>31</v>
      </c>
      <c r="D13" s="65">
        <f>'TX-CON-FLSH'!L13</f>
        <v>1181827</v>
      </c>
      <c r="E13" s="66">
        <f>'TX-CON-FLSH'!M13</f>
        <v>2001964</v>
      </c>
      <c r="F13" s="60">
        <f>'TX-CON-GL '!D13</f>
        <v>2871933</v>
      </c>
      <c r="G13" s="38">
        <f>'TX-CON-GL '!E13</f>
        <v>4876788</v>
      </c>
      <c r="H13" s="60">
        <f t="shared" ref="H13:I15" si="0">F13-D13</f>
        <v>1690106</v>
      </c>
      <c r="I13" s="38">
        <f t="shared" si="0"/>
        <v>2874824</v>
      </c>
    </row>
    <row r="14" spans="1:22" x14ac:dyDescent="0.2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38102116</v>
      </c>
      <c r="E16" s="39">
        <f t="shared" si="1"/>
        <v>65970152</v>
      </c>
      <c r="F16" s="61">
        <f t="shared" si="1"/>
        <v>39473739</v>
      </c>
      <c r="G16" s="39">
        <f t="shared" si="1"/>
        <v>68714043.580000013</v>
      </c>
      <c r="H16" s="61">
        <f t="shared" si="1"/>
        <v>1371623</v>
      </c>
      <c r="I16" s="39">
        <f t="shared" si="1"/>
        <v>2743891.5800000057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'TX-CON-FLSH'!L19</f>
        <v>-39159287</v>
      </c>
      <c r="E19" s="66">
        <f>'TX-CON-FLSH'!M19</f>
        <v>-68141628</v>
      </c>
      <c r="F19" s="60">
        <f>'TX-CON-GL '!D19</f>
        <v>-27139328</v>
      </c>
      <c r="G19" s="38">
        <f>'TX-CON-GL '!E19</f>
        <v>-47331125.999999993</v>
      </c>
      <c r="H19" s="60">
        <f>F19-D19</f>
        <v>12019959</v>
      </c>
      <c r="I19" s="38">
        <f>G19-E19</f>
        <v>20810502.000000007</v>
      </c>
    </row>
    <row r="20" spans="1:9" x14ac:dyDescent="0.2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1128857.28</v>
      </c>
      <c r="H20" s="60">
        <f>F20-D20</f>
        <v>0</v>
      </c>
      <c r="I20" s="38">
        <f>G20-E20</f>
        <v>1128857.28</v>
      </c>
    </row>
    <row r="21" spans="1:9" x14ac:dyDescent="0.2">
      <c r="A21" s="9">
        <v>8</v>
      </c>
      <c r="B21" s="7"/>
      <c r="C21" s="18" t="s">
        <v>31</v>
      </c>
      <c r="D21" s="65">
        <f>'TX-CON-FLSH'!L21</f>
        <v>-1337043</v>
      </c>
      <c r="E21" s="66">
        <f>'TX-CON-FLSH'!M21</f>
        <v>-2280282</v>
      </c>
      <c r="F21" s="60">
        <f>'TX-CON-GL '!D21</f>
        <v>-2958981</v>
      </c>
      <c r="G21" s="38">
        <f>'TX-CON-GL '!E21</f>
        <v>-5024106</v>
      </c>
      <c r="H21" s="60">
        <f t="shared" ref="H21:I23" si="2">F21-D21</f>
        <v>-1621938</v>
      </c>
      <c r="I21" s="38">
        <f t="shared" si="2"/>
        <v>-2743824</v>
      </c>
    </row>
    <row r="22" spans="1:9" x14ac:dyDescent="0.2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'TX-CON-FLSH'!L23</f>
        <v>56</v>
      </c>
      <c r="E23" s="66">
        <f>'TX-CON-FLSH'!M23</f>
        <v>94</v>
      </c>
      <c r="F23" s="60">
        <f>'TX-CON-GL '!D23</f>
        <v>4992</v>
      </c>
      <c r="G23" s="38">
        <f>'TX-CON-GL '!E23</f>
        <v>9038.4700000000012</v>
      </c>
      <c r="H23" s="60">
        <f t="shared" si="2"/>
        <v>4936</v>
      </c>
      <c r="I23" s="38">
        <f t="shared" si="2"/>
        <v>8944.4700000000012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-40496274</v>
      </c>
      <c r="E24" s="39">
        <f t="shared" si="3"/>
        <v>-70421816</v>
      </c>
      <c r="F24" s="61">
        <f t="shared" si="3"/>
        <v>-30093317</v>
      </c>
      <c r="G24" s="39">
        <f t="shared" si="3"/>
        <v>-51217336.249999993</v>
      </c>
      <c r="H24" s="61">
        <f t="shared" si="3"/>
        <v>10402957</v>
      </c>
      <c r="I24" s="39">
        <f t="shared" si="3"/>
        <v>19204479.750000007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'TX-CON-FLSH'!L27</f>
        <v>31921840</v>
      </c>
      <c r="E27" s="66">
        <f>'TX-CON-FLSH'!M27</f>
        <v>55893609</v>
      </c>
      <c r="F27" s="60">
        <f>'TX-CON-GL '!D27</f>
        <v>14452144</v>
      </c>
      <c r="G27" s="38">
        <f>'TX-CON-GL '!E27</f>
        <v>25638348.756699994</v>
      </c>
      <c r="H27" s="60">
        <f>F27-D27</f>
        <v>-17469696</v>
      </c>
      <c r="I27" s="38">
        <f>G27-E27</f>
        <v>-30255260.243300006</v>
      </c>
    </row>
    <row r="28" spans="1:9" x14ac:dyDescent="0.2">
      <c r="A28" s="9">
        <v>12</v>
      </c>
      <c r="B28" s="7"/>
      <c r="C28" s="18" t="s">
        <v>40</v>
      </c>
      <c r="D28" s="65">
        <f>'TX-CON-FLSH'!L28</f>
        <v>-31921840</v>
      </c>
      <c r="E28" s="66">
        <f>'TX-CON-FLSH'!M28</f>
        <v>-55893609</v>
      </c>
      <c r="F28" s="60">
        <f>'TX-CON-GL '!D28</f>
        <v>-25016283</v>
      </c>
      <c r="G28" s="38">
        <f>'TX-CON-GL '!E28</f>
        <v>-44387904.3675</v>
      </c>
      <c r="H28" s="60">
        <f>F28-D28</f>
        <v>6905557</v>
      </c>
      <c r="I28" s="38">
        <f>G28-E28</f>
        <v>11505704.6325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-10564139</v>
      </c>
      <c r="G29" s="70">
        <f t="shared" si="4"/>
        <v>-18749555.610800005</v>
      </c>
      <c r="H29" s="69">
        <f t="shared" si="4"/>
        <v>-10564139</v>
      </c>
      <c r="I29" s="70">
        <f t="shared" si="4"/>
        <v>-18749555.610800005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-216902</v>
      </c>
      <c r="G32" s="38">
        <f>'TX-CON-GL '!E32</f>
        <v>-324167.06700000016</v>
      </c>
      <c r="H32" s="60">
        <f>F32-D32</f>
        <v>-216902</v>
      </c>
      <c r="I32" s="38">
        <f>G32-E32</f>
        <v>-324167.06700000016</v>
      </c>
    </row>
    <row r="33" spans="1:9" x14ac:dyDescent="0.2">
      <c r="A33" s="9">
        <v>14</v>
      </c>
      <c r="B33" s="7"/>
      <c r="C33" s="18" t="s">
        <v>44</v>
      </c>
      <c r="D33" s="65">
        <f>'TX-CON-FLSH'!L33</f>
        <v>12753</v>
      </c>
      <c r="E33" s="66">
        <f>'TX-CON-FLSH'!M33</f>
        <v>21877.708589989692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-12753</v>
      </c>
      <c r="I33" s="38">
        <f t="shared" si="5"/>
        <v>-21877.708589989692</v>
      </c>
    </row>
    <row r="34" spans="1:9" x14ac:dyDescent="0.2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12753</v>
      </c>
      <c r="E36" s="39">
        <f t="shared" si="6"/>
        <v>21877.708589989692</v>
      </c>
      <c r="F36" s="61">
        <f t="shared" si="6"/>
        <v>-216902</v>
      </c>
      <c r="G36" s="39">
        <f t="shared" si="6"/>
        <v>-324167.06700000016</v>
      </c>
      <c r="H36" s="61">
        <f t="shared" si="6"/>
        <v>-229655</v>
      </c>
      <c r="I36" s="39">
        <f t="shared" si="6"/>
        <v>-346044.77558998985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'TX-CON-FLSH'!L39</f>
        <v>3267992</v>
      </c>
      <c r="E39" s="66">
        <f>'TX-CON-FLSH'!M39</f>
        <v>5909295</v>
      </c>
      <c r="F39" s="60">
        <f>'TX-CON-GL '!D39</f>
        <v>2116769</v>
      </c>
      <c r="G39" s="38">
        <f>'TX-CON-GL '!E39</f>
        <v>3381210.5799999996</v>
      </c>
      <c r="H39" s="60">
        <f t="shared" ref="H39:I41" si="7">F39-D39</f>
        <v>-1151223</v>
      </c>
      <c r="I39" s="38">
        <f t="shared" si="7"/>
        <v>-2528084.4200000004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'TX-CON-FLSH'!L40</f>
        <v>-886587</v>
      </c>
      <c r="E40" s="66">
        <f>'TX-CON-FLSH'!M40</f>
        <v>-1545938</v>
      </c>
      <c r="F40" s="60">
        <f>'TX-CON-GL '!D40</f>
        <v>-460138</v>
      </c>
      <c r="G40" s="38">
        <f>'TX-CON-GL '!E40</f>
        <v>-819045.63999999769</v>
      </c>
      <c r="H40" s="60">
        <f t="shared" si="7"/>
        <v>426449</v>
      </c>
      <c r="I40" s="38">
        <f t="shared" si="7"/>
        <v>726892.36000000231</v>
      </c>
    </row>
    <row r="41" spans="1:9" x14ac:dyDescent="0.2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692867</v>
      </c>
      <c r="H41" s="60">
        <f t="shared" si="7"/>
        <v>0</v>
      </c>
      <c r="I41" s="38">
        <f t="shared" si="7"/>
        <v>692867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-886587</v>
      </c>
      <c r="E42" s="70">
        <f t="shared" si="8"/>
        <v>-1545938</v>
      </c>
      <c r="F42" s="69">
        <f t="shared" si="8"/>
        <v>-460138</v>
      </c>
      <c r="G42" s="70">
        <f t="shared" si="8"/>
        <v>-126178.63999999769</v>
      </c>
      <c r="H42" s="69">
        <f t="shared" si="8"/>
        <v>426449</v>
      </c>
      <c r="I42" s="70">
        <f t="shared" si="8"/>
        <v>1419759.3600000022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2381405</v>
      </c>
      <c r="E43" s="39">
        <f t="shared" si="9"/>
        <v>4363357</v>
      </c>
      <c r="F43" s="61">
        <f t="shared" si="9"/>
        <v>1656631</v>
      </c>
      <c r="G43" s="39">
        <f t="shared" si="9"/>
        <v>3255031.9400000018</v>
      </c>
      <c r="H43" s="61">
        <f t="shared" si="9"/>
        <v>-724774</v>
      </c>
      <c r="I43" s="39">
        <f t="shared" si="9"/>
        <v>-1108325.0599999982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6920.119999999999</v>
      </c>
      <c r="H47" s="60">
        <f>F47-D47</f>
        <v>0</v>
      </c>
      <c r="I47" s="38">
        <f>G47-E47</f>
        <v>6920.119999999999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-256012</v>
      </c>
      <c r="G49" s="38">
        <f>'TX-CON-GL '!E49</f>
        <v>-439457.86</v>
      </c>
      <c r="H49" s="60">
        <f>F49-D49</f>
        <v>-256012</v>
      </c>
      <c r="I49" s="38">
        <f>G49-E49</f>
        <v>-439457.86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-4992</v>
      </c>
      <c r="G51" s="38">
        <f>'TX-CON-GL '!E51</f>
        <v>-9038.4700000000012</v>
      </c>
      <c r="H51" s="60">
        <f>F51-D51</f>
        <v>-4992</v>
      </c>
      <c r="I51" s="38">
        <f>G51-E51</f>
        <v>-9038.4700000000012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-898007</v>
      </c>
      <c r="F54" s="60">
        <f>'TX-CON-GL '!D54</f>
        <v>36363867</v>
      </c>
      <c r="G54" s="38">
        <f>'TX-CON-GL '!E54</f>
        <v>38397.060000000078</v>
      </c>
      <c r="H54" s="60">
        <f>F54-D54</f>
        <v>36363867</v>
      </c>
      <c r="I54" s="38">
        <f>G54-E54</f>
        <v>936404.06</v>
      </c>
    </row>
    <row r="55" spans="1:9" x14ac:dyDescent="0.2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-603096</v>
      </c>
      <c r="H55" s="60">
        <f>F55-D55</f>
        <v>0</v>
      </c>
      <c r="I55" s="38">
        <f>G55-E55</f>
        <v>-603096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-898007</v>
      </c>
      <c r="F56" s="61">
        <f t="shared" si="10"/>
        <v>36363867</v>
      </c>
      <c r="G56" s="39">
        <f t="shared" si="10"/>
        <v>-564698.93999999994</v>
      </c>
      <c r="H56" s="61">
        <f t="shared" si="10"/>
        <v>36363867</v>
      </c>
      <c r="I56" s="39">
        <f t="shared" si="10"/>
        <v>333308.06000000006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1632.12</v>
      </c>
      <c r="H59" s="60">
        <f>F59-D59</f>
        <v>0</v>
      </c>
      <c r="I59" s="38">
        <f>G59-E59</f>
        <v>1632.12</v>
      </c>
    </row>
    <row r="60" spans="1:9" x14ac:dyDescent="0.2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1632.12</v>
      </c>
      <c r="H61" s="69">
        <f t="shared" si="11"/>
        <v>0</v>
      </c>
      <c r="I61" s="70">
        <f t="shared" si="11"/>
        <v>1632.12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-68108758</v>
      </c>
      <c r="G64" s="38">
        <f>'TX-CON-GL '!E64</f>
        <v>-1396517.1999999997</v>
      </c>
      <c r="H64" s="60">
        <f>F64-D64</f>
        <v>-68108758</v>
      </c>
      <c r="I64" s="38">
        <f>G64-E64</f>
        <v>-1396517.1999999997</v>
      </c>
    </row>
    <row r="65" spans="1:9" x14ac:dyDescent="0.2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1252816</v>
      </c>
      <c r="H65" s="60">
        <f>F65-D65</f>
        <v>0</v>
      </c>
      <c r="I65" s="38">
        <f>G65-E65</f>
        <v>1252816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-68108758</v>
      </c>
      <c r="G66" s="39">
        <f t="shared" si="12"/>
        <v>-143701.19999999972</v>
      </c>
      <c r="H66" s="61">
        <f t="shared" si="12"/>
        <v>-68108758</v>
      </c>
      <c r="I66" s="39">
        <f t="shared" si="12"/>
        <v>-143701.19999999972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138111.41</v>
      </c>
      <c r="F70" s="60">
        <f>'TX-CON-GL '!D70</f>
        <v>0</v>
      </c>
      <c r="G70" s="38">
        <f>'TX-CON-GL '!E70</f>
        <v>-140015.5</v>
      </c>
      <c r="H70" s="60">
        <f>F70-D70</f>
        <v>0</v>
      </c>
      <c r="I70" s="38">
        <f>G70-E70</f>
        <v>-278126.91000000003</v>
      </c>
    </row>
    <row r="71" spans="1:9" x14ac:dyDescent="0.2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987605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-987605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1125716.4099999999</v>
      </c>
      <c r="F72" s="69">
        <f t="shared" si="13"/>
        <v>0</v>
      </c>
      <c r="G72" s="70">
        <f t="shared" si="13"/>
        <v>-140015.5</v>
      </c>
      <c r="H72" s="69">
        <f t="shared" si="13"/>
        <v>0</v>
      </c>
      <c r="I72" s="70">
        <f t="shared" si="13"/>
        <v>-1265731.9100000001</v>
      </c>
    </row>
    <row r="73" spans="1:9" x14ac:dyDescent="0.2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-301843.07</v>
      </c>
      <c r="F74" s="60">
        <f>'TX-CON-GL '!D74</f>
        <v>0</v>
      </c>
      <c r="G74" s="38">
        <f>'TX-CON-GL '!E74</f>
        <v>778725.54</v>
      </c>
      <c r="H74" s="60">
        <f t="shared" ref="H74:I79" si="14">F74-D74</f>
        <v>0</v>
      </c>
      <c r="I74" s="38">
        <f t="shared" si="14"/>
        <v>1080568.6100000001</v>
      </c>
    </row>
    <row r="75" spans="1:9" x14ac:dyDescent="0.2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52737</v>
      </c>
      <c r="F75" s="60">
        <f>'TX-CON-GL '!D75</f>
        <v>0</v>
      </c>
      <c r="G75" s="38">
        <f>'TX-CON-GL '!E75</f>
        <v>52800</v>
      </c>
      <c r="H75" s="60">
        <f t="shared" si="14"/>
        <v>0</v>
      </c>
      <c r="I75" s="38">
        <f t="shared" si="14"/>
        <v>63</v>
      </c>
    </row>
    <row r="76" spans="1:9" x14ac:dyDescent="0.2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-60</v>
      </c>
      <c r="F76" s="60">
        <f>'TX-CON-GL '!D76</f>
        <v>0</v>
      </c>
      <c r="G76" s="38">
        <f>'TX-CON-GL '!E76</f>
        <v>-60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315590</v>
      </c>
      <c r="F81" s="60">
        <f>'TX-CON-GL '!D81</f>
        <v>-25993375</v>
      </c>
      <c r="G81" s="38">
        <f>'TX-CON-GL '!E81</f>
        <v>-85161</v>
      </c>
      <c r="H81" s="60">
        <f>F81-D81</f>
        <v>-25993375</v>
      </c>
      <c r="I81" s="38">
        <f>G81-E81</f>
        <v>-400751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227704.04858999327</v>
      </c>
      <c r="F82" s="117">
        <f>F16+F24+F29+F36+F43+F45+F47+F49</f>
        <v>0</v>
      </c>
      <c r="G82" s="118">
        <f>SUM(G72:G81)+G16+G24+G29+G36+G43+G45+G47+G49+G51+G56+G61+G66</f>
        <v>315961.40220002364</v>
      </c>
      <c r="H82" s="117">
        <f>H16+H24+H29+H36+H43+H45+H47+H49</f>
        <v>0</v>
      </c>
      <c r="I82" s="118">
        <f>SUM(I72:I81)+I16+I24+I29+I36+I43+I45+I47+I49+I51+I56+I61+I66</f>
        <v>88257.353610019054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196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'TX-CON-FLSH'!L86</f>
        <v>0</v>
      </c>
      <c r="E86" s="184">
        <f>'TX-CON-FLSH'!M86</f>
        <v>67597</v>
      </c>
      <c r="F86" s="184">
        <f>'TX-CON-GL '!D86</f>
        <v>0</v>
      </c>
      <c r="G86" s="184">
        <f>'TX-CON-GL '!E86</f>
        <v>67597.5</v>
      </c>
      <c r="H86" s="184">
        <f t="shared" ref="H86:I88" si="15">F86-D86</f>
        <v>0</v>
      </c>
      <c r="I86" s="184">
        <f t="shared" si="15"/>
        <v>0.5</v>
      </c>
    </row>
    <row r="87" spans="1:63" x14ac:dyDescent="0.2">
      <c r="A87" s="183"/>
      <c r="B87" s="3"/>
      <c r="C87" s="10" t="s">
        <v>75</v>
      </c>
      <c r="D87" s="185">
        <f>'TX-CON-FLSH'!L87</f>
        <v>0</v>
      </c>
      <c r="E87" s="185">
        <f>'TX-CON-FLSH'!M87</f>
        <v>0</v>
      </c>
      <c r="F87" s="185">
        <f>'TX-CON-GL '!D87</f>
        <v>0</v>
      </c>
      <c r="G87" s="185">
        <f>'TX-CON-GL 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'TX-CON-FLSH'!L88</f>
        <v>0</v>
      </c>
      <c r="E88" s="186">
        <f>'TX-CON-FLSH'!M88</f>
        <v>-48556</v>
      </c>
      <c r="F88" s="186">
        <f>'TX-CON-GL '!D88</f>
        <v>0</v>
      </c>
      <c r="G88" s="186">
        <f>'TX-CON-GL '!E88</f>
        <v>-48600</v>
      </c>
      <c r="H88" s="186">
        <f t="shared" si="15"/>
        <v>0</v>
      </c>
      <c r="I88" s="186">
        <f t="shared" si="15"/>
        <v>-44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19041</v>
      </c>
      <c r="F89" s="190">
        <f t="shared" si="16"/>
        <v>0</v>
      </c>
      <c r="G89" s="190">
        <f t="shared" si="16"/>
        <v>18997.5</v>
      </c>
      <c r="H89" s="190">
        <f t="shared" si="16"/>
        <v>0</v>
      </c>
      <c r="I89" s="190">
        <f t="shared" si="16"/>
        <v>-43.5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246745.04858999327</v>
      </c>
      <c r="F91" s="190">
        <f t="shared" si="17"/>
        <v>0</v>
      </c>
      <c r="G91" s="190">
        <f t="shared" si="17"/>
        <v>334958.90220002364</v>
      </c>
      <c r="H91" s="190">
        <f t="shared" si="17"/>
        <v>0</v>
      </c>
      <c r="I91" s="190">
        <f t="shared" si="17"/>
        <v>88213.853610019054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61" activePane="bottomRight" state="frozen"/>
      <selection activeCell="D10" sqref="D10"/>
      <selection pane="topRight" activeCell="D10" sqref="D10"/>
      <selection pane="bottomLeft" activeCell="D10" sqref="D10"/>
      <selection pane="bottomRight" activeCell="D9" sqref="D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'WE-FLSH'!L11</f>
        <v>26542789</v>
      </c>
      <c r="E11" s="66">
        <f>'WE-FLSH'!M11</f>
        <v>45562503</v>
      </c>
      <c r="F11" s="60">
        <f>'WE-GL '!D11</f>
        <v>26429128</v>
      </c>
      <c r="G11" s="38">
        <f>'WE-GL '!E11</f>
        <v>47070237.119999997</v>
      </c>
      <c r="H11" s="60">
        <f>F11-D11</f>
        <v>-113661</v>
      </c>
      <c r="I11" s="38">
        <f>G11-E11</f>
        <v>1507734.1199999973</v>
      </c>
    </row>
    <row r="12" spans="1:22" x14ac:dyDescent="0.2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-1114919.42</v>
      </c>
      <c r="H12" s="60">
        <f>F12-D12</f>
        <v>0</v>
      </c>
      <c r="I12" s="38">
        <f>G12-E12</f>
        <v>-1114919.42</v>
      </c>
    </row>
    <row r="13" spans="1:22" x14ac:dyDescent="0.2">
      <c r="A13" s="9">
        <v>3</v>
      </c>
      <c r="B13" s="7"/>
      <c r="C13" s="18" t="s">
        <v>31</v>
      </c>
      <c r="D13" s="65">
        <f>'WE-FLSH'!L13</f>
        <v>16228431</v>
      </c>
      <c r="E13" s="66">
        <f>'WE-FLSH'!M13</f>
        <v>27997200</v>
      </c>
      <c r="F13" s="60">
        <f>'WE-GL '!D13</f>
        <v>16058211</v>
      </c>
      <c r="G13" s="38">
        <f>'WE-GL '!E13</f>
        <v>27637178</v>
      </c>
      <c r="H13" s="60">
        <f t="shared" ref="H13:I15" si="0">F13-D13</f>
        <v>-170220</v>
      </c>
      <c r="I13" s="38">
        <f t="shared" si="0"/>
        <v>-360022</v>
      </c>
    </row>
    <row r="14" spans="1:22" x14ac:dyDescent="0.2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42771220</v>
      </c>
      <c r="E16" s="39">
        <f t="shared" si="1"/>
        <v>73559703</v>
      </c>
      <c r="F16" s="61">
        <f t="shared" si="1"/>
        <v>42487339</v>
      </c>
      <c r="G16" s="39">
        <f t="shared" si="1"/>
        <v>73592495.699999988</v>
      </c>
      <c r="H16" s="61">
        <f t="shared" si="1"/>
        <v>-283881</v>
      </c>
      <c r="I16" s="39">
        <f t="shared" si="1"/>
        <v>32792.699999997392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'WE-FLSH'!L19</f>
        <v>-25023554</v>
      </c>
      <c r="E19" s="66">
        <f>'WE-FLSH'!M19</f>
        <v>-41764271</v>
      </c>
      <c r="F19" s="60">
        <f>'WE-GL '!D19</f>
        <v>-27619796</v>
      </c>
      <c r="G19" s="38">
        <f>'WE-GL '!E19</f>
        <v>-46264825.150000006</v>
      </c>
      <c r="H19" s="60">
        <f>F19-D19</f>
        <v>-2596242</v>
      </c>
      <c r="I19" s="38">
        <f>G19-E19</f>
        <v>-4500554.150000006</v>
      </c>
    </row>
    <row r="20" spans="1:9" x14ac:dyDescent="0.2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159339.66</v>
      </c>
      <c r="H20" s="60">
        <f>F20-D20</f>
        <v>0</v>
      </c>
      <c r="I20" s="38">
        <f>G20-E20</f>
        <v>159339.66</v>
      </c>
    </row>
    <row r="21" spans="1:9" x14ac:dyDescent="0.2">
      <c r="A21" s="9">
        <v>8</v>
      </c>
      <c r="B21" s="7"/>
      <c r="C21" s="18" t="s">
        <v>31</v>
      </c>
      <c r="D21" s="65">
        <f>'WE-FLSH'!L21</f>
        <v>-17905102</v>
      </c>
      <c r="E21" s="66">
        <f>'WE-FLSH'!M21</f>
        <v>-30820464</v>
      </c>
      <c r="F21" s="60">
        <f>'WE-GL '!D21</f>
        <v>-14522114</v>
      </c>
      <c r="G21" s="38">
        <f>'WE-GL '!E21</f>
        <v>-25005851</v>
      </c>
      <c r="H21" s="60">
        <f t="shared" ref="H21:I23" si="2">F21-D21</f>
        <v>3382988</v>
      </c>
      <c r="I21" s="38">
        <f t="shared" si="2"/>
        <v>5814613</v>
      </c>
    </row>
    <row r="22" spans="1:9" x14ac:dyDescent="0.2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'WE-FLSH'!L23</f>
        <v>278272</v>
      </c>
      <c r="E23" s="66">
        <f>'WE-FLSH'!M23</f>
        <v>449893</v>
      </c>
      <c r="F23" s="60">
        <f>'WE-GL '!D23</f>
        <v>279227</v>
      </c>
      <c r="G23" s="38">
        <f>'WE-GL '!E23</f>
        <v>466029.86100000003</v>
      </c>
      <c r="H23" s="60">
        <f t="shared" si="2"/>
        <v>955</v>
      </c>
      <c r="I23" s="38">
        <f t="shared" si="2"/>
        <v>16136.861000000034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-42650384</v>
      </c>
      <c r="E24" s="39">
        <f t="shared" si="3"/>
        <v>-72134842</v>
      </c>
      <c r="F24" s="61">
        <f t="shared" si="3"/>
        <v>-41862683</v>
      </c>
      <c r="G24" s="39">
        <f t="shared" si="3"/>
        <v>-70645306.629000008</v>
      </c>
      <c r="H24" s="61">
        <f t="shared" si="3"/>
        <v>787701</v>
      </c>
      <c r="I24" s="39">
        <f t="shared" si="3"/>
        <v>1489535.3709999942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'WE-FLSH'!L32</f>
        <v>511</v>
      </c>
      <c r="E32" s="66">
        <f>'WE-FLSH'!M32</f>
        <v>853</v>
      </c>
      <c r="F32" s="60">
        <f>'WE-GL '!D32</f>
        <v>-127122</v>
      </c>
      <c r="G32" s="38">
        <f>'WE-GL '!E32</f>
        <v>-259328.23600000003</v>
      </c>
      <c r="H32" s="60">
        <f>F32-D32</f>
        <v>-127633</v>
      </c>
      <c r="I32" s="38">
        <f>G32-E32</f>
        <v>-260181.23600000003</v>
      </c>
    </row>
    <row r="33" spans="1:9" x14ac:dyDescent="0.2">
      <c r="A33" s="9">
        <v>14</v>
      </c>
      <c r="B33" s="7"/>
      <c r="C33" s="18" t="s">
        <v>44</v>
      </c>
      <c r="D33" s="65">
        <f>'WE-FLSH'!L33</f>
        <v>-10912</v>
      </c>
      <c r="E33" s="66">
        <f>'WE-FLSH'!M33</f>
        <v>-17120.895636537112</v>
      </c>
      <c r="F33" s="60">
        <f>'WE-GL '!D33</f>
        <v>-57766</v>
      </c>
      <c r="G33" s="38">
        <f>'WE-GL '!E33</f>
        <v>-115707.75</v>
      </c>
      <c r="H33" s="60">
        <f t="shared" ref="H33:I35" si="5">F33-D33</f>
        <v>-46854</v>
      </c>
      <c r="I33" s="38">
        <f t="shared" si="5"/>
        <v>-98586.854363462888</v>
      </c>
    </row>
    <row r="34" spans="1:9" x14ac:dyDescent="0.2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188848</v>
      </c>
      <c r="G34" s="38">
        <f>'WE-GL '!E34</f>
        <v>334482.68</v>
      </c>
      <c r="H34" s="60">
        <f t="shared" si="5"/>
        <v>188848</v>
      </c>
      <c r="I34" s="38">
        <f t="shared" si="5"/>
        <v>334482.68</v>
      </c>
    </row>
    <row r="35" spans="1:9" x14ac:dyDescent="0.2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-551652</v>
      </c>
      <c r="G35" s="38">
        <f>'WE-GL '!E35</f>
        <v>-225905.99</v>
      </c>
      <c r="H35" s="60">
        <f t="shared" si="5"/>
        <v>-551652</v>
      </c>
      <c r="I35" s="38">
        <f t="shared" si="5"/>
        <v>-225905.99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-10401</v>
      </c>
      <c r="E36" s="39">
        <f t="shared" si="6"/>
        <v>-16267.895636537112</v>
      </c>
      <c r="F36" s="61">
        <f t="shared" si="6"/>
        <v>-547692</v>
      </c>
      <c r="G36" s="39">
        <f t="shared" si="6"/>
        <v>-266459.29600000003</v>
      </c>
      <c r="H36" s="61">
        <f t="shared" si="6"/>
        <v>-537291</v>
      </c>
      <c r="I36" s="39">
        <f t="shared" si="6"/>
        <v>-250191.40036346292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'WE-FLSH'!L39</f>
        <v>0</v>
      </c>
      <c r="E39" s="66">
        <f>'WE-FLSH'!M39</f>
        <v>0</v>
      </c>
      <c r="F39" s="60">
        <f>'WE-GL '!D39</f>
        <v>0</v>
      </c>
      <c r="G39" s="38">
        <f>'WE-GL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'WE-FLSH'!L40</f>
        <v>-110435</v>
      </c>
      <c r="E40" s="66">
        <f>'WE-FLSH'!M40</f>
        <v>-175220</v>
      </c>
      <c r="F40" s="60">
        <f>'WE-GL '!D40</f>
        <v>-70654</v>
      </c>
      <c r="G40" s="38">
        <f>'WE-GL '!E40</f>
        <v>-137089.09</v>
      </c>
      <c r="H40" s="60">
        <f t="shared" si="7"/>
        <v>39781</v>
      </c>
      <c r="I40" s="38">
        <f t="shared" si="7"/>
        <v>38130.910000000003</v>
      </c>
    </row>
    <row r="41" spans="1:9" x14ac:dyDescent="0.2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1">
        <f t="shared" ref="D42:I42" si="8">SUM(D40:D41)</f>
        <v>-110435</v>
      </c>
      <c r="E42" s="39">
        <f t="shared" si="8"/>
        <v>-175220</v>
      </c>
      <c r="F42" s="61">
        <f t="shared" si="8"/>
        <v>-70654</v>
      </c>
      <c r="G42" s="39">
        <f t="shared" si="8"/>
        <v>-137089.09</v>
      </c>
      <c r="H42" s="61">
        <f t="shared" si="8"/>
        <v>39781</v>
      </c>
      <c r="I42" s="39">
        <f t="shared" si="8"/>
        <v>38130.910000000003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-110435</v>
      </c>
      <c r="E43" s="39">
        <f t="shared" si="9"/>
        <v>-175220</v>
      </c>
      <c r="F43" s="61">
        <f t="shared" si="9"/>
        <v>-70654</v>
      </c>
      <c r="G43" s="39">
        <f t="shared" si="9"/>
        <v>-137089.09</v>
      </c>
      <c r="H43" s="61">
        <f t="shared" si="9"/>
        <v>39781</v>
      </c>
      <c r="I43" s="39">
        <f t="shared" si="9"/>
        <v>38130.910000000003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-6310</v>
      </c>
      <c r="G49" s="38">
        <f>'WE-GL '!E49</f>
        <v>-10928.490000000631</v>
      </c>
      <c r="H49" s="60">
        <f>F49-D49</f>
        <v>-6310</v>
      </c>
      <c r="I49" s="38">
        <f>G49-E49</f>
        <v>-10928.490000000631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'WE-FLSH'!L51</f>
        <v>-278272</v>
      </c>
      <c r="E51" s="66">
        <f>'WE-FLSH'!M51</f>
        <v>-449893</v>
      </c>
      <c r="F51" s="60">
        <f>'WE-GL '!D51</f>
        <v>-279227</v>
      </c>
      <c r="G51" s="38">
        <f>'WE-GL '!E51</f>
        <v>-466029.86100000003</v>
      </c>
      <c r="H51" s="60">
        <f>F51-D51</f>
        <v>-955</v>
      </c>
      <c r="I51" s="38">
        <f>G51-E51</f>
        <v>-16136.861000000034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-208140</v>
      </c>
      <c r="F54" s="60">
        <f>'WE-GL '!D54</f>
        <v>-11308571</v>
      </c>
      <c r="G54" s="38">
        <f>'WE-GL '!E54</f>
        <v>-110249.03</v>
      </c>
      <c r="H54" s="60">
        <f>F54-D54</f>
        <v>-11308571</v>
      </c>
      <c r="I54" s="38">
        <f>G54-E54</f>
        <v>97890.97</v>
      </c>
    </row>
    <row r="55" spans="1:9" x14ac:dyDescent="0.2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-2681292</v>
      </c>
      <c r="F55" s="60">
        <f>'WE-GL '!D55</f>
        <v>-1124</v>
      </c>
      <c r="G55" s="38">
        <f>'WE-GL '!E55</f>
        <v>-1946335.2199999995</v>
      </c>
      <c r="H55" s="60">
        <f>F55-D55</f>
        <v>-1124</v>
      </c>
      <c r="I55" s="38">
        <f>G55-E55</f>
        <v>734956.78000000049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-2889432</v>
      </c>
      <c r="F56" s="61">
        <f t="shared" si="10"/>
        <v>-11309695</v>
      </c>
      <c r="G56" s="39">
        <f t="shared" si="10"/>
        <v>-2056584.2499999995</v>
      </c>
      <c r="H56" s="61">
        <f t="shared" si="10"/>
        <v>-11309695</v>
      </c>
      <c r="I56" s="39">
        <f t="shared" si="10"/>
        <v>832847.75000000047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-133064.42999999993</v>
      </c>
      <c r="F70" s="60">
        <f>'WE-GL '!D70</f>
        <v>0</v>
      </c>
      <c r="G70" s="38">
        <f>'WE-GL '!E70</f>
        <v>-890515</v>
      </c>
      <c r="H70" s="60">
        <f>F70-D70</f>
        <v>0</v>
      </c>
      <c r="I70" s="38">
        <f>G70-E70</f>
        <v>-757450.57000000007</v>
      </c>
    </row>
    <row r="71" spans="1:9" x14ac:dyDescent="0.2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-757451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757451</v>
      </c>
    </row>
    <row r="72" spans="1:9" x14ac:dyDescent="0.2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-890515.42999999993</v>
      </c>
      <c r="F72" s="61">
        <f t="shared" si="13"/>
        <v>0</v>
      </c>
      <c r="G72" s="39">
        <f t="shared" si="13"/>
        <v>-890515</v>
      </c>
      <c r="H72" s="61">
        <f t="shared" si="13"/>
        <v>0</v>
      </c>
      <c r="I72" s="39">
        <f t="shared" si="13"/>
        <v>0.42999999993480742</v>
      </c>
    </row>
    <row r="73" spans="1:9" x14ac:dyDescent="0.2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1485484</v>
      </c>
      <c r="F74" s="60">
        <f>'WE-GL '!D74</f>
        <v>0</v>
      </c>
      <c r="G74" s="38">
        <f>'WE-GL '!E74</f>
        <v>512708.24</v>
      </c>
      <c r="H74" s="60">
        <f t="shared" ref="H74:I79" si="14">F74-D74</f>
        <v>0</v>
      </c>
      <c r="I74" s="38">
        <f t="shared" si="14"/>
        <v>-972775.76</v>
      </c>
    </row>
    <row r="75" spans="1:9" x14ac:dyDescent="0.2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45406</v>
      </c>
      <c r="F75" s="60">
        <f>'WE-GL '!D75</f>
        <v>0</v>
      </c>
      <c r="G75" s="38">
        <f>'WE-GL '!E75</f>
        <v>45400</v>
      </c>
      <c r="H75" s="60">
        <f t="shared" si="14"/>
        <v>0</v>
      </c>
      <c r="I75" s="38">
        <f t="shared" si="14"/>
        <v>-6</v>
      </c>
    </row>
    <row r="76" spans="1:9" x14ac:dyDescent="0.2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-4570</v>
      </c>
      <c r="F76" s="60">
        <f>'WE-GL '!D76</f>
        <v>0</v>
      </c>
      <c r="G76" s="38">
        <f>'WE-GL '!E76</f>
        <v>0</v>
      </c>
      <c r="H76" s="60">
        <f t="shared" si="14"/>
        <v>0</v>
      </c>
      <c r="I76" s="38">
        <f t="shared" si="14"/>
        <v>4570</v>
      </c>
    </row>
    <row r="77" spans="1:9" x14ac:dyDescent="0.2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1511956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-1511956</v>
      </c>
    </row>
    <row r="80" spans="1:9" x14ac:dyDescent="0.2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2758</v>
      </c>
      <c r="F81" s="60">
        <f>'WE-GL '!D81</f>
        <v>0</v>
      </c>
      <c r="G81" s="38">
        <f>'WE-GL '!E81</f>
        <v>52139.86</v>
      </c>
      <c r="H81" s="60">
        <f>F81-D81</f>
        <v>0</v>
      </c>
      <c r="I81" s="38">
        <f>G81-E81</f>
        <v>49381.86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44566.674363455735</v>
      </c>
      <c r="F82" s="117">
        <f>F16+F24+F29+F36+F43+F45+F47+F49</f>
        <v>0</v>
      </c>
      <c r="G82" s="118">
        <f>SUM(G72:G81)+G16+G24+G29+G36+G43+G45+G47+G49+G51+G56+G61+G66</f>
        <v>-270168.81600002619</v>
      </c>
      <c r="H82" s="117">
        <f>H16+H24+H29+H36+H43+H45+H47+H49</f>
        <v>0</v>
      </c>
      <c r="I82" s="118">
        <f>SUM(I72:I81)+I16+I24+I29+I36+I43+I45+I47+I49+I51+I56+I61+I66</f>
        <v>-314735.49036347191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5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20833</v>
      </c>
      <c r="H11" s="60">
        <f>F11-D11</f>
        <v>0</v>
      </c>
      <c r="I11" s="38">
        <f>G11-E11</f>
        <v>20833</v>
      </c>
    </row>
    <row r="12" spans="1:22" x14ac:dyDescent="0.2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66215</v>
      </c>
      <c r="H12" s="60">
        <f>F12-D12</f>
        <v>0</v>
      </c>
      <c r="I12" s="38">
        <f>G12-E12</f>
        <v>66215</v>
      </c>
    </row>
    <row r="13" spans="1:22" x14ac:dyDescent="0.2">
      <c r="A13" s="9">
        <v>3</v>
      </c>
      <c r="B13" s="7"/>
      <c r="C13" s="18" t="s">
        <v>207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-6025953</v>
      </c>
      <c r="H13" s="60">
        <f t="shared" ref="H13:I15" si="0">F13-D13</f>
        <v>0</v>
      </c>
      <c r="I13" s="38">
        <f t="shared" si="0"/>
        <v>-6025953</v>
      </c>
    </row>
    <row r="14" spans="1:22" x14ac:dyDescent="0.2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-5938905</v>
      </c>
      <c r="H16" s="61">
        <f t="shared" si="1"/>
        <v>0</v>
      </c>
      <c r="I16" s="39">
        <f t="shared" si="1"/>
        <v>-5938905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-117344</v>
      </c>
      <c r="H41" s="60">
        <f t="shared" si="7"/>
        <v>0</v>
      </c>
      <c r="I41" s="38">
        <f t="shared" si="7"/>
        <v>-117344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-117344</v>
      </c>
      <c r="H42" s="69">
        <f t="shared" si="8"/>
        <v>0</v>
      </c>
      <c r="I42" s="70">
        <f t="shared" si="8"/>
        <v>-117344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-117344</v>
      </c>
      <c r="H43" s="61">
        <f t="shared" si="9"/>
        <v>0</v>
      </c>
      <c r="I43" s="39">
        <f t="shared" si="9"/>
        <v>-117344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-105777</v>
      </c>
      <c r="H51" s="60">
        <f>F51-D51</f>
        <v>0</v>
      </c>
      <c r="I51" s="38">
        <f>G51-E51</f>
        <v>-105777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202828</v>
      </c>
      <c r="H60" s="60">
        <f>F60-D60</f>
        <v>0</v>
      </c>
      <c r="I60" s="38">
        <f>G60-E60</f>
        <v>202828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202828</v>
      </c>
      <c r="H61" s="69">
        <f t="shared" si="11"/>
        <v>0</v>
      </c>
      <c r="I61" s="70">
        <f t="shared" si="11"/>
        <v>202828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-120383</v>
      </c>
      <c r="H64" s="60">
        <f>F64-D64</f>
        <v>0</v>
      </c>
      <c r="I64" s="38">
        <f>G64-E64</f>
        <v>-120383</v>
      </c>
    </row>
    <row r="65" spans="1:9" x14ac:dyDescent="0.2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410000</v>
      </c>
      <c r="H65" s="60">
        <f>F65-D65</f>
        <v>0</v>
      </c>
      <c r="I65" s="38">
        <f>G65-E65</f>
        <v>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289617</v>
      </c>
      <c r="H66" s="61">
        <f t="shared" si="12"/>
        <v>0</v>
      </c>
      <c r="I66" s="39">
        <f t="shared" si="12"/>
        <v>289617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37841</v>
      </c>
      <c r="H70" s="60">
        <f>F70-D70</f>
        <v>0</v>
      </c>
      <c r="I70" s="38">
        <f>G70-E70</f>
        <v>37841</v>
      </c>
    </row>
    <row r="71" spans="1:9" x14ac:dyDescent="0.2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37841</v>
      </c>
      <c r="H72" s="69">
        <f t="shared" si="13"/>
        <v>0</v>
      </c>
      <c r="I72" s="70">
        <f t="shared" si="13"/>
        <v>37841</v>
      </c>
    </row>
    <row r="73" spans="1:9" x14ac:dyDescent="0.2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7418139.6600000001</v>
      </c>
      <c r="H74" s="60">
        <f t="shared" ref="H74:I79" si="14">F74-D74</f>
        <v>0</v>
      </c>
      <c r="I74" s="38">
        <f t="shared" si="14"/>
        <v>7418139.6600000001</v>
      </c>
    </row>
    <row r="75" spans="1:9" x14ac:dyDescent="0.2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-213583</v>
      </c>
      <c r="H77" s="60">
        <f t="shared" si="14"/>
        <v>0</v>
      </c>
      <c r="I77" s="38">
        <f t="shared" si="14"/>
        <v>-213583</v>
      </c>
    </row>
    <row r="78" spans="1:9" x14ac:dyDescent="0.2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164000</v>
      </c>
      <c r="F81" s="60">
        <f>STG_GL!D81</f>
        <v>0</v>
      </c>
      <c r="G81" s="38">
        <f>STG_GL!E81</f>
        <v>-92704</v>
      </c>
      <c r="H81" s="60">
        <f>F81-D81</f>
        <v>0</v>
      </c>
      <c r="I81" s="38">
        <f>G81-E81</f>
        <v>-256704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164000</v>
      </c>
      <c r="F82" s="117">
        <f>F16+F24+F29+F36+F43+F45+F47+F49</f>
        <v>0</v>
      </c>
      <c r="G82" s="118">
        <f>SUM(G72:G81)+G16+G24+G29+G36+G43+G45+G47+G49+G51+G56+G61+G66</f>
        <v>1480112.6600000001</v>
      </c>
      <c r="H82" s="117">
        <f>H16+H24+H29+H36+H43+H45+H47+H49</f>
        <v>0</v>
      </c>
      <c r="I82" s="118">
        <f>SUM(I72:I81)+I16+I24+I29+I36+I43+I45+I47+I49+I51+I56+I61+I66</f>
        <v>1316112.6600000001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73" activePane="bottomRight" state="frozen"/>
      <selection activeCell="D10" sqref="D10"/>
      <selection pane="topRight" activeCell="D10" sqref="D10"/>
      <selection pane="bottomLeft" activeCell="D10" sqref="D10"/>
      <selection pane="bottomRight" activeCell="A5" sqref="A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183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ONT_FLSH!L11</f>
        <v>0</v>
      </c>
      <c r="E11" s="66">
        <f>ONT_FLSH!M11</f>
        <v>0</v>
      </c>
      <c r="F11" s="60">
        <f>'ONT_GL '!D11</f>
        <v>0</v>
      </c>
      <c r="G11" s="38">
        <f>'ONT_GL 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ONT_FLSH!L13</f>
        <v>0</v>
      </c>
      <c r="E13" s="66">
        <f>ONT_FLSH!M13</f>
        <v>0</v>
      </c>
      <c r="F13" s="60">
        <f>'ONT_GL '!D13</f>
        <v>0</v>
      </c>
      <c r="G13" s="38">
        <f>'ONT_GL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ONT_FLSH!L19</f>
        <v>0</v>
      </c>
      <c r="E19" s="66">
        <f>ONT_FLSH!M19</f>
        <v>0</v>
      </c>
      <c r="F19" s="60">
        <f>'ONT_GL '!D19</f>
        <v>0</v>
      </c>
      <c r="G19" s="38">
        <f>'ONT_GL 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ONT_FLSH!L21</f>
        <v>0</v>
      </c>
      <c r="E21" s="66">
        <f>ONT_FLSH!M21</f>
        <v>0</v>
      </c>
      <c r="F21" s="60">
        <f>'ONT_GL '!D21</f>
        <v>0</v>
      </c>
      <c r="G21" s="38">
        <f>'ONT_GL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ONT_FLSH!L49</f>
        <v>0</v>
      </c>
      <c r="E49" s="66">
        <f>ONT_FLSH!M49</f>
        <v>0</v>
      </c>
      <c r="F49" s="60">
        <f>'ONT_GL '!D49</f>
        <v>0</v>
      </c>
      <c r="G49" s="38">
        <f>'ONT_GL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619010</v>
      </c>
      <c r="H54" s="60">
        <f>F54-D54</f>
        <v>0</v>
      </c>
      <c r="I54" s="38">
        <f>G54-E54</f>
        <v>619010</v>
      </c>
    </row>
    <row r="55" spans="1:9" x14ac:dyDescent="0.2">
      <c r="A55" s="9">
        <v>25</v>
      </c>
      <c r="B55" s="7"/>
      <c r="C55" s="18" t="s">
        <v>60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619010</v>
      </c>
      <c r="H56" s="61">
        <f t="shared" si="10"/>
        <v>0</v>
      </c>
      <c r="I56" s="39">
        <f t="shared" si="10"/>
        <v>619010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ONT_FLSH!L70</f>
        <v>0</v>
      </c>
      <c r="E70" s="66">
        <f>ONT_FLSH!M70</f>
        <v>176228</v>
      </c>
      <c r="F70" s="60">
        <f>'ONT_GL '!D70</f>
        <v>0</v>
      </c>
      <c r="G70" s="38">
        <f>'ONT_GL '!E70</f>
        <v>176228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ONT_FLSH!L71</f>
        <v>0</v>
      </c>
      <c r="E71" s="66">
        <f>ONT_FLSH!M71</f>
        <v>0</v>
      </c>
      <c r="F71" s="60">
        <f>'ONT_GL '!D71</f>
        <v>0</v>
      </c>
      <c r="G71" s="38">
        <f>'ONT_GL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176228</v>
      </c>
      <c r="F72" s="69">
        <f t="shared" si="13"/>
        <v>0</v>
      </c>
      <c r="G72" s="70">
        <f t="shared" si="13"/>
        <v>176228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-620000</v>
      </c>
      <c r="H81" s="60">
        <f>F81-D81</f>
        <v>0</v>
      </c>
      <c r="I81" s="38">
        <f>G81-E81</f>
        <v>-620000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176228</v>
      </c>
      <c r="F82" s="117">
        <f>F16+F24+F29+F36+F43+F45+F47+F49</f>
        <v>0</v>
      </c>
      <c r="G82" s="118">
        <f>SUM(G72:G81)+G16+G24+G29+G36+G43+G45+G47+G49+G51+G56+G61+G66</f>
        <v>175238</v>
      </c>
      <c r="H82" s="117">
        <f>H16+H24+H29+H36+H43+H45+H47+H49</f>
        <v>0</v>
      </c>
      <c r="I82" s="118">
        <f>SUM(I72:I81)+I16+I24+I29+I36+I43+I45+I47+I49+I51+I56+I61+I66</f>
        <v>-990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188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[4]ONT_FLSH!L86</f>
        <v>0</v>
      </c>
      <c r="E86" s="184">
        <f>ONT_FLSH!M86</f>
        <v>129130</v>
      </c>
      <c r="F86" s="184">
        <f>'ONT_GL '!D86</f>
        <v>0</v>
      </c>
      <c r="G86" s="184">
        <f>'ONT_GL '!E86</f>
        <v>132179</v>
      </c>
      <c r="H86" s="184">
        <f t="shared" ref="H86:I88" si="15">F86-D86</f>
        <v>0</v>
      </c>
      <c r="I86" s="184">
        <f t="shared" si="15"/>
        <v>3049</v>
      </c>
    </row>
    <row r="87" spans="1:63" x14ac:dyDescent="0.2">
      <c r="A87" s="183"/>
      <c r="B87" s="3"/>
      <c r="C87" s="10" t="s">
        <v>75</v>
      </c>
      <c r="D87" s="185">
        <f>[4]ONT_FLSH!L87</f>
        <v>0</v>
      </c>
      <c r="E87" s="185">
        <f>ONT_FLSH!M87</f>
        <v>0</v>
      </c>
      <c r="F87" s="185">
        <f>'ONT_GL '!D87</f>
        <v>0</v>
      </c>
      <c r="G87" s="185">
        <f>'ONT_GL 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[4]ONT_FLSH!L88</f>
        <v>0</v>
      </c>
      <c r="E88" s="186">
        <f>ONT_FLSH!M88</f>
        <v>0</v>
      </c>
      <c r="F88" s="186">
        <f>'ONT_GL '!D88</f>
        <v>0</v>
      </c>
      <c r="G88" s="186">
        <f>'ONT_GL '!E88</f>
        <v>-3049</v>
      </c>
      <c r="H88" s="186">
        <f t="shared" si="15"/>
        <v>0</v>
      </c>
      <c r="I88" s="186">
        <f t="shared" si="15"/>
        <v>-3049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129130</v>
      </c>
      <c r="F89" s="190">
        <f t="shared" si="16"/>
        <v>0</v>
      </c>
      <c r="G89" s="190">
        <f t="shared" si="16"/>
        <v>129130</v>
      </c>
      <c r="H89" s="190">
        <f t="shared" si="16"/>
        <v>0</v>
      </c>
      <c r="I89" s="190">
        <f t="shared" si="16"/>
        <v>0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305358</v>
      </c>
      <c r="F91" s="190">
        <f t="shared" si="17"/>
        <v>0</v>
      </c>
      <c r="G91" s="190">
        <f t="shared" si="17"/>
        <v>304368</v>
      </c>
      <c r="H91" s="190">
        <f t="shared" si="17"/>
        <v>0</v>
      </c>
      <c r="I91" s="190">
        <f t="shared" si="17"/>
        <v>-990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64" activePane="bottomRight" state="frozen"/>
      <selection activeCell="A4" sqref="A4"/>
      <selection pane="topRight" activeCell="A4" sqref="A4"/>
      <selection pane="bottomLeft" activeCell="A4" sqref="A4"/>
      <selection pane="bottomRight" activeCell="F78" sqref="F7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BGC_FLSH!D11</f>
        <v>6035598</v>
      </c>
      <c r="E11" s="66">
        <f>BGC_FLSH!E11</f>
        <v>7437659</v>
      </c>
      <c r="F11" s="60">
        <f>BGC_GL!D11</f>
        <v>6006394</v>
      </c>
      <c r="G11" s="38">
        <f>BGC_GL!E11</f>
        <v>7404226.8800000008</v>
      </c>
      <c r="H11" s="60">
        <f>F11-D11</f>
        <v>-29204</v>
      </c>
      <c r="I11" s="38">
        <f>G11-E11</f>
        <v>-33432.11999999918</v>
      </c>
    </row>
    <row r="12" spans="1:22" x14ac:dyDescent="0.2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BGC_FLSH!D13</f>
        <v>11094089</v>
      </c>
      <c r="E13" s="66">
        <f>BGC_FLSH!E13</f>
        <v>22300989</v>
      </c>
      <c r="F13" s="60">
        <f>BGC_GL!D13</f>
        <v>11044800</v>
      </c>
      <c r="G13" s="38">
        <f>BGC_GL!E13</f>
        <v>22182900</v>
      </c>
      <c r="H13" s="60">
        <f t="shared" ref="H13:I15" si="0">F13-D13</f>
        <v>-49289</v>
      </c>
      <c r="I13" s="38">
        <f t="shared" si="0"/>
        <v>-118089</v>
      </c>
    </row>
    <row r="14" spans="1:22" x14ac:dyDescent="0.2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17129687</v>
      </c>
      <c r="E16" s="39">
        <f t="shared" si="1"/>
        <v>29738648</v>
      </c>
      <c r="F16" s="61">
        <f t="shared" si="1"/>
        <v>17051194</v>
      </c>
      <c r="G16" s="39">
        <f t="shared" si="1"/>
        <v>29587126.880000003</v>
      </c>
      <c r="H16" s="61">
        <f t="shared" si="1"/>
        <v>-78493</v>
      </c>
      <c r="I16" s="39">
        <f t="shared" si="1"/>
        <v>-151521.11999999918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BGC_FLSH!D19</f>
        <v>-3229965</v>
      </c>
      <c r="E19" s="66">
        <f>BGC_FLSH!E19</f>
        <v>-3105015</v>
      </c>
      <c r="F19" s="60">
        <f>BGC_GL!D19</f>
        <v>-3229965</v>
      </c>
      <c r="G19" s="38">
        <f>BGC_GL!E19</f>
        <v>-3101320.81</v>
      </c>
      <c r="H19" s="60">
        <f>F19-D19</f>
        <v>0</v>
      </c>
      <c r="I19" s="38">
        <f>G19-E19</f>
        <v>3694.1899999999441</v>
      </c>
    </row>
    <row r="20" spans="1:9" x14ac:dyDescent="0.2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BGC_FLSH!D21</f>
        <v>-13131332</v>
      </c>
      <c r="E21" s="66">
        <f>BGC_FLSH!E21</f>
        <v>-25962903</v>
      </c>
      <c r="F21" s="60">
        <f>BGC_GL!D21</f>
        <v>-13070778</v>
      </c>
      <c r="G21" s="38">
        <f>BGC_GL!E21</f>
        <v>-25823734</v>
      </c>
      <c r="H21" s="60">
        <f t="shared" ref="H21:I23" si="2">F21-D21</f>
        <v>60554</v>
      </c>
      <c r="I21" s="38">
        <f t="shared" si="2"/>
        <v>139169</v>
      </c>
    </row>
    <row r="22" spans="1:9" x14ac:dyDescent="0.2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BGC_FLSH!D23</f>
        <v>303879</v>
      </c>
      <c r="E23" s="66">
        <f>BGC_FLSH!E23</f>
        <v>552784</v>
      </c>
      <c r="F23" s="60">
        <f>BGC_GL!D23</f>
        <v>0</v>
      </c>
      <c r="G23" s="38">
        <f>BGC_GL!E23</f>
        <v>4.0000000000000036E-3</v>
      </c>
      <c r="H23" s="60">
        <f t="shared" si="2"/>
        <v>-303879</v>
      </c>
      <c r="I23" s="38">
        <f t="shared" si="2"/>
        <v>-552783.99600000004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-16057418</v>
      </c>
      <c r="E24" s="39">
        <f t="shared" si="3"/>
        <v>-28515134</v>
      </c>
      <c r="F24" s="61">
        <f t="shared" si="3"/>
        <v>-16300743</v>
      </c>
      <c r="G24" s="39">
        <f t="shared" si="3"/>
        <v>-28925054.805999998</v>
      </c>
      <c r="H24" s="61">
        <f t="shared" si="3"/>
        <v>-243325</v>
      </c>
      <c r="I24" s="39">
        <f t="shared" si="3"/>
        <v>-409920.8060000001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BGC_FLSH!D32</f>
        <v>1996</v>
      </c>
      <c r="E32" s="66">
        <f>BGC_FLSH!E32</f>
        <v>3932</v>
      </c>
      <c r="F32" s="60">
        <f>BGC_GL!D32</f>
        <v>0</v>
      </c>
      <c r="G32" s="38">
        <f>BGC_GL!E32</f>
        <v>0</v>
      </c>
      <c r="H32" s="60">
        <f>F32-D32</f>
        <v>-1996</v>
      </c>
      <c r="I32" s="38">
        <f>G32-E32</f>
        <v>-3932</v>
      </c>
    </row>
    <row r="33" spans="1:9" x14ac:dyDescent="0.2">
      <c r="A33" s="9">
        <v>14</v>
      </c>
      <c r="B33" s="7"/>
      <c r="C33" s="18" t="s">
        <v>44</v>
      </c>
      <c r="D33" s="65">
        <f>BGC_FLSH!D33</f>
        <v>0</v>
      </c>
      <c r="E33" s="66">
        <f>BGC_FLSH!E33</f>
        <v>0</v>
      </c>
      <c r="F33" s="60">
        <f>BGC_GL!D33</f>
        <v>0</v>
      </c>
      <c r="G33" s="38">
        <f>BGC_GL!E33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BGC_FLSH!D34</f>
        <v>9328</v>
      </c>
      <c r="E34" s="66">
        <f>BGC_FLSH!E34</f>
        <v>18376</v>
      </c>
      <c r="F34" s="60">
        <f>BGC_GL!D34</f>
        <v>0</v>
      </c>
      <c r="G34" s="38">
        <f>BGC_GL!E34</f>
        <v>0</v>
      </c>
      <c r="H34" s="60">
        <f t="shared" si="5"/>
        <v>-9328</v>
      </c>
      <c r="I34" s="38">
        <f t="shared" si="5"/>
        <v>-18376</v>
      </c>
    </row>
    <row r="35" spans="1:9" x14ac:dyDescent="0.2">
      <c r="A35" s="9">
        <v>16</v>
      </c>
      <c r="B35" s="7"/>
      <c r="C35" s="18" t="s">
        <v>46</v>
      </c>
      <c r="D35" s="65">
        <f>BGC_FLSH!D35</f>
        <v>-9328</v>
      </c>
      <c r="E35" s="66">
        <f>BGC_FLSH!E35</f>
        <v>-18563</v>
      </c>
      <c r="F35" s="60">
        <f>BGC_GL!D35</f>
        <v>0</v>
      </c>
      <c r="G35" s="38">
        <f>BGC_GL!E35</f>
        <v>0</v>
      </c>
      <c r="H35" s="60">
        <f t="shared" si="5"/>
        <v>9328</v>
      </c>
      <c r="I35" s="38">
        <f t="shared" si="5"/>
        <v>18563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1996</v>
      </c>
      <c r="E36" s="39">
        <f t="shared" si="6"/>
        <v>3745</v>
      </c>
      <c r="F36" s="61">
        <f t="shared" si="6"/>
        <v>0</v>
      </c>
      <c r="G36" s="39">
        <f t="shared" si="6"/>
        <v>0</v>
      </c>
      <c r="H36" s="61">
        <f t="shared" si="6"/>
        <v>-1996</v>
      </c>
      <c r="I36" s="39">
        <f t="shared" si="6"/>
        <v>-3745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BGC_FLSH!D39</f>
        <v>0</v>
      </c>
      <c r="E39" s="66">
        <f>BGC_FLSH!E39</f>
        <v>0</v>
      </c>
      <c r="F39" s="60">
        <f>BGC_GL!D39</f>
        <v>0</v>
      </c>
      <c r="G39" s="38">
        <f>BGC_GL!E39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BGC_FLSH!D40</f>
        <v>-1074265</v>
      </c>
      <c r="E40" s="66">
        <f>BGC_FLSH!E40</f>
        <v>-103</v>
      </c>
      <c r="F40" s="60">
        <f>BGC_GL!D40</f>
        <v>-1070106</v>
      </c>
      <c r="G40" s="38">
        <f>BGC_GL!E40</f>
        <v>-0.04</v>
      </c>
      <c r="H40" s="60">
        <f t="shared" si="7"/>
        <v>4159</v>
      </c>
      <c r="I40" s="38">
        <f t="shared" si="7"/>
        <v>102.96</v>
      </c>
    </row>
    <row r="41" spans="1:9" x14ac:dyDescent="0.2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-1074265</v>
      </c>
      <c r="E42" s="70">
        <f t="shared" si="8"/>
        <v>-103</v>
      </c>
      <c r="F42" s="69">
        <f t="shared" si="8"/>
        <v>-1070106</v>
      </c>
      <c r="G42" s="70">
        <f t="shared" si="8"/>
        <v>-0.04</v>
      </c>
      <c r="H42" s="69">
        <f t="shared" si="8"/>
        <v>4159</v>
      </c>
      <c r="I42" s="70">
        <f t="shared" si="8"/>
        <v>102.96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-1074265</v>
      </c>
      <c r="E43" s="39">
        <f t="shared" si="9"/>
        <v>-103</v>
      </c>
      <c r="F43" s="61">
        <f t="shared" si="9"/>
        <v>-1070106</v>
      </c>
      <c r="G43" s="39">
        <f t="shared" si="9"/>
        <v>-0.04</v>
      </c>
      <c r="H43" s="61">
        <f t="shared" si="9"/>
        <v>4159</v>
      </c>
      <c r="I43" s="39">
        <f t="shared" si="9"/>
        <v>102.96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319655</v>
      </c>
      <c r="G49" s="38">
        <f>BGC_GL!E49</f>
        <v>571146.47999999952</v>
      </c>
      <c r="H49" s="60">
        <f>F49-D49</f>
        <v>319655</v>
      </c>
      <c r="I49" s="38">
        <f>G49-E49</f>
        <v>571146.47999999952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BGC_FLSH!D51</f>
        <v>-303879</v>
      </c>
      <c r="E51" s="66">
        <f>BGC_FLSH!E51</f>
        <v>-552784</v>
      </c>
      <c r="F51" s="60">
        <f>BGC_GL!D51</f>
        <v>303879</v>
      </c>
      <c r="G51" s="38">
        <f>BGC_GL!E51</f>
        <v>-4.0000000000000036E-3</v>
      </c>
      <c r="H51" s="60">
        <f>F51-D51</f>
        <v>607758</v>
      </c>
      <c r="I51" s="38">
        <f>G51-E51</f>
        <v>552783.99600000004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-480682</v>
      </c>
      <c r="F54" s="60">
        <f>BGC_GL!D54</f>
        <v>-39504</v>
      </c>
      <c r="G54" s="38">
        <f>BGC_GL!E54</f>
        <v>-444731.33</v>
      </c>
      <c r="H54" s="60">
        <f>F54-D54</f>
        <v>-39504</v>
      </c>
      <c r="I54" s="38">
        <f>G54-E54</f>
        <v>35950.669999999984</v>
      </c>
    </row>
    <row r="55" spans="1:9" x14ac:dyDescent="0.2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-3743124</v>
      </c>
      <c r="F55" s="60">
        <f>BGC_GL!D55</f>
        <v>0</v>
      </c>
      <c r="G55" s="38">
        <f>BGC_GL!E55</f>
        <v>-5497.67</v>
      </c>
      <c r="H55" s="60">
        <f>F55-D55</f>
        <v>0</v>
      </c>
      <c r="I55" s="38">
        <f>G55-E55</f>
        <v>3737626.33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-4223806</v>
      </c>
      <c r="F56" s="61">
        <f t="shared" si="10"/>
        <v>-39504</v>
      </c>
      <c r="G56" s="39">
        <f t="shared" si="10"/>
        <v>-450229</v>
      </c>
      <c r="H56" s="61">
        <f t="shared" si="10"/>
        <v>-39504</v>
      </c>
      <c r="I56" s="39">
        <f t="shared" si="10"/>
        <v>3773577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-113999</v>
      </c>
      <c r="F70" s="60">
        <f>BGC_GL!D70</f>
        <v>0</v>
      </c>
      <c r="G70" s="38">
        <f>BGC_GL!E70</f>
        <v>0</v>
      </c>
      <c r="H70" s="60">
        <f>F70-D70</f>
        <v>0</v>
      </c>
      <c r="I70" s="38">
        <f>G70-E70</f>
        <v>113999</v>
      </c>
    </row>
    <row r="71" spans="1:9" x14ac:dyDescent="0.2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-113999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113999</v>
      </c>
    </row>
    <row r="73" spans="1:9" x14ac:dyDescent="0.2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0</v>
      </c>
      <c r="F74" s="60">
        <f>BGC_GL!D74</f>
        <v>0</v>
      </c>
      <c r="G74" s="38">
        <f>BGC_GL!E74</f>
        <v>-113999</v>
      </c>
      <c r="H74" s="60">
        <f t="shared" ref="H74:I79" si="14">F74-D74</f>
        <v>0</v>
      </c>
      <c r="I74" s="38">
        <f t="shared" si="14"/>
        <v>-113999</v>
      </c>
    </row>
    <row r="75" spans="1:9" x14ac:dyDescent="0.2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3743124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-3743124</v>
      </c>
    </row>
    <row r="80" spans="1:9" x14ac:dyDescent="0.2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0</v>
      </c>
      <c r="F81" s="60">
        <f>BGC_GL!D81</f>
        <v>0</v>
      </c>
      <c r="G81" s="38">
        <f>BGC_GL!E81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79691</v>
      </c>
      <c r="F82" s="117">
        <f>F16+F24+F29+F36+F43+F45+F47+F49</f>
        <v>0</v>
      </c>
      <c r="G82" s="118">
        <f>SUM(G72:G81)+G16+G24+G29+G36+G43+G45+G47+G49+G51+G56+G61+G66</f>
        <v>668990.5100000042</v>
      </c>
      <c r="H82" s="117">
        <f>H16+H24+H29+H36+H43+H45+H47+H49</f>
        <v>0</v>
      </c>
      <c r="I82" s="118">
        <f>SUM(I72:I81)+I16+I24+I29+I36+I43+I45+I47+I49+I51+I56+I61+I66</f>
        <v>589299.51000000071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DN655"/>
  <sheetViews>
    <sheetView workbookViewId="0">
      <pane xSplit="4" ySplit="3" topLeftCell="Z628" activePane="bottomRight" state="frozen"/>
      <selection pane="topRight" activeCell="E1" sqref="E1"/>
      <selection pane="bottomLeft" activeCell="A4" sqref="A4"/>
      <selection pane="bottomRight" activeCell="AG656" sqref="AG656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customWidth="1"/>
    <col min="10" max="10" width="11.28515625" customWidth="1"/>
    <col min="11" max="11" width="14.7109375" customWidth="1"/>
    <col min="12" max="12" width="11.7109375" customWidth="1"/>
    <col min="13" max="13" width="11.42578125" customWidth="1"/>
    <col min="14" max="14" width="12.42578125" customWidth="1"/>
    <col min="15" max="15" width="11.85546875" customWidth="1"/>
    <col min="16" max="16" width="12.28515625" customWidth="1"/>
    <col min="19" max="19" width="12" customWidth="1"/>
    <col min="21" max="21" width="11.140625" customWidth="1"/>
    <col min="23" max="23" width="11.85546875" customWidth="1"/>
  </cols>
  <sheetData>
    <row r="1" spans="1:118" ht="28.5" customHeight="1" x14ac:dyDescent="0.2">
      <c r="E1" s="210">
        <v>36192</v>
      </c>
      <c r="F1" s="210"/>
      <c r="G1" s="209">
        <f>+E1+31</f>
        <v>36223</v>
      </c>
      <c r="H1" s="209"/>
      <c r="I1" s="209">
        <f>+G1+30</f>
        <v>36253</v>
      </c>
      <c r="J1" s="209"/>
      <c r="K1" s="209">
        <f>+I1+31</f>
        <v>36284</v>
      </c>
      <c r="L1" s="209"/>
      <c r="M1" s="209">
        <f>+K1+31</f>
        <v>36315</v>
      </c>
      <c r="N1" s="209"/>
      <c r="O1" s="209">
        <f>+M1+30</f>
        <v>36345</v>
      </c>
      <c r="P1" s="209"/>
      <c r="Q1" s="209">
        <f>+O1+31</f>
        <v>36376</v>
      </c>
      <c r="R1" s="209"/>
      <c r="S1" s="209">
        <f>+Q1+31</f>
        <v>36407</v>
      </c>
      <c r="T1" s="209"/>
      <c r="U1" s="209">
        <f>+S1+31</f>
        <v>36438</v>
      </c>
      <c r="V1" s="209"/>
      <c r="W1" s="209">
        <f>+U1+31</f>
        <v>36469</v>
      </c>
      <c r="X1" s="209"/>
      <c r="Y1" s="209">
        <f>+W1+31</f>
        <v>36500</v>
      </c>
      <c r="Z1" s="209"/>
      <c r="AA1" s="209">
        <f>+Y1+31</f>
        <v>36531</v>
      </c>
      <c r="AB1" s="209"/>
      <c r="AC1" s="209">
        <f>+AA1+31</f>
        <v>36562</v>
      </c>
      <c r="AD1" s="209"/>
      <c r="AE1" s="209">
        <f>+AC1+31</f>
        <v>36593</v>
      </c>
      <c r="AF1" s="209"/>
      <c r="AG1" s="209">
        <f>+AE1+31</f>
        <v>36624</v>
      </c>
      <c r="AH1" s="209"/>
    </row>
    <row r="2" spans="1:118" x14ac:dyDescent="0.2">
      <c r="A2" s="119" t="s">
        <v>124</v>
      </c>
      <c r="B2" s="119" t="s">
        <v>125</v>
      </c>
      <c r="C2" s="119" t="s">
        <v>126</v>
      </c>
      <c r="D2" s="119" t="s">
        <v>127</v>
      </c>
      <c r="E2" s="120" t="s">
        <v>128</v>
      </c>
      <c r="F2" s="120" t="s">
        <v>129</v>
      </c>
      <c r="G2" t="s">
        <v>130</v>
      </c>
    </row>
    <row r="3" spans="1:118" s="123" customFormat="1" x14ac:dyDescent="0.2">
      <c r="A3" s="121" t="s">
        <v>131</v>
      </c>
      <c r="B3" s="121" t="s">
        <v>125</v>
      </c>
      <c r="C3" s="121" t="s">
        <v>126</v>
      </c>
      <c r="D3" s="121" t="s">
        <v>127</v>
      </c>
      <c r="E3" s="122" t="s">
        <v>181</v>
      </c>
      <c r="F3" s="123" t="s">
        <v>182</v>
      </c>
      <c r="G3" s="122" t="s">
        <v>181</v>
      </c>
      <c r="H3" s="123" t="s">
        <v>182</v>
      </c>
      <c r="I3" s="122" t="s">
        <v>181</v>
      </c>
      <c r="J3" s="123" t="s">
        <v>182</v>
      </c>
      <c r="K3" s="122" t="s">
        <v>181</v>
      </c>
      <c r="L3" s="123" t="s">
        <v>182</v>
      </c>
      <c r="M3" s="122" t="s">
        <v>181</v>
      </c>
      <c r="N3" s="123" t="s">
        <v>182</v>
      </c>
      <c r="O3" s="122" t="s">
        <v>181</v>
      </c>
      <c r="P3" s="123" t="s">
        <v>182</v>
      </c>
      <c r="Q3" s="122" t="s">
        <v>181</v>
      </c>
      <c r="R3" s="123" t="s">
        <v>182</v>
      </c>
      <c r="S3" s="122" t="s">
        <v>181</v>
      </c>
      <c r="T3" s="123" t="s">
        <v>182</v>
      </c>
      <c r="U3" s="122" t="s">
        <v>181</v>
      </c>
      <c r="V3" s="123" t="s">
        <v>182</v>
      </c>
      <c r="W3" s="122" t="s">
        <v>181</v>
      </c>
      <c r="X3" s="123" t="s">
        <v>182</v>
      </c>
      <c r="Y3" s="122" t="s">
        <v>181</v>
      </c>
      <c r="Z3" s="123" t="s">
        <v>182</v>
      </c>
      <c r="AA3" s="122" t="s">
        <v>181</v>
      </c>
      <c r="AB3" s="123" t="s">
        <v>182</v>
      </c>
      <c r="AC3" s="122" t="s">
        <v>181</v>
      </c>
      <c r="AD3" s="123" t="s">
        <v>182</v>
      </c>
      <c r="AE3" s="122" t="s">
        <v>181</v>
      </c>
      <c r="AF3" s="123" t="s">
        <v>182</v>
      </c>
      <c r="AG3" s="123" t="s">
        <v>181</v>
      </c>
      <c r="AH3" s="123" t="s">
        <v>182</v>
      </c>
    </row>
    <row r="4" spans="1:118" x14ac:dyDescent="0.2">
      <c r="A4" s="124" t="s">
        <v>132</v>
      </c>
      <c r="B4" s="124" t="s">
        <v>133</v>
      </c>
      <c r="C4" s="125">
        <v>1</v>
      </c>
      <c r="D4" s="124" t="s">
        <v>29</v>
      </c>
      <c r="E4" s="126">
        <v>21677408</v>
      </c>
      <c r="F4" s="126">
        <v>42432491.990000002</v>
      </c>
      <c r="G4" s="127">
        <v>198324</v>
      </c>
      <c r="H4" s="127">
        <v>-1868158.14</v>
      </c>
      <c r="I4" s="127">
        <v>61771</v>
      </c>
      <c r="J4" s="127">
        <v>115192.15</v>
      </c>
      <c r="K4" s="127">
        <v>-17408</v>
      </c>
      <c r="L4" s="127">
        <v>-29097.4</v>
      </c>
      <c r="M4" s="127">
        <v>38192</v>
      </c>
      <c r="N4" s="127">
        <v>53304.35</v>
      </c>
      <c r="O4" s="127">
        <v>468386</v>
      </c>
      <c r="P4" s="127">
        <v>872722.4</v>
      </c>
      <c r="Q4" s="127">
        <v>-424857</v>
      </c>
      <c r="R4" s="127">
        <v>-789120.93</v>
      </c>
      <c r="S4" s="127">
        <v>-61254</v>
      </c>
      <c r="T4" s="127">
        <v>-120146.55</v>
      </c>
      <c r="U4" s="127">
        <v>165263</v>
      </c>
      <c r="V4" s="127">
        <v>270206.71999999997</v>
      </c>
      <c r="W4" s="127">
        <v>0</v>
      </c>
      <c r="X4" s="127">
        <v>0</v>
      </c>
      <c r="Y4" s="127">
        <v>-44</v>
      </c>
      <c r="Z4" s="127">
        <v>-750.36</v>
      </c>
      <c r="AA4" s="127">
        <v>0</v>
      </c>
      <c r="AB4" s="127">
        <v>100.47</v>
      </c>
      <c r="AC4" s="127">
        <v>0</v>
      </c>
      <c r="AD4" s="127">
        <v>0</v>
      </c>
      <c r="AE4" s="127">
        <v>-22932</v>
      </c>
      <c r="AF4" s="127">
        <v>-42545.279999999999</v>
      </c>
      <c r="AG4" s="127">
        <v>0</v>
      </c>
      <c r="AH4" s="127">
        <v>0</v>
      </c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">
      <c r="A5" s="124" t="s">
        <v>132</v>
      </c>
      <c r="B5" s="124" t="s">
        <v>133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">
      <c r="A6" s="124" t="s">
        <v>132</v>
      </c>
      <c r="B6" s="124" t="s">
        <v>133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>
        <v>0</v>
      </c>
      <c r="AH6" s="127">
        <v>0</v>
      </c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">
      <c r="A7" s="124" t="s">
        <v>132</v>
      </c>
      <c r="B7" s="124" t="s">
        <v>133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">
      <c r="A8" s="124" t="s">
        <v>132</v>
      </c>
      <c r="B8" s="124" t="s">
        <v>133</v>
      </c>
      <c r="C8" s="125">
        <v>5</v>
      </c>
      <c r="D8" s="124" t="s">
        <v>134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">
      <c r="A9" s="124" t="s">
        <v>132</v>
      </c>
      <c r="B9" s="124" t="s">
        <v>133</v>
      </c>
      <c r="C9" s="125">
        <v>6</v>
      </c>
      <c r="D9" s="124" t="s">
        <v>29</v>
      </c>
      <c r="E9" s="126">
        <v>-5174379</v>
      </c>
      <c r="F9" s="126">
        <v>-9539124.5800000001</v>
      </c>
      <c r="G9" s="127">
        <v>360614</v>
      </c>
      <c r="H9" s="127">
        <v>1104181.6499999999</v>
      </c>
      <c r="I9" s="127">
        <v>11322539</v>
      </c>
      <c r="J9" s="127">
        <v>20152686.109999999</v>
      </c>
      <c r="K9" s="127">
        <v>-11265094</v>
      </c>
      <c r="L9" s="127">
        <v>-20053767.859999999</v>
      </c>
      <c r="M9" s="127">
        <v>-36954</v>
      </c>
      <c r="N9" s="127">
        <v>-64728.33</v>
      </c>
      <c r="O9" s="127">
        <v>0</v>
      </c>
      <c r="P9" s="127">
        <v>0</v>
      </c>
      <c r="Q9" s="127">
        <v>2921</v>
      </c>
      <c r="R9" s="127">
        <v>4419.47</v>
      </c>
      <c r="S9" s="127">
        <v>109</v>
      </c>
      <c r="T9" s="127">
        <v>168.73</v>
      </c>
      <c r="U9" s="127">
        <v>-147800</v>
      </c>
      <c r="V9" s="127">
        <v>-258732.24</v>
      </c>
      <c r="W9" s="127">
        <v>-672</v>
      </c>
      <c r="X9" s="127">
        <v>-1016.74</v>
      </c>
      <c r="Y9" s="127">
        <v>-9956</v>
      </c>
      <c r="Z9" s="127">
        <v>-17001.62</v>
      </c>
      <c r="AA9" s="127">
        <v>0</v>
      </c>
      <c r="AB9" s="127">
        <v>0</v>
      </c>
      <c r="AC9" s="127">
        <v>0</v>
      </c>
      <c r="AD9" s="127">
        <v>0</v>
      </c>
      <c r="AE9" s="127">
        <v>22932</v>
      </c>
      <c r="AF9" s="127">
        <v>39552.89</v>
      </c>
      <c r="AG9" s="127">
        <v>0</v>
      </c>
      <c r="AH9" s="127">
        <v>0</v>
      </c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">
      <c r="A10" s="124" t="s">
        <v>132</v>
      </c>
      <c r="B10" s="124" t="s">
        <v>133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">
      <c r="A11" s="124" t="s">
        <v>132</v>
      </c>
      <c r="B11" s="124" t="s">
        <v>133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">
      <c r="A12" s="124" t="s">
        <v>132</v>
      </c>
      <c r="B12" s="124" t="s">
        <v>133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>
        <v>0</v>
      </c>
      <c r="AH12" s="127">
        <v>0</v>
      </c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">
      <c r="A13" s="124" t="s">
        <v>132</v>
      </c>
      <c r="B13" s="124" t="s">
        <v>133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>
        <v>0</v>
      </c>
      <c r="AH13" s="127">
        <v>0</v>
      </c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">
      <c r="A14" s="124" t="s">
        <v>132</v>
      </c>
      <c r="B14" s="124" t="s">
        <v>133</v>
      </c>
      <c r="C14" s="125">
        <v>11</v>
      </c>
      <c r="D14" s="124" t="s">
        <v>39</v>
      </c>
      <c r="E14" s="126">
        <v>24570425</v>
      </c>
      <c r="F14" s="126">
        <v>43649329.079999998</v>
      </c>
      <c r="G14" s="127">
        <v>-5098486</v>
      </c>
      <c r="H14" s="127">
        <v>-9075304.9299999997</v>
      </c>
      <c r="I14" s="127">
        <v>-320294</v>
      </c>
      <c r="J14" s="127">
        <v>-553214.87650000001</v>
      </c>
      <c r="K14" s="127">
        <v>-16979578</v>
      </c>
      <c r="L14" s="127">
        <v>-30227983.1888</v>
      </c>
      <c r="M14" s="127">
        <v>-13466</v>
      </c>
      <c r="N14" s="127">
        <v>-24246.310399999995</v>
      </c>
      <c r="O14" s="127">
        <v>-424857</v>
      </c>
      <c r="P14" s="127">
        <v>-711890.38919999998</v>
      </c>
      <c r="Q14" s="127">
        <v>424415</v>
      </c>
      <c r="R14" s="127">
        <v>708633.62959999999</v>
      </c>
      <c r="S14" s="127">
        <v>17616</v>
      </c>
      <c r="T14" s="127">
        <v>31241.975999999999</v>
      </c>
      <c r="U14" s="127">
        <v>-19497</v>
      </c>
      <c r="V14" s="127">
        <v>-32669.173200000001</v>
      </c>
      <c r="W14" s="127">
        <v>-3843</v>
      </c>
      <c r="X14" s="127">
        <v>-6439.3307999999997</v>
      </c>
      <c r="Y14" s="127">
        <v>4832</v>
      </c>
      <c r="Z14" s="127">
        <v>-957.82999999995809</v>
      </c>
      <c r="AA14" s="127">
        <v>0</v>
      </c>
      <c r="AB14" s="127">
        <v>0</v>
      </c>
      <c r="AC14" s="127">
        <v>0</v>
      </c>
      <c r="AD14" s="127">
        <v>0</v>
      </c>
      <c r="AE14" s="127">
        <v>0</v>
      </c>
      <c r="AF14" s="127">
        <v>18103.13</v>
      </c>
      <c r="AG14" s="127">
        <v>0</v>
      </c>
      <c r="AH14" s="127">
        <v>0</v>
      </c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">
      <c r="A15" s="124" t="s">
        <v>132</v>
      </c>
      <c r="B15" s="124" t="s">
        <v>133</v>
      </c>
      <c r="C15" s="125">
        <v>12</v>
      </c>
      <c r="D15" s="124" t="s">
        <v>40</v>
      </c>
      <c r="E15" s="126">
        <v>-41073454</v>
      </c>
      <c r="F15" s="126">
        <v>-72715813.430000007</v>
      </c>
      <c r="G15" s="127">
        <v>21754448</v>
      </c>
      <c r="H15" s="127">
        <v>38350615.682499997</v>
      </c>
      <c r="I15" s="127">
        <v>-11149483</v>
      </c>
      <c r="J15" s="127">
        <v>-19847509.419999998</v>
      </c>
      <c r="K15" s="127">
        <v>11141077</v>
      </c>
      <c r="L15" s="127">
        <v>19831116.739999998</v>
      </c>
      <c r="M15" s="127">
        <v>5261</v>
      </c>
      <c r="N15" s="127">
        <v>9364.58</v>
      </c>
      <c r="O15" s="127">
        <v>-43529</v>
      </c>
      <c r="P15" s="127">
        <v>-77431.12</v>
      </c>
      <c r="Q15" s="127">
        <v>-2479</v>
      </c>
      <c r="R15" s="127">
        <v>-4412.62</v>
      </c>
      <c r="S15" s="127">
        <v>43529</v>
      </c>
      <c r="T15" s="127">
        <v>77431.12</v>
      </c>
      <c r="U15" s="127">
        <v>0</v>
      </c>
      <c r="V15" s="127">
        <v>0</v>
      </c>
      <c r="W15" s="127">
        <v>0</v>
      </c>
      <c r="X15" s="127">
        <v>0</v>
      </c>
      <c r="Y15" s="127">
        <v>9683</v>
      </c>
      <c r="Z15" s="127">
        <v>17235.740000000002</v>
      </c>
      <c r="AA15" s="127">
        <v>0</v>
      </c>
      <c r="AB15" s="127">
        <v>0</v>
      </c>
      <c r="AC15" s="127">
        <v>0</v>
      </c>
      <c r="AD15" s="127">
        <v>0</v>
      </c>
      <c r="AE15" s="127">
        <v>0</v>
      </c>
      <c r="AF15" s="127">
        <v>0</v>
      </c>
      <c r="AG15" s="127">
        <v>0</v>
      </c>
      <c r="AH15" s="127">
        <v>0</v>
      </c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">
      <c r="A16" s="124" t="s">
        <v>132</v>
      </c>
      <c r="B16" s="124" t="s">
        <v>133</v>
      </c>
      <c r="C16" s="125">
        <v>13</v>
      </c>
      <c r="D16" s="124" t="s">
        <v>43</v>
      </c>
      <c r="E16" s="126">
        <v>0</v>
      </c>
      <c r="F16" s="126">
        <v>0</v>
      </c>
      <c r="G16" s="127">
        <v>-86930</v>
      </c>
      <c r="H16" s="127">
        <v>-149084.95000000001</v>
      </c>
      <c r="I16" s="127">
        <v>85467</v>
      </c>
      <c r="J16" s="127">
        <v>146834.856</v>
      </c>
      <c r="K16" s="127">
        <v>-6967</v>
      </c>
      <c r="L16" s="127">
        <v>-13075.646000000001</v>
      </c>
      <c r="M16" s="127">
        <v>6967</v>
      </c>
      <c r="N16" s="127">
        <v>11978.4</v>
      </c>
      <c r="O16" s="127">
        <v>0</v>
      </c>
      <c r="P16" s="127">
        <v>156.541</v>
      </c>
      <c r="Q16" s="127">
        <v>0</v>
      </c>
      <c r="R16" s="127">
        <v>-100.947</v>
      </c>
      <c r="S16" s="127">
        <v>0</v>
      </c>
      <c r="T16" s="127">
        <v>-493.03100000000001</v>
      </c>
      <c r="U16" s="127">
        <v>2034</v>
      </c>
      <c r="V16" s="127">
        <v>5422.4089999999997</v>
      </c>
      <c r="W16" s="127">
        <v>4515</v>
      </c>
      <c r="X16" s="127">
        <v>6861.0780000000004</v>
      </c>
      <c r="Y16" s="127">
        <v>-4515</v>
      </c>
      <c r="Z16" s="127">
        <v>-7519.4409999999998</v>
      </c>
      <c r="AA16" s="127">
        <v>0</v>
      </c>
      <c r="AB16" s="127">
        <v>0</v>
      </c>
      <c r="AC16" s="127">
        <v>0</v>
      </c>
      <c r="AD16" s="127">
        <v>0</v>
      </c>
      <c r="AE16" s="127">
        <v>0</v>
      </c>
      <c r="AF16" s="127">
        <v>0</v>
      </c>
      <c r="AG16" s="127">
        <v>0</v>
      </c>
      <c r="AH16" s="127">
        <v>0</v>
      </c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">
      <c r="A17" s="124" t="s">
        <v>132</v>
      </c>
      <c r="B17" s="124" t="s">
        <v>133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">
      <c r="A18" s="124" t="s">
        <v>132</v>
      </c>
      <c r="B18" s="124" t="s">
        <v>133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>
        <v>0</v>
      </c>
      <c r="AH18" s="127">
        <v>0</v>
      </c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">
      <c r="A19" s="124" t="s">
        <v>132</v>
      </c>
      <c r="B19" s="124" t="s">
        <v>133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">
      <c r="A20" s="124" t="s">
        <v>132</v>
      </c>
      <c r="B20" s="124" t="s">
        <v>133</v>
      </c>
      <c r="C20" s="125">
        <v>17</v>
      </c>
      <c r="D20" s="124" t="s">
        <v>135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">
      <c r="A21" s="124" t="s">
        <v>132</v>
      </c>
      <c r="B21" s="124" t="s">
        <v>133</v>
      </c>
      <c r="C21" s="125">
        <v>18</v>
      </c>
      <c r="D21" s="124" t="s">
        <v>136</v>
      </c>
      <c r="E21" s="126">
        <v>0</v>
      </c>
      <c r="F21" s="126">
        <v>0</v>
      </c>
      <c r="G21" s="127">
        <v>-17127970</v>
      </c>
      <c r="H21" s="127">
        <v>-37894846.130000003</v>
      </c>
      <c r="I21" s="127">
        <v>0</v>
      </c>
      <c r="J21" s="127">
        <v>-3108.62</v>
      </c>
      <c r="K21" s="127">
        <v>17127970</v>
      </c>
      <c r="L21" s="127">
        <v>37897954.75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">
      <c r="A22" s="124" t="s">
        <v>132</v>
      </c>
      <c r="B22" s="124" t="s">
        <v>133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>
        <v>0</v>
      </c>
      <c r="AH22" s="127">
        <v>0</v>
      </c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">
      <c r="A23" s="124" t="s">
        <v>132</v>
      </c>
      <c r="B23" s="124" t="s">
        <v>133</v>
      </c>
      <c r="C23" s="125">
        <v>20</v>
      </c>
      <c r="D23" s="124" t="s">
        <v>137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>
        <v>0</v>
      </c>
      <c r="AH23" s="127">
        <v>0</v>
      </c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">
      <c r="A24" s="124" t="s">
        <v>132</v>
      </c>
      <c r="B24" s="124" t="s">
        <v>133</v>
      </c>
      <c r="C24" s="125">
        <v>21</v>
      </c>
      <c r="D24" s="124" t="s">
        <v>138</v>
      </c>
      <c r="E24" s="126">
        <v>0</v>
      </c>
      <c r="F24" s="126">
        <v>9000</v>
      </c>
      <c r="G24" s="127">
        <v>0</v>
      </c>
      <c r="H24" s="127">
        <v>717.56</v>
      </c>
      <c r="I24" s="127">
        <v>0</v>
      </c>
      <c r="J24" s="127">
        <v>9717.56</v>
      </c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">
      <c r="A25" s="124" t="s">
        <v>132</v>
      </c>
      <c r="B25" s="124" t="s">
        <v>133</v>
      </c>
      <c r="C25" s="125">
        <v>22</v>
      </c>
      <c r="D25" s="124" t="s">
        <v>139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>
        <v>0</v>
      </c>
      <c r="AH25" s="127">
        <v>0</v>
      </c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">
      <c r="A26" s="124" t="s">
        <v>132</v>
      </c>
      <c r="B26" s="124" t="s">
        <v>133</v>
      </c>
      <c r="C26" s="125">
        <v>23</v>
      </c>
      <c r="D26" s="124" t="s">
        <v>140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">
      <c r="A27" s="124" t="s">
        <v>132</v>
      </c>
      <c r="B27" s="124" t="s">
        <v>133</v>
      </c>
      <c r="C27" s="125">
        <v>24</v>
      </c>
      <c r="D27" s="124" t="s">
        <v>59</v>
      </c>
      <c r="E27" s="126">
        <v>-86943</v>
      </c>
      <c r="F27" s="126">
        <v>14564.58</v>
      </c>
      <c r="G27" s="127">
        <v>14550611</v>
      </c>
      <c r="H27" s="127">
        <v>-247.32</v>
      </c>
      <c r="I27" s="127">
        <v>2924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">
      <c r="A28" s="124" t="s">
        <v>132</v>
      </c>
      <c r="B28" s="124" t="s">
        <v>133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">
      <c r="A29" s="124" t="s">
        <v>132</v>
      </c>
      <c r="B29" s="124" t="s">
        <v>133</v>
      </c>
      <c r="C29" s="125">
        <v>26</v>
      </c>
      <c r="D29" s="124" t="s">
        <v>141</v>
      </c>
      <c r="E29" s="126">
        <v>0</v>
      </c>
      <c r="F29" s="126">
        <v>0</v>
      </c>
      <c r="G29" s="127">
        <v>0</v>
      </c>
      <c r="H29" s="127">
        <v>350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312.5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969.62</v>
      </c>
      <c r="Y29" s="127">
        <v>0</v>
      </c>
      <c r="Z29" s="127">
        <v>0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">
      <c r="A30" s="124" t="s">
        <v>132</v>
      </c>
      <c r="B30" s="124" t="s">
        <v>133</v>
      </c>
      <c r="C30" s="125">
        <v>27</v>
      </c>
      <c r="D30" s="124" t="s">
        <v>142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>
        <v>0</v>
      </c>
      <c r="AH30" s="127">
        <v>0</v>
      </c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">
      <c r="A31" s="124" t="s">
        <v>132</v>
      </c>
      <c r="B31" s="124" t="s">
        <v>133</v>
      </c>
      <c r="C31" s="125">
        <v>28</v>
      </c>
      <c r="D31" s="124" t="s">
        <v>143</v>
      </c>
      <c r="E31" s="126">
        <v>-14463668</v>
      </c>
      <c r="F31" s="126">
        <v>-738665.93</v>
      </c>
      <c r="G31" s="127">
        <v>-14605797</v>
      </c>
      <c r="H31" s="127">
        <v>-23187.96</v>
      </c>
      <c r="I31" s="127">
        <v>17035029</v>
      </c>
      <c r="J31" s="127">
        <v>-550.32000000000005</v>
      </c>
      <c r="K31" s="127">
        <v>-14083</v>
      </c>
      <c r="L31" s="127">
        <v>1910.92</v>
      </c>
      <c r="M31" s="127">
        <v>1564</v>
      </c>
      <c r="N31" s="127">
        <v>-201.12</v>
      </c>
      <c r="O31" s="127">
        <v>0</v>
      </c>
      <c r="P31" s="127">
        <v>0</v>
      </c>
      <c r="Q31" s="127">
        <v>0</v>
      </c>
      <c r="R31" s="127">
        <v>1013.51</v>
      </c>
      <c r="S31" s="127">
        <v>0</v>
      </c>
      <c r="T31" s="127">
        <v>52.32</v>
      </c>
      <c r="U31" s="127">
        <v>262</v>
      </c>
      <c r="V31" s="127">
        <v>11.51</v>
      </c>
      <c r="W31" s="127">
        <v>4515</v>
      </c>
      <c r="X31" s="127">
        <v>-90.75</v>
      </c>
      <c r="Y31" s="127">
        <v>10000</v>
      </c>
      <c r="Z31" s="127">
        <v>100</v>
      </c>
      <c r="AA31" s="127">
        <v>0</v>
      </c>
      <c r="AB31" s="127">
        <v>0</v>
      </c>
      <c r="AC31" s="127">
        <v>0</v>
      </c>
      <c r="AD31" s="127">
        <v>0</v>
      </c>
      <c r="AE31" s="127">
        <v>0</v>
      </c>
      <c r="AF31" s="127">
        <v>-0.78</v>
      </c>
      <c r="AG31" s="127">
        <v>0</v>
      </c>
      <c r="AH31" s="127">
        <v>0</v>
      </c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">
      <c r="A32" s="124" t="s">
        <v>132</v>
      </c>
      <c r="B32" s="124" t="s">
        <v>133</v>
      </c>
      <c r="C32" s="125">
        <v>29</v>
      </c>
      <c r="D32" s="124" t="s">
        <v>144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">
      <c r="A33" s="124" t="s">
        <v>132</v>
      </c>
      <c r="B33" s="124" t="s">
        <v>133</v>
      </c>
      <c r="C33" s="125">
        <v>30</v>
      </c>
      <c r="D33" s="124" t="s">
        <v>145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">
      <c r="A34" s="124" t="s">
        <v>132</v>
      </c>
      <c r="B34" s="124" t="s">
        <v>133</v>
      </c>
      <c r="C34" s="125">
        <v>31</v>
      </c>
      <c r="D34" s="124" t="s">
        <v>146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>
        <v>0</v>
      </c>
      <c r="AH34" s="127">
        <v>0</v>
      </c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">
      <c r="A35" s="124" t="s">
        <v>132</v>
      </c>
      <c r="B35" s="124" t="s">
        <v>133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">
      <c r="A36" s="124" t="s">
        <v>132</v>
      </c>
      <c r="B36" s="124" t="s">
        <v>133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">
      <c r="A37" s="124" t="s">
        <v>132</v>
      </c>
      <c r="B37" s="124" t="s">
        <v>133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">
      <c r="A38" s="124" t="s">
        <v>132</v>
      </c>
      <c r="B38" s="124" t="s">
        <v>133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">
      <c r="A39" s="124" t="s">
        <v>132</v>
      </c>
      <c r="B39" s="124" t="s">
        <v>133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">
      <c r="A40" s="124" t="s">
        <v>132</v>
      </c>
      <c r="B40" s="124" t="s">
        <v>133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">
      <c r="A41" s="124" t="s">
        <v>132</v>
      </c>
      <c r="B41" s="124" t="s">
        <v>133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">
      <c r="A42" s="124" t="s">
        <v>132</v>
      </c>
      <c r="B42" s="124" t="s">
        <v>133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">
      <c r="A43" s="124" t="s">
        <v>132</v>
      </c>
      <c r="B43" s="124" t="s">
        <v>133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">
      <c r="A44" t="s">
        <v>147</v>
      </c>
      <c r="B44" t="s">
        <v>148</v>
      </c>
      <c r="C44">
        <v>1</v>
      </c>
      <c r="D44" t="s">
        <v>29</v>
      </c>
      <c r="E44" s="14">
        <v>8726924</v>
      </c>
      <c r="F44" s="14">
        <v>17753340.109999999</v>
      </c>
      <c r="G44" s="127">
        <v>62587</v>
      </c>
      <c r="H44" s="127">
        <v>-1430616.39</v>
      </c>
      <c r="I44" s="127">
        <v>0</v>
      </c>
      <c r="J44" s="127">
        <v>743539.46</v>
      </c>
      <c r="K44" s="127">
        <v>0</v>
      </c>
      <c r="L44" s="127">
        <v>12352.83</v>
      </c>
      <c r="M44" s="127">
        <v>-44182</v>
      </c>
      <c r="N44" s="127">
        <v>-79966.44</v>
      </c>
      <c r="O44" s="127">
        <v>52875</v>
      </c>
      <c r="P44" s="127">
        <v>95703.75</v>
      </c>
      <c r="Q44" s="127">
        <v>0</v>
      </c>
      <c r="R44" s="127">
        <v>0.99</v>
      </c>
      <c r="S44" s="127">
        <v>0</v>
      </c>
      <c r="T44" s="127">
        <v>-3.13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12445</v>
      </c>
      <c r="AB44" s="127">
        <v>21654.3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">
      <c r="A45" t="s">
        <v>147</v>
      </c>
      <c r="B45" t="s">
        <v>148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7">
        <v>0</v>
      </c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">
      <c r="A46" t="s">
        <v>147</v>
      </c>
      <c r="B46" t="s">
        <v>148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">
      <c r="A47" t="s">
        <v>147</v>
      </c>
      <c r="B47" t="s">
        <v>148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">
      <c r="A48" t="s">
        <v>147</v>
      </c>
      <c r="B48" t="s">
        <v>148</v>
      </c>
      <c r="C48">
        <v>5</v>
      </c>
      <c r="D48" t="s">
        <v>134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">
      <c r="A49" t="s">
        <v>147</v>
      </c>
      <c r="B49" t="s">
        <v>148</v>
      </c>
      <c r="C49">
        <v>6</v>
      </c>
      <c r="D49" t="s">
        <v>29</v>
      </c>
      <c r="E49" s="14">
        <v>-2695528</v>
      </c>
      <c r="F49" s="14">
        <v>-4643807.54</v>
      </c>
      <c r="G49" s="127">
        <v>-977293</v>
      </c>
      <c r="H49" s="127">
        <v>-1863662.83</v>
      </c>
      <c r="I49" s="127">
        <v>0</v>
      </c>
      <c r="J49" s="127">
        <v>17666.919999999998</v>
      </c>
      <c r="K49" s="127">
        <v>0</v>
      </c>
      <c r="L49" s="127">
        <v>-12115.53</v>
      </c>
      <c r="M49" s="127">
        <v>0</v>
      </c>
      <c r="N49" s="127">
        <v>0</v>
      </c>
      <c r="O49" s="127">
        <v>0</v>
      </c>
      <c r="P49" s="127">
        <v>0</v>
      </c>
      <c r="Q49" s="127">
        <v>0</v>
      </c>
      <c r="R49" s="127">
        <v>0</v>
      </c>
      <c r="S49" s="127">
        <v>-2</v>
      </c>
      <c r="T49" s="127">
        <v>101.53</v>
      </c>
      <c r="U49" s="127">
        <v>2</v>
      </c>
      <c r="V49" s="127">
        <v>3.5</v>
      </c>
      <c r="W49" s="127">
        <v>0</v>
      </c>
      <c r="X49" s="127">
        <v>96.19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">
      <c r="A50" t="s">
        <v>147</v>
      </c>
      <c r="B50" t="s">
        <v>148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">
      <c r="A51" t="s">
        <v>147</v>
      </c>
      <c r="B51" t="s">
        <v>148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">
      <c r="A52" t="s">
        <v>147</v>
      </c>
      <c r="B52" t="s">
        <v>148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">
      <c r="A53" t="s">
        <v>147</v>
      </c>
      <c r="B53" t="s">
        <v>148</v>
      </c>
      <c r="C53">
        <v>10</v>
      </c>
      <c r="D53" t="s">
        <v>36</v>
      </c>
      <c r="E53" s="14">
        <v>0</v>
      </c>
      <c r="F53" s="14">
        <v>0</v>
      </c>
      <c r="G53" s="127">
        <v>-1629</v>
      </c>
      <c r="H53" s="127">
        <v>-3685.33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0</v>
      </c>
      <c r="U53" s="127">
        <v>1500</v>
      </c>
      <c r="V53" s="127">
        <v>3719.41</v>
      </c>
      <c r="W53" s="127">
        <v>0</v>
      </c>
      <c r="X53" s="127">
        <v>0</v>
      </c>
      <c r="Y53" s="127">
        <v>0</v>
      </c>
      <c r="Z53" s="127">
        <v>0</v>
      </c>
      <c r="AA53" s="127">
        <v>-25</v>
      </c>
      <c r="AB53" s="127">
        <v>-43.25</v>
      </c>
      <c r="AC53" s="127">
        <v>0</v>
      </c>
      <c r="AD53" s="127">
        <v>0</v>
      </c>
      <c r="AE53" s="127">
        <v>-25</v>
      </c>
      <c r="AF53" s="127">
        <v>-43.25</v>
      </c>
      <c r="AG53" s="127">
        <v>25</v>
      </c>
      <c r="AH53" s="127">
        <v>43.25</v>
      </c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">
      <c r="A54" t="s">
        <v>147</v>
      </c>
      <c r="B54" t="s">
        <v>148</v>
      </c>
      <c r="C54">
        <v>11</v>
      </c>
      <c r="D54" t="s">
        <v>39</v>
      </c>
      <c r="E54" s="14">
        <v>2414397</v>
      </c>
      <c r="F54" s="14">
        <v>4682567.46</v>
      </c>
      <c r="G54" s="127">
        <v>298857</v>
      </c>
      <c r="H54" s="127">
        <v>159911.51999999999</v>
      </c>
      <c r="I54" s="127">
        <v>-144281</v>
      </c>
      <c r="J54" s="127">
        <v>-250858.27</v>
      </c>
      <c r="K54" s="127">
        <v>7979</v>
      </c>
      <c r="L54" s="127">
        <v>21488.66</v>
      </c>
      <c r="M54" s="127">
        <v>0</v>
      </c>
      <c r="N54" s="127">
        <v>0.05</v>
      </c>
      <c r="O54" s="127">
        <v>0</v>
      </c>
      <c r="P54" s="127">
        <v>0</v>
      </c>
      <c r="Q54" s="127">
        <v>0</v>
      </c>
      <c r="R54" s="127">
        <v>0</v>
      </c>
      <c r="S54" s="127">
        <v>-101055</v>
      </c>
      <c r="T54" s="127">
        <v>-202110</v>
      </c>
      <c r="U54" s="127">
        <v>44577</v>
      </c>
      <c r="V54" s="127">
        <v>99172.55</v>
      </c>
      <c r="W54" s="127">
        <v>0</v>
      </c>
      <c r="X54" s="127">
        <v>0</v>
      </c>
      <c r="Y54" s="127">
        <v>277117</v>
      </c>
      <c r="Z54" s="127">
        <v>511261.51</v>
      </c>
      <c r="AA54" s="127">
        <v>-82104</v>
      </c>
      <c r="AB54" s="127">
        <v>-164208</v>
      </c>
      <c r="AC54" s="127">
        <v>0</v>
      </c>
      <c r="AD54" s="127">
        <v>0.24</v>
      </c>
      <c r="AE54" s="127">
        <v>0</v>
      </c>
      <c r="AF54" s="127">
        <v>0</v>
      </c>
      <c r="AG54" s="127">
        <v>0</v>
      </c>
      <c r="AH54" s="127">
        <v>0</v>
      </c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">
      <c r="A55" t="s">
        <v>147</v>
      </c>
      <c r="B55" t="s">
        <v>148</v>
      </c>
      <c r="C55">
        <v>12</v>
      </c>
      <c r="D55" t="s">
        <v>40</v>
      </c>
      <c r="E55" s="14">
        <v>-8440837</v>
      </c>
      <c r="F55" s="14">
        <v>-16794030.91</v>
      </c>
      <c r="G55" s="127">
        <v>-46971</v>
      </c>
      <c r="H55" s="127">
        <v>1653235.31</v>
      </c>
      <c r="I55" s="127">
        <v>6294</v>
      </c>
      <c r="J55" s="127">
        <v>43981.49</v>
      </c>
      <c r="K55" s="127">
        <v>0</v>
      </c>
      <c r="L55" s="127">
        <v>-33097.86</v>
      </c>
      <c r="M55" s="127">
        <v>0</v>
      </c>
      <c r="N55" s="127">
        <v>0</v>
      </c>
      <c r="O55" s="127">
        <v>0</v>
      </c>
      <c r="P55" s="127">
        <v>0</v>
      </c>
      <c r="Q55" s="127">
        <v>-8693</v>
      </c>
      <c r="R55" s="127">
        <v>-17386</v>
      </c>
      <c r="S55" s="127">
        <v>38955</v>
      </c>
      <c r="T55" s="127">
        <v>77910</v>
      </c>
      <c r="U55" s="127">
        <v>2213</v>
      </c>
      <c r="V55" s="127">
        <v>4478.2299999999996</v>
      </c>
      <c r="W55" s="127">
        <v>0</v>
      </c>
      <c r="X55" s="127">
        <v>0</v>
      </c>
      <c r="Y55" s="127">
        <v>-195013</v>
      </c>
      <c r="Z55" s="127">
        <v>-347053.48</v>
      </c>
      <c r="AA55" s="127">
        <v>0</v>
      </c>
      <c r="AB55" s="127">
        <v>0</v>
      </c>
      <c r="AC55" s="127">
        <v>0</v>
      </c>
      <c r="AD55" s="127">
        <v>-0.24</v>
      </c>
      <c r="AE55" s="127">
        <v>0</v>
      </c>
      <c r="AF55" s="127">
        <v>0</v>
      </c>
      <c r="AG55" s="127">
        <v>0</v>
      </c>
      <c r="AH55" s="127">
        <v>0</v>
      </c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">
      <c r="A56" t="s">
        <v>147</v>
      </c>
      <c r="B56" t="s">
        <v>148</v>
      </c>
      <c r="C56">
        <v>13</v>
      </c>
      <c r="D56" t="s">
        <v>43</v>
      </c>
      <c r="E56" s="14">
        <v>0</v>
      </c>
      <c r="F56" s="14">
        <v>0</v>
      </c>
      <c r="G56" s="127">
        <v>204286</v>
      </c>
      <c r="H56" s="127">
        <v>365263.36800000002</v>
      </c>
      <c r="I56" s="127">
        <v>-192556</v>
      </c>
      <c r="J56" s="127">
        <v>-346307.68800000002</v>
      </c>
      <c r="K56" s="127">
        <v>0</v>
      </c>
      <c r="L56" s="127">
        <v>3307.86</v>
      </c>
      <c r="M56" s="127">
        <v>0</v>
      </c>
      <c r="N56" s="127">
        <v>5360.61</v>
      </c>
      <c r="O56" s="127">
        <v>0</v>
      </c>
      <c r="P56" s="127">
        <v>-1477.98</v>
      </c>
      <c r="Q56" s="127">
        <v>0</v>
      </c>
      <c r="R56" s="127">
        <v>422.28</v>
      </c>
      <c r="S56" s="127">
        <v>0</v>
      </c>
      <c r="T56" s="127">
        <v>4093.77</v>
      </c>
      <c r="U56" s="127">
        <v>0</v>
      </c>
      <c r="V56" s="127">
        <v>3331.32</v>
      </c>
      <c r="W56" s="127">
        <v>0</v>
      </c>
      <c r="X56" s="127">
        <v>-13020.3</v>
      </c>
      <c r="Y56" s="127">
        <v>0</v>
      </c>
      <c r="Z56" s="127">
        <v>0</v>
      </c>
      <c r="AA56" s="127">
        <v>-12445</v>
      </c>
      <c r="AB56" s="127">
        <v>-22251.66</v>
      </c>
      <c r="AC56" s="127">
        <v>183308</v>
      </c>
      <c r="AD56" s="127">
        <v>327754.70400000003</v>
      </c>
      <c r="AE56" s="127">
        <v>0</v>
      </c>
      <c r="AF56" s="127">
        <v>0</v>
      </c>
      <c r="AG56" s="127">
        <v>0</v>
      </c>
      <c r="AH56" s="127">
        <v>0</v>
      </c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">
      <c r="A57" t="s">
        <v>147</v>
      </c>
      <c r="B57" t="s">
        <v>148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">
      <c r="A58" t="s">
        <v>147</v>
      </c>
      <c r="B58" t="s">
        <v>148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">
      <c r="A59" t="s">
        <v>147</v>
      </c>
      <c r="B59" t="s">
        <v>148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">
      <c r="A60" t="s">
        <v>147</v>
      </c>
      <c r="B60" t="s">
        <v>148</v>
      </c>
      <c r="C60">
        <v>17</v>
      </c>
      <c r="D60" t="s">
        <v>135</v>
      </c>
      <c r="E60" s="14">
        <v>0</v>
      </c>
      <c r="F60" s="14">
        <v>0</v>
      </c>
      <c r="G60" s="127">
        <v>347235</v>
      </c>
      <c r="H60" s="127">
        <v>630231.53</v>
      </c>
      <c r="I60" s="127">
        <v>1017685</v>
      </c>
      <c r="J60" s="127">
        <v>1847098.28</v>
      </c>
      <c r="K60" s="127">
        <v>153293</v>
      </c>
      <c r="L60" s="127">
        <v>278226.8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">
      <c r="A61" t="s">
        <v>147</v>
      </c>
      <c r="B61" t="s">
        <v>148</v>
      </c>
      <c r="C61">
        <v>18</v>
      </c>
      <c r="D61" t="s">
        <v>136</v>
      </c>
      <c r="E61" s="14">
        <v>-80069</v>
      </c>
      <c r="F61" s="14">
        <v>-145325.24</v>
      </c>
      <c r="G61" s="127">
        <v>80069</v>
      </c>
      <c r="H61" s="127">
        <v>145325.24</v>
      </c>
      <c r="I61" s="127">
        <v>-744373</v>
      </c>
      <c r="J61" s="127">
        <v>-1351037</v>
      </c>
      <c r="K61" s="127">
        <v>-161272</v>
      </c>
      <c r="L61" s="127">
        <v>292708.68</v>
      </c>
      <c r="M61" s="127">
        <v>0</v>
      </c>
      <c r="N61" s="127">
        <v>-585417.36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">
      <c r="A62" t="s">
        <v>147</v>
      </c>
      <c r="B62" t="s">
        <v>148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">
      <c r="A63" t="s">
        <v>147</v>
      </c>
      <c r="B63" t="s">
        <v>148</v>
      </c>
      <c r="C63">
        <v>20</v>
      </c>
      <c r="D63" t="s">
        <v>137</v>
      </c>
      <c r="E63" s="14">
        <v>0</v>
      </c>
      <c r="F63" s="14">
        <v>0</v>
      </c>
      <c r="G63" s="127">
        <v>12255</v>
      </c>
      <c r="H63" s="127">
        <v>23652.15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7">
        <v>-6390</v>
      </c>
      <c r="V63" s="127">
        <v>-13626.52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0.24</v>
      </c>
      <c r="AE63" s="127">
        <v>0</v>
      </c>
      <c r="AF63" s="127">
        <v>0</v>
      </c>
      <c r="AG63" s="127">
        <v>0</v>
      </c>
      <c r="AH63" s="127">
        <v>0</v>
      </c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">
      <c r="A64" t="s">
        <v>147</v>
      </c>
      <c r="B64" t="s">
        <v>148</v>
      </c>
      <c r="C64">
        <v>21</v>
      </c>
      <c r="D64" t="s">
        <v>138</v>
      </c>
      <c r="E64" s="14">
        <v>45722</v>
      </c>
      <c r="F64" s="14">
        <v>82757.02</v>
      </c>
      <c r="G64" s="127">
        <v>16161</v>
      </c>
      <c r="H64" s="127">
        <v>29251.41</v>
      </c>
      <c r="I64" s="127">
        <v>-9008</v>
      </c>
      <c r="J64" s="127">
        <v>-16304.48</v>
      </c>
      <c r="K64" s="127">
        <v>0</v>
      </c>
      <c r="L64" s="127">
        <v>0</v>
      </c>
      <c r="M64" s="127">
        <v>0</v>
      </c>
      <c r="N64" s="127">
        <v>0</v>
      </c>
      <c r="O64" s="127">
        <v>-52875</v>
      </c>
      <c r="P64" s="127">
        <v>-95703.95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>
        <v>0</v>
      </c>
      <c r="AH64" s="127">
        <v>0</v>
      </c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">
      <c r="A65" t="s">
        <v>147</v>
      </c>
      <c r="B65" t="s">
        <v>148</v>
      </c>
      <c r="C65">
        <v>22</v>
      </c>
      <c r="D65" t="s">
        <v>139</v>
      </c>
      <c r="E65" s="14">
        <v>0</v>
      </c>
      <c r="F65" s="14">
        <v>0</v>
      </c>
      <c r="G65" s="127">
        <v>4443</v>
      </c>
      <c r="H65" s="127">
        <v>7944.0839999999998</v>
      </c>
      <c r="I65" s="127">
        <v>66239</v>
      </c>
      <c r="J65" s="127">
        <v>118435.33199999999</v>
      </c>
      <c r="K65" s="127">
        <v>0</v>
      </c>
      <c r="L65" s="127">
        <v>0</v>
      </c>
      <c r="M65" s="127">
        <v>44182</v>
      </c>
      <c r="N65" s="127">
        <v>78997.415999999997</v>
      </c>
      <c r="O65" s="127">
        <v>0</v>
      </c>
      <c r="P65" s="127">
        <v>0</v>
      </c>
      <c r="Q65" s="127">
        <v>8693</v>
      </c>
      <c r="R65" s="127">
        <v>15543.084000000001</v>
      </c>
      <c r="S65" s="127">
        <v>62102</v>
      </c>
      <c r="T65" s="127">
        <v>111038.376</v>
      </c>
      <c r="U65" s="127">
        <v>-41902</v>
      </c>
      <c r="V65" s="127">
        <v>-74920.775999999998</v>
      </c>
      <c r="W65" s="127">
        <v>0</v>
      </c>
      <c r="X65" s="127">
        <v>0</v>
      </c>
      <c r="Y65" s="127">
        <v>-82104</v>
      </c>
      <c r="Z65" s="127">
        <v>-146801.95199999999</v>
      </c>
      <c r="AA65" s="127">
        <v>82129</v>
      </c>
      <c r="AB65" s="127">
        <v>146846.652</v>
      </c>
      <c r="AC65" s="127">
        <v>-183308</v>
      </c>
      <c r="AD65" s="127">
        <v>-327754.70400000003</v>
      </c>
      <c r="AE65" s="127">
        <v>25</v>
      </c>
      <c r="AF65" s="127">
        <v>44.7</v>
      </c>
      <c r="AG65" s="127">
        <v>-25</v>
      </c>
      <c r="AH65" s="127">
        <v>-44.7</v>
      </c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">
      <c r="A66" t="s">
        <v>147</v>
      </c>
      <c r="B66" t="s">
        <v>148</v>
      </c>
      <c r="C66">
        <v>23</v>
      </c>
      <c r="D66" t="s">
        <v>140</v>
      </c>
      <c r="E66" s="14">
        <v>0</v>
      </c>
      <c r="F66" s="14">
        <v>0</v>
      </c>
      <c r="G66" s="127">
        <v>-27551</v>
      </c>
      <c r="H66" s="127">
        <v>-47998.53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0</v>
      </c>
      <c r="T66" s="127">
        <v>0</v>
      </c>
      <c r="U66" s="127">
        <v>0</v>
      </c>
      <c r="V66" s="127">
        <v>-665.01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>
        <v>0</v>
      </c>
      <c r="AH66" s="127">
        <v>0</v>
      </c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">
      <c r="A67" t="s">
        <v>147</v>
      </c>
      <c r="B67" t="s">
        <v>148</v>
      </c>
      <c r="C67">
        <v>24</v>
      </c>
      <c r="D67" t="s">
        <v>59</v>
      </c>
      <c r="E67" s="14">
        <v>0</v>
      </c>
      <c r="F67" s="14">
        <v>24138.22</v>
      </c>
      <c r="G67" s="127">
        <v>886869</v>
      </c>
      <c r="H67" s="127">
        <v>1112504.5</v>
      </c>
      <c r="I67" s="127">
        <v>0</v>
      </c>
      <c r="J67" s="127">
        <v>0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>
        <v>0</v>
      </c>
      <c r="AH67" s="127">
        <v>0</v>
      </c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">
      <c r="A68" t="s">
        <v>147</v>
      </c>
      <c r="B68" t="s">
        <v>148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>
        <v>0</v>
      </c>
      <c r="AH68" s="127">
        <v>0</v>
      </c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">
      <c r="A69" t="s">
        <v>147</v>
      </c>
      <c r="B69" t="s">
        <v>148</v>
      </c>
      <c r="C69">
        <v>26</v>
      </c>
      <c r="D69" t="s">
        <v>141</v>
      </c>
      <c r="E69" s="14">
        <v>372</v>
      </c>
      <c r="F69" s="14">
        <v>7.44</v>
      </c>
      <c r="G69" s="127">
        <v>3926</v>
      </c>
      <c r="H69" s="127">
        <v>-676256.43</v>
      </c>
      <c r="I69" s="127">
        <v>0</v>
      </c>
      <c r="J69" s="127">
        <v>9725</v>
      </c>
      <c r="K69" s="127">
        <v>0</v>
      </c>
      <c r="L69" s="127">
        <v>0</v>
      </c>
      <c r="M69" s="127">
        <v>0</v>
      </c>
      <c r="N69" s="127">
        <v>0</v>
      </c>
      <c r="O69" s="127">
        <v>8693</v>
      </c>
      <c r="P69" s="127">
        <v>0</v>
      </c>
      <c r="Q69" s="127">
        <v>-8693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0</v>
      </c>
      <c r="Z69" s="127">
        <v>0</v>
      </c>
      <c r="AA69" s="127">
        <v>12445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>
        <v>0</v>
      </c>
      <c r="AH69" s="127">
        <v>0</v>
      </c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">
      <c r="A70" t="s">
        <v>147</v>
      </c>
      <c r="B70" t="s">
        <v>148</v>
      </c>
      <c r="C70">
        <v>27</v>
      </c>
      <c r="D70" t="s">
        <v>142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>
        <v>0</v>
      </c>
      <c r="AH70" s="127">
        <v>0</v>
      </c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">
      <c r="A71" t="s">
        <v>147</v>
      </c>
      <c r="B71" t="s">
        <v>148</v>
      </c>
      <c r="C71">
        <v>28</v>
      </c>
      <c r="D71" t="s">
        <v>143</v>
      </c>
      <c r="E71" s="14">
        <v>-886869</v>
      </c>
      <c r="F71" s="14">
        <v>-1246212</v>
      </c>
      <c r="G71" s="127">
        <v>-12665248</v>
      </c>
      <c r="H71" s="127">
        <v>-2193760.2999999998</v>
      </c>
      <c r="I71" s="127">
        <v>192646</v>
      </c>
      <c r="J71" s="127">
        <v>-7743.48</v>
      </c>
      <c r="K71" s="127">
        <v>-21296</v>
      </c>
      <c r="L71" s="127">
        <v>-450000.01</v>
      </c>
      <c r="M71" s="127">
        <v>-7196170</v>
      </c>
      <c r="N71" s="127">
        <v>244531.95</v>
      </c>
      <c r="O71" s="127">
        <v>0</v>
      </c>
      <c r="P71" s="127">
        <v>-323.11</v>
      </c>
      <c r="Q71" s="127">
        <v>78267</v>
      </c>
      <c r="R71" s="127">
        <v>139906.70000000001</v>
      </c>
      <c r="S71" s="127">
        <v>-2</v>
      </c>
      <c r="T71" s="127">
        <v>-0.19</v>
      </c>
      <c r="U71" s="127">
        <v>8695</v>
      </c>
      <c r="V71" s="127">
        <v>986510.99</v>
      </c>
      <c r="W71" s="127">
        <v>-9944</v>
      </c>
      <c r="X71" s="127">
        <v>-986635.9</v>
      </c>
      <c r="Y71" s="127">
        <v>0</v>
      </c>
      <c r="Z71" s="127">
        <v>0.01</v>
      </c>
      <c r="AA71" s="127">
        <v>0</v>
      </c>
      <c r="AB71" s="127">
        <v>-0.01</v>
      </c>
      <c r="AC71" s="127">
        <v>0</v>
      </c>
      <c r="AD71" s="127">
        <v>0</v>
      </c>
      <c r="AE71" s="127">
        <v>0</v>
      </c>
      <c r="AF71" s="127">
        <v>0</v>
      </c>
      <c r="AG71" s="127">
        <v>0</v>
      </c>
      <c r="AH71" s="127">
        <v>0</v>
      </c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">
      <c r="A72" t="s">
        <v>147</v>
      </c>
      <c r="B72" t="s">
        <v>148</v>
      </c>
      <c r="C72">
        <v>29</v>
      </c>
      <c r="D72" t="s">
        <v>144</v>
      </c>
      <c r="E72" s="14">
        <v>886869</v>
      </c>
      <c r="F72" s="14">
        <v>1246212</v>
      </c>
      <c r="G72" s="127">
        <v>18974549</v>
      </c>
      <c r="H72" s="127">
        <v>703016.35</v>
      </c>
      <c r="I72" s="127">
        <v>-6294</v>
      </c>
      <c r="J72" s="127">
        <v>-629.4</v>
      </c>
      <c r="K72" s="127">
        <v>0</v>
      </c>
      <c r="L72" s="127">
        <v>0.01</v>
      </c>
      <c r="M72" s="127">
        <v>0</v>
      </c>
      <c r="N72" s="127">
        <v>-0.01</v>
      </c>
      <c r="O72" s="127">
        <v>0</v>
      </c>
      <c r="P72" s="127">
        <v>0.01</v>
      </c>
      <c r="Q72" s="127">
        <v>8693</v>
      </c>
      <c r="R72" s="127">
        <v>869.29</v>
      </c>
      <c r="S72" s="127">
        <v>0</v>
      </c>
      <c r="T72" s="127">
        <v>0</v>
      </c>
      <c r="U72" s="127">
        <v>-8693</v>
      </c>
      <c r="V72" s="127">
        <v>-986510.8</v>
      </c>
      <c r="W72" s="127">
        <v>9944</v>
      </c>
      <c r="X72" s="127">
        <v>986635.9</v>
      </c>
      <c r="Y72" s="127">
        <v>0</v>
      </c>
      <c r="Z72" s="127">
        <v>0</v>
      </c>
      <c r="AA72" s="127">
        <v>0</v>
      </c>
      <c r="AB72" s="127">
        <v>0</v>
      </c>
      <c r="AC72" s="127">
        <v>0</v>
      </c>
      <c r="AD72" s="127">
        <v>0</v>
      </c>
      <c r="AE72" s="127">
        <v>0</v>
      </c>
      <c r="AF72" s="127">
        <v>0</v>
      </c>
      <c r="AG72" s="127">
        <v>0</v>
      </c>
      <c r="AH72" s="127">
        <v>0</v>
      </c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">
      <c r="A73" t="s">
        <v>147</v>
      </c>
      <c r="B73" t="s">
        <v>148</v>
      </c>
      <c r="C73">
        <v>30</v>
      </c>
      <c r="D73" t="s">
        <v>145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>
        <v>0</v>
      </c>
      <c r="AH73" s="127">
        <v>0</v>
      </c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">
      <c r="A74" t="s">
        <v>147</v>
      </c>
      <c r="B74" t="s">
        <v>148</v>
      </c>
      <c r="C74">
        <v>31</v>
      </c>
      <c r="D74" t="s">
        <v>146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>
        <v>0</v>
      </c>
      <c r="AH74" s="127">
        <v>0</v>
      </c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">
      <c r="A75" t="s">
        <v>147</v>
      </c>
      <c r="B75" t="s">
        <v>148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>
        <v>0</v>
      </c>
      <c r="AH75" s="127">
        <v>0</v>
      </c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">
      <c r="A76" t="s">
        <v>147</v>
      </c>
      <c r="B76" t="s">
        <v>148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>
        <v>0</v>
      </c>
      <c r="AH76" s="127">
        <v>0</v>
      </c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">
      <c r="A77" t="s">
        <v>147</v>
      </c>
      <c r="B77" t="s">
        <v>148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>
        <v>0</v>
      </c>
      <c r="AH77" s="127">
        <v>0</v>
      </c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">
      <c r="A78" t="s">
        <v>147</v>
      </c>
      <c r="B78" t="s">
        <v>148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>
        <v>0</v>
      </c>
      <c r="AH78" s="127">
        <v>0</v>
      </c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">
      <c r="A79" t="s">
        <v>147</v>
      </c>
      <c r="B79" t="s">
        <v>148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>
        <v>0</v>
      </c>
      <c r="AH79" s="127">
        <v>0</v>
      </c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">
      <c r="A80" t="s">
        <v>147</v>
      </c>
      <c r="B80" t="s">
        <v>148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>
        <v>0</v>
      </c>
      <c r="AH80" s="127">
        <v>0</v>
      </c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">
      <c r="A81" t="s">
        <v>147</v>
      </c>
      <c r="B81" t="s">
        <v>148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>
        <v>0</v>
      </c>
      <c r="AH81" s="127">
        <v>0</v>
      </c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">
      <c r="A82" t="s">
        <v>147</v>
      </c>
      <c r="B82" t="s">
        <v>148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">
      <c r="A83" t="s">
        <v>147</v>
      </c>
      <c r="B83" t="s">
        <v>148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">
      <c r="A84" t="s">
        <v>149</v>
      </c>
      <c r="B84" t="s">
        <v>123</v>
      </c>
      <c r="C84">
        <v>1</v>
      </c>
      <c r="D84" t="s">
        <v>29</v>
      </c>
      <c r="E84" s="14">
        <v>6005598</v>
      </c>
      <c r="F84" s="14">
        <v>7404225.5999999996</v>
      </c>
      <c r="G84" s="127">
        <v>800</v>
      </c>
      <c r="H84" s="127">
        <v>3660507.48</v>
      </c>
      <c r="I84" s="127">
        <v>-4</v>
      </c>
      <c r="J84" s="127">
        <v>51370.8</v>
      </c>
      <c r="K84" s="127">
        <v>0</v>
      </c>
      <c r="L84" s="127">
        <v>0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0</v>
      </c>
      <c r="U84" s="127">
        <v>0</v>
      </c>
      <c r="V84" s="127">
        <v>-3711877</v>
      </c>
      <c r="W84" s="127">
        <v>0</v>
      </c>
      <c r="X84" s="127">
        <v>0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>
        <v>0</v>
      </c>
      <c r="AH84" s="127">
        <v>0</v>
      </c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">
      <c r="A85" t="s">
        <v>149</v>
      </c>
      <c r="B85" t="s">
        <v>123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>
        <v>0</v>
      </c>
      <c r="AH85" s="127">
        <v>0</v>
      </c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">
      <c r="A86" t="s">
        <v>149</v>
      </c>
      <c r="B86" t="s">
        <v>123</v>
      </c>
      <c r="C86">
        <v>3</v>
      </c>
      <c r="D86" t="s">
        <v>31</v>
      </c>
      <c r="E86" s="14">
        <v>11044800</v>
      </c>
      <c r="F86" s="14">
        <v>22182900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>
        <v>0</v>
      </c>
      <c r="AH86" s="127">
        <v>0</v>
      </c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">
      <c r="A87" t="s">
        <v>149</v>
      </c>
      <c r="B87" t="s">
        <v>123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>
        <v>0</v>
      </c>
      <c r="AH87" s="127">
        <v>0</v>
      </c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">
      <c r="A88" t="s">
        <v>149</v>
      </c>
      <c r="B88" t="s">
        <v>123</v>
      </c>
      <c r="C88">
        <v>5</v>
      </c>
      <c r="D88" t="s">
        <v>134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>
        <v>0</v>
      </c>
      <c r="AH88" s="127">
        <v>0</v>
      </c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">
      <c r="A89" t="s">
        <v>149</v>
      </c>
      <c r="B89" t="s">
        <v>123</v>
      </c>
      <c r="C89">
        <v>6</v>
      </c>
      <c r="D89" t="s">
        <v>29</v>
      </c>
      <c r="E89" s="14">
        <v>-3229965</v>
      </c>
      <c r="F89" s="14">
        <v>-3102620.81</v>
      </c>
      <c r="G89" s="127">
        <v>0</v>
      </c>
      <c r="H89" s="127">
        <v>1300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">
      <c r="A90" t="s">
        <v>149</v>
      </c>
      <c r="B90" t="s">
        <v>123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>
        <v>0</v>
      </c>
      <c r="AH90" s="127">
        <v>0</v>
      </c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">
      <c r="A91" t="s">
        <v>149</v>
      </c>
      <c r="B91" t="s">
        <v>123</v>
      </c>
      <c r="C91">
        <v>8</v>
      </c>
      <c r="D91" t="s">
        <v>31</v>
      </c>
      <c r="E91" s="14">
        <v>-13070778</v>
      </c>
      <c r="F91" s="14">
        <v>-25823734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>
        <v>0</v>
      </c>
      <c r="AH91" s="127">
        <v>0</v>
      </c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">
      <c r="A92" t="s">
        <v>149</v>
      </c>
      <c r="B92" t="s">
        <v>123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">
      <c r="A93" t="s">
        <v>149</v>
      </c>
      <c r="B93" t="s">
        <v>123</v>
      </c>
      <c r="C93">
        <v>10</v>
      </c>
      <c r="D93" t="s">
        <v>36</v>
      </c>
      <c r="E93" s="14">
        <v>2</v>
      </c>
      <c r="F93" s="14">
        <v>3.58</v>
      </c>
      <c r="G93" s="127">
        <v>-2</v>
      </c>
      <c r="H93" s="127">
        <v>-3.5760000000000001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>
        <v>0</v>
      </c>
      <c r="AH93" s="127">
        <v>0</v>
      </c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">
      <c r="A94" t="s">
        <v>149</v>
      </c>
      <c r="B94" t="s">
        <v>123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>
        <v>0</v>
      </c>
      <c r="AH94" s="127">
        <v>0</v>
      </c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">
      <c r="A95" t="s">
        <v>149</v>
      </c>
      <c r="B95" t="s">
        <v>123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>
        <v>0</v>
      </c>
      <c r="AH95" s="127">
        <v>0</v>
      </c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">
      <c r="A96" t="s">
        <v>149</v>
      </c>
      <c r="B96" t="s">
        <v>123</v>
      </c>
      <c r="C96">
        <v>13</v>
      </c>
      <c r="D96" t="s">
        <v>43</v>
      </c>
      <c r="E96" s="14">
        <v>-2</v>
      </c>
      <c r="F96" s="14">
        <v>-3.58</v>
      </c>
      <c r="G96" s="127">
        <v>2</v>
      </c>
      <c r="H96" s="127">
        <v>3.58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>
        <v>0</v>
      </c>
      <c r="AH96" s="127">
        <v>0</v>
      </c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">
      <c r="A97" t="s">
        <v>149</v>
      </c>
      <c r="B97" t="s">
        <v>123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0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>
        <v>0</v>
      </c>
      <c r="AH97" s="127">
        <v>0</v>
      </c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">
      <c r="A98" t="s">
        <v>149</v>
      </c>
      <c r="B98" t="s">
        <v>123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>
        <v>0</v>
      </c>
      <c r="AH98" s="127">
        <v>0</v>
      </c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">
      <c r="A99" t="s">
        <v>149</v>
      </c>
      <c r="B99" t="s">
        <v>123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>
        <v>0</v>
      </c>
      <c r="AH99" s="127">
        <v>0</v>
      </c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">
      <c r="A100" t="s">
        <v>149</v>
      </c>
      <c r="B100" t="s">
        <v>123</v>
      </c>
      <c r="C100">
        <v>17</v>
      </c>
      <c r="D100" t="s">
        <v>135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>
        <v>0</v>
      </c>
      <c r="AH100" s="127">
        <v>0</v>
      </c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">
      <c r="A101" t="s">
        <v>149</v>
      </c>
      <c r="B101" t="s">
        <v>123</v>
      </c>
      <c r="C101">
        <v>18</v>
      </c>
      <c r="D101" t="s">
        <v>136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0</v>
      </c>
      <c r="T101" s="127">
        <v>0</v>
      </c>
      <c r="U101" s="127">
        <v>-1070106</v>
      </c>
      <c r="V101" s="127">
        <v>-0.04</v>
      </c>
      <c r="W101" s="127">
        <v>0</v>
      </c>
      <c r="X101" s="127">
        <v>0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>
        <v>0</v>
      </c>
      <c r="AH101" s="127">
        <v>0</v>
      </c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">
      <c r="A102" t="s">
        <v>149</v>
      </c>
      <c r="B102" t="s">
        <v>123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>
        <v>0</v>
      </c>
      <c r="AH102" s="127">
        <v>0</v>
      </c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">
      <c r="A103" t="s">
        <v>149</v>
      </c>
      <c r="B103" t="s">
        <v>123</v>
      </c>
      <c r="C103">
        <v>20</v>
      </c>
      <c r="D103" t="s">
        <v>137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>
        <v>0</v>
      </c>
      <c r="AH103" s="127">
        <v>0</v>
      </c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">
      <c r="A104" t="s">
        <v>149</v>
      </c>
      <c r="B104" t="s">
        <v>123</v>
      </c>
      <c r="C104">
        <v>21</v>
      </c>
      <c r="D104" t="s">
        <v>138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>
        <v>0</v>
      </c>
      <c r="AH104" s="127">
        <v>0</v>
      </c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">
      <c r="A105" t="s">
        <v>149</v>
      </c>
      <c r="B105" t="s">
        <v>123</v>
      </c>
      <c r="C105">
        <v>22</v>
      </c>
      <c r="D105" t="s">
        <v>139</v>
      </c>
      <c r="E105" s="14">
        <v>-749655</v>
      </c>
      <c r="F105" s="14">
        <v>-1340383.1399999999</v>
      </c>
      <c r="G105" s="127">
        <v>-800</v>
      </c>
      <c r="H105" s="127">
        <v>-1430.4000000003725</v>
      </c>
      <c r="I105" s="127">
        <v>4</v>
      </c>
      <c r="J105" s="127">
        <v>-3622441.5080000004</v>
      </c>
      <c r="K105" s="127">
        <v>0</v>
      </c>
      <c r="L105" s="127">
        <v>3622052</v>
      </c>
      <c r="M105" s="127">
        <v>0</v>
      </c>
      <c r="N105" s="127">
        <v>0</v>
      </c>
      <c r="O105" s="127">
        <v>0</v>
      </c>
      <c r="P105" s="127">
        <v>0</v>
      </c>
      <c r="Q105" s="127">
        <v>0</v>
      </c>
      <c r="R105" s="127">
        <v>0</v>
      </c>
      <c r="S105" s="127">
        <v>0</v>
      </c>
      <c r="T105" s="127">
        <v>0</v>
      </c>
      <c r="U105" s="127">
        <v>1070106</v>
      </c>
      <c r="V105" s="127">
        <v>1913349.5279999999</v>
      </c>
      <c r="W105" s="127">
        <v>0</v>
      </c>
      <c r="X105" s="127">
        <v>0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>
        <v>0</v>
      </c>
      <c r="AH105" s="127">
        <v>0</v>
      </c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">
      <c r="A106" t="s">
        <v>149</v>
      </c>
      <c r="B106" t="s">
        <v>123</v>
      </c>
      <c r="C106">
        <v>23</v>
      </c>
      <c r="D106" t="s">
        <v>140</v>
      </c>
      <c r="E106" s="14">
        <v>-2</v>
      </c>
      <c r="F106" s="14">
        <v>-3.58</v>
      </c>
      <c r="G106" s="127">
        <v>2</v>
      </c>
      <c r="H106" s="127">
        <v>3.5760000000000001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0</v>
      </c>
      <c r="U106" s="127">
        <v>303879</v>
      </c>
      <c r="V106" s="127">
        <v>0</v>
      </c>
      <c r="W106" s="127">
        <v>0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>
        <v>0</v>
      </c>
      <c r="AH106" s="127">
        <v>0</v>
      </c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">
      <c r="A107" t="s">
        <v>149</v>
      </c>
      <c r="B107" t="s">
        <v>123</v>
      </c>
      <c r="C107">
        <v>24</v>
      </c>
      <c r="D107" t="s">
        <v>59</v>
      </c>
      <c r="E107" s="14">
        <v>-39504</v>
      </c>
      <c r="F107" s="14">
        <v>-583.05999999999995</v>
      </c>
      <c r="G107" s="127">
        <v>0</v>
      </c>
      <c r="H107" s="127">
        <v>-2.27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>
        <v>0</v>
      </c>
      <c r="AH107" s="127">
        <v>0</v>
      </c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">
      <c r="A108" t="s">
        <v>149</v>
      </c>
      <c r="B108" t="s">
        <v>123</v>
      </c>
      <c r="C108">
        <v>25</v>
      </c>
      <c r="D108" t="s">
        <v>60</v>
      </c>
      <c r="E108" s="14">
        <v>0</v>
      </c>
      <c r="F108" s="14">
        <v>-5497.16</v>
      </c>
      <c r="G108" s="127">
        <v>0</v>
      </c>
      <c r="H108" s="127">
        <v>-0.51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">
      <c r="A109" t="s">
        <v>149</v>
      </c>
      <c r="B109" t="s">
        <v>123</v>
      </c>
      <c r="C109">
        <v>26</v>
      </c>
      <c r="D109" t="s">
        <v>141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>
        <v>0</v>
      </c>
      <c r="AH109" s="127">
        <v>0</v>
      </c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">
      <c r="A110" t="s">
        <v>149</v>
      </c>
      <c r="B110" t="s">
        <v>123</v>
      </c>
      <c r="C110">
        <v>27</v>
      </c>
      <c r="D110" t="s">
        <v>142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>
        <v>0</v>
      </c>
      <c r="AH110" s="127">
        <v>0</v>
      </c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">
      <c r="A111" t="s">
        <v>149</v>
      </c>
      <c r="B111" t="s">
        <v>123</v>
      </c>
      <c r="C111">
        <v>28</v>
      </c>
      <c r="D111" t="s">
        <v>143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>
        <v>0</v>
      </c>
      <c r="AH111" s="127">
        <v>0</v>
      </c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">
      <c r="A112" t="s">
        <v>149</v>
      </c>
      <c r="B112" t="s">
        <v>123</v>
      </c>
      <c r="C112">
        <v>29</v>
      </c>
      <c r="D112" t="s">
        <v>144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>
        <v>0</v>
      </c>
      <c r="AH112" s="127">
        <v>0</v>
      </c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">
      <c r="A113" t="s">
        <v>149</v>
      </c>
      <c r="B113" t="s">
        <v>123</v>
      </c>
      <c r="C113">
        <v>30</v>
      </c>
      <c r="D113" t="s">
        <v>145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>
        <v>0</v>
      </c>
      <c r="AH113" s="127">
        <v>0</v>
      </c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">
      <c r="A114" t="s">
        <v>149</v>
      </c>
      <c r="B114" t="s">
        <v>123</v>
      </c>
      <c r="C114">
        <v>31</v>
      </c>
      <c r="D114" t="s">
        <v>146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>
        <v>0</v>
      </c>
      <c r="AH114" s="127">
        <v>0</v>
      </c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">
      <c r="A115" t="s">
        <v>149</v>
      </c>
      <c r="B115" t="s">
        <v>123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>
        <v>0</v>
      </c>
      <c r="AH115" s="127">
        <v>0</v>
      </c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">
      <c r="A116" t="s">
        <v>149</v>
      </c>
      <c r="B116" t="s">
        <v>123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>
        <v>0</v>
      </c>
      <c r="AH116" s="127">
        <v>0</v>
      </c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">
      <c r="A117" t="s">
        <v>149</v>
      </c>
      <c r="B117" t="s">
        <v>123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>
        <v>0</v>
      </c>
      <c r="AH117" s="127">
        <v>0</v>
      </c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">
      <c r="A118" t="s">
        <v>149</v>
      </c>
      <c r="B118" t="s">
        <v>123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>
        <v>0</v>
      </c>
      <c r="AH118" s="127">
        <v>0</v>
      </c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">
      <c r="A119" t="s">
        <v>149</v>
      </c>
      <c r="B119" t="s">
        <v>123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>
        <v>0</v>
      </c>
      <c r="AH119" s="127">
        <v>0</v>
      </c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">
      <c r="A120" t="s">
        <v>149</v>
      </c>
      <c r="B120" t="s">
        <v>123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>
        <v>0</v>
      </c>
      <c r="AH120" s="127">
        <v>0</v>
      </c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">
      <c r="A121" t="s">
        <v>149</v>
      </c>
      <c r="B121" t="s">
        <v>123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">
      <c r="A122" t="s">
        <v>149</v>
      </c>
      <c r="B122" t="s">
        <v>123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>
        <v>0</v>
      </c>
      <c r="AH122" s="127">
        <v>0</v>
      </c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">
      <c r="A123" t="s">
        <v>149</v>
      </c>
      <c r="B123" t="s">
        <v>123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>
        <v>0</v>
      </c>
      <c r="AH123" s="127">
        <v>0</v>
      </c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">
      <c r="A124" t="s">
        <v>149</v>
      </c>
      <c r="B124" t="s">
        <v>150</v>
      </c>
      <c r="C124">
        <v>1</v>
      </c>
      <c r="D124" t="s">
        <v>29</v>
      </c>
      <c r="E124" s="14">
        <v>45157332</v>
      </c>
      <c r="F124" s="14">
        <v>97335211.689999998</v>
      </c>
      <c r="G124" s="127">
        <v>-432877</v>
      </c>
      <c r="H124" s="127">
        <v>-3800107.47</v>
      </c>
      <c r="I124" s="127">
        <v>-50161</v>
      </c>
      <c r="J124" s="127">
        <v>377218.18</v>
      </c>
      <c r="K124" s="127">
        <v>0</v>
      </c>
      <c r="L124" s="127">
        <v>160829.51</v>
      </c>
      <c r="M124" s="127">
        <v>3556</v>
      </c>
      <c r="N124" s="127">
        <v>6079.34</v>
      </c>
      <c r="O124" s="127">
        <v>6566</v>
      </c>
      <c r="P124" s="127">
        <v>5210.7</v>
      </c>
      <c r="Q124" s="127">
        <v>0</v>
      </c>
      <c r="R124" s="127">
        <v>-19014.04</v>
      </c>
      <c r="S124" s="127">
        <v>0</v>
      </c>
      <c r="T124" s="127">
        <v>0</v>
      </c>
      <c r="U124" s="127">
        <v>-2569</v>
      </c>
      <c r="V124" s="127">
        <v>-24475.3</v>
      </c>
      <c r="W124" s="127">
        <v>0</v>
      </c>
      <c r="X124" s="127">
        <v>0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>
        <v>0</v>
      </c>
      <c r="AH124" s="127">
        <v>0</v>
      </c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">
      <c r="A125" t="s">
        <v>149</v>
      </c>
      <c r="B125" t="s">
        <v>150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>
        <v>0</v>
      </c>
      <c r="AH125" s="127">
        <v>0</v>
      </c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">
      <c r="A126" t="s">
        <v>149</v>
      </c>
      <c r="B126" t="s">
        <v>150</v>
      </c>
      <c r="C126">
        <v>3</v>
      </c>
      <c r="D126" t="s">
        <v>31</v>
      </c>
      <c r="E126" s="14">
        <v>14314155</v>
      </c>
      <c r="F126" s="14">
        <v>25175609</v>
      </c>
      <c r="G126" s="127">
        <v>0</v>
      </c>
      <c r="H126" s="127">
        <v>0</v>
      </c>
      <c r="I126" s="127">
        <v>0</v>
      </c>
      <c r="J126" s="127">
        <v>0</v>
      </c>
      <c r="K126" s="127">
        <v>0</v>
      </c>
      <c r="L126" s="127">
        <v>-691</v>
      </c>
      <c r="M126" s="127">
        <v>0</v>
      </c>
      <c r="N126" s="127">
        <v>0</v>
      </c>
      <c r="O126" s="127">
        <v>0</v>
      </c>
      <c r="P126" s="127">
        <v>0</v>
      </c>
      <c r="Q126" s="127">
        <v>0</v>
      </c>
      <c r="R126" s="127">
        <v>0</v>
      </c>
      <c r="S126" s="127">
        <v>0</v>
      </c>
      <c r="T126" s="127">
        <v>0</v>
      </c>
      <c r="U126" s="127">
        <v>29317</v>
      </c>
      <c r="V126" s="127">
        <v>46020</v>
      </c>
      <c r="W126" s="127">
        <v>29317</v>
      </c>
      <c r="X126" s="127">
        <v>46020</v>
      </c>
      <c r="Y126" s="127">
        <v>-58634</v>
      </c>
      <c r="Z126" s="127">
        <v>-91349</v>
      </c>
      <c r="AA126" s="127">
        <v>0</v>
      </c>
      <c r="AB126" s="127">
        <v>0</v>
      </c>
      <c r="AC126" s="127">
        <v>0</v>
      </c>
      <c r="AD126" s="127">
        <v>0</v>
      </c>
      <c r="AE126" s="127">
        <v>0</v>
      </c>
      <c r="AF126" s="127">
        <v>0</v>
      </c>
      <c r="AG126" s="127">
        <v>0</v>
      </c>
      <c r="AH126" s="127">
        <v>0</v>
      </c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">
      <c r="A127" t="s">
        <v>149</v>
      </c>
      <c r="B127" t="s">
        <v>150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>
        <v>0</v>
      </c>
      <c r="AH127" s="127">
        <v>0</v>
      </c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">
      <c r="A128" t="s">
        <v>149</v>
      </c>
      <c r="B128" t="s">
        <v>150</v>
      </c>
      <c r="C128">
        <v>5</v>
      </c>
      <c r="D128" t="s">
        <v>134</v>
      </c>
      <c r="E128" s="14">
        <v>0</v>
      </c>
      <c r="F128" s="14">
        <v>0</v>
      </c>
      <c r="G128" s="127">
        <v>0</v>
      </c>
      <c r="H128" s="127">
        <v>0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">
      <c r="A129" t="s">
        <v>149</v>
      </c>
      <c r="B129" t="s">
        <v>150</v>
      </c>
      <c r="C129">
        <v>6</v>
      </c>
      <c r="D129" t="s">
        <v>29</v>
      </c>
      <c r="E129" s="14">
        <v>-44853740</v>
      </c>
      <c r="F129" s="14">
        <v>-80251341.129999995</v>
      </c>
      <c r="G129" s="127">
        <v>-139644</v>
      </c>
      <c r="H129" s="127">
        <v>196843.36</v>
      </c>
      <c r="I129" s="127">
        <v>-1668</v>
      </c>
      <c r="J129" s="127">
        <v>-755772.76</v>
      </c>
      <c r="K129" s="127">
        <v>0</v>
      </c>
      <c r="L129" s="127">
        <v>-271578.99</v>
      </c>
      <c r="M129" s="127">
        <v>0</v>
      </c>
      <c r="N129" s="127">
        <v>-6139.76</v>
      </c>
      <c r="O129" s="127">
        <v>950</v>
      </c>
      <c r="P129" s="127">
        <v>-25564.13</v>
      </c>
      <c r="Q129" s="127">
        <v>0</v>
      </c>
      <c r="R129" s="127">
        <v>8369.86</v>
      </c>
      <c r="S129" s="127">
        <v>-4734</v>
      </c>
      <c r="T129" s="127">
        <v>-8284.5</v>
      </c>
      <c r="U129" s="127">
        <v>14287</v>
      </c>
      <c r="V129" s="127">
        <v>27310.75</v>
      </c>
      <c r="W129" s="127">
        <v>0</v>
      </c>
      <c r="X129" s="127">
        <v>0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>
        <v>0</v>
      </c>
      <c r="AH129" s="127">
        <v>0</v>
      </c>
      <c r="AI129" s="127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">
      <c r="A130" t="s">
        <v>149</v>
      </c>
      <c r="B130" t="s">
        <v>150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>
        <v>0</v>
      </c>
      <c r="AH130" s="127">
        <v>0</v>
      </c>
      <c r="AI130" s="127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">
      <c r="A131" t="s">
        <v>149</v>
      </c>
      <c r="B131" t="s">
        <v>150</v>
      </c>
      <c r="C131">
        <v>8</v>
      </c>
      <c r="D131" t="s">
        <v>31</v>
      </c>
      <c r="E131" s="14">
        <v>-15162621</v>
      </c>
      <c r="F131" s="14">
        <v>-26636734</v>
      </c>
      <c r="G131" s="127">
        <v>0</v>
      </c>
      <c r="H131" s="127">
        <v>0</v>
      </c>
      <c r="I131" s="127">
        <v>20000</v>
      </c>
      <c r="J131" s="127">
        <v>35523</v>
      </c>
      <c r="K131" s="127">
        <v>0</v>
      </c>
      <c r="L131" s="127">
        <v>0</v>
      </c>
      <c r="M131" s="127">
        <v>0</v>
      </c>
      <c r="N131" s="127">
        <v>0</v>
      </c>
      <c r="O131" s="127">
        <v>0</v>
      </c>
      <c r="P131" s="127">
        <v>0</v>
      </c>
      <c r="Q131" s="127">
        <v>5000</v>
      </c>
      <c r="R131" s="127">
        <v>8650</v>
      </c>
      <c r="S131" s="127">
        <v>0</v>
      </c>
      <c r="T131" s="127">
        <v>0</v>
      </c>
      <c r="U131" s="127">
        <v>-29317</v>
      </c>
      <c r="V131" s="127">
        <v>-46020</v>
      </c>
      <c r="W131" s="127">
        <v>-29317</v>
      </c>
      <c r="X131" s="127">
        <v>-46020</v>
      </c>
      <c r="Y131" s="127">
        <v>33634</v>
      </c>
      <c r="Z131" s="127">
        <v>47867</v>
      </c>
      <c r="AA131" s="127">
        <v>0</v>
      </c>
      <c r="AB131" s="127">
        <v>0</v>
      </c>
      <c r="AC131" s="127">
        <v>0</v>
      </c>
      <c r="AD131" s="127">
        <v>0</v>
      </c>
      <c r="AE131" s="127">
        <v>0</v>
      </c>
      <c r="AF131" s="127">
        <v>0</v>
      </c>
      <c r="AG131" s="127">
        <v>0</v>
      </c>
      <c r="AH131" s="127">
        <v>0</v>
      </c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">
      <c r="A132" t="s">
        <v>149</v>
      </c>
      <c r="B132" t="s">
        <v>150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>
        <v>0</v>
      </c>
      <c r="AH132" s="127">
        <v>0</v>
      </c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">
      <c r="A133" t="s">
        <v>149</v>
      </c>
      <c r="B133" t="s">
        <v>150</v>
      </c>
      <c r="C133">
        <v>10</v>
      </c>
      <c r="D133" t="s">
        <v>36</v>
      </c>
      <c r="E133" s="14">
        <v>337997</v>
      </c>
      <c r="F133" s="14">
        <v>606704.62</v>
      </c>
      <c r="G133" s="127">
        <v>1698</v>
      </c>
      <c r="H133" s="127">
        <v>3047.91</v>
      </c>
      <c r="I133" s="127">
        <v>3704</v>
      </c>
      <c r="J133" s="127">
        <v>6648.68</v>
      </c>
      <c r="K133" s="127">
        <v>0</v>
      </c>
      <c r="L133" s="127">
        <v>0</v>
      </c>
      <c r="M133" s="127">
        <v>0</v>
      </c>
      <c r="N133" s="127">
        <v>0</v>
      </c>
      <c r="O133" s="127">
        <v>-19</v>
      </c>
      <c r="P133" s="127">
        <v>-34.104999999999997</v>
      </c>
      <c r="Q133" s="127">
        <v>0</v>
      </c>
      <c r="R133" s="127">
        <v>0</v>
      </c>
      <c r="S133" s="127">
        <v>-139381</v>
      </c>
      <c r="T133" s="127">
        <v>-250188.89499999999</v>
      </c>
      <c r="U133" s="127">
        <v>8652</v>
      </c>
      <c r="V133" s="127">
        <v>15530.34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">
      <c r="A134" t="s">
        <v>149</v>
      </c>
      <c r="B134" t="s">
        <v>150</v>
      </c>
      <c r="C134">
        <v>11</v>
      </c>
      <c r="D134" t="s">
        <v>39</v>
      </c>
      <c r="E134" s="14">
        <v>337409</v>
      </c>
      <c r="F134" s="14">
        <v>598943.06999999995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">
      <c r="A135" t="s">
        <v>149</v>
      </c>
      <c r="B135" t="s">
        <v>150</v>
      </c>
      <c r="C135">
        <v>12</v>
      </c>
      <c r="D135" t="s">
        <v>40</v>
      </c>
      <c r="E135" s="14">
        <v>-613076</v>
      </c>
      <c r="F135" s="14">
        <v>-1110780.1499999999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>
        <v>0</v>
      </c>
      <c r="AH135" s="127">
        <v>0</v>
      </c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">
      <c r="A136" t="s">
        <v>149</v>
      </c>
      <c r="B136" t="s">
        <v>150</v>
      </c>
      <c r="C136">
        <v>13</v>
      </c>
      <c r="D136" t="s">
        <v>43</v>
      </c>
      <c r="E136" s="14">
        <v>-119042</v>
      </c>
      <c r="F136" s="14">
        <v>-213680.39</v>
      </c>
      <c r="G136" s="127">
        <v>117607</v>
      </c>
      <c r="H136" s="127">
        <v>211381.52</v>
      </c>
      <c r="I136" s="127">
        <v>0</v>
      </c>
      <c r="J136" s="127">
        <v>-265.47500000000002</v>
      </c>
      <c r="K136" s="127">
        <v>-8032</v>
      </c>
      <c r="L136" s="127">
        <v>-18887.877</v>
      </c>
      <c r="M136" s="127">
        <v>-375</v>
      </c>
      <c r="N136" s="127">
        <v>175.78639999999999</v>
      </c>
      <c r="O136" s="127">
        <v>-957</v>
      </c>
      <c r="P136" s="127">
        <v>-2762.1383999999998</v>
      </c>
      <c r="Q136" s="127">
        <v>0</v>
      </c>
      <c r="R136" s="127">
        <v>-11954.493</v>
      </c>
      <c r="S136" s="127">
        <v>0</v>
      </c>
      <c r="T136" s="127">
        <v>8293.2009999999991</v>
      </c>
      <c r="U136" s="127">
        <v>0</v>
      </c>
      <c r="V136" s="127">
        <v>8314.8610000000008</v>
      </c>
      <c r="W136" s="127">
        <v>0</v>
      </c>
      <c r="X136" s="127">
        <v>0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>
        <v>0</v>
      </c>
      <c r="AH136" s="127">
        <v>0</v>
      </c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">
      <c r="A137" t="s">
        <v>149</v>
      </c>
      <c r="B137" t="s">
        <v>150</v>
      </c>
      <c r="C137">
        <v>14</v>
      </c>
      <c r="D137" t="s">
        <v>44</v>
      </c>
      <c r="E137" s="14">
        <v>0</v>
      </c>
      <c r="F137" s="14">
        <v>0</v>
      </c>
      <c r="G137" s="127">
        <v>-4930</v>
      </c>
      <c r="H137" s="127">
        <v>-8354.4</v>
      </c>
      <c r="I137" s="127">
        <v>-258</v>
      </c>
      <c r="J137" s="127">
        <v>-434.78</v>
      </c>
      <c r="K137" s="127">
        <v>0</v>
      </c>
      <c r="L137" s="127">
        <v>0</v>
      </c>
      <c r="M137" s="127">
        <v>0</v>
      </c>
      <c r="N137" s="127">
        <v>0</v>
      </c>
      <c r="O137" s="127">
        <v>0</v>
      </c>
      <c r="P137" s="127">
        <v>0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>
        <v>0</v>
      </c>
      <c r="AH137" s="127">
        <v>0</v>
      </c>
      <c r="AI137" s="127"/>
      <c r="AJ137" s="127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">
      <c r="A138" t="s">
        <v>149</v>
      </c>
      <c r="B138" t="s">
        <v>150</v>
      </c>
      <c r="C138">
        <v>15</v>
      </c>
      <c r="D138" t="s">
        <v>45</v>
      </c>
      <c r="E138" s="14">
        <v>0</v>
      </c>
      <c r="F138" s="14">
        <v>0</v>
      </c>
      <c r="G138" s="127">
        <v>27355</v>
      </c>
      <c r="H138" s="127">
        <v>19664.3</v>
      </c>
      <c r="I138" s="127">
        <v>458</v>
      </c>
      <c r="J138" s="127">
        <v>796.01</v>
      </c>
      <c r="K138" s="127">
        <v>0</v>
      </c>
      <c r="L138" s="127">
        <v>0</v>
      </c>
      <c r="M138" s="127">
        <v>0</v>
      </c>
      <c r="N138" s="127">
        <v>0</v>
      </c>
      <c r="O138" s="127">
        <v>0</v>
      </c>
      <c r="P138" s="127">
        <v>0</v>
      </c>
      <c r="Q138" s="127">
        <v>0</v>
      </c>
      <c r="R138" s="127">
        <v>0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>
        <v>0</v>
      </c>
      <c r="AH138" s="127">
        <v>0</v>
      </c>
      <c r="AI138" s="127"/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">
      <c r="A139" t="s">
        <v>149</v>
      </c>
      <c r="B139" t="s">
        <v>150</v>
      </c>
      <c r="C139">
        <v>16</v>
      </c>
      <c r="D139" t="s">
        <v>46</v>
      </c>
      <c r="E139" s="14">
        <v>423849</v>
      </c>
      <c r="F139" s="14">
        <v>-0.01</v>
      </c>
      <c r="G139" s="127">
        <v>-60</v>
      </c>
      <c r="H139" s="127">
        <v>0</v>
      </c>
      <c r="I139" s="127">
        <v>1</v>
      </c>
      <c r="J139" s="127">
        <v>0</v>
      </c>
      <c r="K139" s="127">
        <v>0</v>
      </c>
      <c r="L139" s="127">
        <v>0</v>
      </c>
      <c r="M139" s="127">
        <v>0</v>
      </c>
      <c r="N139" s="127">
        <v>0</v>
      </c>
      <c r="O139" s="127">
        <v>0</v>
      </c>
      <c r="P139" s="127">
        <v>707028.12</v>
      </c>
      <c r="Q139" s="127">
        <v>0</v>
      </c>
      <c r="R139" s="127">
        <v>0</v>
      </c>
      <c r="S139" s="127">
        <v>0</v>
      </c>
      <c r="T139" s="127">
        <v>0</v>
      </c>
      <c r="U139" s="127">
        <v>-8652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">
      <c r="A140" t="s">
        <v>149</v>
      </c>
      <c r="B140" t="s">
        <v>150</v>
      </c>
      <c r="C140">
        <v>17</v>
      </c>
      <c r="D140" t="s">
        <v>135</v>
      </c>
      <c r="E140" s="14">
        <v>90645</v>
      </c>
      <c r="F140" s="14">
        <v>162707.78</v>
      </c>
      <c r="G140" s="127">
        <v>-3421</v>
      </c>
      <c r="H140" s="127">
        <v>-6140.69</v>
      </c>
      <c r="I140" s="127">
        <v>0</v>
      </c>
      <c r="J140" s="127">
        <v>0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>
        <v>0</v>
      </c>
      <c r="AH140" s="127">
        <v>0</v>
      </c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">
      <c r="A141" t="s">
        <v>149</v>
      </c>
      <c r="B141" t="s">
        <v>150</v>
      </c>
      <c r="C141">
        <v>18</v>
      </c>
      <c r="D141" t="s">
        <v>136</v>
      </c>
      <c r="E141" s="14">
        <v>0</v>
      </c>
      <c r="F141" s="14">
        <v>0</v>
      </c>
      <c r="G141" s="127">
        <v>-100108</v>
      </c>
      <c r="H141" s="127">
        <v>-0.01</v>
      </c>
      <c r="I141" s="127">
        <v>0</v>
      </c>
      <c r="J141" s="127">
        <v>0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0</v>
      </c>
      <c r="R141" s="127">
        <v>0</v>
      </c>
      <c r="S141" s="127">
        <v>139619</v>
      </c>
      <c r="T141" s="127">
        <v>0.01</v>
      </c>
      <c r="U141" s="127">
        <v>0</v>
      </c>
      <c r="V141" s="127">
        <v>0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/>
      <c r="AJ141" s="127"/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">
      <c r="A142" t="s">
        <v>149</v>
      </c>
      <c r="B142" t="s">
        <v>150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>
        <v>0</v>
      </c>
      <c r="AH142" s="127">
        <v>0</v>
      </c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">
      <c r="A143" t="s">
        <v>149</v>
      </c>
      <c r="B143" t="s">
        <v>150</v>
      </c>
      <c r="C143">
        <v>20</v>
      </c>
      <c r="D143" t="s">
        <v>137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>
        <v>0</v>
      </c>
      <c r="AH143" s="127">
        <v>0</v>
      </c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">
      <c r="A144" t="s">
        <v>149</v>
      </c>
      <c r="B144" t="s">
        <v>150</v>
      </c>
      <c r="C144">
        <v>21</v>
      </c>
      <c r="D144" t="s">
        <v>138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>
        <v>0</v>
      </c>
      <c r="AH144" s="127">
        <v>0</v>
      </c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">
      <c r="A145" t="s">
        <v>149</v>
      </c>
      <c r="B145" t="s">
        <v>150</v>
      </c>
      <c r="C145">
        <v>22</v>
      </c>
      <c r="D145" t="s">
        <v>139</v>
      </c>
      <c r="E145" s="14">
        <v>185092</v>
      </c>
      <c r="F145" s="14">
        <v>332240.14</v>
      </c>
      <c r="G145" s="127">
        <v>534380</v>
      </c>
      <c r="H145" s="127">
        <v>959212.1</v>
      </c>
      <c r="I145" s="127">
        <v>27924</v>
      </c>
      <c r="J145" s="127">
        <v>-1472872.89</v>
      </c>
      <c r="K145" s="127">
        <v>8032</v>
      </c>
      <c r="L145" s="127">
        <v>1537016.44</v>
      </c>
      <c r="M145" s="127">
        <v>-3181</v>
      </c>
      <c r="N145" s="127">
        <v>-5709.8950000000004</v>
      </c>
      <c r="O145" s="127">
        <v>-6540</v>
      </c>
      <c r="P145" s="127">
        <v>-11739.3</v>
      </c>
      <c r="Q145" s="127">
        <v>-5000</v>
      </c>
      <c r="R145" s="127">
        <v>-8975</v>
      </c>
      <c r="S145" s="127">
        <v>4496</v>
      </c>
      <c r="T145" s="127">
        <v>8070.32</v>
      </c>
      <c r="U145" s="127">
        <v>-11718</v>
      </c>
      <c r="V145" s="127">
        <v>-21033.81</v>
      </c>
      <c r="W145" s="127">
        <v>0</v>
      </c>
      <c r="X145" s="127">
        <v>0</v>
      </c>
      <c r="Y145" s="127">
        <v>25000</v>
      </c>
      <c r="Z145" s="127">
        <v>44875</v>
      </c>
      <c r="AA145" s="127">
        <v>0</v>
      </c>
      <c r="AB145" s="127">
        <v>0</v>
      </c>
      <c r="AC145" s="127">
        <v>0</v>
      </c>
      <c r="AD145" s="127">
        <v>0</v>
      </c>
      <c r="AE145" s="127">
        <v>0</v>
      </c>
      <c r="AF145" s="127">
        <v>0</v>
      </c>
      <c r="AG145" s="127">
        <v>0</v>
      </c>
      <c r="AH145" s="127">
        <v>0</v>
      </c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">
      <c r="A146" t="s">
        <v>149</v>
      </c>
      <c r="B146" t="s">
        <v>150</v>
      </c>
      <c r="C146">
        <v>23</v>
      </c>
      <c r="D146" t="s">
        <v>140</v>
      </c>
      <c r="E146" s="14">
        <v>-337997</v>
      </c>
      <c r="F146" s="14">
        <v>-606704.62</v>
      </c>
      <c r="G146" s="127">
        <v>-1698</v>
      </c>
      <c r="H146" s="127">
        <v>-3047.91</v>
      </c>
      <c r="I146" s="127">
        <v>-3704</v>
      </c>
      <c r="J146" s="127">
        <v>-6648.68</v>
      </c>
      <c r="K146" s="127">
        <v>0</v>
      </c>
      <c r="L146" s="127">
        <v>0</v>
      </c>
      <c r="M146" s="127">
        <v>0</v>
      </c>
      <c r="N146" s="127">
        <v>0</v>
      </c>
      <c r="O146" s="127">
        <v>19</v>
      </c>
      <c r="P146" s="127">
        <v>34.104999999999997</v>
      </c>
      <c r="Q146" s="127">
        <v>0</v>
      </c>
      <c r="R146" s="127">
        <v>0</v>
      </c>
      <c r="S146" s="127">
        <v>139381</v>
      </c>
      <c r="T146" s="127">
        <v>250188.89499999999</v>
      </c>
      <c r="U146" s="127">
        <v>-8652</v>
      </c>
      <c r="V146" s="127">
        <v>-15530.34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>
        <v>0</v>
      </c>
      <c r="AH146" s="127">
        <v>0</v>
      </c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">
      <c r="A147" t="s">
        <v>149</v>
      </c>
      <c r="B147" t="s">
        <v>150</v>
      </c>
      <c r="C147">
        <v>24</v>
      </c>
      <c r="D147" t="s">
        <v>59</v>
      </c>
      <c r="E147" s="14">
        <v>-7786218</v>
      </c>
      <c r="F147" s="14">
        <v>-943765.71</v>
      </c>
      <c r="G147" s="127">
        <v>-4825601</v>
      </c>
      <c r="H147" s="127">
        <v>95300.44</v>
      </c>
      <c r="I147" s="127">
        <v>-647955</v>
      </c>
      <c r="J147" s="127">
        <v>-6937.09</v>
      </c>
      <c r="K147" s="127">
        <v>0</v>
      </c>
      <c r="L147" s="127">
        <v>0</v>
      </c>
      <c r="M147" s="127">
        <v>0</v>
      </c>
      <c r="N147" s="127">
        <v>0</v>
      </c>
      <c r="O147" s="127">
        <v>950</v>
      </c>
      <c r="P147" s="127">
        <v>199.5</v>
      </c>
      <c r="Q147" s="127">
        <v>-16064</v>
      </c>
      <c r="R147" s="127">
        <v>-3258.58</v>
      </c>
      <c r="S147" s="127">
        <v>-2537</v>
      </c>
      <c r="T147" s="127">
        <v>-430.9</v>
      </c>
      <c r="U147" s="127">
        <v>0</v>
      </c>
      <c r="V147" s="127">
        <v>0</v>
      </c>
      <c r="W147" s="127">
        <v>0</v>
      </c>
      <c r="X147" s="127">
        <v>-4219.01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>
        <v>0</v>
      </c>
      <c r="AH147" s="127">
        <v>0</v>
      </c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">
      <c r="A148" t="s">
        <v>149</v>
      </c>
      <c r="B148" t="s">
        <v>150</v>
      </c>
      <c r="C148">
        <v>25</v>
      </c>
      <c r="D148" t="s">
        <v>60</v>
      </c>
      <c r="E148" s="14">
        <v>0</v>
      </c>
      <c r="F148" s="14">
        <v>-971138.62</v>
      </c>
      <c r="G148" s="127">
        <v>0</v>
      </c>
      <c r="H148" s="127">
        <v>-1443566.2</v>
      </c>
      <c r="I148" s="127">
        <v>0</v>
      </c>
      <c r="J148" s="127">
        <v>0</v>
      </c>
      <c r="K148" s="127">
        <v>0</v>
      </c>
      <c r="L148" s="127">
        <v>0</v>
      </c>
      <c r="M148" s="127">
        <v>0</v>
      </c>
      <c r="N148" s="127">
        <v>0</v>
      </c>
      <c r="O148" s="127">
        <v>0</v>
      </c>
      <c r="P148" s="127">
        <v>55102.98</v>
      </c>
      <c r="Q148" s="127">
        <v>0</v>
      </c>
      <c r="R148" s="127">
        <v>1819.99</v>
      </c>
      <c r="S148" s="127">
        <v>0</v>
      </c>
      <c r="T148" s="127">
        <v>0.01</v>
      </c>
      <c r="U148" s="127">
        <v>0</v>
      </c>
      <c r="V148" s="127">
        <v>0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>
        <v>0</v>
      </c>
      <c r="AH148" s="127">
        <v>0</v>
      </c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">
      <c r="A149" t="s">
        <v>149</v>
      </c>
      <c r="B149" t="s">
        <v>150</v>
      </c>
      <c r="C149">
        <v>26</v>
      </c>
      <c r="D149" t="s">
        <v>141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>
        <v>0</v>
      </c>
      <c r="AH149" s="127">
        <v>0</v>
      </c>
      <c r="AI149" s="127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">
      <c r="A150" t="s">
        <v>149</v>
      </c>
      <c r="B150" t="s">
        <v>150</v>
      </c>
      <c r="C150">
        <v>27</v>
      </c>
      <c r="D150" t="s">
        <v>142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>
        <v>0</v>
      </c>
      <c r="AH150" s="127">
        <v>0</v>
      </c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">
      <c r="A151" t="s">
        <v>149</v>
      </c>
      <c r="B151" t="s">
        <v>150</v>
      </c>
      <c r="C151">
        <v>28</v>
      </c>
      <c r="D151" t="s">
        <v>143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>
        <v>0</v>
      </c>
      <c r="AH151" s="127">
        <v>0</v>
      </c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">
      <c r="A152" t="s">
        <v>149</v>
      </c>
      <c r="B152" t="s">
        <v>150</v>
      </c>
      <c r="C152">
        <v>29</v>
      </c>
      <c r="D152" t="s">
        <v>144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>
        <v>0</v>
      </c>
      <c r="AH152" s="127">
        <v>0</v>
      </c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">
      <c r="A153" t="s">
        <v>149</v>
      </c>
      <c r="B153" t="s">
        <v>150</v>
      </c>
      <c r="C153">
        <v>30</v>
      </c>
      <c r="D153" t="s">
        <v>145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">
      <c r="A154" t="s">
        <v>149</v>
      </c>
      <c r="B154" t="s">
        <v>150</v>
      </c>
      <c r="C154">
        <v>31</v>
      </c>
      <c r="D154" t="s">
        <v>146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>
        <v>0</v>
      </c>
      <c r="AH154" s="127">
        <v>0</v>
      </c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">
      <c r="A155" t="s">
        <v>149</v>
      </c>
      <c r="B155" t="s">
        <v>150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>
        <v>0</v>
      </c>
      <c r="AH155" s="127">
        <v>0</v>
      </c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">
      <c r="A156" t="s">
        <v>149</v>
      </c>
      <c r="B156" t="s">
        <v>150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>
        <v>0</v>
      </c>
      <c r="AH156" s="127">
        <v>0</v>
      </c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">
      <c r="A157" t="s">
        <v>149</v>
      </c>
      <c r="B157" t="s">
        <v>150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>
        <v>0</v>
      </c>
      <c r="AH157" s="127">
        <v>0</v>
      </c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">
      <c r="A158" t="s">
        <v>149</v>
      </c>
      <c r="B158" t="s">
        <v>150</v>
      </c>
      <c r="C158">
        <v>35</v>
      </c>
      <c r="D158" t="s">
        <v>77</v>
      </c>
      <c r="E158" s="14">
        <v>0</v>
      </c>
      <c r="F158" s="14">
        <v>0</v>
      </c>
      <c r="G158" s="127">
        <v>0</v>
      </c>
      <c r="H158" s="127">
        <v>-562.73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0</v>
      </c>
      <c r="S158" s="127">
        <v>0</v>
      </c>
      <c r="T158" s="127">
        <v>-3774.9</v>
      </c>
      <c r="U158" s="127">
        <v>0</v>
      </c>
      <c r="V158" s="127">
        <v>0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>
        <v>0</v>
      </c>
      <c r="AH158" s="127">
        <v>0</v>
      </c>
      <c r="AI158" s="127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">
      <c r="A159" t="s">
        <v>149</v>
      </c>
      <c r="B159" t="s">
        <v>150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>
        <v>0</v>
      </c>
      <c r="AH159" s="127">
        <v>0</v>
      </c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">
      <c r="A160" t="s">
        <v>149</v>
      </c>
      <c r="B160" t="s">
        <v>150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>
        <v>0</v>
      </c>
      <c r="AH160" s="127">
        <v>0</v>
      </c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">
      <c r="A161" t="s">
        <v>149</v>
      </c>
      <c r="B161" t="s">
        <v>150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>
        <v>0</v>
      </c>
      <c r="AH161" s="127">
        <v>0</v>
      </c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">
      <c r="A162" t="s">
        <v>149</v>
      </c>
      <c r="B162" t="s">
        <v>150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>
        <v>0</v>
      </c>
      <c r="AH162" s="127">
        <v>0</v>
      </c>
      <c r="AI162" s="127"/>
      <c r="AJ162" s="127"/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">
      <c r="A163" t="s">
        <v>149</v>
      </c>
      <c r="B163" t="s">
        <v>150</v>
      </c>
      <c r="C163">
        <v>40</v>
      </c>
      <c r="D163" t="s">
        <v>82</v>
      </c>
      <c r="E163" s="14">
        <v>0</v>
      </c>
      <c r="F163" s="14">
        <v>0</v>
      </c>
      <c r="G163" s="127">
        <v>0</v>
      </c>
      <c r="H163" s="127">
        <v>249550</v>
      </c>
      <c r="I163" s="127">
        <v>0</v>
      </c>
      <c r="J163" s="127">
        <v>5925.91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>
        <v>0</v>
      </c>
      <c r="AH163" s="127">
        <v>0</v>
      </c>
      <c r="AI163" s="127"/>
      <c r="AJ163" s="127"/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">
      <c r="A164" t="s">
        <v>149</v>
      </c>
      <c r="B164" t="s">
        <v>151</v>
      </c>
      <c r="C164">
        <v>1</v>
      </c>
      <c r="D164" t="s">
        <v>29</v>
      </c>
      <c r="E164" s="14">
        <v>101777747</v>
      </c>
      <c r="F164" s="14">
        <v>213982835.48000005</v>
      </c>
      <c r="G164" s="127">
        <v>-33056</v>
      </c>
      <c r="H164" s="127">
        <v>6500173.3500000015</v>
      </c>
      <c r="I164" s="127">
        <v>-25720</v>
      </c>
      <c r="J164" s="127">
        <v>-4943124.49</v>
      </c>
      <c r="K164" s="127">
        <v>1</v>
      </c>
      <c r="L164" s="127">
        <v>-84440.65</v>
      </c>
      <c r="M164" s="127">
        <v>-250</v>
      </c>
      <c r="N164" s="127">
        <v>28733.85</v>
      </c>
      <c r="O164" s="127">
        <v>-3201</v>
      </c>
      <c r="P164" s="127">
        <v>-5411.38</v>
      </c>
      <c r="Q164" s="127">
        <v>0</v>
      </c>
      <c r="R164" s="127">
        <v>61667.5</v>
      </c>
      <c r="S164" s="127">
        <v>0</v>
      </c>
      <c r="T164" s="127">
        <v>0</v>
      </c>
      <c r="U164" s="127">
        <v>0</v>
      </c>
      <c r="V164" s="127">
        <v>3711877</v>
      </c>
      <c r="W164" s="127">
        <v>0</v>
      </c>
      <c r="X164" s="127">
        <v>0</v>
      </c>
      <c r="Y164" s="127">
        <v>0</v>
      </c>
      <c r="Z164" s="127">
        <v>0</v>
      </c>
      <c r="AA164" s="127">
        <v>0</v>
      </c>
      <c r="AB164" s="127">
        <v>11500.1</v>
      </c>
      <c r="AC164" s="127">
        <v>0</v>
      </c>
      <c r="AD164" s="127">
        <v>0</v>
      </c>
      <c r="AE164" s="127">
        <v>0</v>
      </c>
      <c r="AF164" s="127">
        <v>0</v>
      </c>
      <c r="AG164" s="127">
        <v>0</v>
      </c>
      <c r="AH164" s="127">
        <v>0</v>
      </c>
      <c r="AI164" s="127"/>
      <c r="AJ164" s="127"/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">
      <c r="A165" t="s">
        <v>149</v>
      </c>
      <c r="B165" t="s">
        <v>151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>
        <v>0</v>
      </c>
      <c r="AH165" s="127">
        <v>0</v>
      </c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">
      <c r="A166" t="s">
        <v>149</v>
      </c>
      <c r="B166" t="s">
        <v>151</v>
      </c>
      <c r="C166">
        <v>3</v>
      </c>
      <c r="D166" t="s">
        <v>31</v>
      </c>
      <c r="E166" s="14">
        <v>51679271</v>
      </c>
      <c r="F166" s="14">
        <v>98255083</v>
      </c>
      <c r="G166" s="127">
        <v>0</v>
      </c>
      <c r="H166" s="127">
        <v>0</v>
      </c>
      <c r="I166" s="127">
        <v>-214075</v>
      </c>
      <c r="J166" s="127">
        <v>-374265</v>
      </c>
      <c r="K166" s="127">
        <v>0</v>
      </c>
      <c r="L166" s="127">
        <v>0</v>
      </c>
      <c r="M166" s="127">
        <v>-4494</v>
      </c>
      <c r="N166" s="127">
        <v>-7707</v>
      </c>
      <c r="O166" s="127">
        <v>0</v>
      </c>
      <c r="P166" s="127">
        <v>0</v>
      </c>
      <c r="Q166" s="127">
        <v>0</v>
      </c>
      <c r="R166" s="127">
        <v>0</v>
      </c>
      <c r="S166" s="127">
        <v>0</v>
      </c>
      <c r="T166" s="127">
        <v>0</v>
      </c>
      <c r="U166" s="127">
        <v>212581</v>
      </c>
      <c r="V166" s="127">
        <v>370643</v>
      </c>
      <c r="W166" s="127">
        <v>258531</v>
      </c>
      <c r="X166" s="127">
        <v>452217</v>
      </c>
      <c r="Y166" s="127">
        <v>-252543</v>
      </c>
      <c r="Z166" s="127">
        <v>-440888</v>
      </c>
      <c r="AA166" s="127">
        <v>58634</v>
      </c>
      <c r="AB166" s="127">
        <v>91349</v>
      </c>
      <c r="AC166" s="127">
        <v>0</v>
      </c>
      <c r="AD166" s="127">
        <v>0</v>
      </c>
      <c r="AE166" s="127">
        <v>-58634</v>
      </c>
      <c r="AF166" s="127">
        <v>-91349</v>
      </c>
      <c r="AG166" s="127">
        <v>0</v>
      </c>
      <c r="AH166" s="127">
        <v>0</v>
      </c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">
      <c r="A167" t="s">
        <v>149</v>
      </c>
      <c r="B167" t="s">
        <v>151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>
        <v>0</v>
      </c>
      <c r="AH167" s="127">
        <v>0</v>
      </c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">
      <c r="A168" t="s">
        <v>149</v>
      </c>
      <c r="B168" t="s">
        <v>151</v>
      </c>
      <c r="C168">
        <v>5</v>
      </c>
      <c r="D168" t="s">
        <v>134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>
        <v>0</v>
      </c>
      <c r="AH168" s="127">
        <v>0</v>
      </c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">
      <c r="A169" t="s">
        <v>149</v>
      </c>
      <c r="B169" t="s">
        <v>151</v>
      </c>
      <c r="C169">
        <v>6</v>
      </c>
      <c r="D169" t="s">
        <v>29</v>
      </c>
      <c r="E169" s="14">
        <v>-100804275</v>
      </c>
      <c r="F169" s="14">
        <v>-187151056.24000001</v>
      </c>
      <c r="G169" s="127">
        <v>201126</v>
      </c>
      <c r="H169" s="127">
        <v>-2519806.14</v>
      </c>
      <c r="I169" s="127">
        <v>-91034</v>
      </c>
      <c r="J169" s="127">
        <v>-338678.19</v>
      </c>
      <c r="K169" s="127">
        <v>-20032</v>
      </c>
      <c r="L169" s="127">
        <v>-40530.03</v>
      </c>
      <c r="M169" s="127">
        <v>-2846</v>
      </c>
      <c r="N169" s="127">
        <v>15375.9</v>
      </c>
      <c r="O169" s="127">
        <v>4611</v>
      </c>
      <c r="P169" s="127">
        <v>4728.29</v>
      </c>
      <c r="Q169" s="127">
        <v>2508</v>
      </c>
      <c r="R169" s="127">
        <v>26466.1</v>
      </c>
      <c r="S169" s="127">
        <v>2</v>
      </c>
      <c r="T169" s="127">
        <v>9.75</v>
      </c>
      <c r="U169" s="127">
        <v>-32164</v>
      </c>
      <c r="V169" s="127">
        <v>-46014.43</v>
      </c>
      <c r="W169" s="127">
        <v>0</v>
      </c>
      <c r="X169" s="127">
        <v>0</v>
      </c>
      <c r="Y169" s="127">
        <v>0</v>
      </c>
      <c r="Z169" s="127">
        <v>0</v>
      </c>
      <c r="AA169" s="127">
        <v>0</v>
      </c>
      <c r="AB169" s="127">
        <v>122826.53</v>
      </c>
      <c r="AC169" s="127">
        <v>0</v>
      </c>
      <c r="AD169" s="127">
        <v>0</v>
      </c>
      <c r="AE169" s="127">
        <v>0</v>
      </c>
      <c r="AF169" s="127">
        <v>0</v>
      </c>
      <c r="AG169" s="127">
        <v>0</v>
      </c>
      <c r="AH169" s="127">
        <v>0</v>
      </c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">
      <c r="A170" t="s">
        <v>149</v>
      </c>
      <c r="B170" t="s">
        <v>151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">
      <c r="A171" t="s">
        <v>149</v>
      </c>
      <c r="B171" t="s">
        <v>151</v>
      </c>
      <c r="C171">
        <v>8</v>
      </c>
      <c r="D171" t="s">
        <v>31</v>
      </c>
      <c r="E171" s="14">
        <v>-50191436</v>
      </c>
      <c r="F171" s="14">
        <v>-95514268</v>
      </c>
      <c r="G171" s="127">
        <v>0</v>
      </c>
      <c r="H171" s="127">
        <v>0</v>
      </c>
      <c r="I171" s="127">
        <v>199516</v>
      </c>
      <c r="J171" s="127">
        <v>332885</v>
      </c>
      <c r="K171" s="127">
        <v>0</v>
      </c>
      <c r="L171" s="127">
        <v>0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-212581</v>
      </c>
      <c r="V171" s="127">
        <v>-370643</v>
      </c>
      <c r="W171" s="127">
        <v>-258531</v>
      </c>
      <c r="X171" s="127">
        <v>-452217</v>
      </c>
      <c r="Y171" s="127">
        <v>271596</v>
      </c>
      <c r="Z171" s="127">
        <v>489975</v>
      </c>
      <c r="AA171" s="127">
        <v>-33634</v>
      </c>
      <c r="AB171" s="127">
        <v>-47867</v>
      </c>
      <c r="AC171" s="127">
        <v>0</v>
      </c>
      <c r="AD171" s="127">
        <v>0</v>
      </c>
      <c r="AE171" s="127">
        <v>33634</v>
      </c>
      <c r="AF171" s="127">
        <v>47867</v>
      </c>
      <c r="AG171" s="127">
        <v>0</v>
      </c>
      <c r="AH171" s="127">
        <v>0</v>
      </c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">
      <c r="A172" t="s">
        <v>149</v>
      </c>
      <c r="B172" t="s">
        <v>151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>
        <v>0</v>
      </c>
      <c r="AH172" s="127">
        <v>0</v>
      </c>
      <c r="AI172" s="127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">
      <c r="A173" t="s">
        <v>149</v>
      </c>
      <c r="B173" t="s">
        <v>151</v>
      </c>
      <c r="C173">
        <v>10</v>
      </c>
      <c r="D173" t="s">
        <v>36</v>
      </c>
      <c r="E173" s="14">
        <v>1038487</v>
      </c>
      <c r="F173" s="14">
        <v>1856814.76</v>
      </c>
      <c r="G173" s="127">
        <v>-175151</v>
      </c>
      <c r="H173" s="127">
        <v>-313169.98800000001</v>
      </c>
      <c r="I173" s="127">
        <v>34742</v>
      </c>
      <c r="J173" s="127">
        <v>62118.696000000004</v>
      </c>
      <c r="K173" s="127">
        <v>136</v>
      </c>
      <c r="L173" s="127">
        <v>243.16800000000001</v>
      </c>
      <c r="M173" s="127">
        <v>-3084</v>
      </c>
      <c r="N173" s="127">
        <v>-5514.192</v>
      </c>
      <c r="O173" s="127">
        <v>-1</v>
      </c>
      <c r="P173" s="127">
        <v>-1.788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>
        <v>0</v>
      </c>
      <c r="AH173" s="127">
        <v>0</v>
      </c>
      <c r="AI173" s="127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">
      <c r="A174" t="s">
        <v>149</v>
      </c>
      <c r="B174" t="s">
        <v>151</v>
      </c>
      <c r="C174">
        <v>11</v>
      </c>
      <c r="D174" t="s">
        <v>39</v>
      </c>
      <c r="E174" s="14">
        <v>8074037</v>
      </c>
      <c r="F174" s="14">
        <v>16143036.380000001</v>
      </c>
      <c r="G174" s="127">
        <v>0</v>
      </c>
      <c r="H174" s="127">
        <v>-1890126.68</v>
      </c>
      <c r="I174" s="127">
        <v>0</v>
      </c>
      <c r="J174" s="127">
        <v>112786.51</v>
      </c>
      <c r="K174" s="127">
        <v>0</v>
      </c>
      <c r="L174" s="127">
        <v>33097.919999999998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>
        <v>0</v>
      </c>
      <c r="AH174" s="127">
        <v>0</v>
      </c>
      <c r="AI174" s="127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">
      <c r="A175" t="s">
        <v>149</v>
      </c>
      <c r="B175" t="s">
        <v>151</v>
      </c>
      <c r="C175">
        <v>12</v>
      </c>
      <c r="D175" t="s">
        <v>40</v>
      </c>
      <c r="E175" s="14">
        <v>-1820006</v>
      </c>
      <c r="F175" s="14">
        <v>-3602316</v>
      </c>
      <c r="G175" s="127">
        <v>43186</v>
      </c>
      <c r="H175" s="127">
        <v>78425.600000000006</v>
      </c>
      <c r="I175" s="127">
        <v>13676</v>
      </c>
      <c r="J175" s="127">
        <v>381774.39</v>
      </c>
      <c r="K175" s="127">
        <v>0</v>
      </c>
      <c r="L175" s="127">
        <v>19110.34</v>
      </c>
      <c r="M175" s="127">
        <v>0</v>
      </c>
      <c r="N175" s="127">
        <v>3140.14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>
        <v>0</v>
      </c>
      <c r="AH175" s="127">
        <v>0</v>
      </c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">
      <c r="A176" t="s">
        <v>149</v>
      </c>
      <c r="B176" t="s">
        <v>151</v>
      </c>
      <c r="C176">
        <v>13</v>
      </c>
      <c r="D176" t="s">
        <v>43</v>
      </c>
      <c r="E176" s="14">
        <v>-25563</v>
      </c>
      <c r="F176" s="14">
        <v>-45706.64</v>
      </c>
      <c r="G176" s="127">
        <v>-909372</v>
      </c>
      <c r="H176" s="127">
        <v>-1465148.32</v>
      </c>
      <c r="I176" s="127">
        <v>69197</v>
      </c>
      <c r="J176" s="127">
        <v>-132315.764</v>
      </c>
      <c r="K176" s="127">
        <v>400923</v>
      </c>
      <c r="L176" s="127">
        <v>548531.39899999998</v>
      </c>
      <c r="M176" s="127">
        <v>42022</v>
      </c>
      <c r="N176" s="127">
        <v>152233.728</v>
      </c>
      <c r="O176" s="127">
        <v>35302</v>
      </c>
      <c r="P176" s="127">
        <v>64738.482000000004</v>
      </c>
      <c r="Q176" s="127">
        <v>278040</v>
      </c>
      <c r="R176" s="127">
        <v>501155.67499999999</v>
      </c>
      <c r="S176" s="127">
        <v>3867</v>
      </c>
      <c r="T176" s="127">
        <v>34162.482000000004</v>
      </c>
      <c r="U176" s="127">
        <v>12227</v>
      </c>
      <c r="V176" s="127">
        <v>175427.29500000001</v>
      </c>
      <c r="W176" s="127">
        <v>0</v>
      </c>
      <c r="X176" s="127">
        <v>0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>
        <v>0</v>
      </c>
      <c r="AH176" s="127">
        <v>0</v>
      </c>
      <c r="AI176" s="127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">
      <c r="A177" t="s">
        <v>149</v>
      </c>
      <c r="B177" t="s">
        <v>151</v>
      </c>
      <c r="C177">
        <v>14</v>
      </c>
      <c r="D177" t="s">
        <v>44</v>
      </c>
      <c r="E177" s="14">
        <v>0</v>
      </c>
      <c r="F177" s="14">
        <v>0</v>
      </c>
      <c r="G177" s="127">
        <v>-567</v>
      </c>
      <c r="H177" s="127">
        <v>-1022.22</v>
      </c>
      <c r="I177" s="127">
        <v>-23655</v>
      </c>
      <c r="J177" s="127">
        <v>-41258.28</v>
      </c>
      <c r="K177" s="127">
        <v>-30214</v>
      </c>
      <c r="L177" s="127">
        <v>-53658.2</v>
      </c>
      <c r="M177" s="127">
        <v>-1251</v>
      </c>
      <c r="N177" s="127">
        <v>-2203.04</v>
      </c>
      <c r="O177" s="127">
        <v>-43471</v>
      </c>
      <c r="P177" s="127">
        <v>-74097.27</v>
      </c>
      <c r="Q177" s="127">
        <v>0</v>
      </c>
      <c r="R177" s="127">
        <v>0</v>
      </c>
      <c r="S177" s="127">
        <v>-3869</v>
      </c>
      <c r="T177" s="127">
        <v>-6809.44</v>
      </c>
      <c r="U177" s="127">
        <v>-38</v>
      </c>
      <c r="V177" s="127">
        <v>-64.03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>
        <v>0</v>
      </c>
      <c r="AH177" s="127">
        <v>0</v>
      </c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">
      <c r="A178" t="s">
        <v>149</v>
      </c>
      <c r="B178" t="s">
        <v>151</v>
      </c>
      <c r="C178">
        <v>15</v>
      </c>
      <c r="D178" t="s">
        <v>45</v>
      </c>
      <c r="E178" s="14">
        <v>0</v>
      </c>
      <c r="F178" s="14">
        <v>0</v>
      </c>
      <c r="G178" s="127">
        <v>162100</v>
      </c>
      <c r="H178" s="127">
        <v>281403.63</v>
      </c>
      <c r="I178" s="127">
        <v>956</v>
      </c>
      <c r="J178" s="127">
        <v>1696.91</v>
      </c>
      <c r="K178" s="127">
        <v>7</v>
      </c>
      <c r="L178" s="127">
        <v>12.11</v>
      </c>
      <c r="M178" s="127">
        <v>7121</v>
      </c>
      <c r="N178" s="127">
        <v>12608.18</v>
      </c>
      <c r="O178" s="127">
        <v>396</v>
      </c>
      <c r="P178" s="127">
        <v>726.77</v>
      </c>
      <c r="Q178" s="127">
        <v>0</v>
      </c>
      <c r="R178" s="127">
        <v>0</v>
      </c>
      <c r="S178" s="127">
        <v>0</v>
      </c>
      <c r="T178" s="127">
        <v>0</v>
      </c>
      <c r="U178" s="127">
        <v>32202</v>
      </c>
      <c r="V178" s="127">
        <v>54263.59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>
        <v>0</v>
      </c>
      <c r="AH178" s="127">
        <v>0</v>
      </c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">
      <c r="A179" t="s">
        <v>149</v>
      </c>
      <c r="B179" t="s">
        <v>151</v>
      </c>
      <c r="C179">
        <v>16</v>
      </c>
      <c r="D179" t="s">
        <v>46</v>
      </c>
      <c r="E179" s="14">
        <v>0</v>
      </c>
      <c r="F179" s="14">
        <v>0</v>
      </c>
      <c r="G179" s="127">
        <v>364400</v>
      </c>
      <c r="H179" s="127">
        <v>0</v>
      </c>
      <c r="I179" s="127">
        <v>0</v>
      </c>
      <c r="J179" s="127">
        <v>0</v>
      </c>
      <c r="K179" s="127">
        <v>-364400</v>
      </c>
      <c r="L179" s="127">
        <v>0</v>
      </c>
      <c r="M179" s="127">
        <v>0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0</v>
      </c>
      <c r="U179" s="127">
        <v>0</v>
      </c>
      <c r="V179" s="127">
        <v>-36367</v>
      </c>
      <c r="W179" s="127">
        <v>0</v>
      </c>
      <c r="X179" s="127">
        <v>0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>
        <v>0</v>
      </c>
      <c r="AH179" s="127">
        <v>0</v>
      </c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">
      <c r="A180" t="s">
        <v>149</v>
      </c>
      <c r="B180" t="s">
        <v>151</v>
      </c>
      <c r="C180">
        <v>17</v>
      </c>
      <c r="D180" t="s">
        <v>135</v>
      </c>
      <c r="E180" s="14">
        <v>0</v>
      </c>
      <c r="F180" s="14">
        <v>0</v>
      </c>
      <c r="G180" s="127">
        <v>0</v>
      </c>
      <c r="H180" s="127">
        <v>0</v>
      </c>
      <c r="I180" s="127">
        <v>0</v>
      </c>
      <c r="J180" s="127">
        <v>0</v>
      </c>
      <c r="K180" s="127">
        <v>0</v>
      </c>
      <c r="L180" s="127">
        <v>0</v>
      </c>
      <c r="M180" s="127">
        <v>-5666</v>
      </c>
      <c r="N180" s="127">
        <v>-13116.79</v>
      </c>
      <c r="O180" s="127">
        <v>0</v>
      </c>
      <c r="P180" s="127">
        <v>0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0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>
        <v>0</v>
      </c>
      <c r="AH180" s="127">
        <v>0</v>
      </c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">
      <c r="A181" t="s">
        <v>149</v>
      </c>
      <c r="B181" t="s">
        <v>151</v>
      </c>
      <c r="C181">
        <v>18</v>
      </c>
      <c r="D181" t="s">
        <v>136</v>
      </c>
      <c r="E181" s="14">
        <v>-10091728</v>
      </c>
      <c r="F181" s="14">
        <v>-6970484.7400000002</v>
      </c>
      <c r="G181" s="127">
        <v>276407</v>
      </c>
      <c r="H181" s="127">
        <v>627077.6</v>
      </c>
      <c r="I181" s="127">
        <v>55915</v>
      </c>
      <c r="J181" s="127">
        <v>-15645931.83</v>
      </c>
      <c r="K181" s="127">
        <v>5666</v>
      </c>
      <c r="L181" s="127">
        <v>13116.79</v>
      </c>
      <c r="M181" s="127">
        <v>-37490</v>
      </c>
      <c r="N181" s="127">
        <v>-75716.81</v>
      </c>
      <c r="O181" s="127">
        <v>0</v>
      </c>
      <c r="P181" s="127">
        <v>0</v>
      </c>
      <c r="Q181" s="127">
        <v>-278003</v>
      </c>
      <c r="R181" s="127">
        <v>1860907.59</v>
      </c>
      <c r="S181" s="127">
        <v>0</v>
      </c>
      <c r="T181" s="127">
        <v>0</v>
      </c>
      <c r="U181" s="127">
        <v>1070106</v>
      </c>
      <c r="V181" s="127">
        <v>0.04</v>
      </c>
      <c r="W181" s="127">
        <v>0</v>
      </c>
      <c r="X181" s="127">
        <v>0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>
        <v>0</v>
      </c>
      <c r="AH181" s="127">
        <v>0</v>
      </c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">
      <c r="A182" t="s">
        <v>149</v>
      </c>
      <c r="B182" t="s">
        <v>151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">
      <c r="A183" t="s">
        <v>149</v>
      </c>
      <c r="B183" t="s">
        <v>151</v>
      </c>
      <c r="C183">
        <v>20</v>
      </c>
      <c r="D183" t="s">
        <v>137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>
        <v>0</v>
      </c>
      <c r="AH183" s="127">
        <v>0</v>
      </c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">
      <c r="A184" t="s">
        <v>149</v>
      </c>
      <c r="B184" t="s">
        <v>151</v>
      </c>
      <c r="C184">
        <v>21</v>
      </c>
      <c r="D184" t="s">
        <v>138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>
        <v>0</v>
      </c>
      <c r="AH184" s="127">
        <v>0</v>
      </c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">
      <c r="A185" t="s">
        <v>149</v>
      </c>
      <c r="B185" t="s">
        <v>151</v>
      </c>
      <c r="C185">
        <v>22</v>
      </c>
      <c r="D185" t="s">
        <v>139</v>
      </c>
      <c r="E185" s="14">
        <v>363466</v>
      </c>
      <c r="F185" s="14">
        <v>649877.20799999998</v>
      </c>
      <c r="G185" s="127">
        <v>70927</v>
      </c>
      <c r="H185" s="127">
        <v>126817.47599999979</v>
      </c>
      <c r="I185" s="127">
        <v>-19518</v>
      </c>
      <c r="J185" s="127">
        <v>2625350.7960000001</v>
      </c>
      <c r="K185" s="127">
        <v>7913</v>
      </c>
      <c r="L185" s="127">
        <v>-2646497.5559999999</v>
      </c>
      <c r="M185" s="127">
        <v>5938</v>
      </c>
      <c r="N185" s="127">
        <v>10617.144</v>
      </c>
      <c r="O185" s="127">
        <v>6364</v>
      </c>
      <c r="P185" s="127">
        <v>11378.832</v>
      </c>
      <c r="Q185" s="127">
        <v>-2545</v>
      </c>
      <c r="R185" s="127">
        <v>-4550.46</v>
      </c>
      <c r="S185" s="127">
        <v>0</v>
      </c>
      <c r="T185" s="127">
        <v>0</v>
      </c>
      <c r="U185" s="127">
        <v>-1082333</v>
      </c>
      <c r="V185" s="127">
        <v>-1935211.4040000001</v>
      </c>
      <c r="W185" s="127">
        <v>0</v>
      </c>
      <c r="X185" s="127">
        <v>0</v>
      </c>
      <c r="Y185" s="127">
        <v>-19053</v>
      </c>
      <c r="Z185" s="127">
        <v>-34066.764000000003</v>
      </c>
      <c r="AA185" s="127">
        <v>-25000</v>
      </c>
      <c r="AB185" s="127">
        <v>-44875</v>
      </c>
      <c r="AC185" s="127">
        <v>0</v>
      </c>
      <c r="AD185" s="127">
        <v>0</v>
      </c>
      <c r="AE185" s="127">
        <v>25000</v>
      </c>
      <c r="AF185" s="127">
        <v>44875</v>
      </c>
      <c r="AG185" s="127">
        <v>0</v>
      </c>
      <c r="AH185" s="127">
        <v>0</v>
      </c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">
      <c r="A186" t="s">
        <v>149</v>
      </c>
      <c r="B186" t="s">
        <v>151</v>
      </c>
      <c r="C186">
        <v>23</v>
      </c>
      <c r="D186" t="s">
        <v>140</v>
      </c>
      <c r="E186" s="14">
        <v>-1038487</v>
      </c>
      <c r="F186" s="14">
        <v>-1856814.76</v>
      </c>
      <c r="G186" s="127">
        <v>175151</v>
      </c>
      <c r="H186" s="127">
        <v>313169.98800000001</v>
      </c>
      <c r="I186" s="127">
        <v>-34742</v>
      </c>
      <c r="J186" s="127">
        <v>-62118.696000000004</v>
      </c>
      <c r="K186" s="127">
        <v>-136</v>
      </c>
      <c r="L186" s="127">
        <v>-243.16800000000001</v>
      </c>
      <c r="M186" s="127">
        <v>3084</v>
      </c>
      <c r="N186" s="127">
        <v>5514.192</v>
      </c>
      <c r="O186" s="127">
        <v>1</v>
      </c>
      <c r="P186" s="127">
        <v>1.788</v>
      </c>
      <c r="Q186" s="127">
        <v>0</v>
      </c>
      <c r="R186" s="127">
        <v>0</v>
      </c>
      <c r="S186" s="127">
        <v>0</v>
      </c>
      <c r="T186" s="127">
        <v>0</v>
      </c>
      <c r="U186" s="127">
        <v>-303879</v>
      </c>
      <c r="V186" s="127">
        <v>0</v>
      </c>
      <c r="W186" s="127">
        <v>0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>
        <v>0</v>
      </c>
      <c r="AH186" s="127">
        <v>0</v>
      </c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">
      <c r="A187" t="s">
        <v>149</v>
      </c>
      <c r="B187" t="s">
        <v>151</v>
      </c>
      <c r="C187">
        <v>24</v>
      </c>
      <c r="D187" t="s">
        <v>59</v>
      </c>
      <c r="E187" s="14">
        <v>-50252924</v>
      </c>
      <c r="F187" s="14">
        <v>-2330384.9300000002</v>
      </c>
      <c r="G187" s="127">
        <v>2762839</v>
      </c>
      <c r="H187" s="127">
        <v>755204.55</v>
      </c>
      <c r="I187" s="127">
        <v>6517</v>
      </c>
      <c r="J187" s="127">
        <v>-38368.589999999997</v>
      </c>
      <c r="K187" s="127">
        <v>-30790</v>
      </c>
      <c r="L187" s="127">
        <v>-6283.65</v>
      </c>
      <c r="M187" s="127">
        <v>-1376</v>
      </c>
      <c r="N187" s="127">
        <v>-13902.79</v>
      </c>
      <c r="O187" s="127">
        <v>30000</v>
      </c>
      <c r="P187" s="127">
        <v>53700</v>
      </c>
      <c r="Q187" s="127">
        <v>0</v>
      </c>
      <c r="R187" s="127">
        <v>0</v>
      </c>
      <c r="S187" s="127">
        <v>-39</v>
      </c>
      <c r="T187" s="127">
        <v>-6.4</v>
      </c>
      <c r="U187" s="127">
        <v>0</v>
      </c>
      <c r="V187" s="127">
        <v>0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-383.87</v>
      </c>
      <c r="AC187" s="127">
        <v>0</v>
      </c>
      <c r="AD187" s="127">
        <v>0</v>
      </c>
      <c r="AE187" s="127">
        <v>0</v>
      </c>
      <c r="AF187" s="127">
        <v>0</v>
      </c>
      <c r="AG187" s="127">
        <v>0</v>
      </c>
      <c r="AH187" s="127">
        <v>0</v>
      </c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">
      <c r="A188" t="s">
        <v>149</v>
      </c>
      <c r="B188" t="s">
        <v>151</v>
      </c>
      <c r="C188">
        <v>25</v>
      </c>
      <c r="D188" t="s">
        <v>60</v>
      </c>
      <c r="E188" s="14">
        <v>0</v>
      </c>
      <c r="F188" s="14">
        <v>-15978696.720000001</v>
      </c>
      <c r="G188" s="127">
        <v>0</v>
      </c>
      <c r="H188" s="127">
        <v>-27036.05</v>
      </c>
      <c r="I188" s="127">
        <v>0</v>
      </c>
      <c r="J188" s="127">
        <v>77829.63</v>
      </c>
      <c r="K188" s="127">
        <v>0</v>
      </c>
      <c r="L188" s="127">
        <v>-543.05999999999995</v>
      </c>
      <c r="M188" s="127">
        <v>0</v>
      </c>
      <c r="N188" s="127">
        <v>5524.02</v>
      </c>
      <c r="O188" s="127">
        <v>0</v>
      </c>
      <c r="P188" s="127">
        <v>-33.409999999999997</v>
      </c>
      <c r="Q188" s="127">
        <v>0</v>
      </c>
      <c r="R188" s="127">
        <v>33.409999999999997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0</v>
      </c>
      <c r="AE188" s="127">
        <v>0</v>
      </c>
      <c r="AF188" s="127">
        <v>0</v>
      </c>
      <c r="AG188" s="127">
        <v>0</v>
      </c>
      <c r="AH188" s="127">
        <v>0</v>
      </c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">
      <c r="A189" t="s">
        <v>149</v>
      </c>
      <c r="B189" t="s">
        <v>151</v>
      </c>
      <c r="C189">
        <v>26</v>
      </c>
      <c r="D189" t="s">
        <v>141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">
      <c r="A190" t="s">
        <v>149</v>
      </c>
      <c r="B190" t="s">
        <v>151</v>
      </c>
      <c r="C190">
        <v>27</v>
      </c>
      <c r="D190" t="s">
        <v>142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>
        <v>0</v>
      </c>
      <c r="AH190" s="127">
        <v>0</v>
      </c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">
      <c r="A191" t="s">
        <v>149</v>
      </c>
      <c r="B191" t="s">
        <v>151</v>
      </c>
      <c r="C191">
        <v>28</v>
      </c>
      <c r="D191" t="s">
        <v>143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>
        <v>0</v>
      </c>
      <c r="AH191" s="127">
        <v>0</v>
      </c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">
      <c r="A192" t="s">
        <v>149</v>
      </c>
      <c r="B192" t="s">
        <v>151</v>
      </c>
      <c r="C192">
        <v>29</v>
      </c>
      <c r="D192" t="s">
        <v>144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>
        <v>0</v>
      </c>
      <c r="AH192" s="127">
        <v>0</v>
      </c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">
      <c r="A193" t="s">
        <v>149</v>
      </c>
      <c r="B193" t="s">
        <v>151</v>
      </c>
      <c r="C193">
        <v>30</v>
      </c>
      <c r="D193" t="s">
        <v>145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>
        <v>0</v>
      </c>
      <c r="AH193" s="127">
        <v>0</v>
      </c>
      <c r="AI193" s="127"/>
      <c r="AJ193" s="127"/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">
      <c r="A194" t="s">
        <v>149</v>
      </c>
      <c r="B194" t="s">
        <v>151</v>
      </c>
      <c r="C194">
        <v>31</v>
      </c>
      <c r="D194" t="s">
        <v>146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>
        <v>0</v>
      </c>
      <c r="AH194" s="127">
        <v>0</v>
      </c>
      <c r="AI194" s="127"/>
      <c r="AJ194" s="127"/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">
      <c r="A195" t="s">
        <v>149</v>
      </c>
      <c r="B195" t="s">
        <v>151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>
        <v>0</v>
      </c>
      <c r="AH195" s="127">
        <v>0</v>
      </c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">
      <c r="A196" t="s">
        <v>149</v>
      </c>
      <c r="B196" t="s">
        <v>151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>
        <v>0</v>
      </c>
      <c r="AH196" s="127">
        <v>0</v>
      </c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">
      <c r="A197" t="s">
        <v>149</v>
      </c>
      <c r="B197" t="s">
        <v>151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>
        <v>0</v>
      </c>
      <c r="AH197" s="127">
        <v>0</v>
      </c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">
      <c r="A198" t="s">
        <v>149</v>
      </c>
      <c r="B198" t="s">
        <v>151</v>
      </c>
      <c r="C198">
        <v>35</v>
      </c>
      <c r="D198" t="s">
        <v>77</v>
      </c>
      <c r="E198" s="14">
        <v>0</v>
      </c>
      <c r="F198" s="14">
        <v>0</v>
      </c>
      <c r="G198" s="127">
        <v>0</v>
      </c>
      <c r="H198" s="127">
        <v>-184499.99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>
        <v>0</v>
      </c>
      <c r="AH198" s="127">
        <v>0</v>
      </c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">
      <c r="A199" t="s">
        <v>149</v>
      </c>
      <c r="B199" t="s">
        <v>151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>
        <v>0</v>
      </c>
      <c r="AH199" s="127">
        <v>0</v>
      </c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">
      <c r="A200" t="s">
        <v>149</v>
      </c>
      <c r="B200" t="s">
        <v>151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>
        <v>0</v>
      </c>
      <c r="AH200" s="127">
        <v>0</v>
      </c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">
      <c r="A201" t="s">
        <v>149</v>
      </c>
      <c r="B201" t="s">
        <v>151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>
        <v>0</v>
      </c>
      <c r="AH201" s="127">
        <v>0</v>
      </c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">
      <c r="A202" t="s">
        <v>149</v>
      </c>
      <c r="B202" t="s">
        <v>151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">
      <c r="A203" t="s">
        <v>149</v>
      </c>
      <c r="B203" t="s">
        <v>151</v>
      </c>
      <c r="C203">
        <v>40</v>
      </c>
      <c r="D203" t="s">
        <v>82</v>
      </c>
      <c r="E203" s="14">
        <v>0</v>
      </c>
      <c r="F203" s="14">
        <v>287432.57</v>
      </c>
      <c r="G203" s="127">
        <v>0</v>
      </c>
      <c r="H203" s="127">
        <v>189429.38</v>
      </c>
      <c r="I203" s="127">
        <v>0</v>
      </c>
      <c r="J203" s="127">
        <v>0</v>
      </c>
      <c r="K203" s="127">
        <v>0</v>
      </c>
      <c r="L203" s="127">
        <v>0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>
        <v>0</v>
      </c>
      <c r="AH203" s="127">
        <v>0</v>
      </c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">
      <c r="A204" t="s">
        <v>149</v>
      </c>
      <c r="B204" t="s">
        <v>148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>
        <v>0</v>
      </c>
      <c r="AH204" s="127">
        <v>0</v>
      </c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">
      <c r="A205" t="s">
        <v>149</v>
      </c>
      <c r="B205" t="s">
        <v>148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>
        <v>0</v>
      </c>
      <c r="AH205" s="127">
        <v>0</v>
      </c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">
      <c r="A206" t="s">
        <v>149</v>
      </c>
      <c r="B206" t="s">
        <v>148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>
        <v>0</v>
      </c>
      <c r="AH206" s="127">
        <v>0</v>
      </c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">
      <c r="A207" t="s">
        <v>149</v>
      </c>
      <c r="B207" t="s">
        <v>148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>
        <v>0</v>
      </c>
      <c r="AH207" s="127">
        <v>0</v>
      </c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">
      <c r="A208" t="s">
        <v>149</v>
      </c>
      <c r="B208" t="s">
        <v>148</v>
      </c>
      <c r="C208">
        <v>5</v>
      </c>
      <c r="D208" t="s">
        <v>134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>
        <v>0</v>
      </c>
      <c r="AH208" s="127">
        <v>0</v>
      </c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">
      <c r="A209" t="s">
        <v>149</v>
      </c>
      <c r="B209" t="s">
        <v>148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">
      <c r="A210" t="s">
        <v>149</v>
      </c>
      <c r="B210" t="s">
        <v>148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>
        <v>0</v>
      </c>
      <c r="AH210" s="127">
        <v>0</v>
      </c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">
      <c r="A211" t="s">
        <v>149</v>
      </c>
      <c r="B211" t="s">
        <v>148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>
        <v>0</v>
      </c>
      <c r="AH211" s="127">
        <v>0</v>
      </c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">
      <c r="A212" t="s">
        <v>149</v>
      </c>
      <c r="B212" t="s">
        <v>148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>
        <v>0</v>
      </c>
      <c r="AH212" s="127">
        <v>0</v>
      </c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">
      <c r="A213" t="s">
        <v>149</v>
      </c>
      <c r="B213" t="s">
        <v>148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>
        <v>0</v>
      </c>
      <c r="AH213" s="127">
        <v>0</v>
      </c>
      <c r="AI213" s="127"/>
      <c r="AJ213" s="127"/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">
      <c r="A214" t="s">
        <v>149</v>
      </c>
      <c r="B214" t="s">
        <v>148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>
        <v>0</v>
      </c>
      <c r="AH214" s="127">
        <v>0</v>
      </c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">
      <c r="A215" t="s">
        <v>149</v>
      </c>
      <c r="B215" t="s">
        <v>148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>
        <v>0</v>
      </c>
      <c r="AH215" s="127">
        <v>0</v>
      </c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">
      <c r="A216" t="s">
        <v>149</v>
      </c>
      <c r="B216" t="s">
        <v>148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>
        <v>0</v>
      </c>
      <c r="AH216" s="127">
        <v>0</v>
      </c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">
      <c r="A217" t="s">
        <v>149</v>
      </c>
      <c r="B217" t="s">
        <v>148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>
        <v>0</v>
      </c>
      <c r="AH217" s="127">
        <v>0</v>
      </c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">
      <c r="A218" t="s">
        <v>149</v>
      </c>
      <c r="B218" t="s">
        <v>148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>
        <v>0</v>
      </c>
      <c r="AH218" s="127">
        <v>0</v>
      </c>
      <c r="AI218" s="127"/>
      <c r="AJ218" s="127"/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">
      <c r="A219" t="s">
        <v>149</v>
      </c>
      <c r="B219" t="s">
        <v>148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>
        <v>0</v>
      </c>
      <c r="AH219" s="127">
        <v>0</v>
      </c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">
      <c r="A220" t="s">
        <v>149</v>
      </c>
      <c r="B220" t="s">
        <v>148</v>
      </c>
      <c r="C220">
        <v>17</v>
      </c>
      <c r="D220" t="s">
        <v>135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>
        <v>0</v>
      </c>
      <c r="AH220" s="127">
        <v>0</v>
      </c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">
      <c r="A221" t="s">
        <v>149</v>
      </c>
      <c r="B221" t="s">
        <v>148</v>
      </c>
      <c r="C221">
        <v>18</v>
      </c>
      <c r="D221" t="s">
        <v>136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>
        <v>0</v>
      </c>
      <c r="AH221" s="127">
        <v>0</v>
      </c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">
      <c r="A222" t="s">
        <v>149</v>
      </c>
      <c r="B222" t="s">
        <v>148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>
        <v>0</v>
      </c>
      <c r="AH222" s="127">
        <v>0</v>
      </c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">
      <c r="A223" t="s">
        <v>149</v>
      </c>
      <c r="B223" t="s">
        <v>148</v>
      </c>
      <c r="C223">
        <v>20</v>
      </c>
      <c r="D223" t="s">
        <v>137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>
        <v>0</v>
      </c>
      <c r="AH223" s="127">
        <v>0</v>
      </c>
      <c r="AI223" s="127"/>
      <c r="AJ223" s="127"/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">
      <c r="A224" t="s">
        <v>149</v>
      </c>
      <c r="B224" t="s">
        <v>148</v>
      </c>
      <c r="C224">
        <v>21</v>
      </c>
      <c r="D224" t="s">
        <v>138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>
        <v>0</v>
      </c>
      <c r="AH224" s="127">
        <v>0</v>
      </c>
      <c r="AI224" s="127"/>
      <c r="AJ224" s="127"/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">
      <c r="A225" t="s">
        <v>149</v>
      </c>
      <c r="B225" t="s">
        <v>148</v>
      </c>
      <c r="C225">
        <v>22</v>
      </c>
      <c r="D225" t="s">
        <v>139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>
        <v>0</v>
      </c>
      <c r="AH225" s="127">
        <v>0</v>
      </c>
      <c r="AI225" s="127"/>
      <c r="AJ225" s="127"/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">
      <c r="A226" t="s">
        <v>149</v>
      </c>
      <c r="B226" t="s">
        <v>148</v>
      </c>
      <c r="C226">
        <v>23</v>
      </c>
      <c r="D226" t="s">
        <v>140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>
        <v>0</v>
      </c>
      <c r="AH226" s="127">
        <v>0</v>
      </c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">
      <c r="A227" t="s">
        <v>149</v>
      </c>
      <c r="B227" t="s">
        <v>148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>
        <v>0</v>
      </c>
      <c r="AH227" s="127">
        <v>0</v>
      </c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">
      <c r="A228" t="s">
        <v>149</v>
      </c>
      <c r="B228" t="s">
        <v>148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>
        <v>0</v>
      </c>
      <c r="AH228" s="127">
        <v>0</v>
      </c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">
      <c r="A229" t="s">
        <v>149</v>
      </c>
      <c r="B229" t="s">
        <v>148</v>
      </c>
      <c r="C229">
        <v>26</v>
      </c>
      <c r="D229" t="s">
        <v>141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>
        <v>0</v>
      </c>
      <c r="AH229" s="127">
        <v>0</v>
      </c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">
      <c r="A230" t="s">
        <v>149</v>
      </c>
      <c r="B230" t="s">
        <v>148</v>
      </c>
      <c r="C230">
        <v>27</v>
      </c>
      <c r="D230" t="s">
        <v>142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>
        <v>0</v>
      </c>
      <c r="AH230" s="127">
        <v>0</v>
      </c>
      <c r="AI230" s="127"/>
      <c r="AJ230" s="127"/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">
      <c r="A231" t="s">
        <v>149</v>
      </c>
      <c r="B231" t="s">
        <v>148</v>
      </c>
      <c r="C231">
        <v>28</v>
      </c>
      <c r="D231" t="s">
        <v>143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>
        <v>0</v>
      </c>
      <c r="AH231" s="127">
        <v>0</v>
      </c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">
      <c r="A232" t="s">
        <v>149</v>
      </c>
      <c r="B232" t="s">
        <v>148</v>
      </c>
      <c r="C232">
        <v>29</v>
      </c>
      <c r="D232" t="s">
        <v>144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>
        <v>0</v>
      </c>
      <c r="AH232" s="127">
        <v>0</v>
      </c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">
      <c r="A233" t="s">
        <v>149</v>
      </c>
      <c r="B233" t="s">
        <v>148</v>
      </c>
      <c r="C233">
        <v>30</v>
      </c>
      <c r="D233" t="s">
        <v>145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>
        <v>0</v>
      </c>
      <c r="AH233" s="127">
        <v>0</v>
      </c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">
      <c r="A234" t="s">
        <v>149</v>
      </c>
      <c r="B234" t="s">
        <v>148</v>
      </c>
      <c r="C234">
        <v>31</v>
      </c>
      <c r="D234" t="s">
        <v>146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>
        <v>0</v>
      </c>
      <c r="AH234" s="127">
        <v>0</v>
      </c>
      <c r="AI234" s="127"/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">
      <c r="A235" t="s">
        <v>149</v>
      </c>
      <c r="B235" t="s">
        <v>148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0</v>
      </c>
      <c r="AI235" s="127"/>
      <c r="AJ235" s="127"/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">
      <c r="A236" t="s">
        <v>149</v>
      </c>
      <c r="B236" t="s">
        <v>148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>
        <v>0</v>
      </c>
      <c r="AH236" s="127">
        <v>0</v>
      </c>
      <c r="AI236" s="127"/>
      <c r="AJ236" s="127"/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">
      <c r="A237" t="s">
        <v>149</v>
      </c>
      <c r="B237" t="s">
        <v>148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>
        <v>0</v>
      </c>
      <c r="AH237" s="127">
        <v>0</v>
      </c>
      <c r="AI237" s="127"/>
      <c r="AJ237" s="127"/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">
      <c r="A238" t="s">
        <v>149</v>
      </c>
      <c r="B238" t="s">
        <v>148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>
        <v>0</v>
      </c>
      <c r="AH238" s="127">
        <v>0</v>
      </c>
      <c r="AI238" s="127"/>
      <c r="AJ238" s="127"/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">
      <c r="A239" t="s">
        <v>149</v>
      </c>
      <c r="B239" t="s">
        <v>148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>
        <v>0</v>
      </c>
      <c r="AH239" s="127">
        <v>0</v>
      </c>
      <c r="AI239" s="127"/>
      <c r="AJ239" s="127"/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">
      <c r="A240" t="s">
        <v>149</v>
      </c>
      <c r="B240" t="s">
        <v>148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>
        <v>0</v>
      </c>
      <c r="AH240" s="127">
        <v>0</v>
      </c>
      <c r="AI240" s="127"/>
      <c r="AJ240" s="127"/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">
      <c r="A241" t="s">
        <v>149</v>
      </c>
      <c r="B241" t="s">
        <v>148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>
        <v>0</v>
      </c>
      <c r="AH241" s="127">
        <v>0</v>
      </c>
      <c r="AI241" s="127"/>
      <c r="AJ241" s="127"/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">
      <c r="A242" t="s">
        <v>149</v>
      </c>
      <c r="B242" t="s">
        <v>148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>
        <v>0</v>
      </c>
      <c r="AH242" s="127">
        <v>0</v>
      </c>
      <c r="AI242" s="127"/>
      <c r="AJ242" s="127"/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">
      <c r="A243" t="s">
        <v>149</v>
      </c>
      <c r="B243" t="s">
        <v>148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>
        <v>0</v>
      </c>
      <c r="AH243" s="127">
        <v>0</v>
      </c>
      <c r="AI243" s="127"/>
      <c r="AJ243" s="127"/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">
      <c r="A244" t="s">
        <v>149</v>
      </c>
      <c r="B244" t="s">
        <v>152</v>
      </c>
      <c r="C244">
        <v>1</v>
      </c>
      <c r="D244" t="s">
        <v>29</v>
      </c>
      <c r="E244" s="14">
        <v>13991640</v>
      </c>
      <c r="F244" s="14">
        <v>31923321.450000003</v>
      </c>
      <c r="G244" s="127">
        <v>-2352995</v>
      </c>
      <c r="H244" s="127">
        <v>-3924496.43</v>
      </c>
      <c r="I244" s="127">
        <v>-1069600</v>
      </c>
      <c r="J244" s="127">
        <v>-1210382.07</v>
      </c>
      <c r="K244" s="127">
        <v>676172</v>
      </c>
      <c r="L244" s="127">
        <v>1392773.21</v>
      </c>
      <c r="M244" s="127">
        <v>37199</v>
      </c>
      <c r="N244" s="127">
        <v>101971.19</v>
      </c>
      <c r="O244" s="127">
        <v>-83745</v>
      </c>
      <c r="P244" s="127">
        <v>-181993.60000000001</v>
      </c>
      <c r="Q244" s="127">
        <v>2976847</v>
      </c>
      <c r="R244" s="127">
        <v>5283115.37</v>
      </c>
      <c r="S244" s="127">
        <v>119203</v>
      </c>
      <c r="T244" s="127">
        <v>276752.32</v>
      </c>
      <c r="U244" s="127">
        <v>-3238</v>
      </c>
      <c r="V244" s="127">
        <v>-4058.83</v>
      </c>
      <c r="W244" s="127">
        <v>8542</v>
      </c>
      <c r="X244" s="127">
        <v>14471.48</v>
      </c>
      <c r="Y244" s="127">
        <v>0</v>
      </c>
      <c r="Z244" s="127">
        <v>0</v>
      </c>
      <c r="AA244" s="127">
        <v>0</v>
      </c>
      <c r="AB244" s="127">
        <v>0</v>
      </c>
      <c r="AC244" s="127">
        <v>0</v>
      </c>
      <c r="AD244" s="127">
        <v>0</v>
      </c>
      <c r="AE244" s="127">
        <v>0</v>
      </c>
      <c r="AF244" s="127">
        <v>0</v>
      </c>
      <c r="AG244" s="127">
        <v>0</v>
      </c>
      <c r="AH244" s="127">
        <v>0</v>
      </c>
      <c r="AI244" s="127"/>
      <c r="AJ244" s="127"/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">
      <c r="A245" t="s">
        <v>149</v>
      </c>
      <c r="B245" t="s">
        <v>152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>
        <v>0</v>
      </c>
      <c r="AH245" s="127">
        <v>0</v>
      </c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">
      <c r="A246" t="s">
        <v>149</v>
      </c>
      <c r="B246" t="s">
        <v>152</v>
      </c>
      <c r="C246">
        <v>3</v>
      </c>
      <c r="D246" t="s">
        <v>31</v>
      </c>
      <c r="E246" s="14">
        <v>30030037</v>
      </c>
      <c r="F246" s="14">
        <v>52418185</v>
      </c>
      <c r="G246" s="127">
        <v>0</v>
      </c>
      <c r="H246" s="127">
        <v>0</v>
      </c>
      <c r="I246" s="127">
        <v>-219516</v>
      </c>
      <c r="J246" s="127">
        <v>-368409</v>
      </c>
      <c r="K246" s="127">
        <v>0</v>
      </c>
      <c r="L246" s="127">
        <v>691</v>
      </c>
      <c r="M246" s="127">
        <v>0</v>
      </c>
      <c r="N246" s="127">
        <v>0</v>
      </c>
      <c r="O246" s="127">
        <v>0</v>
      </c>
      <c r="P246" s="127">
        <v>0</v>
      </c>
      <c r="Q246" s="127">
        <v>-5000</v>
      </c>
      <c r="R246" s="127">
        <v>-8650</v>
      </c>
      <c r="S246" s="127">
        <v>0</v>
      </c>
      <c r="T246" s="127">
        <v>0</v>
      </c>
      <c r="U246" s="127">
        <v>957311</v>
      </c>
      <c r="V246" s="127">
        <v>1625596</v>
      </c>
      <c r="W246" s="127">
        <v>957311</v>
      </c>
      <c r="X246" s="127">
        <v>1625596</v>
      </c>
      <c r="Y246" s="127">
        <v>-1690106</v>
      </c>
      <c r="Z246" s="127">
        <v>-2874824</v>
      </c>
      <c r="AA246" s="127">
        <v>252543</v>
      </c>
      <c r="AB246" s="127">
        <v>440888</v>
      </c>
      <c r="AC246" s="127">
        <v>0</v>
      </c>
      <c r="AD246" s="127">
        <v>0</v>
      </c>
      <c r="AE246" s="127">
        <v>-252543</v>
      </c>
      <c r="AF246" s="127">
        <v>-440888</v>
      </c>
      <c r="AG246" s="127">
        <v>0</v>
      </c>
      <c r="AH246" s="127">
        <v>0</v>
      </c>
      <c r="AI246" s="127"/>
      <c r="AJ246" s="127"/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">
      <c r="A247" t="s">
        <v>149</v>
      </c>
      <c r="B247" t="s">
        <v>152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>
        <v>0</v>
      </c>
      <c r="AH247" s="127">
        <v>0</v>
      </c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">
      <c r="A248" t="s">
        <v>149</v>
      </c>
      <c r="B248" t="s">
        <v>152</v>
      </c>
      <c r="C248">
        <v>5</v>
      </c>
      <c r="D248" t="s">
        <v>134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>
        <v>0</v>
      </c>
      <c r="AH248" s="127">
        <v>0</v>
      </c>
      <c r="AI248" s="127"/>
      <c r="AJ248" s="127"/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">
      <c r="A249" t="s">
        <v>149</v>
      </c>
      <c r="B249" t="s">
        <v>152</v>
      </c>
      <c r="C249">
        <v>6</v>
      </c>
      <c r="D249" t="s">
        <v>29</v>
      </c>
      <c r="E249" s="14">
        <v>-22098980</v>
      </c>
      <c r="F249" s="14">
        <v>-28914087.18</v>
      </c>
      <c r="G249" s="127">
        <v>28332487</v>
      </c>
      <c r="H249" s="127">
        <v>40722590.630000003</v>
      </c>
      <c r="I249" s="127">
        <v>-27774684</v>
      </c>
      <c r="J249" s="127">
        <v>-49340342.270000003</v>
      </c>
      <c r="K249" s="127">
        <v>-526101</v>
      </c>
      <c r="L249" s="127">
        <v>-925540.13</v>
      </c>
      <c r="M249" s="127">
        <v>11821</v>
      </c>
      <c r="N249" s="127">
        <v>17524.419999999998</v>
      </c>
      <c r="O249" s="127">
        <v>6585</v>
      </c>
      <c r="P249" s="127">
        <v>13221.6</v>
      </c>
      <c r="Q249" s="127">
        <v>61979</v>
      </c>
      <c r="R249" s="127">
        <v>120107.69</v>
      </c>
      <c r="S249" s="127">
        <v>-129851</v>
      </c>
      <c r="T249" s="127">
        <v>-226916.62</v>
      </c>
      <c r="U249" s="127">
        <v>-673</v>
      </c>
      <c r="V249" s="127">
        <v>-1047.1500000000001</v>
      </c>
      <c r="W249" s="127">
        <v>-47868</v>
      </c>
      <c r="X249" s="127">
        <v>-80657.58</v>
      </c>
      <c r="Y249" s="127">
        <v>10000</v>
      </c>
      <c r="Z249" s="127">
        <v>17700</v>
      </c>
      <c r="AA249" s="127">
        <v>0</v>
      </c>
      <c r="AB249" s="127">
        <v>0</v>
      </c>
      <c r="AC249" s="127">
        <v>0</v>
      </c>
      <c r="AD249" s="127">
        <v>0</v>
      </c>
      <c r="AE249" s="127">
        <v>0</v>
      </c>
      <c r="AF249" s="127">
        <v>0</v>
      </c>
      <c r="AG249" s="127">
        <v>0</v>
      </c>
      <c r="AH249" s="127">
        <v>0</v>
      </c>
      <c r="AI249" s="127"/>
      <c r="AJ249" s="127"/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">
      <c r="A250" t="s">
        <v>149</v>
      </c>
      <c r="B250" t="s">
        <v>152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0</v>
      </c>
      <c r="AI250" s="127"/>
      <c r="AJ250" s="127"/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">
      <c r="A251" t="s">
        <v>149</v>
      </c>
      <c r="B251" t="s">
        <v>152</v>
      </c>
      <c r="C251">
        <v>8</v>
      </c>
      <c r="D251" t="s">
        <v>31</v>
      </c>
      <c r="E251" s="14">
        <v>-30179525</v>
      </c>
      <c r="F251" s="14">
        <v>-52688368</v>
      </c>
      <c r="G251" s="127">
        <v>0</v>
      </c>
      <c r="H251" s="127">
        <v>0</v>
      </c>
      <c r="I251" s="127">
        <v>282462</v>
      </c>
      <c r="J251" s="127">
        <v>491526</v>
      </c>
      <c r="K251" s="127">
        <v>0</v>
      </c>
      <c r="L251" s="127">
        <v>0</v>
      </c>
      <c r="M251" s="127">
        <v>4494</v>
      </c>
      <c r="N251" s="127">
        <v>7707</v>
      </c>
      <c r="O251" s="127">
        <v>0</v>
      </c>
      <c r="P251" s="127">
        <v>0</v>
      </c>
      <c r="Q251" s="127">
        <v>0</v>
      </c>
      <c r="R251" s="127">
        <v>0</v>
      </c>
      <c r="S251" s="127">
        <v>0</v>
      </c>
      <c r="T251" s="127">
        <v>0</v>
      </c>
      <c r="U251" s="127">
        <v>-957311</v>
      </c>
      <c r="V251" s="127">
        <v>-1625596</v>
      </c>
      <c r="W251" s="127">
        <v>-957311</v>
      </c>
      <c r="X251" s="127">
        <v>-1625596</v>
      </c>
      <c r="Y251" s="127">
        <v>1627666</v>
      </c>
      <c r="Z251" s="127">
        <v>2751959</v>
      </c>
      <c r="AA251" s="127">
        <v>-271596</v>
      </c>
      <c r="AB251" s="127">
        <v>-489975</v>
      </c>
      <c r="AC251" s="127">
        <v>0</v>
      </c>
      <c r="AD251" s="127">
        <v>0</v>
      </c>
      <c r="AE251" s="127">
        <v>271596</v>
      </c>
      <c r="AF251" s="127">
        <v>489975</v>
      </c>
      <c r="AG251" s="127">
        <v>0</v>
      </c>
      <c r="AH251" s="127">
        <v>0</v>
      </c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">
      <c r="A252" t="s">
        <v>149</v>
      </c>
      <c r="B252" t="s">
        <v>152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>
        <v>0</v>
      </c>
      <c r="AH252" s="127">
        <v>0</v>
      </c>
      <c r="AI252" s="127"/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">
      <c r="A253" t="s">
        <v>149</v>
      </c>
      <c r="B253" t="s">
        <v>152</v>
      </c>
      <c r="C253">
        <v>10</v>
      </c>
      <c r="D253" t="s">
        <v>36</v>
      </c>
      <c r="E253" s="14">
        <v>0</v>
      </c>
      <c r="F253" s="14">
        <v>0</v>
      </c>
      <c r="G253" s="127">
        <v>3148</v>
      </c>
      <c r="H253" s="127">
        <v>5876</v>
      </c>
      <c r="I253" s="127">
        <v>1807</v>
      </c>
      <c r="J253" s="127">
        <v>3099.01</v>
      </c>
      <c r="K253" s="127">
        <v>2</v>
      </c>
      <c r="L253" s="127">
        <v>3.43</v>
      </c>
      <c r="M253" s="127">
        <v>35</v>
      </c>
      <c r="N253" s="127">
        <v>60.03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>
        <v>0</v>
      </c>
      <c r="AH253" s="127">
        <v>0</v>
      </c>
      <c r="AI253" s="127"/>
      <c r="AJ253" s="127"/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">
      <c r="A254" t="s">
        <v>149</v>
      </c>
      <c r="B254" t="s">
        <v>152</v>
      </c>
      <c r="C254">
        <v>11</v>
      </c>
      <c r="D254" t="s">
        <v>39</v>
      </c>
      <c r="E254" s="14">
        <v>33205385</v>
      </c>
      <c r="F254" s="14">
        <v>58683893.939999998</v>
      </c>
      <c r="G254" s="127">
        <v>-18399121</v>
      </c>
      <c r="H254" s="127">
        <v>-32382373.91</v>
      </c>
      <c r="I254" s="127">
        <v>195216</v>
      </c>
      <c r="J254" s="127">
        <v>347484.8</v>
      </c>
      <c r="K254" s="127">
        <v>151304</v>
      </c>
      <c r="L254" s="127">
        <v>269321.12</v>
      </c>
      <c r="M254" s="127">
        <v>5376</v>
      </c>
      <c r="N254" s="127">
        <v>9569.2800000000007</v>
      </c>
      <c r="O254" s="127">
        <v>-29172</v>
      </c>
      <c r="P254" s="127">
        <v>-51927</v>
      </c>
      <c r="Q254" s="127">
        <v>-2872269</v>
      </c>
      <c r="R254" s="127">
        <v>-5062039.37</v>
      </c>
      <c r="S254" s="127">
        <v>0</v>
      </c>
      <c r="T254" s="127">
        <v>0</v>
      </c>
      <c r="U254" s="127">
        <v>0</v>
      </c>
      <c r="V254" s="127">
        <v>0</v>
      </c>
      <c r="W254" s="127">
        <v>47868</v>
      </c>
      <c r="X254" s="127">
        <v>85205.04</v>
      </c>
      <c r="Y254" s="127">
        <v>-9710</v>
      </c>
      <c r="Z254" s="127">
        <v>-17283.8</v>
      </c>
      <c r="AA254" s="127">
        <v>0</v>
      </c>
      <c r="AB254" s="127">
        <v>0</v>
      </c>
      <c r="AC254" s="127">
        <v>0</v>
      </c>
      <c r="AD254" s="127">
        <v>0</v>
      </c>
      <c r="AE254" s="127">
        <v>0</v>
      </c>
      <c r="AF254" s="127">
        <v>0</v>
      </c>
      <c r="AG254" s="127">
        <v>0</v>
      </c>
      <c r="AH254" s="127">
        <v>0</v>
      </c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">
      <c r="A255" t="s">
        <v>149</v>
      </c>
      <c r="B255" t="s">
        <v>152</v>
      </c>
      <c r="C255">
        <v>12</v>
      </c>
      <c r="D255" t="s">
        <v>40</v>
      </c>
      <c r="E255" s="14">
        <v>-28542883</v>
      </c>
      <c r="F255" s="14">
        <v>-50684924.219999999</v>
      </c>
      <c r="G255" s="127">
        <v>-23105565</v>
      </c>
      <c r="H255" s="127">
        <v>-41007399.309999995</v>
      </c>
      <c r="I255" s="127">
        <v>28568659</v>
      </c>
      <c r="J255" s="127">
        <v>50730813.140000001</v>
      </c>
      <c r="K255" s="127">
        <v>17059092</v>
      </c>
      <c r="L255" s="127">
        <v>30365175.899999999</v>
      </c>
      <c r="M255" s="127">
        <v>-41282</v>
      </c>
      <c r="N255" s="127">
        <v>-74011.649999999994</v>
      </c>
      <c r="O255" s="127">
        <v>6795</v>
      </c>
      <c r="P255" s="127">
        <v>12095</v>
      </c>
      <c r="Q255" s="127">
        <v>65673</v>
      </c>
      <c r="R255" s="127">
        <v>116898</v>
      </c>
      <c r="S255" s="127">
        <v>10000</v>
      </c>
      <c r="T255" s="127">
        <v>17700</v>
      </c>
      <c r="U255" s="127">
        <v>1600</v>
      </c>
      <c r="V255" s="127">
        <v>2848</v>
      </c>
      <c r="W255" s="127">
        <v>-49967</v>
      </c>
      <c r="X255" s="127">
        <v>-88941.26</v>
      </c>
      <c r="Y255" s="127">
        <v>326542</v>
      </c>
      <c r="Z255" s="127">
        <v>581244.76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>
        <v>0</v>
      </c>
      <c r="AH255" s="127">
        <v>0</v>
      </c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">
      <c r="A256" t="s">
        <v>149</v>
      </c>
      <c r="B256" t="s">
        <v>152</v>
      </c>
      <c r="C256">
        <v>13</v>
      </c>
      <c r="D256" t="s">
        <v>43</v>
      </c>
      <c r="E256" s="14">
        <v>0</v>
      </c>
      <c r="F256" s="14">
        <v>0</v>
      </c>
      <c r="G256" s="127">
        <v>-14097</v>
      </c>
      <c r="H256" s="127">
        <v>-24176</v>
      </c>
      <c r="I256" s="127">
        <v>213574</v>
      </c>
      <c r="J256" s="127">
        <v>386825.19</v>
      </c>
      <c r="K256" s="127">
        <v>-164523</v>
      </c>
      <c r="L256" s="127">
        <v>-302703.08</v>
      </c>
      <c r="M256" s="127">
        <v>67665</v>
      </c>
      <c r="N256" s="127">
        <v>163865.93</v>
      </c>
      <c r="O256" s="127">
        <v>1545</v>
      </c>
      <c r="P256" s="127">
        <v>3476.25</v>
      </c>
      <c r="Q256" s="127">
        <v>-64348</v>
      </c>
      <c r="R256" s="127">
        <v>-220711.826</v>
      </c>
      <c r="S256" s="127">
        <v>84625</v>
      </c>
      <c r="T256" s="127">
        <v>279820.86</v>
      </c>
      <c r="U256" s="127">
        <v>82572</v>
      </c>
      <c r="V256" s="127">
        <v>116449.83</v>
      </c>
      <c r="W256" s="127">
        <v>128278</v>
      </c>
      <c r="X256" s="127">
        <v>219996.77</v>
      </c>
      <c r="Y256" s="127">
        <v>27795</v>
      </c>
      <c r="Z256" s="127">
        <v>47668.425000000003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">
      <c r="A257" t="s">
        <v>149</v>
      </c>
      <c r="B257" t="s">
        <v>152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>
        <v>0</v>
      </c>
      <c r="AH257" s="127">
        <v>0</v>
      </c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">
      <c r="A258" t="s">
        <v>149</v>
      </c>
      <c r="B258" t="s">
        <v>152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>
        <v>0</v>
      </c>
      <c r="AH258" s="127">
        <v>0</v>
      </c>
      <c r="AI258" s="127"/>
      <c r="AJ258" s="127"/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">
      <c r="A259" t="s">
        <v>149</v>
      </c>
      <c r="B259" t="s">
        <v>152</v>
      </c>
      <c r="C259">
        <v>16</v>
      </c>
      <c r="D259" t="s">
        <v>46</v>
      </c>
      <c r="E259" s="14">
        <v>0</v>
      </c>
      <c r="F259" s="14">
        <v>0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>
        <v>0</v>
      </c>
      <c r="AH259" s="127">
        <v>0</v>
      </c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">
      <c r="A260" t="s">
        <v>149</v>
      </c>
      <c r="B260" t="s">
        <v>152</v>
      </c>
      <c r="C260">
        <v>17</v>
      </c>
      <c r="D260" t="s">
        <v>135</v>
      </c>
      <c r="E260" s="14">
        <v>3288769</v>
      </c>
      <c r="F260" s="14">
        <v>6011464.0199999996</v>
      </c>
      <c r="G260" s="127">
        <v>15541320</v>
      </c>
      <c r="H260" s="127">
        <v>28475738.98</v>
      </c>
      <c r="I260" s="127">
        <v>-274810</v>
      </c>
      <c r="J260" s="127">
        <v>-503514.08</v>
      </c>
      <c r="K260" s="127">
        <v>-16653389</v>
      </c>
      <c r="L260" s="127">
        <v>-30513367.850000001</v>
      </c>
      <c r="M260" s="127">
        <v>-9196</v>
      </c>
      <c r="N260" s="127">
        <v>-16849.46</v>
      </c>
      <c r="O260" s="127">
        <v>56863</v>
      </c>
      <c r="P260" s="127">
        <v>116641.3</v>
      </c>
      <c r="Q260" s="127">
        <v>-69962</v>
      </c>
      <c r="R260" s="127">
        <v>-429341.2</v>
      </c>
      <c r="S260" s="127">
        <v>4590</v>
      </c>
      <c r="T260" s="127">
        <v>7818.13</v>
      </c>
      <c r="U260" s="127">
        <v>4870</v>
      </c>
      <c r="V260" s="127">
        <v>7823.04</v>
      </c>
      <c r="W260" s="127">
        <v>0</v>
      </c>
      <c r="X260" s="127">
        <v>0</v>
      </c>
      <c r="Y260" s="127">
        <v>-352845</v>
      </c>
      <c r="Z260" s="127">
        <v>-694923.87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>
        <v>0</v>
      </c>
      <c r="AH260" s="127">
        <v>0</v>
      </c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">
      <c r="A261" t="s">
        <v>149</v>
      </c>
      <c r="B261" t="s">
        <v>152</v>
      </c>
      <c r="C261">
        <v>18</v>
      </c>
      <c r="D261" t="s">
        <v>136</v>
      </c>
      <c r="E261" s="14">
        <v>0</v>
      </c>
      <c r="F261" s="14">
        <v>0</v>
      </c>
      <c r="G261" s="127">
        <v>0</v>
      </c>
      <c r="H261" s="127">
        <v>0</v>
      </c>
      <c r="I261" s="127">
        <v>0</v>
      </c>
      <c r="J261" s="127">
        <v>0</v>
      </c>
      <c r="K261" s="127">
        <v>-438916</v>
      </c>
      <c r="L261" s="127">
        <v>-752740.94</v>
      </c>
      <c r="M261" s="127">
        <v>0</v>
      </c>
      <c r="N261" s="127">
        <v>0</v>
      </c>
      <c r="O261" s="127">
        <v>0</v>
      </c>
      <c r="P261" s="127">
        <v>0</v>
      </c>
      <c r="Q261" s="127">
        <v>0</v>
      </c>
      <c r="R261" s="127">
        <v>-28529.54</v>
      </c>
      <c r="S261" s="127">
        <v>-25739</v>
      </c>
      <c r="T261" s="127">
        <v>-45815.42</v>
      </c>
      <c r="U261" s="127">
        <v>2</v>
      </c>
      <c r="V261" s="127">
        <v>3.56</v>
      </c>
      <c r="W261" s="127">
        <v>4515</v>
      </c>
      <c r="X261" s="127">
        <v>8036.7</v>
      </c>
      <c r="Y261" s="127">
        <v>0</v>
      </c>
      <c r="Z261" s="127">
        <v>0</v>
      </c>
      <c r="AA261" s="127">
        <v>0</v>
      </c>
      <c r="AB261" s="127">
        <v>0</v>
      </c>
      <c r="AC261" s="127">
        <v>0</v>
      </c>
      <c r="AD261" s="127">
        <v>0</v>
      </c>
      <c r="AE261" s="127">
        <v>0</v>
      </c>
      <c r="AF261" s="127">
        <v>0</v>
      </c>
      <c r="AG261" s="127">
        <v>0</v>
      </c>
      <c r="AH261" s="127">
        <v>0</v>
      </c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">
      <c r="A262" t="s">
        <v>149</v>
      </c>
      <c r="B262" t="s">
        <v>152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>
        <v>0</v>
      </c>
      <c r="AH262" s="127">
        <v>0</v>
      </c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">
      <c r="A263" t="s">
        <v>149</v>
      </c>
      <c r="B263" t="s">
        <v>152</v>
      </c>
      <c r="C263">
        <v>20</v>
      </c>
      <c r="D263" t="s">
        <v>137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>
        <v>0</v>
      </c>
      <c r="AH263" s="127">
        <v>0</v>
      </c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">
      <c r="A264" t="s">
        <v>149</v>
      </c>
      <c r="B264" t="s">
        <v>152</v>
      </c>
      <c r="C264">
        <v>21</v>
      </c>
      <c r="D264" t="s">
        <v>138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>
        <v>0</v>
      </c>
      <c r="AH264" s="127">
        <v>0</v>
      </c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">
      <c r="A265" t="s">
        <v>149</v>
      </c>
      <c r="B265" t="s">
        <v>152</v>
      </c>
      <c r="C265">
        <v>22</v>
      </c>
      <c r="D265" t="s">
        <v>139</v>
      </c>
      <c r="E265" s="14">
        <v>144928</v>
      </c>
      <c r="F265" s="14">
        <v>248551.52</v>
      </c>
      <c r="G265" s="127">
        <v>-5177</v>
      </c>
      <c r="H265" s="127">
        <v>-46553.195</v>
      </c>
      <c r="I265" s="127">
        <v>76892</v>
      </c>
      <c r="J265" s="127">
        <v>-49152.86</v>
      </c>
      <c r="K265" s="127">
        <v>-103641</v>
      </c>
      <c r="L265" s="127">
        <v>40555.684999999998</v>
      </c>
      <c r="M265" s="127">
        <v>-76112</v>
      </c>
      <c r="N265" s="127">
        <v>-130532.08</v>
      </c>
      <c r="O265" s="127">
        <v>41129</v>
      </c>
      <c r="P265" s="127">
        <v>70536.235000000001</v>
      </c>
      <c r="Q265" s="127">
        <v>-92920</v>
      </c>
      <c r="R265" s="127">
        <v>-159357.79999999999</v>
      </c>
      <c r="S265" s="127">
        <v>-62828</v>
      </c>
      <c r="T265" s="127">
        <v>-107750.02</v>
      </c>
      <c r="U265" s="127">
        <v>-85133</v>
      </c>
      <c r="V265" s="127">
        <v>-146003.095</v>
      </c>
      <c r="W265" s="127">
        <v>-91368</v>
      </c>
      <c r="X265" s="127">
        <v>-156696.12</v>
      </c>
      <c r="Y265" s="127">
        <v>60658</v>
      </c>
      <c r="Z265" s="127">
        <v>104028.47</v>
      </c>
      <c r="AA265" s="127">
        <v>19053</v>
      </c>
      <c r="AB265" s="127">
        <v>34066.764000000003</v>
      </c>
      <c r="AC265" s="127">
        <v>0</v>
      </c>
      <c r="AD265" s="127">
        <v>0</v>
      </c>
      <c r="AE265" s="127">
        <v>-19053</v>
      </c>
      <c r="AF265" s="127">
        <v>-34066.764000000003</v>
      </c>
      <c r="AG265" s="127">
        <v>0</v>
      </c>
      <c r="AH265" s="127">
        <v>0</v>
      </c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">
      <c r="A266" t="s">
        <v>149</v>
      </c>
      <c r="B266" t="s">
        <v>152</v>
      </c>
      <c r="C266">
        <v>23</v>
      </c>
      <c r="D266" t="s">
        <v>140</v>
      </c>
      <c r="E266" s="14">
        <v>0</v>
      </c>
      <c r="F266" s="14">
        <v>0</v>
      </c>
      <c r="G266" s="127">
        <v>-3148</v>
      </c>
      <c r="H266" s="127">
        <v>-5876</v>
      </c>
      <c r="I266" s="127">
        <v>-1807</v>
      </c>
      <c r="J266" s="127">
        <v>-3099.01</v>
      </c>
      <c r="K266" s="127">
        <v>-2</v>
      </c>
      <c r="L266" s="127">
        <v>-3.43</v>
      </c>
      <c r="M266" s="127">
        <v>-35</v>
      </c>
      <c r="N266" s="127">
        <v>-60.03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>
        <v>0</v>
      </c>
      <c r="AH266" s="127">
        <v>0</v>
      </c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">
      <c r="A267" t="s">
        <v>149</v>
      </c>
      <c r="B267" t="s">
        <v>152</v>
      </c>
      <c r="C267">
        <v>24</v>
      </c>
      <c r="D267" t="s">
        <v>59</v>
      </c>
      <c r="E267" s="14">
        <v>-3179698</v>
      </c>
      <c r="F267" s="14">
        <v>848376.54</v>
      </c>
      <c r="G267" s="127">
        <v>51445002</v>
      </c>
      <c r="H267" s="127">
        <v>603289.94999999995</v>
      </c>
      <c r="I267" s="127">
        <v>-25972291</v>
      </c>
      <c r="J267" s="127">
        <v>-1309355.42</v>
      </c>
      <c r="K267" s="127">
        <v>-180934</v>
      </c>
      <c r="L267" s="127">
        <v>-108995.19</v>
      </c>
      <c r="M267" s="127">
        <v>54047</v>
      </c>
      <c r="N267" s="127">
        <v>573.23</v>
      </c>
      <c r="O267" s="127">
        <v>0</v>
      </c>
      <c r="P267" s="127">
        <v>770</v>
      </c>
      <c r="Q267" s="127">
        <v>0</v>
      </c>
      <c r="R267" s="127">
        <v>-9693</v>
      </c>
      <c r="S267" s="127">
        <v>-24529</v>
      </c>
      <c r="T267" s="127">
        <v>247.05</v>
      </c>
      <c r="U267" s="127">
        <v>-673</v>
      </c>
      <c r="V267" s="127">
        <v>28.57</v>
      </c>
      <c r="W267" s="127">
        <v>4515</v>
      </c>
      <c r="X267" s="127">
        <v>-45.15</v>
      </c>
      <c r="Y267" s="127">
        <v>369477</v>
      </c>
      <c r="Z267" s="127">
        <v>997.05</v>
      </c>
      <c r="AA267" s="127">
        <v>0</v>
      </c>
      <c r="AB267" s="127">
        <v>0</v>
      </c>
      <c r="AC267" s="127">
        <v>0</v>
      </c>
      <c r="AD267" s="127">
        <v>0</v>
      </c>
      <c r="AE267" s="127">
        <v>0</v>
      </c>
      <c r="AF267" s="127">
        <v>0</v>
      </c>
      <c r="AG267" s="127">
        <v>0</v>
      </c>
      <c r="AH267" s="127">
        <v>0</v>
      </c>
      <c r="AI267" s="127"/>
      <c r="AJ267" s="127"/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">
      <c r="A268" t="s">
        <v>149</v>
      </c>
      <c r="B268" t="s">
        <v>152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>
        <v>0</v>
      </c>
      <c r="AH268" s="127">
        <v>0</v>
      </c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">
      <c r="A269" t="s">
        <v>149</v>
      </c>
      <c r="B269" t="s">
        <v>152</v>
      </c>
      <c r="C269">
        <v>26</v>
      </c>
      <c r="D269" t="s">
        <v>141</v>
      </c>
      <c r="E269" s="14">
        <v>0</v>
      </c>
      <c r="F269" s="14">
        <v>0</v>
      </c>
      <c r="G269" s="127">
        <v>0</v>
      </c>
      <c r="H269" s="127">
        <v>0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0</v>
      </c>
      <c r="R269" s="127">
        <v>200</v>
      </c>
      <c r="S269" s="127">
        <v>0</v>
      </c>
      <c r="T269" s="127">
        <v>0</v>
      </c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>
        <v>0</v>
      </c>
      <c r="AH269" s="127">
        <v>0</v>
      </c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">
      <c r="A270" t="s">
        <v>149</v>
      </c>
      <c r="B270" t="s">
        <v>152</v>
      </c>
      <c r="C270">
        <v>27</v>
      </c>
      <c r="D270" t="s">
        <v>142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>
        <v>0</v>
      </c>
      <c r="AH270" s="127">
        <v>0</v>
      </c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">
      <c r="A271" t="s">
        <v>149</v>
      </c>
      <c r="B271" t="s">
        <v>152</v>
      </c>
      <c r="C271">
        <v>28</v>
      </c>
      <c r="D271" t="s">
        <v>143</v>
      </c>
      <c r="E271" s="14">
        <v>-25993375</v>
      </c>
      <c r="F271" s="14">
        <v>-842621.87</v>
      </c>
      <c r="G271" s="127">
        <v>-41834941</v>
      </c>
      <c r="H271" s="127">
        <v>-584872.41</v>
      </c>
      <c r="I271" s="127">
        <v>11484140</v>
      </c>
      <c r="J271" s="127">
        <v>697160.06</v>
      </c>
      <c r="K271" s="127">
        <v>227621</v>
      </c>
      <c r="L271" s="127">
        <v>584.62</v>
      </c>
      <c r="M271" s="127">
        <v>21347</v>
      </c>
      <c r="N271" s="127">
        <v>-24.71</v>
      </c>
      <c r="O271" s="127">
        <v>-58407</v>
      </c>
      <c r="P271" s="127">
        <v>375</v>
      </c>
      <c r="Q271" s="127">
        <v>86495</v>
      </c>
      <c r="R271" s="127">
        <v>-810</v>
      </c>
      <c r="S271" s="127">
        <v>-2781</v>
      </c>
      <c r="T271" s="127">
        <v>-7.0000000000000007E-2</v>
      </c>
      <c r="U271" s="127">
        <v>-6679</v>
      </c>
      <c r="V271" s="127">
        <v>0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>
        <v>0</v>
      </c>
      <c r="AH271" s="127">
        <v>0</v>
      </c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">
      <c r="A272" t="s">
        <v>149</v>
      </c>
      <c r="B272" t="s">
        <v>152</v>
      </c>
      <c r="C272">
        <v>29</v>
      </c>
      <c r="D272" t="s">
        <v>144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>
        <v>0</v>
      </c>
      <c r="AH272" s="127">
        <v>0</v>
      </c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">
      <c r="A273" t="s">
        <v>149</v>
      </c>
      <c r="B273" t="s">
        <v>152</v>
      </c>
      <c r="C273">
        <v>30</v>
      </c>
      <c r="D273" t="s">
        <v>145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>
        <v>0</v>
      </c>
      <c r="AH273" s="127">
        <v>0</v>
      </c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">
      <c r="A274" t="s">
        <v>149</v>
      </c>
      <c r="B274" t="s">
        <v>152</v>
      </c>
      <c r="C274">
        <v>31</v>
      </c>
      <c r="D274" t="s">
        <v>146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>
        <v>0</v>
      </c>
      <c r="AH274" s="127">
        <v>0</v>
      </c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">
      <c r="A275" t="s">
        <v>149</v>
      </c>
      <c r="B275" t="s">
        <v>152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>
        <v>0</v>
      </c>
      <c r="AH275" s="127">
        <v>0</v>
      </c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">
      <c r="A276" t="s">
        <v>149</v>
      </c>
      <c r="B276" t="s">
        <v>152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>
        <v>0</v>
      </c>
      <c r="AH276" s="127">
        <v>0</v>
      </c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">
      <c r="A277" t="s">
        <v>149</v>
      </c>
      <c r="B277" t="s">
        <v>152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>
        <v>0</v>
      </c>
      <c r="AH277" s="127">
        <v>0</v>
      </c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">
      <c r="A278" t="s">
        <v>149</v>
      </c>
      <c r="B278" t="s">
        <v>152</v>
      </c>
      <c r="C278">
        <v>35</v>
      </c>
      <c r="D278" t="s">
        <v>77</v>
      </c>
      <c r="E278" s="14">
        <v>0</v>
      </c>
      <c r="F278" s="14">
        <v>0</v>
      </c>
      <c r="G278" s="127">
        <v>0</v>
      </c>
      <c r="H278" s="127">
        <v>-60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>
        <v>0</v>
      </c>
      <c r="AH278" s="127">
        <v>0</v>
      </c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">
      <c r="A279" t="s">
        <v>149</v>
      </c>
      <c r="B279" t="s">
        <v>152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>
        <v>0</v>
      </c>
      <c r="AH279" s="127">
        <v>0</v>
      </c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">
      <c r="A280" t="s">
        <v>149</v>
      </c>
      <c r="B280" t="s">
        <v>152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>
        <v>0</v>
      </c>
      <c r="AH280" s="127">
        <v>0</v>
      </c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">
      <c r="A281" t="s">
        <v>149</v>
      </c>
      <c r="B281" t="s">
        <v>152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>
        <v>0</v>
      </c>
      <c r="AH281" s="127">
        <v>0</v>
      </c>
      <c r="AI281" s="127"/>
      <c r="AJ281" s="127"/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">
      <c r="A282" t="s">
        <v>149</v>
      </c>
      <c r="B282" t="s">
        <v>152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>
        <v>0</v>
      </c>
      <c r="AH282" s="127">
        <v>0</v>
      </c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">
      <c r="A283" t="s">
        <v>149</v>
      </c>
      <c r="B283" t="s">
        <v>152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>
        <v>0</v>
      </c>
      <c r="AH283" s="127">
        <v>0</v>
      </c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">
      <c r="A284" t="s">
        <v>149</v>
      </c>
      <c r="B284" t="s">
        <v>153</v>
      </c>
      <c r="C284">
        <v>1</v>
      </c>
      <c r="D284" t="s">
        <v>29</v>
      </c>
      <c r="E284" s="14">
        <v>26634801</v>
      </c>
      <c r="F284" s="14">
        <v>47340207.019999996</v>
      </c>
      <c r="G284" s="127">
        <v>3868</v>
      </c>
      <c r="H284" s="127">
        <v>-138185.15</v>
      </c>
      <c r="I284" s="127">
        <v>-291499</v>
      </c>
      <c r="J284" s="127">
        <v>-260712.45</v>
      </c>
      <c r="K284" s="127">
        <v>35040</v>
      </c>
      <c r="L284" s="127">
        <v>54335.28</v>
      </c>
      <c r="M284" s="127">
        <v>5000</v>
      </c>
      <c r="N284" s="127">
        <v>8850</v>
      </c>
      <c r="O284" s="127">
        <v>0</v>
      </c>
      <c r="P284" s="127">
        <v>0</v>
      </c>
      <c r="Q284" s="127">
        <v>131247</v>
      </c>
      <c r="R284" s="127">
        <v>0</v>
      </c>
      <c r="S284" s="127">
        <v>-89329</v>
      </c>
      <c r="T284" s="127">
        <v>65742.42</v>
      </c>
      <c r="U284" s="127">
        <v>0</v>
      </c>
      <c r="V284" s="127">
        <v>0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>
        <v>0</v>
      </c>
      <c r="AH284" s="127">
        <v>0</v>
      </c>
      <c r="AI284" s="127"/>
      <c r="AJ284" s="127"/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">
      <c r="A285" t="s">
        <v>149</v>
      </c>
      <c r="B285" t="s">
        <v>153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>
        <v>0</v>
      </c>
      <c r="AH285" s="127">
        <v>0</v>
      </c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">
      <c r="A286" t="s">
        <v>149</v>
      </c>
      <c r="B286" t="s">
        <v>153</v>
      </c>
      <c r="C286">
        <v>3</v>
      </c>
      <c r="D286" t="s">
        <v>31</v>
      </c>
      <c r="E286" s="14">
        <v>16058211</v>
      </c>
      <c r="F286" s="14">
        <v>27637178</v>
      </c>
      <c r="G286" s="127">
        <v>0</v>
      </c>
      <c r="H286" s="127">
        <v>0</v>
      </c>
      <c r="I286" s="127">
        <v>-68387</v>
      </c>
      <c r="J286" s="127">
        <v>-117260</v>
      </c>
      <c r="K286" s="127">
        <v>0</v>
      </c>
      <c r="L286" s="127">
        <v>0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0</v>
      </c>
      <c r="T286" s="127">
        <v>0</v>
      </c>
      <c r="U286" s="127">
        <v>0</v>
      </c>
      <c r="V286" s="127">
        <v>0</v>
      </c>
      <c r="W286" s="127">
        <v>805845</v>
      </c>
      <c r="X286" s="127">
        <v>1361834</v>
      </c>
      <c r="Y286" s="127">
        <v>-737458</v>
      </c>
      <c r="Z286" s="127">
        <v>-1244574</v>
      </c>
      <c r="AA286" s="127">
        <v>0</v>
      </c>
      <c r="AB286" s="127">
        <v>0</v>
      </c>
      <c r="AC286" s="127">
        <v>0</v>
      </c>
      <c r="AD286" s="127">
        <v>0</v>
      </c>
      <c r="AE286" s="127">
        <v>0</v>
      </c>
      <c r="AF286" s="127">
        <v>0</v>
      </c>
      <c r="AG286" s="127">
        <v>0</v>
      </c>
      <c r="AH286" s="127">
        <v>0</v>
      </c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">
      <c r="A287" t="s">
        <v>149</v>
      </c>
      <c r="B287" t="s">
        <v>153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>
        <v>0</v>
      </c>
      <c r="AH287" s="127">
        <v>0</v>
      </c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">
      <c r="A288" t="s">
        <v>149</v>
      </c>
      <c r="B288" t="s">
        <v>153</v>
      </c>
      <c r="C288">
        <v>5</v>
      </c>
      <c r="D288" t="s">
        <v>134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>
        <v>0</v>
      </c>
      <c r="AH288" s="127">
        <v>0</v>
      </c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">
      <c r="A289" t="s">
        <v>149</v>
      </c>
      <c r="B289" t="s">
        <v>153</v>
      </c>
      <c r="C289">
        <v>6</v>
      </c>
      <c r="D289" t="s">
        <v>29</v>
      </c>
      <c r="E289" s="14">
        <v>-27908771</v>
      </c>
      <c r="F289" s="14">
        <v>-47096707.980000004</v>
      </c>
      <c r="G289" s="127">
        <v>3042</v>
      </c>
      <c r="H289" s="127">
        <v>522936.8</v>
      </c>
      <c r="I289" s="127">
        <v>280000</v>
      </c>
      <c r="J289" s="127">
        <v>302250.75</v>
      </c>
      <c r="K289" s="127">
        <v>4550</v>
      </c>
      <c r="L289" s="127">
        <v>6742.17</v>
      </c>
      <c r="M289" s="127">
        <v>0</v>
      </c>
      <c r="N289" s="127">
        <v>-224.58</v>
      </c>
      <c r="O289" s="127">
        <v>0</v>
      </c>
      <c r="P289" s="127">
        <v>0</v>
      </c>
      <c r="Q289" s="127">
        <v>0</v>
      </c>
      <c r="R289" s="127">
        <v>-1800</v>
      </c>
      <c r="S289" s="127">
        <v>1383</v>
      </c>
      <c r="T289" s="127">
        <v>1977.69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>
        <v>0</v>
      </c>
      <c r="AH289" s="127">
        <v>0</v>
      </c>
      <c r="AI289" s="127"/>
      <c r="AJ289" s="127"/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">
      <c r="A290" t="s">
        <v>149</v>
      </c>
      <c r="B290" t="s">
        <v>153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>
        <v>0</v>
      </c>
      <c r="AH290" s="127">
        <v>0</v>
      </c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">
      <c r="A291" t="s">
        <v>149</v>
      </c>
      <c r="B291" t="s">
        <v>153</v>
      </c>
      <c r="C291">
        <v>8</v>
      </c>
      <c r="D291" t="s">
        <v>31</v>
      </c>
      <c r="E291" s="14">
        <v>-14522114</v>
      </c>
      <c r="F291" s="14">
        <v>-25005851</v>
      </c>
      <c r="G291" s="127">
        <v>0</v>
      </c>
      <c r="H291" s="127">
        <v>0</v>
      </c>
      <c r="I291" s="127">
        <v>0</v>
      </c>
      <c r="J291" s="127">
        <v>0</v>
      </c>
      <c r="K291" s="127">
        <v>0</v>
      </c>
      <c r="L291" s="127">
        <v>0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0</v>
      </c>
      <c r="T291" s="127">
        <v>0</v>
      </c>
      <c r="U291" s="127">
        <v>0</v>
      </c>
      <c r="V291" s="127">
        <v>0</v>
      </c>
      <c r="W291" s="127">
        <v>-805845</v>
      </c>
      <c r="X291" s="127">
        <v>-1361834</v>
      </c>
      <c r="Y291" s="127">
        <v>805845</v>
      </c>
      <c r="Z291" s="127">
        <v>1361834</v>
      </c>
      <c r="AA291" s="127">
        <v>0</v>
      </c>
      <c r="AB291" s="127">
        <v>0</v>
      </c>
      <c r="AC291" s="127">
        <v>0</v>
      </c>
      <c r="AD291" s="127">
        <v>0</v>
      </c>
      <c r="AE291" s="127">
        <v>0</v>
      </c>
      <c r="AF291" s="127">
        <v>0</v>
      </c>
      <c r="AG291" s="127">
        <v>0</v>
      </c>
      <c r="AH291" s="127">
        <v>0</v>
      </c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">
      <c r="A292" t="s">
        <v>149</v>
      </c>
      <c r="B292" t="s">
        <v>153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>
        <v>0</v>
      </c>
      <c r="AH292" s="127">
        <v>0</v>
      </c>
      <c r="AI292" s="127"/>
      <c r="AJ292" s="127"/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">
      <c r="A293" t="s">
        <v>149</v>
      </c>
      <c r="B293" t="s">
        <v>153</v>
      </c>
      <c r="C293">
        <v>10</v>
      </c>
      <c r="D293" t="s">
        <v>36</v>
      </c>
      <c r="E293" s="14">
        <v>274328</v>
      </c>
      <c r="F293" s="14">
        <v>457853.43</v>
      </c>
      <c r="G293" s="127">
        <v>4936</v>
      </c>
      <c r="H293" s="127">
        <v>8238.1839999999993</v>
      </c>
      <c r="I293" s="127">
        <v>-97</v>
      </c>
      <c r="J293" s="127">
        <v>-161.893</v>
      </c>
      <c r="K293" s="127">
        <v>0</v>
      </c>
      <c r="L293" s="127">
        <v>0</v>
      </c>
      <c r="M293" s="127">
        <v>63</v>
      </c>
      <c r="N293" s="127">
        <v>105.14700000000001</v>
      </c>
      <c r="O293" s="127">
        <v>0</v>
      </c>
      <c r="P293" s="127">
        <v>0</v>
      </c>
      <c r="Q293" s="127">
        <v>0</v>
      </c>
      <c r="R293" s="127">
        <v>0</v>
      </c>
      <c r="S293" s="127">
        <v>-3</v>
      </c>
      <c r="T293" s="127">
        <v>-5.0069999999999997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>
        <v>0</v>
      </c>
      <c r="AH293" s="127">
        <v>0</v>
      </c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">
      <c r="A294" t="s">
        <v>149</v>
      </c>
      <c r="B294" t="s">
        <v>153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>
        <v>0</v>
      </c>
      <c r="AH294" s="127">
        <v>0</v>
      </c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">
      <c r="A295" t="s">
        <v>149</v>
      </c>
      <c r="B295" t="s">
        <v>153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>
        <v>0</v>
      </c>
      <c r="AH295" s="127">
        <v>0</v>
      </c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">
      <c r="A296" t="s">
        <v>149</v>
      </c>
      <c r="B296" t="s">
        <v>153</v>
      </c>
      <c r="C296">
        <v>13</v>
      </c>
      <c r="D296" t="s">
        <v>43</v>
      </c>
      <c r="E296" s="14">
        <v>-123809</v>
      </c>
      <c r="F296" s="14">
        <v>-206637.22</v>
      </c>
      <c r="G296" s="127">
        <v>93189</v>
      </c>
      <c r="H296" s="127">
        <v>160370.4</v>
      </c>
      <c r="I296" s="127">
        <v>-53204</v>
      </c>
      <c r="J296" s="127">
        <v>-87600.107999999993</v>
      </c>
      <c r="K296" s="127">
        <v>0</v>
      </c>
      <c r="L296" s="127">
        <v>-40486.991999999998</v>
      </c>
      <c r="M296" s="127">
        <v>-1</v>
      </c>
      <c r="N296" s="127">
        <v>-2.08</v>
      </c>
      <c r="O296" s="127">
        <v>1</v>
      </c>
      <c r="P296" s="127">
        <v>-584.68799999999999</v>
      </c>
      <c r="Q296" s="127">
        <v>0</v>
      </c>
      <c r="R296" s="127">
        <v>-72926.880000000005</v>
      </c>
      <c r="S296" s="127">
        <v>-43298</v>
      </c>
      <c r="T296" s="127">
        <v>-87225.68</v>
      </c>
      <c r="U296" s="127">
        <v>0</v>
      </c>
      <c r="V296" s="127">
        <v>770566.01199999999</v>
      </c>
      <c r="W296" s="127">
        <v>0</v>
      </c>
      <c r="X296" s="127">
        <v>0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>
        <v>0</v>
      </c>
      <c r="AH296" s="127">
        <v>0</v>
      </c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">
      <c r="A297" t="s">
        <v>149</v>
      </c>
      <c r="B297" t="s">
        <v>153</v>
      </c>
      <c r="C297">
        <v>14</v>
      </c>
      <c r="D297" t="s">
        <v>44</v>
      </c>
      <c r="E297" s="14">
        <v>0</v>
      </c>
      <c r="F297" s="14">
        <v>0</v>
      </c>
      <c r="G297" s="127">
        <v>-31496</v>
      </c>
      <c r="H297" s="127">
        <v>-63063.040000000001</v>
      </c>
      <c r="I297" s="127">
        <v>-26269</v>
      </c>
      <c r="J297" s="127">
        <v>-52643.08</v>
      </c>
      <c r="K297" s="127">
        <v>-1</v>
      </c>
      <c r="L297" s="127">
        <v>-1.63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>
        <v>0</v>
      </c>
      <c r="AH297" s="127">
        <v>0</v>
      </c>
      <c r="AI297" s="127"/>
      <c r="AJ297" s="127"/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">
      <c r="A298" t="s">
        <v>149</v>
      </c>
      <c r="B298" t="s">
        <v>153</v>
      </c>
      <c r="C298">
        <v>15</v>
      </c>
      <c r="D298" t="s">
        <v>45</v>
      </c>
      <c r="E298" s="14">
        <v>0</v>
      </c>
      <c r="F298" s="14">
        <v>0</v>
      </c>
      <c r="G298" s="127">
        <v>157517</v>
      </c>
      <c r="H298" s="127">
        <v>52644.45</v>
      </c>
      <c r="I298" s="127">
        <v>31331</v>
      </c>
      <c r="J298" s="127">
        <v>62786.99</v>
      </c>
      <c r="K298" s="127">
        <v>0</v>
      </c>
      <c r="L298" s="127">
        <v>0</v>
      </c>
      <c r="M298" s="127">
        <v>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219051.24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>
        <v>0</v>
      </c>
      <c r="AH298" s="127">
        <v>0</v>
      </c>
      <c r="AI298" s="127"/>
      <c r="AJ298" s="127"/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">
      <c r="A299" t="s">
        <v>149</v>
      </c>
      <c r="B299" t="s">
        <v>153</v>
      </c>
      <c r="C299">
        <v>16</v>
      </c>
      <c r="D299" t="s">
        <v>46</v>
      </c>
      <c r="E299" s="14">
        <v>-412644</v>
      </c>
      <c r="F299" s="14">
        <v>0.01</v>
      </c>
      <c r="G299" s="127">
        <v>-139005</v>
      </c>
      <c r="H299" s="127">
        <v>0</v>
      </c>
      <c r="I299" s="127">
        <v>0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-3</v>
      </c>
      <c r="P299" s="127">
        <v>0</v>
      </c>
      <c r="Q299" s="127">
        <v>0</v>
      </c>
      <c r="R299" s="127">
        <v>-920707</v>
      </c>
      <c r="S299" s="127">
        <v>0</v>
      </c>
      <c r="T299" s="127">
        <v>0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>
        <v>0</v>
      </c>
      <c r="AH299" s="127">
        <v>0</v>
      </c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">
      <c r="A300" t="s">
        <v>149</v>
      </c>
      <c r="B300" t="s">
        <v>153</v>
      </c>
      <c r="C300">
        <v>17</v>
      </c>
      <c r="D300" t="s">
        <v>135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>
        <v>0</v>
      </c>
      <c r="AH300" s="127">
        <v>0</v>
      </c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">
      <c r="A301" t="s">
        <v>149</v>
      </c>
      <c r="B301" t="s">
        <v>153</v>
      </c>
      <c r="C301">
        <v>18</v>
      </c>
      <c r="D301" t="s">
        <v>136</v>
      </c>
      <c r="E301" s="14">
        <v>0</v>
      </c>
      <c r="F301" s="14">
        <v>0</v>
      </c>
      <c r="G301" s="127">
        <v>-70654</v>
      </c>
      <c r="H301" s="127">
        <v>-137089.09</v>
      </c>
      <c r="I301" s="127">
        <v>0</v>
      </c>
      <c r="J301" s="127">
        <v>0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>
        <v>0</v>
      </c>
      <c r="AH301" s="127">
        <v>0</v>
      </c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">
      <c r="A302" t="s">
        <v>149</v>
      </c>
      <c r="B302" t="s">
        <v>153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>
        <v>0</v>
      </c>
      <c r="AH302" s="127">
        <v>0</v>
      </c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">
      <c r="A303" t="s">
        <v>149</v>
      </c>
      <c r="B303" t="s">
        <v>153</v>
      </c>
      <c r="C303">
        <v>20</v>
      </c>
      <c r="D303" t="s">
        <v>137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>
        <v>0</v>
      </c>
      <c r="AH303" s="127">
        <v>0</v>
      </c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">
      <c r="A304" t="s">
        <v>149</v>
      </c>
      <c r="B304" t="s">
        <v>153</v>
      </c>
      <c r="C304">
        <v>21</v>
      </c>
      <c r="D304" t="s">
        <v>138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>
        <v>0</v>
      </c>
      <c r="AH304" s="127">
        <v>0</v>
      </c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">
      <c r="A305" t="s">
        <v>149</v>
      </c>
      <c r="B305" t="s">
        <v>153</v>
      </c>
      <c r="C305">
        <v>22</v>
      </c>
      <c r="D305" t="s">
        <v>139</v>
      </c>
      <c r="E305" s="14">
        <v>-2</v>
      </c>
      <c r="F305" s="14">
        <v>-3.3380000000000001</v>
      </c>
      <c r="G305" s="127">
        <v>-21397</v>
      </c>
      <c r="H305" s="127">
        <v>-35711.593000000343</v>
      </c>
      <c r="I305" s="127">
        <v>128125</v>
      </c>
      <c r="J305" s="127">
        <v>2777586.5249999999</v>
      </c>
      <c r="K305" s="127">
        <v>-39589</v>
      </c>
      <c r="L305" s="127">
        <v>-2630217.0410000002</v>
      </c>
      <c r="M305" s="127">
        <v>-5062</v>
      </c>
      <c r="N305" s="127">
        <v>-8448.4779999999992</v>
      </c>
      <c r="O305" s="127">
        <v>2</v>
      </c>
      <c r="P305" s="127">
        <v>3.3380000000000001</v>
      </c>
      <c r="Q305" s="127">
        <v>-131247</v>
      </c>
      <c r="R305" s="127">
        <v>-219051.24299999999</v>
      </c>
      <c r="S305" s="127">
        <v>131247</v>
      </c>
      <c r="T305" s="127">
        <v>219051.24299999999</v>
      </c>
      <c r="U305" s="127">
        <v>0</v>
      </c>
      <c r="V305" s="127">
        <v>0</v>
      </c>
      <c r="W305" s="127">
        <v>0</v>
      </c>
      <c r="X305" s="127">
        <v>0</v>
      </c>
      <c r="Y305" s="127">
        <v>-68387</v>
      </c>
      <c r="Z305" s="127">
        <v>-114137.90300000001</v>
      </c>
      <c r="AA305" s="127">
        <v>0</v>
      </c>
      <c r="AB305" s="127">
        <v>0</v>
      </c>
      <c r="AC305" s="127">
        <v>0</v>
      </c>
      <c r="AD305" s="127">
        <v>0</v>
      </c>
      <c r="AE305" s="127">
        <v>0</v>
      </c>
      <c r="AF305" s="127">
        <v>0</v>
      </c>
      <c r="AG305" s="127">
        <v>0</v>
      </c>
      <c r="AH305" s="127">
        <v>0</v>
      </c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">
      <c r="A306" t="s">
        <v>149</v>
      </c>
      <c r="B306" t="s">
        <v>153</v>
      </c>
      <c r="C306">
        <v>23</v>
      </c>
      <c r="D306" t="s">
        <v>140</v>
      </c>
      <c r="E306" s="14">
        <v>-274328</v>
      </c>
      <c r="F306" s="14">
        <v>-457853.43</v>
      </c>
      <c r="G306" s="127">
        <v>-4936</v>
      </c>
      <c r="H306" s="127">
        <v>-8238.1839999999993</v>
      </c>
      <c r="I306" s="127">
        <v>97</v>
      </c>
      <c r="J306" s="127">
        <v>161.893</v>
      </c>
      <c r="K306" s="127">
        <v>0</v>
      </c>
      <c r="L306" s="127">
        <v>0</v>
      </c>
      <c r="M306" s="127">
        <v>-63</v>
      </c>
      <c r="N306" s="127">
        <v>-105.14700000000001</v>
      </c>
      <c r="O306" s="127">
        <v>0</v>
      </c>
      <c r="P306" s="127">
        <v>0</v>
      </c>
      <c r="Q306" s="127">
        <v>0</v>
      </c>
      <c r="R306" s="127">
        <v>0</v>
      </c>
      <c r="S306" s="127">
        <v>3</v>
      </c>
      <c r="T306" s="127">
        <v>5.0069999999999997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>
        <v>0</v>
      </c>
      <c r="AH306" s="127">
        <v>0</v>
      </c>
      <c r="AI306" s="127"/>
      <c r="AJ306" s="127"/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">
      <c r="A307" t="s">
        <v>149</v>
      </c>
      <c r="B307" t="s">
        <v>153</v>
      </c>
      <c r="C307">
        <v>24</v>
      </c>
      <c r="D307" t="s">
        <v>59</v>
      </c>
      <c r="E307" s="14">
        <v>-9921222</v>
      </c>
      <c r="F307" s="14">
        <v>-48881.85</v>
      </c>
      <c r="G307" s="127">
        <v>-1387349</v>
      </c>
      <c r="H307" s="127">
        <v>-61367.18</v>
      </c>
      <c r="I307" s="127">
        <v>0</v>
      </c>
      <c r="J307" s="127">
        <v>0</v>
      </c>
      <c r="K307" s="127">
        <v>0</v>
      </c>
      <c r="L307" s="127">
        <v>0</v>
      </c>
      <c r="M307" s="127">
        <v>0</v>
      </c>
      <c r="N307" s="127">
        <v>0</v>
      </c>
      <c r="O307" s="127">
        <v>0</v>
      </c>
      <c r="P307" s="127">
        <v>0</v>
      </c>
      <c r="Q307" s="127">
        <v>0</v>
      </c>
      <c r="R307" s="127">
        <v>0</v>
      </c>
      <c r="S307" s="127">
        <v>0</v>
      </c>
      <c r="T307" s="127">
        <v>219051</v>
      </c>
      <c r="U307" s="127">
        <v>0</v>
      </c>
      <c r="V307" s="127">
        <v>-219051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>
        <v>0</v>
      </c>
      <c r="AH307" s="127">
        <v>0</v>
      </c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">
      <c r="A308" t="s">
        <v>149</v>
      </c>
      <c r="B308" t="s">
        <v>153</v>
      </c>
      <c r="C308">
        <v>25</v>
      </c>
      <c r="D308" t="s">
        <v>60</v>
      </c>
      <c r="E308" s="14">
        <v>0</v>
      </c>
      <c r="F308" s="14">
        <v>-2761022.01</v>
      </c>
      <c r="G308" s="127">
        <v>0</v>
      </c>
      <c r="H308" s="127">
        <v>61977.87</v>
      </c>
      <c r="I308" s="127">
        <v>0</v>
      </c>
      <c r="J308" s="127">
        <v>-350.63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>
        <v>0</v>
      </c>
      <c r="AH308" s="127">
        <v>0</v>
      </c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">
      <c r="A309" t="s">
        <v>149</v>
      </c>
      <c r="B309" t="s">
        <v>153</v>
      </c>
      <c r="C309">
        <v>26</v>
      </c>
      <c r="D309" t="s">
        <v>141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>
        <v>0</v>
      </c>
      <c r="AH309" s="127">
        <v>0</v>
      </c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">
      <c r="A310" t="s">
        <v>149</v>
      </c>
      <c r="B310" t="s">
        <v>153</v>
      </c>
      <c r="C310">
        <v>27</v>
      </c>
      <c r="D310" t="s">
        <v>142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>
        <v>0</v>
      </c>
      <c r="AH310" s="127">
        <v>0</v>
      </c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">
      <c r="A311" t="s">
        <v>149</v>
      </c>
      <c r="B311" t="s">
        <v>153</v>
      </c>
      <c r="C311">
        <v>28</v>
      </c>
      <c r="D311" t="s">
        <v>143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>
        <v>0</v>
      </c>
      <c r="AH311" s="127">
        <v>0</v>
      </c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">
      <c r="A312" t="s">
        <v>149</v>
      </c>
      <c r="B312" t="s">
        <v>153</v>
      </c>
      <c r="C312">
        <v>29</v>
      </c>
      <c r="D312" t="s">
        <v>144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>
        <v>0</v>
      </c>
      <c r="AH312" s="127">
        <v>0</v>
      </c>
      <c r="AI312" s="127"/>
      <c r="AJ312" s="127"/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">
      <c r="A313" t="s">
        <v>149</v>
      </c>
      <c r="B313" t="s">
        <v>153</v>
      </c>
      <c r="C313">
        <v>30</v>
      </c>
      <c r="D313" t="s">
        <v>145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>
        <v>0</v>
      </c>
      <c r="AH313" s="127">
        <v>0</v>
      </c>
      <c r="AI313" s="127"/>
      <c r="AJ313" s="127"/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">
      <c r="A314" t="s">
        <v>149</v>
      </c>
      <c r="B314" t="s">
        <v>153</v>
      </c>
      <c r="C314">
        <v>31</v>
      </c>
      <c r="D314" t="s">
        <v>146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>
        <v>0</v>
      </c>
      <c r="AH314" s="127">
        <v>0</v>
      </c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">
      <c r="A315" t="s">
        <v>149</v>
      </c>
      <c r="B315" t="s">
        <v>153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>
        <v>0</v>
      </c>
      <c r="AH315" s="127">
        <v>0</v>
      </c>
      <c r="AI315" s="127"/>
      <c r="AJ315" s="127"/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">
      <c r="A316" t="s">
        <v>149</v>
      </c>
      <c r="B316" t="s">
        <v>153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>
        <v>0</v>
      </c>
      <c r="AH316" s="127">
        <v>0</v>
      </c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">
      <c r="A317" t="s">
        <v>149</v>
      </c>
      <c r="B317" t="s">
        <v>153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>
        <v>0</v>
      </c>
      <c r="AH317" s="127">
        <v>0</v>
      </c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">
      <c r="A318" t="s">
        <v>149</v>
      </c>
      <c r="B318" t="s">
        <v>153</v>
      </c>
      <c r="C318">
        <v>35</v>
      </c>
      <c r="D318" t="s">
        <v>77</v>
      </c>
      <c r="E318" s="14">
        <v>0</v>
      </c>
      <c r="F318" s="14">
        <v>0</v>
      </c>
      <c r="G318" s="127">
        <v>0</v>
      </c>
      <c r="H318" s="127">
        <v>0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>
        <v>0</v>
      </c>
      <c r="AH318" s="127">
        <v>0</v>
      </c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">
      <c r="A319" t="s">
        <v>149</v>
      </c>
      <c r="B319" t="s">
        <v>153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>
        <v>0</v>
      </c>
      <c r="AH319" s="127">
        <v>0</v>
      </c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">
      <c r="A320" t="s">
        <v>149</v>
      </c>
      <c r="B320" t="s">
        <v>153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>
        <v>0</v>
      </c>
      <c r="AH320" s="127">
        <v>0</v>
      </c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">
      <c r="A321" t="s">
        <v>149</v>
      </c>
      <c r="B321" t="s">
        <v>153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>
        <v>0</v>
      </c>
      <c r="AH321" s="127">
        <v>0</v>
      </c>
      <c r="AI321" s="127"/>
      <c r="AJ321" s="127"/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">
      <c r="A322" t="s">
        <v>149</v>
      </c>
      <c r="B322" t="s">
        <v>153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>
        <v>0</v>
      </c>
      <c r="AH322" s="127">
        <v>0</v>
      </c>
      <c r="AI322" s="127"/>
      <c r="AJ322" s="127"/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">
      <c r="A323" t="s">
        <v>149</v>
      </c>
      <c r="B323" t="s">
        <v>153</v>
      </c>
      <c r="C323">
        <v>40</v>
      </c>
      <c r="D323" t="s">
        <v>82</v>
      </c>
      <c r="E323" s="14">
        <v>0</v>
      </c>
      <c r="F323" s="14">
        <v>56149.86</v>
      </c>
      <c r="G323" s="127">
        <v>0</v>
      </c>
      <c r="H323" s="127">
        <v>-4010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>
        <v>0</v>
      </c>
      <c r="AH323" s="127">
        <v>0</v>
      </c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">
      <c r="A324" t="s">
        <v>154</v>
      </c>
      <c r="B324" t="s">
        <v>155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>
        <v>0</v>
      </c>
      <c r="AH324" s="127">
        <v>0</v>
      </c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">
      <c r="A325" t="s">
        <v>154</v>
      </c>
      <c r="B325" t="s">
        <v>155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>
        <v>0</v>
      </c>
      <c r="AH325" s="127">
        <v>0</v>
      </c>
      <c r="AI325" s="127"/>
      <c r="AJ325" s="127"/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">
      <c r="A326" t="s">
        <v>154</v>
      </c>
      <c r="B326" t="s">
        <v>155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>
        <v>0</v>
      </c>
      <c r="AH326" s="127">
        <v>0</v>
      </c>
      <c r="AI326" s="127"/>
      <c r="AJ326" s="127"/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">
      <c r="A327" t="s">
        <v>154</v>
      </c>
      <c r="B327" t="s">
        <v>155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>
        <v>0</v>
      </c>
      <c r="AH327" s="127">
        <v>0</v>
      </c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">
      <c r="A328" t="s">
        <v>154</v>
      </c>
      <c r="B328" t="s">
        <v>155</v>
      </c>
      <c r="C328">
        <v>5</v>
      </c>
      <c r="D328" t="s">
        <v>134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>
        <v>0</v>
      </c>
      <c r="AH328" s="127">
        <v>0</v>
      </c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">
      <c r="A329" t="s">
        <v>154</v>
      </c>
      <c r="B329" t="s">
        <v>155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>
        <v>0</v>
      </c>
      <c r="AH329" s="127">
        <v>0</v>
      </c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">
      <c r="A330" t="s">
        <v>154</v>
      </c>
      <c r="B330" t="s">
        <v>155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>
        <v>0</v>
      </c>
      <c r="AH330" s="127">
        <v>0</v>
      </c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">
      <c r="A331" t="s">
        <v>154</v>
      </c>
      <c r="B331" t="s">
        <v>155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>
        <v>0</v>
      </c>
      <c r="AH331" s="127">
        <v>0</v>
      </c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">
      <c r="A332" t="s">
        <v>154</v>
      </c>
      <c r="B332" t="s">
        <v>155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>
        <v>0</v>
      </c>
      <c r="AH332" s="127">
        <v>0</v>
      </c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">
      <c r="A333" t="s">
        <v>154</v>
      </c>
      <c r="B333" t="s">
        <v>155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>
        <v>0</v>
      </c>
      <c r="AH333" s="127">
        <v>0</v>
      </c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">
      <c r="A334" t="s">
        <v>154</v>
      </c>
      <c r="B334" t="s">
        <v>155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>
        <v>0</v>
      </c>
      <c r="AH334" s="127">
        <v>0</v>
      </c>
      <c r="AI334" s="127"/>
      <c r="AJ334" s="127"/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">
      <c r="A335" t="s">
        <v>154</v>
      </c>
      <c r="B335" t="s">
        <v>155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>
        <v>0</v>
      </c>
      <c r="AH335" s="127">
        <v>0</v>
      </c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">
      <c r="A336" t="s">
        <v>154</v>
      </c>
      <c r="B336" t="s">
        <v>155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>
        <v>0</v>
      </c>
      <c r="AH336" s="127">
        <v>0</v>
      </c>
      <c r="AI336" s="127"/>
      <c r="AJ336" s="127"/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">
      <c r="A337" t="s">
        <v>154</v>
      </c>
      <c r="B337" t="s">
        <v>155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>
        <v>0</v>
      </c>
      <c r="AH337" s="127">
        <v>0</v>
      </c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">
      <c r="A338" t="s">
        <v>154</v>
      </c>
      <c r="B338" t="s">
        <v>155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>
        <v>0</v>
      </c>
      <c r="AH338" s="127">
        <v>0</v>
      </c>
      <c r="AI338" s="127"/>
      <c r="AJ338" s="127"/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">
      <c r="A339" t="s">
        <v>154</v>
      </c>
      <c r="B339" t="s">
        <v>155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>
        <v>0</v>
      </c>
      <c r="AH339" s="127">
        <v>0</v>
      </c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">
      <c r="A340" t="s">
        <v>154</v>
      </c>
      <c r="B340" t="s">
        <v>155</v>
      </c>
      <c r="C340">
        <v>17</v>
      </c>
      <c r="D340" t="s">
        <v>135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>
        <v>0</v>
      </c>
      <c r="AH340" s="127">
        <v>0</v>
      </c>
      <c r="AI340" s="127"/>
      <c r="AJ340" s="127"/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">
      <c r="A341" s="129" t="s">
        <v>154</v>
      </c>
      <c r="B341" s="129" t="s">
        <v>155</v>
      </c>
      <c r="C341" s="129">
        <v>18</v>
      </c>
      <c r="D341" s="129" t="s">
        <v>136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>
        <v>0</v>
      </c>
      <c r="AH341" s="130">
        <v>0</v>
      </c>
      <c r="AI341" s="130"/>
      <c r="AJ341" s="130"/>
      <c r="AK341" s="130"/>
      <c r="AL341" s="130"/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">
      <c r="A342" t="s">
        <v>154</v>
      </c>
      <c r="B342" t="s">
        <v>155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>
        <v>0</v>
      </c>
      <c r="AH342" s="127">
        <v>0</v>
      </c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">
      <c r="A343" t="s">
        <v>154</v>
      </c>
      <c r="B343" t="s">
        <v>155</v>
      </c>
      <c r="C343">
        <v>20</v>
      </c>
      <c r="D343" t="s">
        <v>137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>
        <v>0</v>
      </c>
      <c r="AH343" s="127">
        <v>0</v>
      </c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">
      <c r="A344" t="s">
        <v>154</v>
      </c>
      <c r="B344" t="s">
        <v>155</v>
      </c>
      <c r="C344">
        <v>21</v>
      </c>
      <c r="D344" t="s">
        <v>138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>
        <v>0</v>
      </c>
      <c r="AH344" s="127">
        <v>0</v>
      </c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">
      <c r="A345" t="s">
        <v>154</v>
      </c>
      <c r="B345" t="s">
        <v>155</v>
      </c>
      <c r="C345">
        <v>22</v>
      </c>
      <c r="D345" t="s">
        <v>139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>
        <v>0</v>
      </c>
      <c r="AH345" s="127">
        <v>0</v>
      </c>
      <c r="AI345" s="127"/>
      <c r="AJ345" s="127"/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">
      <c r="A346" t="s">
        <v>154</v>
      </c>
      <c r="B346" t="s">
        <v>155</v>
      </c>
      <c r="C346">
        <v>23</v>
      </c>
      <c r="D346" t="s">
        <v>140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>
        <v>0</v>
      </c>
      <c r="AH346" s="127">
        <v>0</v>
      </c>
      <c r="AI346" s="127"/>
      <c r="AJ346" s="127"/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">
      <c r="A347" t="s">
        <v>154</v>
      </c>
      <c r="B347" t="s">
        <v>155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>
        <v>0</v>
      </c>
      <c r="AH347" s="127">
        <v>0</v>
      </c>
      <c r="AI347" s="127"/>
      <c r="AJ347" s="127"/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">
      <c r="A348" t="s">
        <v>154</v>
      </c>
      <c r="B348" t="s">
        <v>155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>
        <v>0</v>
      </c>
      <c r="AH348" s="127">
        <v>0</v>
      </c>
      <c r="AI348" s="127"/>
      <c r="AJ348" s="127"/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">
      <c r="A349" t="s">
        <v>154</v>
      </c>
      <c r="B349" t="s">
        <v>155</v>
      </c>
      <c r="C349">
        <v>26</v>
      </c>
      <c r="D349" t="s">
        <v>141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>
        <v>0</v>
      </c>
      <c r="AH349" s="127">
        <v>0</v>
      </c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">
      <c r="A350" t="s">
        <v>154</v>
      </c>
      <c r="B350" t="s">
        <v>155</v>
      </c>
      <c r="C350">
        <v>27</v>
      </c>
      <c r="D350" t="s">
        <v>142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>
        <v>0</v>
      </c>
      <c r="AH350" s="127">
        <v>0</v>
      </c>
      <c r="AI350" s="127"/>
      <c r="AJ350" s="127"/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">
      <c r="A351" t="s">
        <v>154</v>
      </c>
      <c r="B351" t="s">
        <v>155</v>
      </c>
      <c r="C351">
        <v>28</v>
      </c>
      <c r="D351" t="s">
        <v>143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>
        <v>0</v>
      </c>
      <c r="AH351" s="127">
        <v>0</v>
      </c>
      <c r="AI351" s="127"/>
      <c r="AJ351" s="127"/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">
      <c r="A352" t="s">
        <v>154</v>
      </c>
      <c r="B352" t="s">
        <v>155</v>
      </c>
      <c r="C352">
        <v>29</v>
      </c>
      <c r="D352" t="s">
        <v>144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>
        <v>0</v>
      </c>
      <c r="AH352" s="127">
        <v>0</v>
      </c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">
      <c r="A353" t="s">
        <v>154</v>
      </c>
      <c r="B353" t="s">
        <v>155</v>
      </c>
      <c r="C353">
        <v>30</v>
      </c>
      <c r="D353" t="s">
        <v>145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>
        <v>0</v>
      </c>
      <c r="AH353" s="127">
        <v>0</v>
      </c>
      <c r="AI353" s="127"/>
      <c r="AJ353" s="127"/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">
      <c r="A354" t="s">
        <v>154</v>
      </c>
      <c r="B354" t="s">
        <v>155</v>
      </c>
      <c r="C354">
        <v>31</v>
      </c>
      <c r="D354" t="s">
        <v>146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>
        <v>0</v>
      </c>
      <c r="AH354" s="127">
        <v>0</v>
      </c>
      <c r="AI354" s="127"/>
      <c r="AJ354" s="127"/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">
      <c r="A355" t="s">
        <v>154</v>
      </c>
      <c r="B355" t="s">
        <v>155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>
        <v>0</v>
      </c>
      <c r="AH355" s="127">
        <v>0</v>
      </c>
      <c r="AI355" s="127"/>
      <c r="AJ355" s="127"/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">
      <c r="A356" t="s">
        <v>154</v>
      </c>
      <c r="B356" t="s">
        <v>155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>
        <v>0</v>
      </c>
      <c r="AH356" s="127">
        <v>0</v>
      </c>
      <c r="AI356" s="127"/>
      <c r="AJ356" s="127"/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">
      <c r="A357" t="s">
        <v>154</v>
      </c>
      <c r="B357" t="s">
        <v>155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>
        <v>0</v>
      </c>
      <c r="AH357" s="127">
        <v>0</v>
      </c>
      <c r="AI357" s="127"/>
      <c r="AJ357" s="127"/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">
      <c r="A358" t="s">
        <v>154</v>
      </c>
      <c r="B358" t="s">
        <v>155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>
        <v>0</v>
      </c>
      <c r="AH358" s="127">
        <v>0</v>
      </c>
      <c r="AI358" s="127"/>
      <c r="AJ358" s="127"/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">
      <c r="A359" t="s">
        <v>154</v>
      </c>
      <c r="B359" t="s">
        <v>155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>
        <v>0</v>
      </c>
      <c r="AH359" s="127">
        <v>0</v>
      </c>
      <c r="AI359" s="127"/>
      <c r="AJ359" s="127"/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">
      <c r="A360" t="s">
        <v>154</v>
      </c>
      <c r="B360" t="s">
        <v>155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>
        <v>0</v>
      </c>
      <c r="AH360" s="127">
        <v>0</v>
      </c>
      <c r="AI360" s="127"/>
      <c r="AJ360" s="127"/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">
      <c r="A361" t="s">
        <v>154</v>
      </c>
      <c r="B361" t="s">
        <v>155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>
        <v>0</v>
      </c>
      <c r="AH361" s="127">
        <v>0</v>
      </c>
      <c r="AI361" s="127"/>
      <c r="AJ361" s="127"/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">
      <c r="A362" t="s">
        <v>154</v>
      </c>
      <c r="B362" t="s">
        <v>155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>
        <v>0</v>
      </c>
      <c r="AH362" s="127">
        <v>0</v>
      </c>
      <c r="AI362" s="127"/>
      <c r="AJ362" s="127"/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">
      <c r="A363" t="s">
        <v>154</v>
      </c>
      <c r="B363" t="s">
        <v>155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>
        <v>0</v>
      </c>
      <c r="AH363" s="127">
        <v>0</v>
      </c>
      <c r="AI363" s="127"/>
      <c r="AJ363" s="127"/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">
      <c r="A364" t="s">
        <v>156</v>
      </c>
      <c r="B364" t="s">
        <v>157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>
        <v>0</v>
      </c>
      <c r="AH364" s="127">
        <v>0</v>
      </c>
      <c r="AI364" s="127"/>
      <c r="AJ364" s="127"/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">
      <c r="A365" t="s">
        <v>156</v>
      </c>
      <c r="B365" t="s">
        <v>157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>
        <v>0</v>
      </c>
      <c r="AH365" s="127">
        <v>0</v>
      </c>
      <c r="AI365" s="127"/>
      <c r="AJ365" s="127"/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">
      <c r="A366" t="s">
        <v>156</v>
      </c>
      <c r="B366" t="s">
        <v>157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>
        <v>0</v>
      </c>
      <c r="AH366" s="127">
        <v>0</v>
      </c>
      <c r="AI366" s="127"/>
      <c r="AJ366" s="127"/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">
      <c r="A367" t="s">
        <v>156</v>
      </c>
      <c r="B367" t="s">
        <v>157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>
        <v>0</v>
      </c>
      <c r="AH367" s="127">
        <v>0</v>
      </c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">
      <c r="A368" t="s">
        <v>156</v>
      </c>
      <c r="B368" t="s">
        <v>157</v>
      </c>
      <c r="C368">
        <v>5</v>
      </c>
      <c r="D368" t="s">
        <v>134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>
        <v>0</v>
      </c>
      <c r="AH368" s="127">
        <v>0</v>
      </c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">
      <c r="A369" t="s">
        <v>156</v>
      </c>
      <c r="B369" t="s">
        <v>157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>
        <v>0</v>
      </c>
      <c r="AH369" s="127">
        <v>0</v>
      </c>
      <c r="AI369" s="127"/>
      <c r="AJ369" s="127"/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">
      <c r="A370" t="s">
        <v>156</v>
      </c>
      <c r="B370" t="s">
        <v>157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>
        <v>0</v>
      </c>
      <c r="AH370" s="127">
        <v>0</v>
      </c>
      <c r="AI370" s="127"/>
      <c r="AJ370" s="127"/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">
      <c r="A371" t="s">
        <v>156</v>
      </c>
      <c r="B371" t="s">
        <v>157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>
        <v>0</v>
      </c>
      <c r="AH371" s="127">
        <v>0</v>
      </c>
      <c r="AI371" s="127"/>
      <c r="AJ371" s="127"/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">
      <c r="A372" t="s">
        <v>156</v>
      </c>
      <c r="B372" t="s">
        <v>157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>
        <v>0</v>
      </c>
      <c r="AH372" s="127">
        <v>0</v>
      </c>
      <c r="AI372" s="127"/>
      <c r="AJ372" s="127"/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">
      <c r="A373" t="s">
        <v>156</v>
      </c>
      <c r="B373" t="s">
        <v>157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>
        <v>0</v>
      </c>
      <c r="AH373" s="127">
        <v>0</v>
      </c>
      <c r="AI373" s="127"/>
      <c r="AJ373" s="127"/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">
      <c r="A374" t="s">
        <v>156</v>
      </c>
      <c r="B374" t="s">
        <v>157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>
        <v>0</v>
      </c>
      <c r="AH374" s="127">
        <v>0</v>
      </c>
      <c r="AI374" s="127"/>
      <c r="AJ374" s="127"/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">
      <c r="A375" t="s">
        <v>156</v>
      </c>
      <c r="B375" t="s">
        <v>157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>
        <v>0</v>
      </c>
      <c r="AH375" s="127">
        <v>0</v>
      </c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">
      <c r="A376" t="s">
        <v>156</v>
      </c>
      <c r="B376" t="s">
        <v>157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>
        <v>0</v>
      </c>
      <c r="AH376" s="127">
        <v>0</v>
      </c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">
      <c r="A377" t="s">
        <v>156</v>
      </c>
      <c r="B377" t="s">
        <v>157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>
        <v>0</v>
      </c>
      <c r="AH377" s="127">
        <v>0</v>
      </c>
      <c r="AI377" s="127"/>
      <c r="AJ377" s="127"/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">
      <c r="A378" t="s">
        <v>156</v>
      </c>
      <c r="B378" t="s">
        <v>157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>
        <v>0</v>
      </c>
      <c r="AH378" s="127">
        <v>0</v>
      </c>
      <c r="AI378" s="127"/>
      <c r="AJ378" s="127"/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">
      <c r="A379" t="s">
        <v>156</v>
      </c>
      <c r="B379" t="s">
        <v>157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>
        <v>0</v>
      </c>
      <c r="AH379" s="127">
        <v>0</v>
      </c>
      <c r="AI379" s="127"/>
      <c r="AJ379" s="127"/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">
      <c r="A380" t="s">
        <v>156</v>
      </c>
      <c r="B380" t="s">
        <v>157</v>
      </c>
      <c r="C380">
        <v>17</v>
      </c>
      <c r="D380" t="s">
        <v>135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>
        <v>0</v>
      </c>
      <c r="AH380" s="127">
        <v>0</v>
      </c>
      <c r="AI380" s="127"/>
      <c r="AJ380" s="127"/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">
      <c r="A381" t="s">
        <v>156</v>
      </c>
      <c r="B381" t="s">
        <v>157</v>
      </c>
      <c r="C381">
        <v>18</v>
      </c>
      <c r="D381" t="s">
        <v>136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>
        <v>0</v>
      </c>
      <c r="AH381" s="127">
        <v>0</v>
      </c>
      <c r="AI381" s="127"/>
      <c r="AJ381" s="127"/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">
      <c r="A382" t="s">
        <v>156</v>
      </c>
      <c r="B382" t="s">
        <v>157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>
        <v>0</v>
      </c>
      <c r="AH382" s="127">
        <v>0</v>
      </c>
      <c r="AI382" s="127"/>
      <c r="AJ382" s="127"/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">
      <c r="A383" t="s">
        <v>156</v>
      </c>
      <c r="B383" t="s">
        <v>157</v>
      </c>
      <c r="C383">
        <v>20</v>
      </c>
      <c r="D383" t="s">
        <v>137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>
        <v>0</v>
      </c>
      <c r="AH383" s="127">
        <v>0</v>
      </c>
      <c r="AI383" s="127"/>
      <c r="AJ383" s="127"/>
      <c r="AK383" s="127"/>
      <c r="AL383" s="12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">
      <c r="A384" t="s">
        <v>156</v>
      </c>
      <c r="B384" t="s">
        <v>157</v>
      </c>
      <c r="C384">
        <v>21</v>
      </c>
      <c r="D384" t="s">
        <v>138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>
        <v>0</v>
      </c>
      <c r="AH384" s="127">
        <v>0</v>
      </c>
      <c r="AI384" s="127"/>
      <c r="AJ384" s="127"/>
      <c r="AK384" s="127"/>
      <c r="AL384" s="12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">
      <c r="A385" t="s">
        <v>156</v>
      </c>
      <c r="B385" t="s">
        <v>157</v>
      </c>
      <c r="C385">
        <v>22</v>
      </c>
      <c r="D385" t="s">
        <v>139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>
        <v>0</v>
      </c>
      <c r="AH385" s="127">
        <v>0</v>
      </c>
      <c r="AI385" s="127"/>
      <c r="AJ385" s="127"/>
      <c r="AK385" s="127"/>
      <c r="AL385" s="12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">
      <c r="A386" t="s">
        <v>156</v>
      </c>
      <c r="B386" t="s">
        <v>157</v>
      </c>
      <c r="C386">
        <v>23</v>
      </c>
      <c r="D386" t="s">
        <v>140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>
        <v>0</v>
      </c>
      <c r="AH386" s="127">
        <v>0</v>
      </c>
      <c r="AI386" s="127"/>
      <c r="AJ386" s="127"/>
      <c r="AK386" s="127"/>
      <c r="AL386" s="12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">
      <c r="A387" t="s">
        <v>156</v>
      </c>
      <c r="B387" t="s">
        <v>157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>
        <v>0</v>
      </c>
      <c r="AH387" s="127">
        <v>0</v>
      </c>
      <c r="AI387" s="127"/>
      <c r="AJ387" s="127"/>
      <c r="AK387" s="127"/>
      <c r="AL387" s="12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">
      <c r="A388" t="s">
        <v>156</v>
      </c>
      <c r="B388" t="s">
        <v>157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>
        <v>0</v>
      </c>
      <c r="AH388" s="127">
        <v>0</v>
      </c>
      <c r="AI388" s="127"/>
      <c r="AJ388" s="127"/>
      <c r="AK388" s="127"/>
      <c r="AL388" s="12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">
      <c r="A389" t="s">
        <v>156</v>
      </c>
      <c r="B389" t="s">
        <v>157</v>
      </c>
      <c r="C389">
        <v>26</v>
      </c>
      <c r="D389" t="s">
        <v>141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>
        <v>0</v>
      </c>
      <c r="AH389" s="127">
        <v>0</v>
      </c>
      <c r="AI389" s="127"/>
      <c r="AJ389" s="127"/>
      <c r="AK389" s="127"/>
      <c r="AL389" s="12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">
      <c r="A390" t="s">
        <v>156</v>
      </c>
      <c r="B390" t="s">
        <v>157</v>
      </c>
      <c r="C390">
        <v>27</v>
      </c>
      <c r="D390" t="s">
        <v>142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>
        <v>0</v>
      </c>
      <c r="AH390" s="127">
        <v>0</v>
      </c>
      <c r="AI390" s="127"/>
      <c r="AJ390" s="127"/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">
      <c r="A391" t="s">
        <v>156</v>
      </c>
      <c r="B391" t="s">
        <v>157</v>
      </c>
      <c r="C391">
        <v>28</v>
      </c>
      <c r="D391" t="s">
        <v>143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>
        <v>0</v>
      </c>
      <c r="AH391" s="127">
        <v>0</v>
      </c>
      <c r="AI391" s="127"/>
      <c r="AJ391" s="127"/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">
      <c r="A392" t="s">
        <v>156</v>
      </c>
      <c r="B392" t="s">
        <v>157</v>
      </c>
      <c r="C392">
        <v>29</v>
      </c>
      <c r="D392" t="s">
        <v>144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>
        <v>0</v>
      </c>
      <c r="AH392" s="127">
        <v>0</v>
      </c>
      <c r="AI392" s="127"/>
      <c r="AJ392" s="127"/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">
      <c r="A393" t="s">
        <v>156</v>
      </c>
      <c r="B393" t="s">
        <v>157</v>
      </c>
      <c r="C393">
        <v>30</v>
      </c>
      <c r="D393" t="s">
        <v>145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>
        <v>0</v>
      </c>
      <c r="AH393" s="127">
        <v>0</v>
      </c>
      <c r="AI393" s="127"/>
      <c r="AJ393" s="127"/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">
      <c r="A394" t="s">
        <v>156</v>
      </c>
      <c r="B394" t="s">
        <v>157</v>
      </c>
      <c r="C394">
        <v>31</v>
      </c>
      <c r="D394" t="s">
        <v>146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>
        <v>0</v>
      </c>
      <c r="AH394" s="127">
        <v>0</v>
      </c>
      <c r="AI394" s="127"/>
      <c r="AJ394" s="127"/>
      <c r="AK394" s="127"/>
      <c r="AL394" s="12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">
      <c r="A395" t="s">
        <v>156</v>
      </c>
      <c r="B395" t="s">
        <v>157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>
        <v>0</v>
      </c>
      <c r="AH395" s="127">
        <v>0</v>
      </c>
      <c r="AI395" s="127"/>
      <c r="AJ395" s="127"/>
      <c r="AK395" s="127"/>
      <c r="AL395" s="12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">
      <c r="A396" t="s">
        <v>156</v>
      </c>
      <c r="B396" t="s">
        <v>157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>
        <v>0</v>
      </c>
      <c r="AH396" s="127">
        <v>0</v>
      </c>
      <c r="AI396" s="127"/>
      <c r="AJ396" s="127"/>
      <c r="AK396" s="127"/>
      <c r="AL396" s="12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">
      <c r="A397" t="s">
        <v>156</v>
      </c>
      <c r="B397" t="s">
        <v>157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>
        <v>0</v>
      </c>
      <c r="AH397" s="127">
        <v>0</v>
      </c>
      <c r="AI397" s="127"/>
      <c r="AJ397" s="127"/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">
      <c r="A398" t="s">
        <v>156</v>
      </c>
      <c r="B398" t="s">
        <v>157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>
        <v>0</v>
      </c>
      <c r="AH398" s="127">
        <v>0</v>
      </c>
      <c r="AI398" s="127"/>
      <c r="AJ398" s="127"/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">
      <c r="A399" t="s">
        <v>156</v>
      </c>
      <c r="B399" t="s">
        <v>157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>
        <v>0</v>
      </c>
      <c r="AH399" s="127">
        <v>0</v>
      </c>
      <c r="AI399" s="127"/>
      <c r="AJ399" s="127"/>
      <c r="AK399" s="127"/>
      <c r="AL399" s="12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">
      <c r="A400" t="s">
        <v>156</v>
      </c>
      <c r="B400" t="s">
        <v>157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>
        <v>0</v>
      </c>
      <c r="AH400" s="127">
        <v>0</v>
      </c>
      <c r="AI400" s="127"/>
      <c r="AJ400" s="127"/>
      <c r="AK400" s="127"/>
      <c r="AL400" s="12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">
      <c r="A401" t="s">
        <v>156</v>
      </c>
      <c r="B401" t="s">
        <v>157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>
        <v>0</v>
      </c>
      <c r="AH401" s="127">
        <v>0</v>
      </c>
      <c r="AI401" s="127"/>
      <c r="AJ401" s="127"/>
      <c r="AK401" s="127"/>
      <c r="AL401" s="12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">
      <c r="A402" t="s">
        <v>156</v>
      </c>
      <c r="B402" t="s">
        <v>157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>
        <v>0</v>
      </c>
      <c r="AH402" s="127">
        <v>0</v>
      </c>
      <c r="AI402" s="127"/>
      <c r="AJ402" s="127"/>
      <c r="AK402" s="127"/>
      <c r="AL402" s="12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">
      <c r="A403" t="s">
        <v>156</v>
      </c>
      <c r="B403" t="s">
        <v>157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>
        <v>0</v>
      </c>
      <c r="AH403" s="127">
        <v>0</v>
      </c>
      <c r="AI403" s="127"/>
      <c r="AJ403" s="127"/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"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</row>
    <row r="405" spans="1:118" x14ac:dyDescent="0.2"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118" x14ac:dyDescent="0.2"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</row>
    <row r="407" spans="1:118" x14ac:dyDescent="0.2"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</row>
    <row r="408" spans="1:118" x14ac:dyDescent="0.2"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118" x14ac:dyDescent="0.2"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</row>
    <row r="410" spans="1:118" x14ac:dyDescent="0.2"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</row>
    <row r="411" spans="1:118" x14ac:dyDescent="0.2"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118" x14ac:dyDescent="0.2"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</row>
    <row r="413" spans="1:118" x14ac:dyDescent="0.2"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</row>
    <row r="414" spans="1:118" x14ac:dyDescent="0.2"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</row>
    <row r="415" spans="1:118" x14ac:dyDescent="0.2">
      <c r="I415" s="45"/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</row>
    <row r="416" spans="1:118" x14ac:dyDescent="0.2"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27:34" x14ac:dyDescent="0.2"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</row>
    <row r="418" spans="27:34" x14ac:dyDescent="0.2"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27:34" x14ac:dyDescent="0.2"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27:34" x14ac:dyDescent="0.2"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</row>
    <row r="421" spans="27:34" x14ac:dyDescent="0.2"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27:34" x14ac:dyDescent="0.2"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27:34" x14ac:dyDescent="0.2"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</row>
    <row r="424" spans="27:34" x14ac:dyDescent="0.2"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</row>
    <row r="425" spans="27:34" x14ac:dyDescent="0.2"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27:34" x14ac:dyDescent="0.2"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</row>
    <row r="427" spans="27:34" x14ac:dyDescent="0.2"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27:34" x14ac:dyDescent="0.2"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27:34" x14ac:dyDescent="0.2"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</row>
    <row r="430" spans="27:34" x14ac:dyDescent="0.2"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</row>
    <row r="431" spans="27:34" x14ac:dyDescent="0.2"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27:34" x14ac:dyDescent="0.2"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27:34" x14ac:dyDescent="0.2"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27:34" x14ac:dyDescent="0.2"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27:34" x14ac:dyDescent="0.2"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27:34" x14ac:dyDescent="0.2"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27:34" x14ac:dyDescent="0.2"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27:34" x14ac:dyDescent="0.2"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27:34" x14ac:dyDescent="0.2"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27:34" x14ac:dyDescent="0.2"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</row>
    <row r="441" spans="27:34" x14ac:dyDescent="0.2"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27:34" x14ac:dyDescent="0.2"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</row>
    <row r="443" spans="27:34" x14ac:dyDescent="0.2"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27:34" x14ac:dyDescent="0.2">
      <c r="AA444">
        <v>0</v>
      </c>
      <c r="AB444">
        <v>0</v>
      </c>
      <c r="AC444">
        <v>304</v>
      </c>
      <c r="AD444">
        <v>528.96</v>
      </c>
      <c r="AE444">
        <v>0</v>
      </c>
      <c r="AF444">
        <v>0</v>
      </c>
      <c r="AG444">
        <v>0</v>
      </c>
      <c r="AH444">
        <v>0</v>
      </c>
    </row>
    <row r="445" spans="27:34" x14ac:dyDescent="0.2"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27:34" x14ac:dyDescent="0.2">
      <c r="AA446">
        <v>1690106</v>
      </c>
      <c r="AB446">
        <v>2874824</v>
      </c>
      <c r="AC446">
        <v>0</v>
      </c>
      <c r="AD446">
        <v>0</v>
      </c>
      <c r="AE446">
        <v>-1690106</v>
      </c>
      <c r="AF446">
        <v>-2874824</v>
      </c>
      <c r="AG446">
        <v>0</v>
      </c>
      <c r="AH446">
        <v>0</v>
      </c>
    </row>
    <row r="447" spans="27:34" x14ac:dyDescent="0.2"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27:34" x14ac:dyDescent="0.2"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27:34" x14ac:dyDescent="0.2">
      <c r="AA449">
        <v>0</v>
      </c>
      <c r="AB449">
        <v>0</v>
      </c>
      <c r="AC449">
        <v>-1140</v>
      </c>
      <c r="AD449">
        <v>-1873.06</v>
      </c>
      <c r="AE449">
        <v>6942</v>
      </c>
      <c r="AF449">
        <v>12539.9</v>
      </c>
      <c r="AG449">
        <v>0</v>
      </c>
      <c r="AH449">
        <v>0</v>
      </c>
    </row>
    <row r="450" spans="27:34" x14ac:dyDescent="0.2"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27:34" x14ac:dyDescent="0.2">
      <c r="AA451">
        <v>-1627666</v>
      </c>
      <c r="AB451">
        <v>-2751959</v>
      </c>
      <c r="AC451">
        <v>0</v>
      </c>
      <c r="AD451">
        <v>0</v>
      </c>
      <c r="AE451">
        <v>1627666</v>
      </c>
      <c r="AF451">
        <v>2751959</v>
      </c>
      <c r="AG451">
        <v>0</v>
      </c>
      <c r="AH451">
        <v>0</v>
      </c>
    </row>
    <row r="452" spans="27:34" x14ac:dyDescent="0.2"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27:34" x14ac:dyDescent="0.2"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27:34" x14ac:dyDescent="0.2"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</row>
    <row r="455" spans="27:34" x14ac:dyDescent="0.2">
      <c r="AA455">
        <v>0</v>
      </c>
      <c r="AB455">
        <v>0</v>
      </c>
      <c r="AC455">
        <v>0</v>
      </c>
      <c r="AD455">
        <v>0</v>
      </c>
      <c r="AE455">
        <v>-421739</v>
      </c>
      <c r="AF455">
        <v>-750695.42</v>
      </c>
      <c r="AG455">
        <v>0</v>
      </c>
      <c r="AH455">
        <v>0</v>
      </c>
    </row>
    <row r="456" spans="27:34" x14ac:dyDescent="0.2">
      <c r="AA456">
        <v>-580559</v>
      </c>
      <c r="AB456">
        <v>-995658.68500000006</v>
      </c>
      <c r="AC456">
        <v>-262518</v>
      </c>
      <c r="AD456">
        <v>-498038.82500000001</v>
      </c>
      <c r="AE456">
        <v>765577</v>
      </c>
      <c r="AF456">
        <v>1312964.5549999999</v>
      </c>
      <c r="AG456">
        <v>-45019</v>
      </c>
      <c r="AH456">
        <v>-77207.585000000006</v>
      </c>
    </row>
    <row r="457" spans="27:34" x14ac:dyDescent="0.2"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27:34" x14ac:dyDescent="0.2"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27:34" x14ac:dyDescent="0.2"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27:34" x14ac:dyDescent="0.2">
      <c r="AA460">
        <v>580559</v>
      </c>
      <c r="AB460">
        <v>919721.57</v>
      </c>
      <c r="AC460">
        <v>159899</v>
      </c>
      <c r="AD460">
        <v>253312.85</v>
      </c>
      <c r="AE460">
        <v>-383789</v>
      </c>
      <c r="AF460">
        <v>-603667.53</v>
      </c>
      <c r="AG460">
        <v>-393897</v>
      </c>
      <c r="AH460">
        <v>-619180.25</v>
      </c>
    </row>
    <row r="461" spans="27:34" x14ac:dyDescent="0.2">
      <c r="AA461">
        <v>0</v>
      </c>
      <c r="AB461">
        <v>0</v>
      </c>
      <c r="AC461">
        <v>0</v>
      </c>
      <c r="AD461">
        <v>0</v>
      </c>
      <c r="AE461">
        <v>21222</v>
      </c>
      <c r="AF461">
        <v>37775.160000000003</v>
      </c>
      <c r="AG461">
        <v>438916</v>
      </c>
      <c r="AH461">
        <v>781270.48</v>
      </c>
    </row>
    <row r="462" spans="27:34" x14ac:dyDescent="0.2"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27:34" x14ac:dyDescent="0.2"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27:34" x14ac:dyDescent="0.2"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27:34" x14ac:dyDescent="0.2">
      <c r="AA465">
        <v>-62440</v>
      </c>
      <c r="AB465">
        <v>-107084.6</v>
      </c>
      <c r="AC465">
        <v>103455</v>
      </c>
      <c r="AD465">
        <v>177425.32500000001</v>
      </c>
      <c r="AE465">
        <v>74227</v>
      </c>
      <c r="AF465">
        <v>127299.30499999999</v>
      </c>
      <c r="AG465">
        <v>0</v>
      </c>
      <c r="AH465">
        <v>0</v>
      </c>
    </row>
    <row r="466" spans="27:34" x14ac:dyDescent="0.2"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27:34" x14ac:dyDescent="0.2">
      <c r="AA467">
        <v>-617641</v>
      </c>
      <c r="AB467">
        <v>-2113.83</v>
      </c>
      <c r="AC467">
        <v>-195778</v>
      </c>
      <c r="AD467">
        <v>-348.36</v>
      </c>
      <c r="AE467">
        <v>289292</v>
      </c>
      <c r="AF467">
        <v>2260.12</v>
      </c>
      <c r="AG467">
        <v>-45019</v>
      </c>
      <c r="AH467">
        <v>-750.57</v>
      </c>
    </row>
    <row r="468" spans="27:34" x14ac:dyDescent="0.2"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</row>
    <row r="469" spans="27:34" x14ac:dyDescent="0.2">
      <c r="AA469">
        <v>0</v>
      </c>
      <c r="AB469">
        <v>-200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27:34" x14ac:dyDescent="0.2"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27:34" x14ac:dyDescent="0.2"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27:34" x14ac:dyDescent="0.2"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27:34" x14ac:dyDescent="0.2"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27:34" x14ac:dyDescent="0.2"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27:34" x14ac:dyDescent="0.2"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27:34" x14ac:dyDescent="0.2"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27:34" x14ac:dyDescent="0.2"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27:34" x14ac:dyDescent="0.2"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79" spans="27:34" x14ac:dyDescent="0.2"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27:34" x14ac:dyDescent="0.2"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</row>
    <row r="481" spans="27:34" x14ac:dyDescent="0.2"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27:34" x14ac:dyDescent="0.2"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</row>
    <row r="483" spans="27:34" x14ac:dyDescent="0.2"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</row>
    <row r="484" spans="27:34" x14ac:dyDescent="0.2"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5" spans="27:34" x14ac:dyDescent="0.2"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</row>
    <row r="486" spans="27:34" x14ac:dyDescent="0.2">
      <c r="AA486">
        <v>737458</v>
      </c>
      <c r="AB486">
        <v>1244574</v>
      </c>
      <c r="AC486">
        <v>0</v>
      </c>
      <c r="AD486">
        <v>0</v>
      </c>
      <c r="AE486">
        <v>-737458</v>
      </c>
      <c r="AF486">
        <v>-1244574</v>
      </c>
      <c r="AG486">
        <v>0</v>
      </c>
      <c r="AH486">
        <v>0</v>
      </c>
    </row>
    <row r="487" spans="27:34" x14ac:dyDescent="0.2"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</row>
    <row r="488" spans="27:34" x14ac:dyDescent="0.2"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</row>
    <row r="489" spans="27:34" x14ac:dyDescent="0.2"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27:34" x14ac:dyDescent="0.2"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27:34" x14ac:dyDescent="0.2">
      <c r="AA491">
        <v>-805845</v>
      </c>
      <c r="AB491">
        <v>-1361834</v>
      </c>
      <c r="AC491">
        <v>0</v>
      </c>
      <c r="AD491">
        <v>0</v>
      </c>
      <c r="AE491">
        <v>805845</v>
      </c>
      <c r="AF491">
        <v>1361834</v>
      </c>
      <c r="AG491">
        <v>0</v>
      </c>
      <c r="AH491">
        <v>0</v>
      </c>
    </row>
    <row r="492" spans="27:34" x14ac:dyDescent="0.2"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27:34" x14ac:dyDescent="0.2"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</row>
    <row r="494" spans="27:34" x14ac:dyDescent="0.2"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</row>
    <row r="495" spans="27:34" x14ac:dyDescent="0.2"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27:34" x14ac:dyDescent="0.2"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27:34" x14ac:dyDescent="0.2"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27:34" x14ac:dyDescent="0.2"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27:34" x14ac:dyDescent="0.2"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</row>
    <row r="500" spans="27:34" x14ac:dyDescent="0.2"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</row>
    <row r="501" spans="27:34" x14ac:dyDescent="0.2"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2" spans="27:34" x14ac:dyDescent="0.2"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27:34" x14ac:dyDescent="0.2"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</row>
    <row r="504" spans="27:34" x14ac:dyDescent="0.2"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</row>
    <row r="505" spans="27:34" x14ac:dyDescent="0.2">
      <c r="AA505">
        <v>68387</v>
      </c>
      <c r="AB505">
        <v>114137.90300000001</v>
      </c>
      <c r="AC505">
        <v>0</v>
      </c>
      <c r="AD505">
        <v>0</v>
      </c>
      <c r="AE505">
        <v>-68387</v>
      </c>
      <c r="AF505">
        <v>-114137.90300000001</v>
      </c>
      <c r="AG505">
        <v>0</v>
      </c>
      <c r="AH505">
        <v>0</v>
      </c>
    </row>
    <row r="506" spans="27:34" x14ac:dyDescent="0.2"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27:34" x14ac:dyDescent="0.2"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27:34" x14ac:dyDescent="0.2">
      <c r="AA508">
        <v>0</v>
      </c>
      <c r="AB508">
        <v>0</v>
      </c>
      <c r="AC508">
        <v>-1124</v>
      </c>
      <c r="AD508">
        <v>-5868.45</v>
      </c>
      <c r="AE508">
        <v>0</v>
      </c>
      <c r="AF508">
        <v>0</v>
      </c>
      <c r="AG508">
        <v>0</v>
      </c>
      <c r="AH508">
        <v>0</v>
      </c>
    </row>
    <row r="509" spans="27:34" x14ac:dyDescent="0.2"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</row>
    <row r="510" spans="27:34" x14ac:dyDescent="0.2"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</row>
    <row r="511" spans="27:34" x14ac:dyDescent="0.2"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</row>
    <row r="512" spans="27:34" x14ac:dyDescent="0.2"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</row>
    <row r="513" spans="27:34" x14ac:dyDescent="0.2"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</row>
    <row r="514" spans="27:34" x14ac:dyDescent="0.2"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</row>
    <row r="515" spans="27:34" x14ac:dyDescent="0.2"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</row>
    <row r="516" spans="27:34" x14ac:dyDescent="0.2"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</row>
    <row r="517" spans="27:34" x14ac:dyDescent="0.2"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</row>
    <row r="518" spans="27:34" x14ac:dyDescent="0.2"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</row>
    <row r="519" spans="27:34" x14ac:dyDescent="0.2"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</row>
    <row r="520" spans="27:34" x14ac:dyDescent="0.2"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</row>
    <row r="521" spans="27:34" x14ac:dyDescent="0.2"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</row>
    <row r="522" spans="27:34" x14ac:dyDescent="0.2"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</row>
    <row r="523" spans="27:34" x14ac:dyDescent="0.2"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</row>
    <row r="524" spans="27:34" x14ac:dyDescent="0.2"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27:34" x14ac:dyDescent="0.2"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</row>
    <row r="526" spans="27:34" x14ac:dyDescent="0.2"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27:34" x14ac:dyDescent="0.2"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</row>
    <row r="528" spans="27:34" x14ac:dyDescent="0.2"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</row>
    <row r="529" spans="27:34" x14ac:dyDescent="0.2"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</row>
    <row r="530" spans="27:34" x14ac:dyDescent="0.2"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</row>
    <row r="531" spans="27:34" x14ac:dyDescent="0.2"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27:34" x14ac:dyDescent="0.2"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</row>
    <row r="533" spans="27:34" x14ac:dyDescent="0.2"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27:34" x14ac:dyDescent="0.2"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27:34" x14ac:dyDescent="0.2"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</row>
    <row r="536" spans="27:34" x14ac:dyDescent="0.2"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27:34" x14ac:dyDescent="0.2"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</row>
    <row r="538" spans="27:34" x14ac:dyDescent="0.2"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</row>
    <row r="539" spans="27:34" x14ac:dyDescent="0.2"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</row>
    <row r="540" spans="27:34" x14ac:dyDescent="0.2"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27:34" x14ac:dyDescent="0.2"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</row>
    <row r="542" spans="27:34" x14ac:dyDescent="0.2"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</row>
    <row r="543" spans="27:34" x14ac:dyDescent="0.2"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</row>
    <row r="544" spans="27:34" x14ac:dyDescent="0.2"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</row>
    <row r="545" spans="27:34" x14ac:dyDescent="0.2"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27:34" x14ac:dyDescent="0.2"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</row>
    <row r="547" spans="27:34" x14ac:dyDescent="0.2"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</row>
    <row r="548" spans="27:34" x14ac:dyDescent="0.2"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</row>
    <row r="549" spans="27:34" x14ac:dyDescent="0.2"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27:34" x14ac:dyDescent="0.2"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</row>
    <row r="551" spans="27:34" x14ac:dyDescent="0.2"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</row>
    <row r="552" spans="27:34" x14ac:dyDescent="0.2"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27:34" x14ac:dyDescent="0.2"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27:34" x14ac:dyDescent="0.2"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27:34" x14ac:dyDescent="0.2"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27:34" x14ac:dyDescent="0.2"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27:34" x14ac:dyDescent="0.2"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27:34" x14ac:dyDescent="0.2"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27:34" x14ac:dyDescent="0.2"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27:34" x14ac:dyDescent="0.2"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</row>
    <row r="561" spans="27:34" x14ac:dyDescent="0.2"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</row>
    <row r="562" spans="27:34" x14ac:dyDescent="0.2"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</row>
    <row r="563" spans="27:34" x14ac:dyDescent="0.2"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</row>
    <row r="564" spans="27:34" x14ac:dyDescent="0.2"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27:34" x14ac:dyDescent="0.2"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27:34" x14ac:dyDescent="0.2"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27:34" x14ac:dyDescent="0.2"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27:34" x14ac:dyDescent="0.2"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27:34" x14ac:dyDescent="0.2"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27:34" x14ac:dyDescent="0.2"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27:34" x14ac:dyDescent="0.2"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27:34" x14ac:dyDescent="0.2"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27:34" x14ac:dyDescent="0.2"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27:34" x14ac:dyDescent="0.2"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</row>
    <row r="575" spans="27:34" x14ac:dyDescent="0.2"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</row>
    <row r="576" spans="27:34" x14ac:dyDescent="0.2"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27:34" x14ac:dyDescent="0.2"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27:34" x14ac:dyDescent="0.2"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27:34" x14ac:dyDescent="0.2"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27:34" x14ac:dyDescent="0.2"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27:34" x14ac:dyDescent="0.2"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27:34" x14ac:dyDescent="0.2"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27:34" x14ac:dyDescent="0.2"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27:34" x14ac:dyDescent="0.2"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5" spans="27:34" x14ac:dyDescent="0.2"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</row>
    <row r="586" spans="27:34" x14ac:dyDescent="0.2"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</row>
    <row r="587" spans="27:34" x14ac:dyDescent="0.2"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</row>
    <row r="588" spans="27:34" x14ac:dyDescent="0.2"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</row>
    <row r="589" spans="27:34" x14ac:dyDescent="0.2"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</row>
    <row r="590" spans="27:34" x14ac:dyDescent="0.2"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1" spans="27:34" x14ac:dyDescent="0.2"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</row>
    <row r="592" spans="27:34" x14ac:dyDescent="0.2"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</row>
    <row r="593" spans="27:34" x14ac:dyDescent="0.2"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</row>
    <row r="594" spans="27:34" x14ac:dyDescent="0.2"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</row>
    <row r="595" spans="27:34" x14ac:dyDescent="0.2"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</row>
    <row r="596" spans="27:34" x14ac:dyDescent="0.2"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</row>
    <row r="597" spans="27:34" x14ac:dyDescent="0.2"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</row>
    <row r="598" spans="27:34" x14ac:dyDescent="0.2"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</row>
    <row r="599" spans="27:34" x14ac:dyDescent="0.2"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</row>
    <row r="600" spans="27:34" x14ac:dyDescent="0.2"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</row>
    <row r="601" spans="27:34" x14ac:dyDescent="0.2"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</row>
    <row r="602" spans="27:34" x14ac:dyDescent="0.2"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27:34" x14ac:dyDescent="0.2"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</row>
    <row r="640" spans="6:35" x14ac:dyDescent="0.2">
      <c r="F640" s="211">
        <v>36192</v>
      </c>
      <c r="G640" s="212"/>
      <c r="H640" s="207">
        <f>+F640+31</f>
        <v>36223</v>
      </c>
      <c r="I640" s="208"/>
      <c r="J640" s="207">
        <f>+H640+31</f>
        <v>36254</v>
      </c>
      <c r="K640" s="208"/>
      <c r="L640" s="207">
        <f>+J640+31</f>
        <v>36285</v>
      </c>
      <c r="M640" s="208"/>
      <c r="N640" s="207">
        <f>+L640+31</f>
        <v>36316</v>
      </c>
      <c r="O640" s="208"/>
      <c r="P640" s="207">
        <f>+N640+31</f>
        <v>36347</v>
      </c>
      <c r="Q640" s="208"/>
      <c r="R640" s="207">
        <f>+P640+31</f>
        <v>36378</v>
      </c>
      <c r="S640" s="208"/>
      <c r="T640" s="207">
        <f>+R640+31</f>
        <v>36409</v>
      </c>
      <c r="U640" s="208"/>
      <c r="V640" s="207">
        <f>+T640+31</f>
        <v>36440</v>
      </c>
      <c r="W640" s="208"/>
      <c r="X640" s="207">
        <f>+V640+31</f>
        <v>36471</v>
      </c>
      <c r="Y640" s="208"/>
      <c r="Z640" s="207">
        <f>+X640+31</f>
        <v>36502</v>
      </c>
      <c r="AA640" s="208"/>
      <c r="AB640" s="207">
        <f>+Z640+31</f>
        <v>36533</v>
      </c>
      <c r="AC640" s="208"/>
      <c r="AD640" s="207">
        <f>+AB640+31</f>
        <v>36564</v>
      </c>
      <c r="AE640" s="208"/>
      <c r="AF640" s="207">
        <f>+AD640+31</f>
        <v>36595</v>
      </c>
      <c r="AG640" s="208"/>
      <c r="AH640" s="207">
        <f>+AF640+31</f>
        <v>36626</v>
      </c>
      <c r="AI640" s="208"/>
    </row>
    <row r="641" spans="4:35" x14ac:dyDescent="0.2">
      <c r="F641" s="138" t="s">
        <v>26</v>
      </c>
      <c r="G641" s="138" t="s">
        <v>158</v>
      </c>
      <c r="H641" s="138" t="s">
        <v>26</v>
      </c>
      <c r="I641" s="138" t="s">
        <v>158</v>
      </c>
      <c r="J641" s="138" t="s">
        <v>26</v>
      </c>
      <c r="K641" s="138" t="s">
        <v>158</v>
      </c>
      <c r="L641" s="138" t="s">
        <v>26</v>
      </c>
      <c r="M641" s="138" t="s">
        <v>158</v>
      </c>
      <c r="N641" s="138" t="s">
        <v>26</v>
      </c>
      <c r="O641" s="138" t="s">
        <v>158</v>
      </c>
      <c r="P641" s="138" t="s">
        <v>26</v>
      </c>
      <c r="Q641" s="138" t="s">
        <v>158</v>
      </c>
      <c r="R641" s="138" t="s">
        <v>26</v>
      </c>
      <c r="S641" s="138" t="s">
        <v>158</v>
      </c>
      <c r="T641" s="138" t="s">
        <v>26</v>
      </c>
      <c r="U641" s="138" t="s">
        <v>158</v>
      </c>
      <c r="V641" s="138" t="s">
        <v>26</v>
      </c>
      <c r="W641" s="138" t="s">
        <v>158</v>
      </c>
      <c r="X641" s="138" t="s">
        <v>26</v>
      </c>
      <c r="Y641" s="138" t="s">
        <v>158</v>
      </c>
      <c r="Z641" s="138" t="s">
        <v>26</v>
      </c>
      <c r="AA641" s="138" t="s">
        <v>158</v>
      </c>
      <c r="AB641" s="138" t="s">
        <v>26</v>
      </c>
      <c r="AC641" s="138" t="s">
        <v>158</v>
      </c>
      <c r="AD641" s="138" t="s">
        <v>26</v>
      </c>
      <c r="AE641" s="138" t="s">
        <v>158</v>
      </c>
      <c r="AF641" s="138" t="s">
        <v>26</v>
      </c>
      <c r="AG641" s="138" t="s">
        <v>158</v>
      </c>
      <c r="AH641" s="138" t="s">
        <v>26</v>
      </c>
      <c r="AI641" s="138" t="s">
        <v>158</v>
      </c>
    </row>
    <row r="642" spans="4:35" x14ac:dyDescent="0.2">
      <c r="D642" s="139" t="s">
        <v>175</v>
      </c>
      <c r="E642" s="140"/>
      <c r="F642" s="141">
        <f>BGC_GL!H82</f>
        <v>0</v>
      </c>
      <c r="G642" s="142">
        <f>BGC_GL!I82</f>
        <v>-685696.14999999874</v>
      </c>
      <c r="H642" s="141">
        <f>BGC_GL!J82</f>
        <v>0</v>
      </c>
      <c r="I642" s="142">
        <f>BGC_GL!K82</f>
        <v>3660377.88</v>
      </c>
      <c r="J642" s="141">
        <f>BGC_GL!L82</f>
        <v>0</v>
      </c>
      <c r="K642" s="141">
        <f>BGC_GL!M82</f>
        <v>-3571070.7080000006</v>
      </c>
      <c r="L642" s="141">
        <f>BGC_GL!N82</f>
        <v>0</v>
      </c>
      <c r="M642" s="142">
        <f>BGC_GL!O82</f>
        <v>3622052</v>
      </c>
      <c r="N642" s="141">
        <f>BGC_GL!P82</f>
        <v>0</v>
      </c>
      <c r="O642" s="141">
        <f>BGC_GL!Q82</f>
        <v>0</v>
      </c>
      <c r="P642" s="141">
        <f>BGC_GL!R82</f>
        <v>0</v>
      </c>
      <c r="Q642" s="141">
        <f>BGC_GL!S82</f>
        <v>0</v>
      </c>
      <c r="R642" s="141">
        <f>BGC_GL!T82</f>
        <v>0</v>
      </c>
      <c r="S642" s="141">
        <f>BGC_GL!U82</f>
        <v>0</v>
      </c>
      <c r="T642" s="141">
        <f>BGC_GL!V82</f>
        <v>0</v>
      </c>
      <c r="U642" s="141">
        <f>BGC_GL!W82</f>
        <v>0</v>
      </c>
      <c r="V642" s="141">
        <f>BGC_GL!X82</f>
        <v>0</v>
      </c>
      <c r="W642" s="142">
        <f>BGC_GL!Y82</f>
        <v>-2242673.5120000001</v>
      </c>
      <c r="X642" s="141">
        <f>BGC_GL!Z82</f>
        <v>0</v>
      </c>
      <c r="Y642" s="141">
        <f>BGC_GL!AA82</f>
        <v>0</v>
      </c>
      <c r="Z642" s="141">
        <f>BGC_GL!AB82</f>
        <v>0</v>
      </c>
      <c r="AA642" s="141">
        <f>BGC_GL!AC82</f>
        <v>0</v>
      </c>
      <c r="AB642" s="141">
        <f>BGC_GL!AD82</f>
        <v>0</v>
      </c>
      <c r="AC642" s="143">
        <f>BGC_GL!AE82</f>
        <v>0</v>
      </c>
      <c r="AD642" s="141">
        <f>BGC_GL!AF82</f>
        <v>0</v>
      </c>
      <c r="AE642" s="143">
        <f>BGC_GL!AG82</f>
        <v>0</v>
      </c>
      <c r="AF642" s="141">
        <f>BGC_GL!AH82</f>
        <v>0</v>
      </c>
      <c r="AG642" s="143">
        <f>BGC_GL!AI82</f>
        <v>0</v>
      </c>
      <c r="AH642" s="141">
        <f>BGC_GL!AJ82</f>
        <v>0</v>
      </c>
      <c r="AI642" s="143">
        <f>BGC_GL!AK82</f>
        <v>0</v>
      </c>
    </row>
    <row r="643" spans="4:35" x14ac:dyDescent="0.2">
      <c r="D643" s="139" t="s">
        <v>150</v>
      </c>
      <c r="E643" s="140"/>
      <c r="F643" s="141">
        <f>CE_GL!H82</f>
        <v>0</v>
      </c>
      <c r="G643" s="179">
        <f>CE_GL!I82</f>
        <v>13305771.670000007</v>
      </c>
      <c r="H643" s="141">
        <f>CE_GL!J82</f>
        <v>0</v>
      </c>
      <c r="I643" s="142">
        <f>CE_GL!K82</f>
        <v>-3526779.7800000003</v>
      </c>
      <c r="J643" s="141">
        <f>CE_GL!L82</f>
        <v>0</v>
      </c>
      <c r="K643" s="142">
        <f>CE_GL!M82</f>
        <v>-1816819.895</v>
      </c>
      <c r="L643" s="141">
        <f>CE_GL!N82</f>
        <v>0</v>
      </c>
      <c r="M643" s="142">
        <f>CE_GL!O82</f>
        <v>1406688.0829999999</v>
      </c>
      <c r="N643" s="141">
        <f>CE_GL!P82</f>
        <v>0</v>
      </c>
      <c r="O643" s="141">
        <f>CE_GL!Q82</f>
        <v>-5594.5286000000006</v>
      </c>
      <c r="P643" s="141">
        <f>CE_GL!R82</f>
        <v>0</v>
      </c>
      <c r="Q643" s="141">
        <f>CE_GL!S82</f>
        <v>727475.73159999982</v>
      </c>
      <c r="R643" s="141">
        <f>CE_GL!T82</f>
        <v>0</v>
      </c>
      <c r="S643" s="142">
        <f>CE_GL!U82</f>
        <v>595637.73699999996</v>
      </c>
      <c r="T643" s="141">
        <f>CE_GL!V82</f>
        <v>0</v>
      </c>
      <c r="U643" s="141">
        <f>CE_GL!W82</f>
        <v>3873.2410000000232</v>
      </c>
      <c r="V643" s="141">
        <f>CE_GL!X82</f>
        <v>0</v>
      </c>
      <c r="W643" s="141">
        <f>CE_GL!Y82</f>
        <v>-9883.4989999999998</v>
      </c>
      <c r="X643" s="141">
        <f>CE_GL!Z82</f>
        <v>0</v>
      </c>
      <c r="Y643" s="141">
        <f>CE_GL!AA82</f>
        <v>-4219.01</v>
      </c>
      <c r="Z643" s="141">
        <f>CE_GL!AB82</f>
        <v>0</v>
      </c>
      <c r="AA643" s="141">
        <f>CE_GL!AC82</f>
        <v>1393</v>
      </c>
      <c r="AB643" s="141">
        <f>CE_GL!AD82</f>
        <v>0</v>
      </c>
      <c r="AC643" s="143">
        <f>CE_GL!AE82</f>
        <v>132549.76000000001</v>
      </c>
      <c r="AD643" s="141">
        <f>CE_GL!AF82</f>
        <v>0</v>
      </c>
      <c r="AE643" s="143">
        <f>CE_GL!AG82</f>
        <v>0</v>
      </c>
      <c r="AF643" s="141">
        <f>CE_GL!AH82</f>
        <v>0</v>
      </c>
      <c r="AG643" s="206">
        <f>CE_GL!AI82</f>
        <v>1393</v>
      </c>
      <c r="AH643" s="141">
        <f>CE_GL!AJ82</f>
        <v>0</v>
      </c>
      <c r="AI643" s="206">
        <f>CE_GL!AK82</f>
        <v>0</v>
      </c>
    </row>
    <row r="644" spans="4:35" x14ac:dyDescent="0.2">
      <c r="D644" s="139" t="s">
        <v>151</v>
      </c>
      <c r="E644" s="140"/>
      <c r="F644" s="141">
        <f>+NE_GL!H82</f>
        <v>0</v>
      </c>
      <c r="G644" s="142">
        <f>+NE_GL!I82</f>
        <v>17725351.36799999</v>
      </c>
      <c r="H644" s="141">
        <f>+NE_GL!J82</f>
        <v>0</v>
      </c>
      <c r="I644" s="142">
        <f>+NE_GL!K82</f>
        <v>13230546.186000001</v>
      </c>
      <c r="J644" s="141">
        <f>+NE_GL!L82</f>
        <v>0</v>
      </c>
      <c r="K644" s="141">
        <f>+NE_GL!M82</f>
        <v>-17981618.908</v>
      </c>
      <c r="L644" s="141">
        <f>+NE_GL!N82</f>
        <v>0</v>
      </c>
      <c r="M644" s="142">
        <f>+NE_GL!O82</f>
        <v>-6745980.5870000003</v>
      </c>
      <c r="N644" s="141">
        <f>+NE_GL!P82</f>
        <v>0</v>
      </c>
      <c r="O644" s="141">
        <f>+NE_GL!Q82</f>
        <v>115586.53199999998</v>
      </c>
      <c r="P644" s="141">
        <f>+NE_GL!R82</f>
        <v>0</v>
      </c>
      <c r="Q644" s="141">
        <f>+NE_GL!S82</f>
        <v>55730.313999999998</v>
      </c>
      <c r="R644" s="141">
        <f>+NE_GL!T82</f>
        <v>0</v>
      </c>
      <c r="S644" s="142">
        <f>+NE_GL!U82</f>
        <v>2445679.8150000004</v>
      </c>
      <c r="T644" s="141">
        <f>+NE_GL!V82</f>
        <v>0</v>
      </c>
      <c r="U644" s="141">
        <f>+NE_GL!W82</f>
        <v>27356.392000000003</v>
      </c>
      <c r="V644" s="141">
        <f>+NE_GL!X82</f>
        <v>0</v>
      </c>
      <c r="W644" s="142">
        <f>+NE_GL!Y82</f>
        <v>2368057.0609999998</v>
      </c>
      <c r="X644" s="141">
        <f>+NE_GL!Z82</f>
        <v>0</v>
      </c>
      <c r="Y644" s="141">
        <f>+NE_GL!AA82</f>
        <v>0</v>
      </c>
      <c r="Z644" s="141">
        <f>+NE_GL!AB82</f>
        <v>0</v>
      </c>
      <c r="AA644" s="141">
        <f>+NE_GL!AC82</f>
        <v>15020.235999999997</v>
      </c>
      <c r="AB644" s="141">
        <f>+NE_GL!AD82</f>
        <v>0</v>
      </c>
      <c r="AC644" s="143">
        <f>+NE_GL!AE82</f>
        <v>-15020.235999999997</v>
      </c>
      <c r="AD644" s="141">
        <f>+NE_GL!AF82</f>
        <v>0</v>
      </c>
      <c r="AE644" s="143">
        <f>+NE_GL!AG82</f>
        <v>0</v>
      </c>
      <c r="AF644" s="141">
        <f>+NE_GL!AH82</f>
        <v>0</v>
      </c>
      <c r="AG644" s="206">
        <f>+NE_GL!AI82</f>
        <v>15020.235999999997</v>
      </c>
      <c r="AH644" s="141">
        <f>+NE_GL!AJ82</f>
        <v>0</v>
      </c>
      <c r="AI644" s="206">
        <f>+NE_GL!AK82</f>
        <v>0</v>
      </c>
    </row>
    <row r="645" spans="4:35" x14ac:dyDescent="0.2">
      <c r="D645" s="139" t="s">
        <v>159</v>
      </c>
      <c r="E645" s="140"/>
      <c r="F645" s="141">
        <f>+'SE-LRC-GL'!H82</f>
        <v>0</v>
      </c>
      <c r="G645" s="179">
        <f>+'SE-LRC-GL'!I82</f>
        <v>1970343.560000001</v>
      </c>
      <c r="H645" s="141">
        <f>+'SE-LRC-GL'!J82</f>
        <v>0</v>
      </c>
      <c r="I645" s="179">
        <f>+'SE-LRC-GL'!K82</f>
        <v>-1084545.3479999995</v>
      </c>
      <c r="J645" s="141">
        <f>+'SE-LRC-GL'!L82</f>
        <v>0</v>
      </c>
      <c r="K645" s="141">
        <f>+'SE-LRC-GL'!M82</f>
        <v>1257566.1640000001</v>
      </c>
      <c r="L645" s="141">
        <f>+'SE-LRC-GL'!N82</f>
        <v>0</v>
      </c>
      <c r="M645" s="142">
        <f>+'SE-LRC-GL'!O82</f>
        <v>112871.43999999994</v>
      </c>
      <c r="N645" s="141">
        <f>+'SE-LRC-GL'!P82</f>
        <v>0</v>
      </c>
      <c r="O645" s="141">
        <f>+'SE-LRC-GL'!Q82</f>
        <v>-651493.78399999999</v>
      </c>
      <c r="P645" s="141">
        <f>+'SE-LRC-GL'!R82</f>
        <v>0</v>
      </c>
      <c r="Q645" s="141">
        <f>+'SE-LRC-GL'!S82</f>
        <v>-1801.2799999999929</v>
      </c>
      <c r="R645" s="141">
        <f>+'SE-LRC-GL'!T82</f>
        <v>0</v>
      </c>
      <c r="S645" s="142">
        <f>+'SE-LRC-GL'!U82</f>
        <v>139356.34400000001</v>
      </c>
      <c r="T645" s="141">
        <f>+'SE-LRC-GL'!V82</f>
        <v>0</v>
      </c>
      <c r="U645" s="141">
        <f>+'SE-LRC-GL'!W82</f>
        <v>-8969.6439999999984</v>
      </c>
      <c r="V645" s="141">
        <f>+'SE-LRC-GL'!X82</f>
        <v>0</v>
      </c>
      <c r="W645" s="142">
        <f>+'SE-LRC-GL'!Y82</f>
        <v>19435.893999999949</v>
      </c>
      <c r="X645" s="141">
        <f>+'SE-LRC-GL'!Z82</f>
        <v>0</v>
      </c>
      <c r="Y645" s="141">
        <f>+'SE-LRC-GL'!AA82</f>
        <v>-12924.109999999999</v>
      </c>
      <c r="Z645" s="141">
        <f>+'SE-LRC-GL'!AB82</f>
        <v>0</v>
      </c>
      <c r="AA645" s="141">
        <f>+'SE-LRC-GL'!AC82</f>
        <v>17406.088000000036</v>
      </c>
      <c r="AB645" s="141">
        <f>+'SE-LRC-GL'!AD82</f>
        <v>0</v>
      </c>
      <c r="AC645" s="143">
        <f>+'SE-LRC-GL'!AE82</f>
        <v>-18001.968000000012</v>
      </c>
      <c r="AD645" s="141">
        <f>+'SE-LRC-GL'!AF82</f>
        <v>0</v>
      </c>
      <c r="AE645" s="143">
        <f>+'SE-LRC-GL'!AG82</f>
        <v>0.23999999999068677</v>
      </c>
      <c r="AF645" s="141">
        <f>+'SE-LRC-GL'!AH82</f>
        <v>0</v>
      </c>
      <c r="AG645" s="206">
        <f>+'SE-LRC-GL'!AI82</f>
        <v>1.4500000000000028</v>
      </c>
      <c r="AH645" s="141">
        <f>+'SE-LRC-GL'!AJ82</f>
        <v>0</v>
      </c>
      <c r="AI645" s="206">
        <f>+'SE-LRC-GL'!AK82</f>
        <v>-1.4500000000000028</v>
      </c>
    </row>
    <row r="646" spans="4:35" x14ac:dyDescent="0.2">
      <c r="D646" s="139" t="s">
        <v>160</v>
      </c>
      <c r="E646" s="140"/>
      <c r="F646" s="141">
        <f>+'SE-EGM-GL'!H82</f>
        <v>0</v>
      </c>
      <c r="G646" s="179">
        <f>+'SE-EGM-GL'!I82</f>
        <v>0</v>
      </c>
      <c r="H646" s="141">
        <f>+'SE-EGM-GL'!J82</f>
        <v>0</v>
      </c>
      <c r="I646" s="179">
        <f>+'SE-EGM-GL'!K82</f>
        <v>0</v>
      </c>
      <c r="J646" s="141">
        <f>+'SE-EGM-GL'!L82</f>
        <v>0</v>
      </c>
      <c r="K646" s="141">
        <f>+'SE-EGM-GL'!M82</f>
        <v>0</v>
      </c>
      <c r="L646" s="141">
        <f>+'SE-EGM-GL'!N82</f>
        <v>0</v>
      </c>
      <c r="M646" s="141">
        <f>+'SE-EGM-GL'!O82</f>
        <v>0</v>
      </c>
      <c r="N646" s="141">
        <f>+'SE-EGM-GL'!P82</f>
        <v>0</v>
      </c>
      <c r="O646" s="141">
        <f>+'SE-EGM-GL'!Q82</f>
        <v>0</v>
      </c>
      <c r="P646" s="141">
        <f>+'SE-EGM-GL'!R82</f>
        <v>0</v>
      </c>
      <c r="Q646" s="141">
        <f>+'SE-EGM-GL'!S82</f>
        <v>0</v>
      </c>
      <c r="R646" s="141">
        <f>+'SE-EGM-GL'!T82</f>
        <v>0</v>
      </c>
      <c r="S646" s="141">
        <f>+'SE-EGM-GL'!U82</f>
        <v>0</v>
      </c>
      <c r="T646" s="141">
        <f>+'SE-EGM-GL'!V82</f>
        <v>0</v>
      </c>
      <c r="U646" s="141">
        <f>+'SE-EGM-GL'!W82</f>
        <v>0</v>
      </c>
      <c r="V646" s="141">
        <f>+'SE-EGM-GL'!X82</f>
        <v>0</v>
      </c>
      <c r="W646" s="141">
        <f>+'SE-EGM-GL'!Y82</f>
        <v>0</v>
      </c>
      <c r="X646" s="141">
        <f>+'SE-EGM-GL'!Z82</f>
        <v>0</v>
      </c>
      <c r="Y646" s="141">
        <f>+'SE-EGM-GL'!AA82</f>
        <v>0</v>
      </c>
      <c r="Z646" s="141">
        <f>+'SE-EGM-GL'!AB82</f>
        <v>0</v>
      </c>
      <c r="AA646" s="141">
        <f>+'SE-EGM-GL'!AC82</f>
        <v>0</v>
      </c>
      <c r="AB646" s="141">
        <f>+'SE-EGM-GL'!AD82</f>
        <v>0</v>
      </c>
      <c r="AC646" s="143">
        <f>+'SE-EGM-GL'!AE82</f>
        <v>0</v>
      </c>
      <c r="AD646" s="141">
        <f>+'SE-EGM-GL'!AF82</f>
        <v>0</v>
      </c>
      <c r="AE646" s="143">
        <f>+'SE-EGM-GL'!AG82</f>
        <v>0</v>
      </c>
      <c r="AF646" s="141">
        <f>+'SE-EGM-GL'!AH82</f>
        <v>0</v>
      </c>
      <c r="AG646" s="143">
        <f>+'SE-EGM-GL'!AI82</f>
        <v>0</v>
      </c>
      <c r="AH646" s="141">
        <f>+'SE-EGM-GL'!AJ82</f>
        <v>0</v>
      </c>
      <c r="AI646" s="143">
        <f>+'SE-EGM-GL'!AK82</f>
        <v>0</v>
      </c>
    </row>
    <row r="647" spans="4:35" x14ac:dyDescent="0.2">
      <c r="D647" s="139" t="s">
        <v>161</v>
      </c>
      <c r="E647" s="140"/>
      <c r="F647" s="141">
        <f>+'SE-CON-GL '!H82</f>
        <v>0</v>
      </c>
      <c r="G647" s="179">
        <f>+'SE-CON-GL '!I82</f>
        <v>1970343.560000001</v>
      </c>
      <c r="H647" s="141">
        <f>+'SE-CON-GL '!J82</f>
        <v>0</v>
      </c>
      <c r="I647" s="179">
        <f>+'SE-CON-GL '!K82</f>
        <v>-1084545.3479999995</v>
      </c>
      <c r="J647" s="141">
        <f>+'SE-CON-GL '!L82</f>
        <v>0</v>
      </c>
      <c r="K647" s="141">
        <f>+'SE-CON-GL '!M82</f>
        <v>1265939.044</v>
      </c>
      <c r="L647" s="141">
        <f>+'SE-CON-GL '!N82</f>
        <v>0</v>
      </c>
      <c r="M647" s="141">
        <f>+'SE-CON-GL '!O82</f>
        <v>562871.43999999994</v>
      </c>
      <c r="N647" s="141">
        <f>+'SE-CON-GL '!P82</f>
        <v>0</v>
      </c>
      <c r="O647" s="141">
        <f>+'SE-CON-GL '!Q82</f>
        <v>-896025.72400000005</v>
      </c>
      <c r="P647" s="141">
        <f>+'SE-CON-GL '!R82</f>
        <v>0</v>
      </c>
      <c r="Q647" s="141">
        <f>+'SE-CON-GL '!S82</f>
        <v>-1478.179999999993</v>
      </c>
      <c r="R647" s="141">
        <f>+'SE-CON-GL '!T82</f>
        <v>0</v>
      </c>
      <c r="S647" s="141">
        <f>+'SE-CON-GL '!U82</f>
        <v>-1419.6459999999988</v>
      </c>
      <c r="T647" s="141">
        <f>+'SE-CON-GL '!V82</f>
        <v>0</v>
      </c>
      <c r="U647" s="141">
        <f>+'SE-CON-GL '!W82</f>
        <v>-8969.4539999999979</v>
      </c>
      <c r="V647" s="141">
        <f>+'SE-CON-GL '!X82</f>
        <v>0</v>
      </c>
      <c r="W647" s="141">
        <f>+'SE-CON-GL '!Y82</f>
        <v>19435.704000000005</v>
      </c>
      <c r="X647" s="141">
        <f>+'SE-CON-GL '!Z82</f>
        <v>0</v>
      </c>
      <c r="Y647" s="141">
        <f>+'SE-CON-GL '!AA82</f>
        <v>-12924.109999999999</v>
      </c>
      <c r="Z647" s="141">
        <f>+'SE-CON-GL '!AB82</f>
        <v>0</v>
      </c>
      <c r="AA647" s="141">
        <f>+'SE-CON-GL '!AC82</f>
        <v>17406.078000000038</v>
      </c>
      <c r="AB647" s="141">
        <f>+'SE-CON-GL '!AD82</f>
        <v>0</v>
      </c>
      <c r="AC647" s="143">
        <f>+'SE-CON-GL '!AE82</f>
        <v>-18001.958000000013</v>
      </c>
      <c r="AD647" s="141">
        <f>+'SE-CON-GL '!AF82</f>
        <v>0</v>
      </c>
      <c r="AE647" s="143">
        <f>+'SE-CON-GL '!AG82</f>
        <v>0</v>
      </c>
      <c r="AF647" s="141">
        <f>+'SE-CON-GL '!AH82</f>
        <v>0</v>
      </c>
      <c r="AG647" s="143">
        <f>+'SE-CON-GL '!AI82</f>
        <v>0</v>
      </c>
      <c r="AH647" s="141">
        <f>+'SE-CON-GL '!AJ82</f>
        <v>0</v>
      </c>
      <c r="AI647" s="143">
        <f>+'SE-CON-GL '!AK82</f>
        <v>0</v>
      </c>
    </row>
    <row r="648" spans="4:35" x14ac:dyDescent="0.2">
      <c r="D648" s="139" t="s">
        <v>162</v>
      </c>
      <c r="E648" s="140"/>
      <c r="F648" s="141">
        <f>+'TX-EGM-GL'!H82</f>
        <v>0</v>
      </c>
      <c r="G648" s="179">
        <f>+'TX-EGM-GL'!I82</f>
        <v>17242287.199999999</v>
      </c>
      <c r="H648" s="141">
        <f>+'TX-EGM-GL'!J82</f>
        <v>0</v>
      </c>
      <c r="I648" s="179">
        <f>+'TX-EGM-GL'!K82</f>
        <v>-6308515.6749999924</v>
      </c>
      <c r="J648" s="141">
        <f>+'TX-EGM-GL'!L82</f>
        <v>0</v>
      </c>
      <c r="K648" s="141">
        <f>+'TX-EGM-GL'!M82</f>
        <v>-115633.51000000804</v>
      </c>
      <c r="L648" s="141">
        <f>+'TX-EGM-GL'!N82</f>
        <v>0</v>
      </c>
      <c r="M648" s="142">
        <f>+'TX-EGM-GL'!O82</f>
        <v>2537899.3450000002</v>
      </c>
      <c r="N648" s="141">
        <f>+'TX-EGM-GL'!P82</f>
        <v>0</v>
      </c>
      <c r="O648" s="141">
        <f>+'TX-EGM-GL'!Q82</f>
        <v>-1945701.85</v>
      </c>
      <c r="P648" s="141">
        <f>+'TX-EGM-GL'!R82</f>
        <v>0</v>
      </c>
      <c r="Q648" s="141">
        <f>+'TX-EGM-GL'!S82</f>
        <v>33194.785000000003</v>
      </c>
      <c r="R648" s="141">
        <f>+'TX-EGM-GL'!T82</f>
        <v>0</v>
      </c>
      <c r="S648" s="142">
        <f>+'TX-EGM-GL'!U82</f>
        <v>-399186.67599999957</v>
      </c>
      <c r="T648" s="141">
        <f>+'TX-EGM-GL'!V82</f>
        <v>0</v>
      </c>
      <c r="U648" s="141">
        <f>+'TX-EGM-GL'!W82</f>
        <v>201870.22999999998</v>
      </c>
      <c r="V648" s="141">
        <f>+'TX-EGM-GL'!X82</f>
        <v>0</v>
      </c>
      <c r="W648" s="142">
        <f>+'TX-EGM-GL'!Y82</f>
        <v>668910.92500000005</v>
      </c>
      <c r="X648" s="141">
        <f>+'TX-EGM-GL'!Z82</f>
        <v>0</v>
      </c>
      <c r="Y648" s="141">
        <f>+'TX-EGM-GL'!AA82</f>
        <v>1415.8799999999114</v>
      </c>
      <c r="Z648" s="141">
        <f>+'TX-EGM-GL'!AB82</f>
        <v>0</v>
      </c>
      <c r="AA648" s="141">
        <f>+'TX-EGM-GL'!AC82</f>
        <v>-83433.96500000004</v>
      </c>
      <c r="AB648" s="141">
        <f>+'TX-EGM-GL'!AD82</f>
        <v>0</v>
      </c>
      <c r="AC648" s="143">
        <f>+'TX-EGM-GL'!AE82</f>
        <v>-62470.545000000115</v>
      </c>
      <c r="AD648" s="141">
        <f>+'TX-EGM-GL'!AF82</f>
        <v>0</v>
      </c>
      <c r="AE648" s="206">
        <f>+'TX-EGM-GL'!AG82</f>
        <v>-68993.109999999971</v>
      </c>
      <c r="AF648" s="141">
        <f>+'TX-EGM-GL'!AH82</f>
        <v>0</v>
      </c>
      <c r="AG648" s="206">
        <f>+'TX-EGM-GL'!AI82</f>
        <v>-656308.91000000027</v>
      </c>
      <c r="AH648" s="141">
        <f>+'TX-EGM-GL'!AJ82</f>
        <v>0</v>
      </c>
      <c r="AI648" s="206">
        <f>+'TX-EGM-GL'!AK82</f>
        <v>84132.074999999968</v>
      </c>
    </row>
    <row r="649" spans="4:35" x14ac:dyDescent="0.2">
      <c r="D649" s="139" t="s">
        <v>163</v>
      </c>
      <c r="E649" s="140"/>
      <c r="F649" s="141">
        <f>+'TX-HPL-GL '!H82</f>
        <v>0</v>
      </c>
      <c r="G649" s="179">
        <f>+'TX-HPL-GL '!I82</f>
        <v>3077220.7099999948</v>
      </c>
      <c r="H649" s="141">
        <f>+'TX-HPL-GL '!J82</f>
        <v>0</v>
      </c>
      <c r="I649" s="179">
        <f>+'TX-HPL-GL '!K82</f>
        <v>-9554964.5375000034</v>
      </c>
      <c r="J649" s="141">
        <f>+'TX-HPL-GL '!L82</f>
        <v>0</v>
      </c>
      <c r="K649" s="141">
        <f>+'TX-HPL-GL '!M82</f>
        <v>20047.439500000539</v>
      </c>
      <c r="L649" s="141">
        <f>+'TX-HPL-GL '!N82</f>
        <v>0</v>
      </c>
      <c r="M649" s="142">
        <f>+'TX-HPL-GL '!O82</f>
        <v>7463552.3151999991</v>
      </c>
      <c r="N649" s="141">
        <f>+'TX-HPL-GL '!P82</f>
        <v>0</v>
      </c>
      <c r="O649" s="141">
        <f>+'TX-HPL-GL '!Q82</f>
        <v>-14115.930399999997</v>
      </c>
      <c r="P649" s="141">
        <f>+'TX-HPL-GL '!R82</f>
        <v>0</v>
      </c>
      <c r="Q649" s="141">
        <f>+'TX-HPL-GL '!S82</f>
        <v>303794.43180000002</v>
      </c>
      <c r="R649" s="141">
        <f>+'TX-HPL-GL '!T82</f>
        <v>0</v>
      </c>
      <c r="S649" s="142">
        <f>+'TX-HPL-GL '!U82</f>
        <v>-80581.887400000094</v>
      </c>
      <c r="T649" s="141">
        <f>+'TX-HPL-GL '!V82</f>
        <v>0</v>
      </c>
      <c r="U649" s="141">
        <f>+'TX-HPL-GL '!W82</f>
        <v>-24312.435000000019</v>
      </c>
      <c r="V649" s="141">
        <f>+'TX-HPL-GL '!X82</f>
        <v>0</v>
      </c>
      <c r="W649" s="142">
        <f>+'TX-HPL-GL '!Y82</f>
        <v>-15760.77420000002</v>
      </c>
      <c r="X649" s="141">
        <f>+'TX-HPL-GL '!Z82</f>
        <v>0</v>
      </c>
      <c r="Y649" s="141">
        <f>+'TX-HPL-GL '!AA82</f>
        <v>-29346.122799999997</v>
      </c>
      <c r="Z649" s="141">
        <f>+'TX-HPL-GL '!AB82</f>
        <v>0</v>
      </c>
      <c r="AA649" s="141">
        <f>+'TX-HPL-GL '!AC82</f>
        <v>-9025.5109999999549</v>
      </c>
      <c r="AB649" s="141">
        <f>+'TX-HPL-GL '!AD82</f>
        <v>0</v>
      </c>
      <c r="AC649" s="143">
        <f>+'TX-HPL-GL '!AE82</f>
        <v>100.47</v>
      </c>
      <c r="AD649" s="141">
        <f>+'TX-HPL-GL '!AF82</f>
        <v>0</v>
      </c>
      <c r="AE649" s="143">
        <f>+'TX-HPL-GL '!AG82</f>
        <v>0</v>
      </c>
      <c r="AF649" s="141">
        <f>+'TX-HPL-GL '!AH82</f>
        <v>0</v>
      </c>
      <c r="AG649" s="206">
        <f>+'TX-HPL-GL '!AI82</f>
        <v>15109.960000000001</v>
      </c>
      <c r="AH649" s="141">
        <f>+'TX-HPL-GL '!AJ82</f>
        <v>0</v>
      </c>
      <c r="AI649" s="206">
        <f>+'TX-HPL-GL '!AK82</f>
        <v>0</v>
      </c>
    </row>
    <row r="650" spans="4:35" x14ac:dyDescent="0.2">
      <c r="D650" s="139" t="s">
        <v>164</v>
      </c>
      <c r="E650" s="140"/>
      <c r="F650" s="141">
        <f>+'TX-CON-GL '!H82</f>
        <v>0</v>
      </c>
      <c r="G650" s="179">
        <f>+'TX-CON-GL '!I82</f>
        <v>20319507.909999989</v>
      </c>
      <c r="H650" s="141">
        <f>+'TX-CON-GL '!J82</f>
        <v>0</v>
      </c>
      <c r="I650" s="179">
        <f>+'TX-CON-GL '!K82</f>
        <v>-15863480.212499997</v>
      </c>
      <c r="J650" s="141">
        <f>+'TX-CON-GL '!L82</f>
        <v>0</v>
      </c>
      <c r="K650" s="141">
        <f>+'TX-CON-GL '!M82</f>
        <v>-95586.070499999681</v>
      </c>
      <c r="L650" s="141">
        <f>+'TX-CON-GL '!N82</f>
        <v>0</v>
      </c>
      <c r="M650" s="141">
        <f>+'TX-CON-GL '!O82</f>
        <v>10001451.660200004</v>
      </c>
      <c r="N650" s="141">
        <f>+'TX-CON-GL '!P82</f>
        <v>0</v>
      </c>
      <c r="O650" s="141">
        <f>+'TX-CON-GL '!Q82</f>
        <v>-1959817.7803999998</v>
      </c>
      <c r="P650" s="141">
        <f>+'TX-CON-GL '!R82</f>
        <v>0</v>
      </c>
      <c r="Q650" s="141">
        <f>+'TX-CON-GL '!S82</f>
        <v>336989.21680000005</v>
      </c>
      <c r="R650" s="141">
        <f>+'TX-CON-GL '!T82</f>
        <v>0</v>
      </c>
      <c r="S650" s="141">
        <f>+'TX-CON-GL '!U82</f>
        <v>-479768.56339999998</v>
      </c>
      <c r="T650" s="141">
        <f>+'TX-CON-GL '!V82</f>
        <v>0</v>
      </c>
      <c r="U650" s="141">
        <f>+'TX-CON-GL '!W82</f>
        <v>177557.79499999998</v>
      </c>
      <c r="V650" s="141">
        <f>+'TX-CON-GL '!X82</f>
        <v>0</v>
      </c>
      <c r="W650" s="142">
        <f>+'TX-CON-GL '!Y82</f>
        <v>653150.15080000006</v>
      </c>
      <c r="X650" s="141">
        <f>+'TX-CON-GL '!Z82</f>
        <v>0</v>
      </c>
      <c r="Y650" s="141">
        <f>+'TX-CON-GL '!AA82</f>
        <v>-27930.242800000065</v>
      </c>
      <c r="Z650" s="141">
        <f>+'TX-CON-GL '!AB82</f>
        <v>0</v>
      </c>
      <c r="AA650" s="141">
        <f>+'TX-CON-GL '!AC82</f>
        <v>-92459.475999999981</v>
      </c>
      <c r="AB650" s="141">
        <f>+'TX-CON-GL '!AD82</f>
        <v>0</v>
      </c>
      <c r="AC650" s="143">
        <f>+'TX-CON-GL '!AE82</f>
        <v>-62370.07499999991</v>
      </c>
      <c r="AD650" s="141">
        <f>+'TX-CON-GL '!AF82</f>
        <v>0</v>
      </c>
      <c r="AE650" s="143">
        <f>+'TX-CON-GL '!AG82</f>
        <v>0</v>
      </c>
      <c r="AF650" s="141">
        <f>+'TX-CON-GL '!AH82</f>
        <v>0</v>
      </c>
      <c r="AG650" s="143">
        <f>+'TX-CON-GL '!AI82</f>
        <v>0</v>
      </c>
      <c r="AH650" s="141">
        <f>+'TX-CON-GL '!AJ82</f>
        <v>0</v>
      </c>
      <c r="AI650" s="143">
        <f>+'TX-CON-GL '!AK82</f>
        <v>0</v>
      </c>
    </row>
    <row r="651" spans="4:35" x14ac:dyDescent="0.2">
      <c r="D651" s="139" t="s">
        <v>153</v>
      </c>
      <c r="E651" s="140"/>
      <c r="F651" s="141">
        <f>+'WE-GL '!H82</f>
        <v>0</v>
      </c>
      <c r="G651" s="179">
        <f>+'WE-GL '!I82</f>
        <v>-85568.508000001777</v>
      </c>
      <c r="H651" s="141">
        <f>+'WE-GL '!J82</f>
        <v>0</v>
      </c>
      <c r="I651" s="179">
        <f>+'WE-GL '!K82</f>
        <v>336919.47699999955</v>
      </c>
      <c r="J651" s="141">
        <f>+'WE-GL '!L82</f>
        <v>0</v>
      </c>
      <c r="K651" s="141">
        <f>+'WE-GL '!M82</f>
        <v>2584532.997</v>
      </c>
      <c r="L651" s="141">
        <f>+'WE-GL '!N82</f>
        <v>0</v>
      </c>
      <c r="M651" s="141">
        <f>+'WE-GL '!O82</f>
        <v>-4095112.2130000005</v>
      </c>
      <c r="N651" s="141">
        <f>+'WE-GL '!P82</f>
        <v>0</v>
      </c>
      <c r="O651" s="141">
        <f>+'WE-GL '!Q82</f>
        <v>174.86200000000002</v>
      </c>
      <c r="P651" s="141">
        <f>+'WE-GL '!R82</f>
        <v>0</v>
      </c>
      <c r="Q651" s="141">
        <f>+'WE-GL '!S82</f>
        <v>-581.35</v>
      </c>
      <c r="R651" s="141">
        <f>+'WE-GL '!T82</f>
        <v>0</v>
      </c>
      <c r="S651" s="142">
        <f>+'WE-GL '!U82</f>
        <v>-1214485.1229999999</v>
      </c>
      <c r="T651" s="141">
        <f>+'WE-GL '!V82</f>
        <v>0</v>
      </c>
      <c r="U651" s="141">
        <f>+'WE-GL '!W82</f>
        <v>1113397.673</v>
      </c>
      <c r="V651" s="141">
        <f>+'WE-GL '!X82</f>
        <v>0</v>
      </c>
      <c r="W651" s="141">
        <f>+'WE-GL '!Y82</f>
        <v>75765.251999999979</v>
      </c>
      <c r="X651" s="141">
        <f>+'WE-GL '!Z82</f>
        <v>0</v>
      </c>
      <c r="Y651" s="141">
        <f>+'WE-GL '!AA82</f>
        <v>0</v>
      </c>
      <c r="Z651" s="141">
        <f>+'WE-GL '!AB82</f>
        <v>0</v>
      </c>
      <c r="AA651" s="141">
        <f>+'WE-GL '!AC82</f>
        <v>3122.0969999999943</v>
      </c>
      <c r="AB651" s="141">
        <f>+'WE-GL '!AD82</f>
        <v>0</v>
      </c>
      <c r="AC651" s="143">
        <f>+'WE-GL '!AE82</f>
        <v>-3122.0969999999943</v>
      </c>
      <c r="AD651" s="141">
        <f>+'WE-GL '!AF82</f>
        <v>0</v>
      </c>
      <c r="AE651" s="206">
        <f>+'WE-GL '!AG82</f>
        <v>-5868.45</v>
      </c>
      <c r="AF651" s="141">
        <f>+'WE-GL '!AH82</f>
        <v>0</v>
      </c>
      <c r="AG651" s="206">
        <f>+'WE-GL '!AI82</f>
        <v>3122.0969999999943</v>
      </c>
      <c r="AH651" s="141">
        <f>+'WE-GL '!AJ82</f>
        <v>0</v>
      </c>
      <c r="AI651" s="206">
        <f>+'WE-GL '!AK82</f>
        <v>0</v>
      </c>
    </row>
    <row r="652" spans="4:35" x14ac:dyDescent="0.2">
      <c r="D652" t="s">
        <v>155</v>
      </c>
      <c r="F652" s="144">
        <f>+STG_GL!H82</f>
        <v>0</v>
      </c>
      <c r="G652" s="180">
        <f>+STG_GL!I82</f>
        <v>0</v>
      </c>
      <c r="H652" s="144">
        <f>+STG_GL!J82</f>
        <v>0</v>
      </c>
      <c r="I652" s="144">
        <f>+STG_GL!K82</f>
        <v>0</v>
      </c>
      <c r="J652" s="144">
        <f>+STG_GL!L82</f>
        <v>0</v>
      </c>
      <c r="K652" s="144">
        <f>+STG_GL!M82</f>
        <v>6921606</v>
      </c>
      <c r="L652" s="144">
        <f>+STG_GL!N82</f>
        <v>0</v>
      </c>
      <c r="M652" s="144">
        <f>+STG_GL!O82</f>
        <v>-12535210</v>
      </c>
      <c r="N652" s="144">
        <f>+STG_GL!P82</f>
        <v>0</v>
      </c>
      <c r="O652" s="144">
        <f>+STG_GL!Q82</f>
        <v>0</v>
      </c>
      <c r="P652" s="144">
        <f>+STG_GL!R82</f>
        <v>0</v>
      </c>
      <c r="Q652" s="144">
        <f>+STG_GL!S82</f>
        <v>655833</v>
      </c>
      <c r="R652" s="144">
        <f>+STG_GL!T82</f>
        <v>0</v>
      </c>
      <c r="S652" s="144">
        <f>+STG_GL!U82</f>
        <v>0</v>
      </c>
      <c r="T652" s="144">
        <f>+STG_GL!V82</f>
        <v>0</v>
      </c>
      <c r="U652" s="144">
        <f>+STG_GL!W82</f>
        <v>0</v>
      </c>
      <c r="V652" s="144">
        <f>+STG_GL!X82</f>
        <v>0</v>
      </c>
      <c r="W652" s="144">
        <f>+STG_GL!Y82</f>
        <v>-13177</v>
      </c>
      <c r="X652" s="144">
        <f>+STG_GL!Z82</f>
        <v>0</v>
      </c>
      <c r="Y652" s="144">
        <f>+STG_GL!AA82</f>
        <v>-50115</v>
      </c>
      <c r="Z652" s="144">
        <f>+STG_GL!AB82</f>
        <v>0</v>
      </c>
      <c r="AA652" s="144">
        <f>+STG_GL!AC82</f>
        <v>0</v>
      </c>
      <c r="AB652" s="144">
        <f>+STG_GL!AD82</f>
        <v>0</v>
      </c>
      <c r="AC652" s="144">
        <f>+STG_GL!AE82</f>
        <v>-536296</v>
      </c>
      <c r="AD652" s="144">
        <f>+STG_GL!AF82</f>
        <v>0</v>
      </c>
      <c r="AE652" s="144">
        <f>+STG_GL!AG82</f>
        <v>0</v>
      </c>
      <c r="AF652" s="144">
        <f>+STG_GL!AH82</f>
        <v>0</v>
      </c>
      <c r="AG652" s="144">
        <f>+STG_GL!AI82</f>
        <v>3</v>
      </c>
      <c r="AH652" s="144">
        <f>+STG_GL!AJ82</f>
        <v>0</v>
      </c>
      <c r="AI652" s="144">
        <f>+STG_GL!AK82</f>
        <v>0</v>
      </c>
    </row>
    <row r="653" spans="4:35" x14ac:dyDescent="0.2">
      <c r="D653" t="s">
        <v>180</v>
      </c>
      <c r="F653" s="144">
        <f>+'ONT_GL '!H82</f>
        <v>0</v>
      </c>
      <c r="G653" s="144">
        <f>+'ONT_GL '!I82</f>
        <v>-140148</v>
      </c>
      <c r="H653" s="144">
        <f>+'ONT_GL '!J82</f>
        <v>0</v>
      </c>
      <c r="I653" s="144">
        <f>+'ONT_GL '!K82</f>
        <v>15705</v>
      </c>
      <c r="J653" s="144">
        <f>+'ONT_GL '!L82</f>
        <v>0</v>
      </c>
      <c r="K653" s="144">
        <f>+'ONT_GL '!M82</f>
        <v>604295</v>
      </c>
      <c r="L653" s="144">
        <f>+'ONT_GL '!N82</f>
        <v>0</v>
      </c>
      <c r="M653" s="144">
        <f>+'ONT_GL '!O82</f>
        <v>140148</v>
      </c>
      <c r="N653" s="144">
        <f>+'ONT_GL '!P82</f>
        <v>0</v>
      </c>
      <c r="O653" s="144">
        <f>+'ONT_GL '!Q82</f>
        <v>0</v>
      </c>
      <c r="P653" s="144">
        <f>+'ONT_GL '!R82</f>
        <v>0</v>
      </c>
      <c r="Q653" s="144">
        <f>+'ONT_GL '!S82</f>
        <v>0</v>
      </c>
      <c r="R653" s="144">
        <f>+'ONT_GL '!T82</f>
        <v>0</v>
      </c>
      <c r="S653" s="204">
        <f>+'ONT_GL '!U82</f>
        <v>-620000</v>
      </c>
      <c r="T653" s="144">
        <f>+'ONT_GL '!V82</f>
        <v>0</v>
      </c>
      <c r="U653" s="204">
        <f>+'ONT_GL '!W82</f>
        <v>-990</v>
      </c>
      <c r="V653" s="144">
        <f>+'ONT_GL '!X82</f>
        <v>0</v>
      </c>
      <c r="W653" s="144">
        <f>+'ONT_GL '!Y82</f>
        <v>0</v>
      </c>
      <c r="X653" s="144">
        <f>+'ONT_GL '!Z82</f>
        <v>0</v>
      </c>
      <c r="Y653" s="144">
        <f>+'ONT_GL '!AA82</f>
        <v>0</v>
      </c>
      <c r="Z653" s="144">
        <f>+'ONT_GL '!AB82</f>
        <v>0</v>
      </c>
      <c r="AA653" s="144">
        <f>+'ONT_GL '!AC82</f>
        <v>0</v>
      </c>
      <c r="AB653" s="144">
        <f>+'ONT_GL '!AD82</f>
        <v>0</v>
      </c>
      <c r="AC653" s="144">
        <f>+'ONT_GL '!AE82</f>
        <v>0</v>
      </c>
      <c r="AD653" s="144">
        <f>+'ONT_GL '!AF82</f>
        <v>0</v>
      </c>
      <c r="AE653" s="144">
        <f>+'ONT_GL '!AG82</f>
        <v>0</v>
      </c>
      <c r="AF653" s="144">
        <f>+'ONT_GL '!AH82</f>
        <v>0</v>
      </c>
      <c r="AG653" s="144">
        <f>+'ONT_GL '!AI82</f>
        <v>0</v>
      </c>
      <c r="AH653" s="144">
        <f>+'ONT_GL '!AJ82</f>
        <v>0</v>
      </c>
      <c r="AI653" s="144">
        <f>+'ONT_GL '!AK82</f>
        <v>0</v>
      </c>
    </row>
    <row r="654" spans="4:35" x14ac:dyDescent="0.2">
      <c r="G654" s="45"/>
    </row>
    <row r="655" spans="4:35" x14ac:dyDescent="0.2">
      <c r="D655" t="s">
        <v>2</v>
      </c>
    </row>
  </sheetData>
  <mergeCells count="30">
    <mergeCell ref="R640:S640"/>
    <mergeCell ref="AF640:AG640"/>
    <mergeCell ref="AB640:AC640"/>
    <mergeCell ref="AD640:AE640"/>
    <mergeCell ref="T640:U640"/>
    <mergeCell ref="V640:W640"/>
    <mergeCell ref="X640:Y640"/>
    <mergeCell ref="Z640:AA640"/>
    <mergeCell ref="F640:G640"/>
    <mergeCell ref="H640:I640"/>
    <mergeCell ref="J640:K640"/>
    <mergeCell ref="L640:M640"/>
    <mergeCell ref="N640:O640"/>
    <mergeCell ref="P640:Q640"/>
    <mergeCell ref="U1:V1"/>
    <mergeCell ref="W1:X1"/>
    <mergeCell ref="Y1:Z1"/>
    <mergeCell ref="AA1:AB1"/>
    <mergeCell ref="AC1:AD1"/>
    <mergeCell ref="AE1:AF1"/>
    <mergeCell ref="AH640:AI640"/>
    <mergeCell ref="AG1:AH1"/>
    <mergeCell ref="E1:F1"/>
    <mergeCell ref="G1:H1"/>
    <mergeCell ref="I1:J1"/>
    <mergeCell ref="K1:L1"/>
    <mergeCell ref="M1:N1"/>
    <mergeCell ref="O1:P1"/>
    <mergeCell ref="Q1:R1"/>
    <mergeCell ref="S1:T1"/>
  </mergeCells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P53" activePane="bottomRight" state="frozen"/>
      <selection activeCell="D10" sqref="D10"/>
      <selection pane="topRight" activeCell="D10" sqref="D10"/>
      <selection pane="bottomLeft" activeCell="D10" sqref="D10"/>
      <selection pane="bottomRight" activeCell="U65" sqref="U65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56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9902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180</v>
      </c>
      <c r="W8" s="27"/>
      <c r="X8" s="26" t="s">
        <v>175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-30767081.609999999</v>
      </c>
      <c r="F12" s="65"/>
      <c r="G12" s="38">
        <f>-9567067.87-395127</f>
        <v>-9962194.8699999992</v>
      </c>
      <c r="H12" s="65"/>
      <c r="I12" s="38">
        <f>-96854.9-10497809.21</f>
        <v>-10594664.110000001</v>
      </c>
      <c r="J12" s="65"/>
      <c r="K12" s="38">
        <v>0</v>
      </c>
      <c r="L12" s="65"/>
      <c r="M12" s="38">
        <v>0</v>
      </c>
      <c r="N12" s="65"/>
      <c r="O12" s="38">
        <f>-1109771.51-5147.91</f>
        <v>-1114919.42</v>
      </c>
      <c r="P12" s="65"/>
      <c r="Q12" s="38">
        <f>-2285408.19-87571.79</f>
        <v>-2372979.98</v>
      </c>
      <c r="R12" s="65"/>
      <c r="S12" s="38">
        <f>-6589260.2-133063.03</f>
        <v>-6722323.2300000004</v>
      </c>
      <c r="T12" s="65"/>
      <c r="U12" s="38">
        <v>0</v>
      </c>
      <c r="V12" s="65"/>
      <c r="W12" s="38">
        <v>0</v>
      </c>
      <c r="X12" s="65"/>
      <c r="Y12" s="38">
        <v>0</v>
      </c>
    </row>
    <row r="13" spans="1:25" x14ac:dyDescent="0.2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-30767081.609999999</v>
      </c>
      <c r="F16" s="61">
        <f t="shared" si="1"/>
        <v>0</v>
      </c>
      <c r="G16" s="39">
        <f t="shared" si="1"/>
        <v>-9962194.8699999992</v>
      </c>
      <c r="H16" s="61">
        <f t="shared" si="1"/>
        <v>0</v>
      </c>
      <c r="I16" s="39">
        <f t="shared" si="1"/>
        <v>-10594664.110000001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-1114919.42</v>
      </c>
      <c r="P16" s="61">
        <f t="shared" si="1"/>
        <v>0</v>
      </c>
      <c r="Q16" s="39">
        <f t="shared" si="1"/>
        <v>-2372979.98</v>
      </c>
      <c r="R16" s="61">
        <f t="shared" si="1"/>
        <v>0</v>
      </c>
      <c r="S16" s="39">
        <f t="shared" si="1"/>
        <v>-6722323.2300000004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4082699.7899999996</v>
      </c>
      <c r="F20" s="65"/>
      <c r="G20" s="38">
        <f>279781-65904.12</f>
        <v>213876.88</v>
      </c>
      <c r="H20" s="65"/>
      <c r="I20" s="38">
        <f>175997.78+3600972.5</f>
        <v>3776970.28</v>
      </c>
      <c r="J20" s="65"/>
      <c r="K20" s="38">
        <v>-1135706.29</v>
      </c>
      <c r="L20" s="65"/>
      <c r="M20" s="38">
        <v>0</v>
      </c>
      <c r="N20" s="65"/>
      <c r="O20" s="38">
        <f>46200+152664.66</f>
        <v>198864.66</v>
      </c>
      <c r="P20" s="65"/>
      <c r="Q20" s="38">
        <f>985.54+497042.41</f>
        <v>498027.94999999995</v>
      </c>
      <c r="R20" s="65"/>
      <c r="S20" s="38">
        <f>99469.86+431196.45</f>
        <v>530666.31000000006</v>
      </c>
      <c r="T20" s="65"/>
      <c r="U20" s="38">
        <v>0</v>
      </c>
      <c r="V20" s="65"/>
      <c r="W20" s="38">
        <v>0</v>
      </c>
      <c r="X20" s="65"/>
      <c r="Y20" s="38">
        <v>0</v>
      </c>
    </row>
    <row r="21" spans="1:25" x14ac:dyDescent="0.2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4082699.7899999996</v>
      </c>
      <c r="F24" s="61">
        <f t="shared" si="3"/>
        <v>0</v>
      </c>
      <c r="G24" s="39">
        <f t="shared" si="3"/>
        <v>213876.88</v>
      </c>
      <c r="H24" s="61">
        <f t="shared" si="3"/>
        <v>0</v>
      </c>
      <c r="I24" s="39">
        <f t="shared" si="3"/>
        <v>3776970.28</v>
      </c>
      <c r="J24" s="61">
        <f t="shared" si="3"/>
        <v>0</v>
      </c>
      <c r="K24" s="39">
        <f t="shared" si="3"/>
        <v>-1135706.29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198864.66</v>
      </c>
      <c r="P24" s="61">
        <f t="shared" si="3"/>
        <v>0</v>
      </c>
      <c r="Q24" s="39">
        <f t="shared" si="3"/>
        <v>498027.94999999995</v>
      </c>
      <c r="R24" s="61">
        <f t="shared" si="3"/>
        <v>0</v>
      </c>
      <c r="S24" s="39">
        <f t="shared" si="3"/>
        <v>530666.31000000006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0">
        <f>F70+H70+J70+L70+N70+P70+R70+T70+V70+X70</f>
        <v>0</v>
      </c>
      <c r="E70" s="177">
        <f>G70+I70+K70+M70+O70+Q70+S70+U70+W70+Y70</f>
        <v>-7580834.4600000009</v>
      </c>
      <c r="F70" s="60"/>
      <c r="G70" s="38">
        <f>1188829-176228</f>
        <v>1012601</v>
      </c>
      <c r="H70" s="60"/>
      <c r="I70" s="38">
        <f>-9309757+6906.04</f>
        <v>-9302850.9600000009</v>
      </c>
      <c r="J70" s="60"/>
      <c r="K70" s="38">
        <v>0</v>
      </c>
      <c r="L70" s="60"/>
      <c r="M70" s="38">
        <v>0</v>
      </c>
      <c r="N70" s="60"/>
      <c r="O70" s="38">
        <v>594969</v>
      </c>
      <c r="P70" s="60"/>
      <c r="Q70" s="38">
        <v>0</v>
      </c>
      <c r="R70" s="60"/>
      <c r="S70" s="38">
        <f>-72418-67597.5</f>
        <v>-140015.5</v>
      </c>
      <c r="T70" s="60"/>
      <c r="U70" s="38">
        <v>37841</v>
      </c>
      <c r="V70" s="60"/>
      <c r="W70" s="38">
        <v>176228</v>
      </c>
      <c r="X70" s="60"/>
      <c r="Y70" s="38">
        <v>40393</v>
      </c>
    </row>
    <row r="71" spans="1:25" x14ac:dyDescent="0.2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-7580834.4600000009</v>
      </c>
      <c r="F72" s="61">
        <f t="shared" si="13"/>
        <v>0</v>
      </c>
      <c r="G72" s="39">
        <f t="shared" si="13"/>
        <v>1012601</v>
      </c>
      <c r="H72" s="61">
        <f t="shared" si="13"/>
        <v>0</v>
      </c>
      <c r="I72" s="39">
        <f t="shared" si="13"/>
        <v>-9302850.9600000009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594969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-140015.5</v>
      </c>
      <c r="T72" s="61">
        <f t="shared" si="13"/>
        <v>0</v>
      </c>
      <c r="U72" s="39">
        <f t="shared" si="13"/>
        <v>37841</v>
      </c>
      <c r="V72" s="61">
        <f t="shared" si="13"/>
        <v>0</v>
      </c>
      <c r="W72" s="39">
        <f t="shared" si="13"/>
        <v>176228</v>
      </c>
      <c r="X72" s="61">
        <f t="shared" si="13"/>
        <v>0</v>
      </c>
      <c r="Y72" s="39">
        <f t="shared" si="13"/>
        <v>40393</v>
      </c>
    </row>
    <row r="73" spans="1:25" x14ac:dyDescent="0.2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9762579.2100000009</v>
      </c>
      <c r="F74" s="65"/>
      <c r="G74" s="66">
        <v>-832585.26</v>
      </c>
      <c r="H74" s="65"/>
      <c r="I74" s="66">
        <f>1789970.24+3975686.78-27068.98</f>
        <v>5738588.0399999991</v>
      </c>
      <c r="J74" s="65"/>
      <c r="K74" s="66">
        <v>0</v>
      </c>
      <c r="L74" s="65"/>
      <c r="M74" s="66">
        <v>0</v>
      </c>
      <c r="N74" s="65"/>
      <c r="O74" s="66">
        <v>487082.23</v>
      </c>
      <c r="P74" s="65"/>
      <c r="Q74" s="66">
        <v>0</v>
      </c>
      <c r="R74" s="65"/>
      <c r="S74" s="66">
        <f>-2845658.46-680000</f>
        <v>-3525658.46</v>
      </c>
      <c r="T74" s="65"/>
      <c r="U74" s="66">
        <v>7895152.6600000001</v>
      </c>
      <c r="V74" s="65"/>
      <c r="W74" s="66">
        <v>0</v>
      </c>
      <c r="X74" s="65"/>
      <c r="Y74" s="66">
        <v>0</v>
      </c>
    </row>
    <row r="75" spans="1:25" x14ac:dyDescent="0.2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171700</v>
      </c>
      <c r="F75" s="65"/>
      <c r="G75" s="38">
        <v>57200</v>
      </c>
      <c r="H75" s="65"/>
      <c r="I75" s="38">
        <v>16300</v>
      </c>
      <c r="J75" s="65"/>
      <c r="K75" s="38">
        <v>0</v>
      </c>
      <c r="L75" s="65"/>
      <c r="M75" s="38">
        <v>0</v>
      </c>
      <c r="N75" s="65"/>
      <c r="O75" s="38">
        <v>45400</v>
      </c>
      <c r="P75" s="65"/>
      <c r="Q75" s="38">
        <v>0</v>
      </c>
      <c r="R75" s="65"/>
      <c r="S75" s="38">
        <f>4200+48600</f>
        <v>52800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77</v>
      </c>
      <c r="D76" s="60">
        <f t="shared" si="14"/>
        <v>0</v>
      </c>
      <c r="E76" s="177">
        <f t="shared" si="1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0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-4753809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-29084746.07</v>
      </c>
      <c r="F82" s="92">
        <f>F16+F24+F29+F36+F43+F45+F47+F49</f>
        <v>0</v>
      </c>
      <c r="G82" s="93">
        <f>SUM(G72:G81)+G16+G24+G29+G36+G43+G45+G47+G49+G51+G56+G61+G66</f>
        <v>-9511102.2499999981</v>
      </c>
      <c r="H82" s="92">
        <f>H16+H24+H29+H36+H43+H45+H47+H49</f>
        <v>0</v>
      </c>
      <c r="I82" s="93">
        <f>SUM(I72:I81)+I16+I24+I29+I36+I43+I45+I47+I49+I51+I56+I61+I66</f>
        <v>-13402465.750000002</v>
      </c>
      <c r="J82" s="92">
        <f>J16+J24+J29+J36+J43+J45+J47+J49</f>
        <v>0</v>
      </c>
      <c r="K82" s="93">
        <f>SUM(K72:K81)+K16+K24+K29+K36+K43+K45+K47+K49+K51+K56+K61+K66</f>
        <v>-1135706.29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211396.47000000006</v>
      </c>
      <c r="P82" s="92">
        <f>P16+P24+P29+P36+P43+P45+P47+P49</f>
        <v>0</v>
      </c>
      <c r="Q82" s="93">
        <f>SUM(Q72:Q81)+Q16+Q24+Q29+Q36+Q43+Q45+Q47+Q49+Q51+Q56+Q61+Q66</f>
        <v>-2694952.0300000003</v>
      </c>
      <c r="R82" s="92">
        <f>R16+R24+R29+R36+R43+R45+R47+R49</f>
        <v>0</v>
      </c>
      <c r="S82" s="93">
        <f>SUM(S72:S81)+S16+S24+S29+S36+S43+S45+S47+S49+S51+S56+S61+S66</f>
        <v>-9804530.8800000008</v>
      </c>
      <c r="T82" s="92">
        <f>T16+T24+T29+T36+T43+T45+T47+T49</f>
        <v>0</v>
      </c>
      <c r="U82" s="93">
        <f>SUM(U72:U81)+U16+U24+U29+U36+U43+U45+U47+U49+U51+U56+U61+U66</f>
        <v>7035993.6600000001</v>
      </c>
      <c r="V82" s="92">
        <f>V16+V24+V29+V36+V43+V45+V47+V49</f>
        <v>0</v>
      </c>
      <c r="W82" s="93">
        <f>SUM(W72:W81)+W16+W24+W29+W36+W43+W45+W47+W49+W51+W56+W61+W66</f>
        <v>176228</v>
      </c>
      <c r="X82" s="92">
        <f>X16+X24+X29+X36+X43+X45+X47+X49</f>
        <v>0</v>
      </c>
      <c r="Y82" s="93">
        <f>SUM(Y72:Y81)+Y16+Y24+Y29+Y36+Y43+Y45+Y47+Y49+Y51+Y56+Y61+Y66</f>
        <v>40393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E84" s="156">
        <f>+E12+E20+E74</f>
        <v>-16921802.609999999</v>
      </c>
      <c r="M84" s="45"/>
    </row>
    <row r="85" spans="1:26" x14ac:dyDescent="0.2">
      <c r="A85" s="4" t="s">
        <v>197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83"/>
      <c r="C86" s="10" t="s">
        <v>189</v>
      </c>
      <c r="D86" s="184">
        <f t="shared" ref="D86:E88" si="16">F86+H86+J86+L86+N86+P86+R86+T86+V86+X86</f>
        <v>0</v>
      </c>
      <c r="E86" s="184">
        <f t="shared" si="16"/>
        <v>60691.46</v>
      </c>
      <c r="F86" s="184"/>
      <c r="G86" s="184"/>
      <c r="H86" s="184"/>
      <c r="I86" s="184">
        <v>-6906.04</v>
      </c>
      <c r="J86" s="184"/>
      <c r="K86" s="184"/>
      <c r="L86" s="184"/>
      <c r="M86" s="184"/>
      <c r="N86" s="184"/>
      <c r="O86" s="184"/>
      <c r="P86" s="184"/>
      <c r="Q86" s="184"/>
      <c r="R86" s="184"/>
      <c r="S86" s="184">
        <v>67597.5</v>
      </c>
      <c r="T86" s="184"/>
      <c r="U86" s="184"/>
      <c r="V86" s="184"/>
      <c r="W86" s="184">
        <v>0</v>
      </c>
      <c r="X86" s="184"/>
      <c r="Y86" s="184"/>
    </row>
    <row r="87" spans="1:26" s="3" customFormat="1" x14ac:dyDescent="0.2">
      <c r="A87" s="183"/>
      <c r="C87" s="10" t="s">
        <v>75</v>
      </c>
      <c r="D87" s="185">
        <f t="shared" si="16"/>
        <v>0</v>
      </c>
      <c r="E87" s="185">
        <f t="shared" si="16"/>
        <v>0</v>
      </c>
      <c r="F87" s="185">
        <v>0</v>
      </c>
      <c r="G87" s="185"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f>U87+W87+Y87+AA87+AC87+AE87+AG87+AI87+AK87+AM87</f>
        <v>0</v>
      </c>
      <c r="T87" s="185">
        <f>V87+X87+Z87+AB87+AD87+AF87+AH87+AJ87+AL87+AN87</f>
        <v>0</v>
      </c>
      <c r="U87" s="185"/>
      <c r="V87" s="185"/>
      <c r="W87" s="185"/>
      <c r="X87" s="185"/>
      <c r="Y87" s="185"/>
    </row>
    <row r="88" spans="1:26" s="3" customFormat="1" x14ac:dyDescent="0.2">
      <c r="A88" s="183"/>
      <c r="C88" s="10" t="s">
        <v>76</v>
      </c>
      <c r="D88" s="186">
        <f t="shared" si="16"/>
        <v>0</v>
      </c>
      <c r="E88" s="186">
        <f t="shared" si="16"/>
        <v>-48600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-48600</v>
      </c>
      <c r="T88" s="186">
        <f>V88+X88+Z88+AB88+AD88+AF88+AH88+AJ88+AL88+AN88</f>
        <v>0</v>
      </c>
      <c r="U88" s="186"/>
      <c r="V88" s="186"/>
      <c r="W88" s="186"/>
      <c r="X88" s="186"/>
      <c r="Y88" s="186"/>
    </row>
    <row r="89" spans="1:26" s="149" customFormat="1" ht="20.25" customHeight="1" x14ac:dyDescent="0.2">
      <c r="A89" s="187"/>
      <c r="B89" s="188"/>
      <c r="C89" s="201" t="s">
        <v>198</v>
      </c>
      <c r="D89" s="190">
        <f>SUM(D86:D88)</f>
        <v>0</v>
      </c>
      <c r="E89" s="190">
        <f t="shared" ref="E89:Y89" si="17">SUM(E86:E88)</f>
        <v>12091.46</v>
      </c>
      <c r="F89" s="190">
        <f t="shared" si="17"/>
        <v>0</v>
      </c>
      <c r="G89" s="190">
        <f t="shared" si="17"/>
        <v>0</v>
      </c>
      <c r="H89" s="190">
        <f t="shared" si="17"/>
        <v>0</v>
      </c>
      <c r="I89" s="190">
        <f t="shared" si="17"/>
        <v>-6906.04</v>
      </c>
      <c r="J89" s="190">
        <f t="shared" si="17"/>
        <v>0</v>
      </c>
      <c r="K89" s="190">
        <f t="shared" si="17"/>
        <v>0</v>
      </c>
      <c r="L89" s="190">
        <f t="shared" si="17"/>
        <v>0</v>
      </c>
      <c r="M89" s="190">
        <f t="shared" si="17"/>
        <v>0</v>
      </c>
      <c r="N89" s="190">
        <f t="shared" si="17"/>
        <v>0</v>
      </c>
      <c r="O89" s="190">
        <f t="shared" si="17"/>
        <v>0</v>
      </c>
      <c r="P89" s="190">
        <f t="shared" si="17"/>
        <v>0</v>
      </c>
      <c r="Q89" s="190">
        <f t="shared" si="17"/>
        <v>0</v>
      </c>
      <c r="R89" s="190">
        <f t="shared" si="17"/>
        <v>0</v>
      </c>
      <c r="S89" s="190">
        <f t="shared" si="17"/>
        <v>18997.5</v>
      </c>
      <c r="T89" s="190">
        <f t="shared" si="17"/>
        <v>0</v>
      </c>
      <c r="U89" s="190">
        <f t="shared" si="17"/>
        <v>0</v>
      </c>
      <c r="V89" s="190">
        <f t="shared" si="17"/>
        <v>0</v>
      </c>
      <c r="W89" s="190">
        <f t="shared" si="17"/>
        <v>0</v>
      </c>
      <c r="X89" s="190">
        <f t="shared" si="17"/>
        <v>0</v>
      </c>
      <c r="Y89" s="190">
        <f t="shared" si="17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">
      <c r="A91" s="187"/>
      <c r="B91" s="188"/>
      <c r="C91" s="189" t="s">
        <v>199</v>
      </c>
      <c r="D91" s="190">
        <f>+D82+D89</f>
        <v>0</v>
      </c>
      <c r="E91" s="190">
        <f t="shared" ref="E91:Y91" si="18">+E82+E89</f>
        <v>-29072654.609999999</v>
      </c>
      <c r="F91" s="190">
        <f t="shared" si="18"/>
        <v>0</v>
      </c>
      <c r="G91" s="190">
        <f t="shared" si="18"/>
        <v>-9511102.2499999981</v>
      </c>
      <c r="H91" s="190">
        <f t="shared" si="18"/>
        <v>0</v>
      </c>
      <c r="I91" s="190">
        <f t="shared" si="18"/>
        <v>-13409371.790000001</v>
      </c>
      <c r="J91" s="190">
        <f t="shared" si="18"/>
        <v>0</v>
      </c>
      <c r="K91" s="190">
        <f t="shared" si="18"/>
        <v>-1135706.29</v>
      </c>
      <c r="L91" s="190">
        <f t="shared" si="18"/>
        <v>0</v>
      </c>
      <c r="M91" s="190">
        <f t="shared" si="18"/>
        <v>0</v>
      </c>
      <c r="N91" s="190">
        <f t="shared" si="18"/>
        <v>0</v>
      </c>
      <c r="O91" s="190">
        <f t="shared" si="18"/>
        <v>211396.47000000006</v>
      </c>
      <c r="P91" s="190">
        <f t="shared" si="18"/>
        <v>0</v>
      </c>
      <c r="Q91" s="190">
        <f t="shared" si="18"/>
        <v>-2694952.0300000003</v>
      </c>
      <c r="R91" s="190">
        <f t="shared" si="18"/>
        <v>0</v>
      </c>
      <c r="S91" s="190">
        <f t="shared" si="18"/>
        <v>-9785533.3800000008</v>
      </c>
      <c r="T91" s="190">
        <f t="shared" si="18"/>
        <v>0</v>
      </c>
      <c r="U91" s="190">
        <f t="shared" si="18"/>
        <v>7035993.6600000001</v>
      </c>
      <c r="V91" s="190">
        <f t="shared" si="18"/>
        <v>0</v>
      </c>
      <c r="W91" s="190">
        <f t="shared" si="18"/>
        <v>176228</v>
      </c>
      <c r="X91" s="190">
        <f t="shared" si="18"/>
        <v>0</v>
      </c>
      <c r="Y91" s="190">
        <f t="shared" si="18"/>
        <v>40393</v>
      </c>
    </row>
    <row r="92" spans="1:26" s="14" customFormat="1" x14ac:dyDescent="0.2">
      <c r="A92" s="202"/>
      <c r="B92" s="203"/>
      <c r="C92" s="14" t="s">
        <v>83</v>
      </c>
      <c r="D92" s="31">
        <v>0</v>
      </c>
      <c r="E92" s="177">
        <v>-29072654.609999999</v>
      </c>
      <c r="F92" s="14">
        <v>0</v>
      </c>
      <c r="G92" s="14">
        <v>-9511102.2499999981</v>
      </c>
      <c r="H92" s="14">
        <v>0</v>
      </c>
      <c r="I92" s="14">
        <v>-13409371.790000001</v>
      </c>
      <c r="J92" s="14">
        <v>0</v>
      </c>
      <c r="K92" s="14">
        <v>-1135706.29</v>
      </c>
      <c r="L92" s="14">
        <v>0</v>
      </c>
      <c r="M92" s="14">
        <v>0</v>
      </c>
      <c r="N92" s="14">
        <v>0</v>
      </c>
      <c r="O92" s="14">
        <v>211396.47</v>
      </c>
      <c r="P92" s="14">
        <v>0</v>
      </c>
      <c r="Q92" s="14">
        <v>-2694952.03</v>
      </c>
      <c r="R92" s="14">
        <v>0</v>
      </c>
      <c r="S92" s="14">
        <v>-9785533.3800000008</v>
      </c>
      <c r="T92" s="14">
        <v>0</v>
      </c>
      <c r="U92" s="14">
        <v>7035993.6600000001</v>
      </c>
      <c r="V92" s="14">
        <v>0</v>
      </c>
      <c r="W92" s="14">
        <v>176228</v>
      </c>
      <c r="X92" s="14">
        <v>0</v>
      </c>
      <c r="Y92" s="14">
        <v>40393</v>
      </c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44934747</v>
      </c>
      <c r="E11" s="65">
        <v>81138704</v>
      </c>
      <c r="F11" s="60">
        <f>H11-D11</f>
        <v>0</v>
      </c>
      <c r="G11" s="37">
        <f>I11-E11</f>
        <v>0</v>
      </c>
      <c r="H11" s="65">
        <f t="shared" ref="H11:I15" si="0">D11</f>
        <v>44934747</v>
      </c>
      <c r="I11" s="66">
        <f t="shared" si="0"/>
        <v>81138704</v>
      </c>
      <c r="J11" s="37"/>
      <c r="K11" s="38"/>
      <c r="L11" s="60">
        <f t="shared" ref="L11:M15" si="1">H11+J11</f>
        <v>44934747</v>
      </c>
      <c r="M11" s="38">
        <f t="shared" si="1"/>
        <v>81138704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31</v>
      </c>
      <c r="D13" s="65">
        <v>15160831</v>
      </c>
      <c r="E13" s="65">
        <v>26741159</v>
      </c>
      <c r="F13" s="60">
        <f t="shared" si="2"/>
        <v>0</v>
      </c>
      <c r="G13" s="37">
        <f t="shared" si="2"/>
        <v>0</v>
      </c>
      <c r="H13" s="65">
        <f t="shared" si="0"/>
        <v>15160831</v>
      </c>
      <c r="I13" s="66">
        <f t="shared" si="0"/>
        <v>26741159</v>
      </c>
      <c r="J13" s="37"/>
      <c r="K13" s="38"/>
      <c r="L13" s="60">
        <f t="shared" si="1"/>
        <v>15160831</v>
      </c>
      <c r="M13" s="38">
        <f t="shared" si="1"/>
        <v>26741159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34</v>
      </c>
      <c r="C16" s="6"/>
      <c r="D16" s="61">
        <v>60095578</v>
      </c>
      <c r="E16" s="39">
        <v>107879863</v>
      </c>
      <c r="F16" s="61">
        <f t="shared" ref="F16:M16" si="3">SUM(F11:F15)</f>
        <v>0</v>
      </c>
      <c r="G16" s="39">
        <f t="shared" si="3"/>
        <v>0</v>
      </c>
      <c r="H16" s="61">
        <f>SUM(H11:H15)</f>
        <v>60095578</v>
      </c>
      <c r="I16" s="39">
        <f>SUM(I11:I15)</f>
        <v>107879863</v>
      </c>
      <c r="J16" s="159">
        <f t="shared" si="3"/>
        <v>0</v>
      </c>
      <c r="K16" s="39">
        <f t="shared" si="3"/>
        <v>0</v>
      </c>
      <c r="L16" s="61">
        <f t="shared" si="3"/>
        <v>60095578</v>
      </c>
      <c r="M16" s="39">
        <f t="shared" si="3"/>
        <v>107879863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-37048464</v>
      </c>
      <c r="E19" s="65">
        <v>-66159116</v>
      </c>
      <c r="F19" s="60">
        <f>H19-D19</f>
        <v>0</v>
      </c>
      <c r="G19" s="37">
        <f>I19-E19</f>
        <v>0</v>
      </c>
      <c r="H19" s="65">
        <f t="shared" si="4"/>
        <v>-37048464</v>
      </c>
      <c r="I19" s="66">
        <f t="shared" si="4"/>
        <v>-66159116</v>
      </c>
      <c r="J19" s="37"/>
      <c r="K19" s="38"/>
      <c r="L19" s="60">
        <f t="shared" ref="L19:M23" si="5">H19+J19</f>
        <v>-37048464</v>
      </c>
      <c r="M19" s="38">
        <f t="shared" si="5"/>
        <v>-66159116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-23344043</v>
      </c>
      <c r="E21" s="65">
        <v>-40617148</v>
      </c>
      <c r="F21" s="60">
        <f t="shared" si="6"/>
        <v>0</v>
      </c>
      <c r="G21" s="37">
        <f t="shared" si="6"/>
        <v>0</v>
      </c>
      <c r="H21" s="65">
        <f t="shared" si="4"/>
        <v>-23344043</v>
      </c>
      <c r="I21" s="66">
        <f t="shared" si="4"/>
        <v>-40617148</v>
      </c>
      <c r="J21" s="37"/>
      <c r="K21" s="38"/>
      <c r="L21" s="60">
        <f t="shared" si="5"/>
        <v>-23344043</v>
      </c>
      <c r="M21" s="38">
        <f t="shared" si="5"/>
        <v>-40617148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319974</v>
      </c>
      <c r="E23" s="65">
        <v>544806</v>
      </c>
      <c r="F23" s="60">
        <f t="shared" si="6"/>
        <v>0</v>
      </c>
      <c r="G23" s="37">
        <f t="shared" si="6"/>
        <v>0</v>
      </c>
      <c r="H23" s="65">
        <f t="shared" si="4"/>
        <v>319974</v>
      </c>
      <c r="I23" s="66">
        <f t="shared" si="4"/>
        <v>544806</v>
      </c>
      <c r="J23" s="37"/>
      <c r="K23" s="38"/>
      <c r="L23" s="60">
        <f t="shared" si="5"/>
        <v>319974</v>
      </c>
      <c r="M23" s="38">
        <f t="shared" si="5"/>
        <v>544806</v>
      </c>
    </row>
    <row r="24" spans="1:13" x14ac:dyDescent="0.2">
      <c r="A24" s="9"/>
      <c r="B24" s="7" t="s">
        <v>37</v>
      </c>
      <c r="C24" s="6"/>
      <c r="D24" s="61">
        <v>-60072533</v>
      </c>
      <c r="E24" s="39">
        <v>-106231458</v>
      </c>
      <c r="F24" s="61">
        <f t="shared" ref="F24:M24" si="7">SUM(F19:F23)</f>
        <v>0</v>
      </c>
      <c r="G24" s="39">
        <f t="shared" si="7"/>
        <v>0</v>
      </c>
      <c r="H24" s="61">
        <f>SUM(H19:H23)</f>
        <v>-60072533</v>
      </c>
      <c r="I24" s="39">
        <f>SUM(I19:I23)</f>
        <v>-106231458</v>
      </c>
      <c r="J24" s="159">
        <f t="shared" si="7"/>
        <v>0</v>
      </c>
      <c r="K24" s="39">
        <f t="shared" si="7"/>
        <v>0</v>
      </c>
      <c r="L24" s="61">
        <f t="shared" si="7"/>
        <v>-60072533</v>
      </c>
      <c r="M24" s="39">
        <f t="shared" si="7"/>
        <v>-106231458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3305327</v>
      </c>
      <c r="E32" s="65">
        <v>6039892</v>
      </c>
      <c r="F32" s="60">
        <f>H32-D32</f>
        <v>0</v>
      </c>
      <c r="G32" s="37">
        <f>I32-E32</f>
        <v>0</v>
      </c>
      <c r="H32" s="65">
        <f t="shared" ref="H32:I35" si="9">D32</f>
        <v>3305327</v>
      </c>
      <c r="I32" s="66">
        <f t="shared" si="9"/>
        <v>6039892</v>
      </c>
      <c r="J32" s="37"/>
      <c r="K32" s="38"/>
      <c r="L32" s="60">
        <f t="shared" ref="L32:M35" si="10">H32+J32</f>
        <v>3305327</v>
      </c>
      <c r="M32" s="38">
        <f t="shared" si="10"/>
        <v>6039892</v>
      </c>
    </row>
    <row r="33" spans="1:13" x14ac:dyDescent="0.2">
      <c r="A33" s="9">
        <v>14</v>
      </c>
      <c r="B33" s="7"/>
      <c r="C33" s="18" t="s">
        <v>44</v>
      </c>
      <c r="D33" s="65">
        <v>-3353971</v>
      </c>
      <c r="E33" s="65">
        <v>-6027879.4058935335</v>
      </c>
      <c r="F33" s="60">
        <f t="shared" ref="F33:G35" si="11">H33-D33</f>
        <v>0</v>
      </c>
      <c r="G33" s="37">
        <f t="shared" si="11"/>
        <v>0</v>
      </c>
      <c r="H33" s="65">
        <f t="shared" si="9"/>
        <v>-3353971</v>
      </c>
      <c r="I33" s="66">
        <f t="shared" si="9"/>
        <v>-6027879.4058935335</v>
      </c>
      <c r="J33" s="37"/>
      <c r="K33" s="38"/>
      <c r="L33" s="60">
        <f t="shared" si="10"/>
        <v>-3353971</v>
      </c>
      <c r="M33" s="38">
        <f t="shared" si="10"/>
        <v>-6027879.4058935335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-48644</v>
      </c>
      <c r="E36" s="39">
        <v>12012.594106466509</v>
      </c>
      <c r="F36" s="61">
        <f>SUM(F32:F35)</f>
        <v>0</v>
      </c>
      <c r="G36" s="39">
        <f>SUM(G32:G35)</f>
        <v>0</v>
      </c>
      <c r="H36" s="61">
        <f>SUM(H32:H35)</f>
        <v>-48644</v>
      </c>
      <c r="I36" s="39">
        <f>SUM(I32:I35)</f>
        <v>12012.594106466509</v>
      </c>
      <c r="J36" s="159">
        <f>SUM(J32:J34)</f>
        <v>0</v>
      </c>
      <c r="K36" s="39">
        <f>SUM(K32:K34)</f>
        <v>0</v>
      </c>
      <c r="L36" s="61">
        <f>SUM(L32:L35)</f>
        <v>-48644</v>
      </c>
      <c r="M36" s="39">
        <f>SUM(M32:M35)</f>
        <v>12012.594106466509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103162</v>
      </c>
      <c r="E39" s="65">
        <v>183113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103162</v>
      </c>
      <c r="I39" s="66">
        <f t="shared" si="12"/>
        <v>183113</v>
      </c>
      <c r="J39" s="37"/>
      <c r="K39" s="38"/>
      <c r="L39" s="60">
        <f t="shared" ref="L39:M41" si="14">H39+J39</f>
        <v>103162</v>
      </c>
      <c r="M39" s="38">
        <f t="shared" si="14"/>
        <v>183113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-21803</v>
      </c>
      <c r="E40" s="65">
        <v>-38374</v>
      </c>
      <c r="F40" s="60">
        <f t="shared" si="13"/>
        <v>0</v>
      </c>
      <c r="G40" s="37">
        <f t="shared" si="13"/>
        <v>0</v>
      </c>
      <c r="H40" s="65">
        <f t="shared" si="12"/>
        <v>-21803</v>
      </c>
      <c r="I40" s="66">
        <f t="shared" si="12"/>
        <v>-38374</v>
      </c>
      <c r="J40" s="37"/>
      <c r="K40" s="38"/>
      <c r="L40" s="60">
        <f t="shared" si="14"/>
        <v>-21803</v>
      </c>
      <c r="M40" s="38">
        <f t="shared" si="14"/>
        <v>-38374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-21803</v>
      </c>
      <c r="E42" s="39">
        <v>-38374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-21803</v>
      </c>
      <c r="I42" s="39">
        <f>SUM(I40:I41)</f>
        <v>-38374</v>
      </c>
      <c r="J42" s="159">
        <f t="shared" si="15"/>
        <v>0</v>
      </c>
      <c r="K42" s="39">
        <f t="shared" si="15"/>
        <v>0</v>
      </c>
      <c r="L42" s="61">
        <f t="shared" si="15"/>
        <v>-21803</v>
      </c>
      <c r="M42" s="39">
        <f t="shared" si="15"/>
        <v>-38374</v>
      </c>
    </row>
    <row r="43" spans="1:13" ht="21" customHeight="1" x14ac:dyDescent="0.2">
      <c r="A43" s="9"/>
      <c r="B43" s="7" t="s">
        <v>53</v>
      </c>
      <c r="C43" s="6"/>
      <c r="D43" s="61">
        <v>81359</v>
      </c>
      <c r="E43" s="39">
        <v>144739</v>
      </c>
      <c r="F43" s="61">
        <f t="shared" ref="F43:M43" si="16">F42+F39</f>
        <v>0</v>
      </c>
      <c r="G43" s="39">
        <f t="shared" si="16"/>
        <v>0</v>
      </c>
      <c r="H43" s="61">
        <f>H42+H39</f>
        <v>81359</v>
      </c>
      <c r="I43" s="39">
        <f>I42+I39</f>
        <v>144739</v>
      </c>
      <c r="J43" s="159">
        <f t="shared" si="16"/>
        <v>0</v>
      </c>
      <c r="K43" s="39">
        <f t="shared" si="16"/>
        <v>0</v>
      </c>
      <c r="L43" s="61">
        <f t="shared" si="16"/>
        <v>81359</v>
      </c>
      <c r="M43" s="39">
        <f t="shared" si="16"/>
        <v>144739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-319974</v>
      </c>
      <c r="E51" s="65">
        <v>-544806</v>
      </c>
      <c r="F51" s="60">
        <f>H51-D51</f>
        <v>0</v>
      </c>
      <c r="G51" s="37">
        <f>I51-E51</f>
        <v>0</v>
      </c>
      <c r="H51" s="65">
        <f>D51</f>
        <v>-319974</v>
      </c>
      <c r="I51" s="66">
        <f>E51</f>
        <v>-544806</v>
      </c>
      <c r="J51" s="37"/>
      <c r="K51" s="38"/>
      <c r="L51" s="60">
        <f>H51+J51</f>
        <v>-319974</v>
      </c>
      <c r="M51" s="38">
        <f>I51+K51</f>
        <v>-544806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-111994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-111994</v>
      </c>
      <c r="J54" s="37"/>
      <c r="K54" s="38"/>
      <c r="L54" s="60">
        <f>H54+J54</f>
        <v>0</v>
      </c>
      <c r="M54" s="38">
        <f>I54+K54</f>
        <v>-111994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-1755333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-1755333</v>
      </c>
      <c r="J55" s="37"/>
      <c r="K55" s="38"/>
      <c r="L55" s="60">
        <f>H55+J55</f>
        <v>0</v>
      </c>
      <c r="M55" s="38">
        <f>I55+K55</f>
        <v>-1755333</v>
      </c>
    </row>
    <row r="56" spans="1:15" x14ac:dyDescent="0.2">
      <c r="A56" s="9"/>
      <c r="B56" s="7" t="s">
        <v>61</v>
      </c>
      <c r="C56" s="6"/>
      <c r="D56" s="61">
        <v>0</v>
      </c>
      <c r="E56" s="39">
        <v>-1867327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-1867327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-1867327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2345878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2345878</v>
      </c>
      <c r="J70" s="37"/>
      <c r="K70" s="38"/>
      <c r="L70" s="60">
        <f t="shared" si="20"/>
        <v>0</v>
      </c>
      <c r="M70" s="38">
        <f t="shared" si="20"/>
        <v>2345878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-1540441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-1540441</v>
      </c>
      <c r="J71" s="37"/>
      <c r="K71" s="38"/>
      <c r="L71" s="60">
        <f t="shared" si="20"/>
        <v>0</v>
      </c>
      <c r="M71" s="38">
        <f t="shared" si="20"/>
        <v>-1540441</v>
      </c>
    </row>
    <row r="72" spans="1:13" x14ac:dyDescent="0.2">
      <c r="A72" s="9"/>
      <c r="B72" s="3"/>
      <c r="C72" s="55" t="s">
        <v>73</v>
      </c>
      <c r="D72" s="61">
        <v>0</v>
      </c>
      <c r="E72" s="39">
        <v>805437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805437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805437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-1058947.8445764706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-1058947.8445764706</v>
      </c>
      <c r="J74" s="37"/>
      <c r="K74" s="38"/>
      <c r="L74" s="60">
        <f t="shared" si="24"/>
        <v>0</v>
      </c>
      <c r="M74" s="38">
        <f t="shared" si="24"/>
        <v>-1058947.8445764706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57171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57171</v>
      </c>
      <c r="J75" s="37"/>
      <c r="K75" s="38"/>
      <c r="L75" s="60">
        <f t="shared" si="24"/>
        <v>0</v>
      </c>
      <c r="M75" s="38">
        <f t="shared" si="24"/>
        <v>57171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-3775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-3775</v>
      </c>
      <c r="J76" s="37"/>
      <c r="K76" s="38"/>
      <c r="L76" s="60">
        <f t="shared" si="24"/>
        <v>0</v>
      </c>
      <c r="M76" s="38">
        <f t="shared" si="24"/>
        <v>-3775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1129931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1129931</v>
      </c>
      <c r="J79" s="37"/>
      <c r="K79" s="38"/>
      <c r="L79" s="60">
        <f t="shared" si="24"/>
        <v>0</v>
      </c>
      <c r="M79" s="38">
        <f t="shared" si="24"/>
        <v>1129931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0</v>
      </c>
      <c r="J81" s="37"/>
      <c r="K81" s="38"/>
      <c r="L81" s="60">
        <f t="shared" si="24"/>
        <v>0</v>
      </c>
      <c r="M81" s="38">
        <f t="shared" si="24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55760</v>
      </c>
      <c r="E82" s="74">
        <f>SUM(E72:E81)+E16+E24+E29+E36+E43+E45+E47+E49+E51+E56+E61+E66</f>
        <v>322839.7495299885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55760</v>
      </c>
      <c r="I82" s="161">
        <f>SUM(I72:I81)+I16+I24+I29+I36+I43+I45+I47+I49+I51+I56+I61+I66</f>
        <v>322839.7495299885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55760</v>
      </c>
      <c r="M82" s="74">
        <f>SUM(M72:M81)+M16+M24+M29+M36+M43+M45+M47+M49+M51+M56+M61+M66</f>
        <v>322839.7495299885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G30" sqref="G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93951748</v>
      </c>
      <c r="E11" s="38">
        <v>168966082</v>
      </c>
      <c r="F11" s="60">
        <f>H11-D11</f>
        <v>0</v>
      </c>
      <c r="G11" s="37">
        <f>I11-E11</f>
        <v>0</v>
      </c>
      <c r="H11" s="65">
        <f>D11</f>
        <v>93951748</v>
      </c>
      <c r="I11" s="66">
        <f>E11</f>
        <v>168966082</v>
      </c>
      <c r="J11" s="60"/>
      <c r="K11" s="38"/>
      <c r="L11" s="60">
        <f t="shared" ref="L11:M15" si="0">H11+J11</f>
        <v>93951748</v>
      </c>
      <c r="M11" s="38">
        <f t="shared" si="0"/>
        <v>168966082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63965777</v>
      </c>
      <c r="E13" s="38">
        <v>119726634.42029975</v>
      </c>
      <c r="F13" s="60">
        <f t="shared" si="1"/>
        <v>0</v>
      </c>
      <c r="G13" s="37">
        <f t="shared" si="1"/>
        <v>0</v>
      </c>
      <c r="H13" s="65">
        <f t="shared" si="2"/>
        <v>63965777</v>
      </c>
      <c r="I13" s="66">
        <f t="shared" si="2"/>
        <v>119726634.42029975</v>
      </c>
      <c r="J13" s="60"/>
      <c r="K13" s="38"/>
      <c r="L13" s="60">
        <f t="shared" si="0"/>
        <v>63965777</v>
      </c>
      <c r="M13" s="38">
        <f t="shared" si="0"/>
        <v>119726634.42029975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88910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88910</v>
      </c>
      <c r="J14" s="60"/>
      <c r="K14" s="38"/>
      <c r="L14" s="60">
        <f t="shared" si="0"/>
        <v>0</v>
      </c>
      <c r="M14" s="38">
        <f t="shared" si="0"/>
        <v>88910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157917525</v>
      </c>
      <c r="E16" s="39">
        <v>288781626.42029977</v>
      </c>
      <c r="F16" s="61">
        <f t="shared" ref="F16:M16" si="3">SUM(F11:F15)</f>
        <v>0</v>
      </c>
      <c r="G16" s="39">
        <f t="shared" si="3"/>
        <v>0</v>
      </c>
      <c r="H16" s="61">
        <f>SUM(H11:H15)</f>
        <v>157917525</v>
      </c>
      <c r="I16" s="39">
        <f>SUM(I11:I15)</f>
        <v>288781626.42029977</v>
      </c>
      <c r="J16" s="61">
        <f t="shared" si="3"/>
        <v>0</v>
      </c>
      <c r="K16" s="39">
        <f t="shared" si="3"/>
        <v>0</v>
      </c>
      <c r="L16" s="61">
        <f t="shared" si="3"/>
        <v>157917525</v>
      </c>
      <c r="M16" s="39">
        <f t="shared" si="3"/>
        <v>288781626.42029977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-94462979</v>
      </c>
      <c r="E19" s="38">
        <v>-171418036</v>
      </c>
      <c r="F19" s="60">
        <f>H19-D19</f>
        <v>0</v>
      </c>
      <c r="G19" s="37">
        <f>I19-E19</f>
        <v>0</v>
      </c>
      <c r="H19" s="65">
        <f t="shared" si="4"/>
        <v>-94462979</v>
      </c>
      <c r="I19" s="66">
        <f t="shared" si="4"/>
        <v>-171418036</v>
      </c>
      <c r="J19" s="60"/>
      <c r="K19" s="38"/>
      <c r="L19" s="60">
        <f t="shared" ref="L19:M23" si="5">H19+J19</f>
        <v>-94462979</v>
      </c>
      <c r="M19" s="38">
        <f t="shared" si="5"/>
        <v>-171418036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-55713434</v>
      </c>
      <c r="E21" s="38">
        <v>-106066009</v>
      </c>
      <c r="F21" s="60">
        <f t="shared" si="6"/>
        <v>0</v>
      </c>
      <c r="G21" s="37">
        <f t="shared" si="6"/>
        <v>0</v>
      </c>
      <c r="H21" s="65">
        <f t="shared" si="4"/>
        <v>-55713434</v>
      </c>
      <c r="I21" s="66">
        <f t="shared" si="4"/>
        <v>-106066009</v>
      </c>
      <c r="J21" s="60"/>
      <c r="K21" s="38"/>
      <c r="L21" s="60">
        <f t="shared" si="5"/>
        <v>-55713434</v>
      </c>
      <c r="M21" s="38">
        <f t="shared" si="5"/>
        <v>-106066009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627064</v>
      </c>
      <c r="E23" s="38">
        <v>1144342</v>
      </c>
      <c r="F23" s="60">
        <f t="shared" si="6"/>
        <v>0</v>
      </c>
      <c r="G23" s="37">
        <f t="shared" si="6"/>
        <v>0</v>
      </c>
      <c r="H23" s="65">
        <f t="shared" si="4"/>
        <v>627064</v>
      </c>
      <c r="I23" s="66">
        <f t="shared" si="4"/>
        <v>1144342</v>
      </c>
      <c r="J23" s="60"/>
      <c r="K23" s="38"/>
      <c r="L23" s="60">
        <f t="shared" si="5"/>
        <v>627064</v>
      </c>
      <c r="M23" s="38">
        <f t="shared" si="5"/>
        <v>1144342</v>
      </c>
    </row>
    <row r="24" spans="1:13" x14ac:dyDescent="0.2">
      <c r="A24" s="9"/>
      <c r="B24" s="7" t="s">
        <v>37</v>
      </c>
      <c r="C24" s="6"/>
      <c r="D24" s="61">
        <v>-149549349</v>
      </c>
      <c r="E24" s="39">
        <v>-276339703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-149549349</v>
      </c>
      <c r="I24" s="39">
        <f>SUM(I19:I23)</f>
        <v>-276339703</v>
      </c>
      <c r="J24" s="61">
        <f t="shared" si="7"/>
        <v>0</v>
      </c>
      <c r="K24" s="39">
        <f t="shared" si="7"/>
        <v>0</v>
      </c>
      <c r="L24" s="61">
        <f t="shared" si="7"/>
        <v>-149549349</v>
      </c>
      <c r="M24" s="39">
        <f t="shared" si="7"/>
        <v>-276339703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-842723</v>
      </c>
      <c r="E27" s="38">
        <v>-1517548</v>
      </c>
      <c r="F27" s="60">
        <f>H27-D27</f>
        <v>0</v>
      </c>
      <c r="G27" s="37">
        <f>I27-E27</f>
        <v>0</v>
      </c>
      <c r="H27" s="65">
        <f>D27</f>
        <v>-842723</v>
      </c>
      <c r="I27" s="66">
        <f>E27</f>
        <v>-1517548</v>
      </c>
      <c r="J27" s="60"/>
      <c r="K27" s="38"/>
      <c r="L27" s="60">
        <f>H27+J27</f>
        <v>-842723</v>
      </c>
      <c r="M27" s="38">
        <f>I27+K27</f>
        <v>-1517548</v>
      </c>
    </row>
    <row r="28" spans="1:13" x14ac:dyDescent="0.2">
      <c r="A28" s="9">
        <v>12</v>
      </c>
      <c r="B28" s="7"/>
      <c r="C28" s="18" t="s">
        <v>40</v>
      </c>
      <c r="D28" s="60">
        <v>922792</v>
      </c>
      <c r="E28" s="38">
        <v>1649530</v>
      </c>
      <c r="F28" s="60">
        <f>H28-D28</f>
        <v>0</v>
      </c>
      <c r="G28" s="37">
        <f>I28-E28</f>
        <v>0</v>
      </c>
      <c r="H28" s="65">
        <f>D28</f>
        <v>922792</v>
      </c>
      <c r="I28" s="66">
        <f>E28</f>
        <v>1649530</v>
      </c>
      <c r="J28" s="60"/>
      <c r="K28" s="38"/>
      <c r="L28" s="60">
        <f>H28+J28</f>
        <v>922792</v>
      </c>
      <c r="M28" s="38">
        <f>I28+K28</f>
        <v>1649530</v>
      </c>
    </row>
    <row r="29" spans="1:13" x14ac:dyDescent="0.2">
      <c r="A29" s="9"/>
      <c r="B29" s="7" t="s">
        <v>41</v>
      </c>
      <c r="C29" s="6"/>
      <c r="D29" s="61">
        <v>80069</v>
      </c>
      <c r="E29" s="39">
        <v>131982</v>
      </c>
      <c r="F29" s="61">
        <f t="shared" ref="F29:M29" si="8">SUM(F27:F28)</f>
        <v>0</v>
      </c>
      <c r="G29" s="39">
        <f t="shared" si="8"/>
        <v>0</v>
      </c>
      <c r="H29" s="61">
        <f>SUM(H27:H28)</f>
        <v>80069</v>
      </c>
      <c r="I29" s="39">
        <f>SUM(I27:I28)</f>
        <v>131982</v>
      </c>
      <c r="J29" s="61">
        <f t="shared" si="8"/>
        <v>0</v>
      </c>
      <c r="K29" s="39">
        <f t="shared" si="8"/>
        <v>0</v>
      </c>
      <c r="L29" s="61">
        <f t="shared" si="8"/>
        <v>80069</v>
      </c>
      <c r="M29" s="39">
        <f t="shared" si="8"/>
        <v>131982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226478</v>
      </c>
      <c r="E32" s="38">
        <v>427573</v>
      </c>
      <c r="F32" s="60">
        <f>H32-D32</f>
        <v>0</v>
      </c>
      <c r="G32" s="37">
        <f>I32-E32</f>
        <v>0</v>
      </c>
      <c r="H32" s="65">
        <f t="shared" ref="H32:I35" si="9">D32</f>
        <v>226478</v>
      </c>
      <c r="I32" s="66">
        <f t="shared" si="9"/>
        <v>427573</v>
      </c>
      <c r="J32" s="60"/>
      <c r="K32" s="38"/>
      <c r="L32" s="60">
        <f t="shared" ref="L32:M35" si="10">H32+J32</f>
        <v>226478</v>
      </c>
      <c r="M32" s="38">
        <f t="shared" si="10"/>
        <v>427573</v>
      </c>
    </row>
    <row r="33" spans="1:13" x14ac:dyDescent="0.2">
      <c r="A33" s="9">
        <v>14</v>
      </c>
      <c r="B33" s="7"/>
      <c r="C33" s="18" t="s">
        <v>44</v>
      </c>
      <c r="D33" s="60">
        <v>-360353</v>
      </c>
      <c r="E33" s="38">
        <v>-666916.89810825116</v>
      </c>
      <c r="F33" s="60">
        <f t="shared" ref="F33:G35" si="11">H33-D33</f>
        <v>0</v>
      </c>
      <c r="G33" s="37">
        <f t="shared" si="11"/>
        <v>0</v>
      </c>
      <c r="H33" s="65">
        <f t="shared" si="9"/>
        <v>-360353</v>
      </c>
      <c r="I33" s="66">
        <f t="shared" si="9"/>
        <v>-666916.89810825116</v>
      </c>
      <c r="J33" s="60"/>
      <c r="K33" s="38"/>
      <c r="L33" s="60">
        <f t="shared" si="10"/>
        <v>-360353</v>
      </c>
      <c r="M33" s="38">
        <f t="shared" si="10"/>
        <v>-666916.89810825116</v>
      </c>
    </row>
    <row r="34" spans="1:13" x14ac:dyDescent="0.2">
      <c r="A34" s="9">
        <v>15</v>
      </c>
      <c r="B34" s="7"/>
      <c r="C34" s="18" t="s">
        <v>45</v>
      </c>
      <c r="D34" s="60">
        <v>488068</v>
      </c>
      <c r="E34" s="38">
        <v>855329</v>
      </c>
      <c r="F34" s="60">
        <f t="shared" si="11"/>
        <v>0</v>
      </c>
      <c r="G34" s="37">
        <f t="shared" si="11"/>
        <v>0</v>
      </c>
      <c r="H34" s="65">
        <f t="shared" si="9"/>
        <v>488068</v>
      </c>
      <c r="I34" s="66">
        <f t="shared" si="9"/>
        <v>855329</v>
      </c>
      <c r="J34" s="60"/>
      <c r="K34" s="38"/>
      <c r="L34" s="60">
        <f t="shared" si="10"/>
        <v>488068</v>
      </c>
      <c r="M34" s="38">
        <f t="shared" si="10"/>
        <v>855329</v>
      </c>
    </row>
    <row r="35" spans="1:13" x14ac:dyDescent="0.2">
      <c r="A35" s="9">
        <v>16</v>
      </c>
      <c r="B35" s="7"/>
      <c r="C35" s="18" t="s">
        <v>46</v>
      </c>
      <c r="D35" s="60">
        <v>-238970</v>
      </c>
      <c r="E35" s="38">
        <v>-419914</v>
      </c>
      <c r="F35" s="60">
        <f t="shared" si="11"/>
        <v>0</v>
      </c>
      <c r="G35" s="37">
        <f t="shared" si="11"/>
        <v>0</v>
      </c>
      <c r="H35" s="65">
        <f t="shared" si="9"/>
        <v>-238970</v>
      </c>
      <c r="I35" s="66">
        <f t="shared" si="9"/>
        <v>-419914</v>
      </c>
      <c r="J35" s="60"/>
      <c r="K35" s="38"/>
      <c r="L35" s="60">
        <f t="shared" si="10"/>
        <v>-238970</v>
      </c>
      <c r="M35" s="38">
        <f t="shared" si="10"/>
        <v>-419914</v>
      </c>
    </row>
    <row r="36" spans="1:13" x14ac:dyDescent="0.2">
      <c r="A36" s="9"/>
      <c r="B36" s="7" t="s">
        <v>47</v>
      </c>
      <c r="C36" s="6"/>
      <c r="D36" s="61">
        <v>115223</v>
      </c>
      <c r="E36" s="39">
        <v>196071.10189174884</v>
      </c>
      <c r="F36" s="61">
        <f>SUM(F32:F35)</f>
        <v>0</v>
      </c>
      <c r="G36" s="39">
        <f>SUM(G32:G35)</f>
        <v>0</v>
      </c>
      <c r="H36" s="61">
        <f>SUM(H32:H35)</f>
        <v>115223</v>
      </c>
      <c r="I36" s="39">
        <f>SUM(I32:I35)</f>
        <v>196071.10189174884</v>
      </c>
      <c r="J36" s="61">
        <f>SUM(J32:J34)</f>
        <v>0</v>
      </c>
      <c r="K36" s="39">
        <f>SUM(K32:K34)</f>
        <v>0</v>
      </c>
      <c r="L36" s="61">
        <f>SUM(L32:L35)</f>
        <v>115223</v>
      </c>
      <c r="M36" s="39">
        <f>SUM(M32:M35)</f>
        <v>196071.10189174884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112201</v>
      </c>
      <c r="E39" s="38">
        <v>203400</v>
      </c>
      <c r="F39" s="60">
        <f t="shared" ref="F39:G41" si="13">H39-D39</f>
        <v>0</v>
      </c>
      <c r="G39" s="37">
        <f t="shared" si="13"/>
        <v>0</v>
      </c>
      <c r="H39" s="65">
        <f t="shared" si="12"/>
        <v>112201</v>
      </c>
      <c r="I39" s="66">
        <f t="shared" si="12"/>
        <v>203400</v>
      </c>
      <c r="J39" s="60"/>
      <c r="K39" s="38"/>
      <c r="L39" s="60">
        <f t="shared" ref="L39:M41" si="14">H39+J39</f>
        <v>112201</v>
      </c>
      <c r="M39" s="38">
        <f t="shared" si="14"/>
        <v>203400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-8395722</v>
      </c>
      <c r="E40" s="38">
        <v>-10119290</v>
      </c>
      <c r="F40" s="60">
        <f t="shared" si="13"/>
        <v>0</v>
      </c>
      <c r="G40" s="37">
        <f t="shared" si="13"/>
        <v>0</v>
      </c>
      <c r="H40" s="65">
        <f t="shared" si="12"/>
        <v>-8395722</v>
      </c>
      <c r="I40" s="66">
        <f t="shared" si="12"/>
        <v>-10119290</v>
      </c>
      <c r="J40" s="60"/>
      <c r="K40" s="38"/>
      <c r="L40" s="60">
        <f t="shared" si="14"/>
        <v>-8395722</v>
      </c>
      <c r="M40" s="38">
        <f t="shared" si="14"/>
        <v>-10119290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-8395722</v>
      </c>
      <c r="E42" s="39">
        <v>-10119290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-8395722</v>
      </c>
      <c r="I42" s="39">
        <f>SUM(I40:I41)</f>
        <v>-10119290</v>
      </c>
      <c r="J42" s="61">
        <f t="shared" si="15"/>
        <v>0</v>
      </c>
      <c r="K42" s="39">
        <f t="shared" si="15"/>
        <v>0</v>
      </c>
      <c r="L42" s="61">
        <f t="shared" si="15"/>
        <v>-8395722</v>
      </c>
      <c r="M42" s="39">
        <f t="shared" si="15"/>
        <v>-10119290</v>
      </c>
    </row>
    <row r="43" spans="1:13" ht="21" customHeight="1" x14ac:dyDescent="0.2">
      <c r="A43" s="9"/>
      <c r="B43" s="7" t="s">
        <v>53</v>
      </c>
      <c r="C43" s="6"/>
      <c r="D43" s="61">
        <v>-8283521</v>
      </c>
      <c r="E43" s="39">
        <v>-9915890</v>
      </c>
      <c r="F43" s="61">
        <f t="shared" ref="F43:M43" si="16">F42+F39</f>
        <v>0</v>
      </c>
      <c r="G43" s="39">
        <f t="shared" si="16"/>
        <v>0</v>
      </c>
      <c r="H43" s="61">
        <f>H42+H39</f>
        <v>-8283521</v>
      </c>
      <c r="I43" s="39">
        <f>I42+I39</f>
        <v>-9915890</v>
      </c>
      <c r="J43" s="61">
        <f t="shared" si="16"/>
        <v>0</v>
      </c>
      <c r="K43" s="39">
        <f t="shared" si="16"/>
        <v>0</v>
      </c>
      <c r="L43" s="61">
        <f t="shared" si="16"/>
        <v>-8283521</v>
      </c>
      <c r="M43" s="39">
        <f t="shared" si="16"/>
        <v>-9915890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-190556</v>
      </c>
      <c r="E49" s="38">
        <v>-337495.17154456058</v>
      </c>
      <c r="F49" s="60">
        <f>H49-D49</f>
        <v>0</v>
      </c>
      <c r="G49" s="37">
        <f>I49-E49</f>
        <v>0</v>
      </c>
      <c r="H49" s="65">
        <f>D49</f>
        <v>-190556</v>
      </c>
      <c r="I49" s="66">
        <f>E49</f>
        <v>-337495.17154456058</v>
      </c>
      <c r="J49" s="60"/>
      <c r="K49" s="38"/>
      <c r="L49" s="60">
        <f>H49+J49</f>
        <v>-190556</v>
      </c>
      <c r="M49" s="38">
        <f>I49+K49</f>
        <v>-337495.17154456058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-627064</v>
      </c>
      <c r="E51" s="38">
        <v>-1196394</v>
      </c>
      <c r="F51" s="60">
        <f>H51-D51</f>
        <v>0</v>
      </c>
      <c r="G51" s="37">
        <f>I51-E51</f>
        <v>0</v>
      </c>
      <c r="H51" s="65">
        <f>D51</f>
        <v>-627064</v>
      </c>
      <c r="I51" s="66">
        <f>E51</f>
        <v>-1196394</v>
      </c>
      <c r="J51" s="60"/>
      <c r="K51" s="38"/>
      <c r="L51" s="60">
        <f>H51+J51</f>
        <v>-627064</v>
      </c>
      <c r="M51" s="38">
        <f>I51+K51</f>
        <v>-1196394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-1086700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-1086700</v>
      </c>
      <c r="J54" s="60"/>
      <c r="K54" s="38"/>
      <c r="L54" s="60">
        <f>H54+J54</f>
        <v>0</v>
      </c>
      <c r="M54" s="38">
        <f>I54+K54</f>
        <v>-1086700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-12261836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-12261836</v>
      </c>
      <c r="J55" s="60"/>
      <c r="K55" s="38"/>
      <c r="L55" s="60">
        <f>H55+J55</f>
        <v>0</v>
      </c>
      <c r="M55" s="38">
        <f>I55+K55</f>
        <v>-12261836</v>
      </c>
    </row>
    <row r="56" spans="1:15" x14ac:dyDescent="0.2">
      <c r="A56" s="9"/>
      <c r="B56" s="7" t="s">
        <v>61</v>
      </c>
      <c r="C56" s="6"/>
      <c r="D56" s="61">
        <v>0</v>
      </c>
      <c r="E56" s="39">
        <v>-13348536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-13348536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-13348536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-112176.6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-112176.6</v>
      </c>
      <c r="J60" s="60"/>
      <c r="K60" s="38"/>
      <c r="L60" s="60">
        <f>H60+J60</f>
        <v>0</v>
      </c>
      <c r="M60" s="38">
        <f>I60+K60</f>
        <v>-112176.6</v>
      </c>
    </row>
    <row r="61" spans="1:15" x14ac:dyDescent="0.2">
      <c r="A61" s="9"/>
      <c r="B61" s="62" t="s">
        <v>65</v>
      </c>
      <c r="C61" s="6"/>
      <c r="D61" s="61">
        <v>0</v>
      </c>
      <c r="E61" s="39">
        <v>-112176.6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-112176.6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-112176.6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158915.965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158915.965</v>
      </c>
      <c r="J64" s="60"/>
      <c r="K64" s="38"/>
      <c r="L64" s="60">
        <f>H64+J64</f>
        <v>0</v>
      </c>
      <c r="M64" s="38">
        <f>I64+K64</f>
        <v>158915.965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158915.965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158915.965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158915.965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-2435307.935000001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-2435307.935000001</v>
      </c>
      <c r="J70" s="60"/>
      <c r="K70" s="38"/>
      <c r="L70" s="60">
        <f>H70+J70</f>
        <v>0</v>
      </c>
      <c r="M70" s="38">
        <f>I70+K70</f>
        <v>-2435307.935000001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3892110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3892110</v>
      </c>
      <c r="J71" s="60"/>
      <c r="K71" s="38"/>
      <c r="L71" s="60">
        <f>H71+J71</f>
        <v>0</v>
      </c>
      <c r="M71" s="38">
        <f>I71+K71</f>
        <v>3892110</v>
      </c>
    </row>
    <row r="72" spans="1:13" x14ac:dyDescent="0.2">
      <c r="A72" s="9"/>
      <c r="B72" s="3"/>
      <c r="C72" s="55" t="s">
        <v>73</v>
      </c>
      <c r="D72" s="61">
        <v>0</v>
      </c>
      <c r="E72" s="39">
        <v>1456802.064999999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1456802.064999999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1456802.064999999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5713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5713</v>
      </c>
      <c r="J74" s="60"/>
      <c r="K74" s="38"/>
      <c r="L74" s="60">
        <f t="shared" si="22"/>
        <v>0</v>
      </c>
      <c r="M74" s="38">
        <f t="shared" si="22"/>
        <v>5713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16223.95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16223.95</v>
      </c>
      <c r="J75" s="60"/>
      <c r="K75" s="38"/>
      <c r="L75" s="60">
        <f t="shared" si="22"/>
        <v>0</v>
      </c>
      <c r="M75" s="38">
        <f t="shared" si="22"/>
        <v>16223.95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1738274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1738274</v>
      </c>
      <c r="J77" s="60"/>
      <c r="K77" s="38"/>
      <c r="L77" s="60">
        <f t="shared" si="22"/>
        <v>0</v>
      </c>
      <c r="M77" s="38">
        <f t="shared" si="22"/>
        <v>1738274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23732.945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23732.945</v>
      </c>
      <c r="J78" s="60"/>
      <c r="K78" s="38"/>
      <c r="L78" s="60">
        <f t="shared" si="22"/>
        <v>0</v>
      </c>
      <c r="M78" s="38">
        <f t="shared" si="22"/>
        <v>23732.945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11753580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11753580</v>
      </c>
      <c r="J79" s="60"/>
      <c r="K79" s="38"/>
      <c r="L79" s="60">
        <f t="shared" si="22"/>
        <v>0</v>
      </c>
      <c r="M79" s="38">
        <f t="shared" si="22"/>
        <v>11753580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164679.23000000001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164679.23000000001</v>
      </c>
      <c r="J80" s="60"/>
      <c r="K80" s="38"/>
      <c r="L80" s="60">
        <f t="shared" si="22"/>
        <v>0</v>
      </c>
      <c r="M80" s="38">
        <f t="shared" si="22"/>
        <v>164679.23000000001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-2000000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-2000000</v>
      </c>
      <c r="J81" s="60"/>
      <c r="K81" s="38"/>
      <c r="L81" s="60">
        <f t="shared" si="22"/>
        <v>0</v>
      </c>
      <c r="M81" s="38">
        <f t="shared" si="22"/>
        <v>-2000000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89391</v>
      </c>
      <c r="E82" s="74">
        <f>SUM(E72:E81)+E16+E24+E29+E36+E43+E45+E47+E49+E51+E56+E61+E66</f>
        <v>1177405.9056469535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89391</v>
      </c>
      <c r="I82" s="161">
        <f>SUM(I72:I81)+I16+I24+I29+I36+I43+I45+I47+I49+I51+I56+I61+I66</f>
        <v>1177405.9056469535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89391</v>
      </c>
      <c r="M82" s="74">
        <f>SUM(M72:M81)+M16+M24+M29+M36+M43+M45+M47+M49+M51+M56+M61+M66</f>
        <v>1177405.9056469535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195</v>
      </c>
      <c r="B85" s="3"/>
      <c r="K85" s="45"/>
    </row>
    <row r="86" spans="1:67" s="3" customFormat="1" x14ac:dyDescent="0.2">
      <c r="A86" s="183"/>
      <c r="C86" s="10" t="s">
        <v>189</v>
      </c>
      <c r="D86" s="168">
        <v>0</v>
      </c>
      <c r="E86" s="168">
        <v>0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0</v>
      </c>
      <c r="J86" s="168"/>
      <c r="K86" s="168"/>
      <c r="L86" s="168">
        <f t="shared" ref="L86:M88" si="26">H86+J86</f>
        <v>0</v>
      </c>
      <c r="M86" s="168">
        <f t="shared" si="26"/>
        <v>0</v>
      </c>
    </row>
    <row r="87" spans="1:67" s="3" customFormat="1" x14ac:dyDescent="0.2">
      <c r="A87" s="183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">
      <c r="A88" s="183"/>
      <c r="C88" s="10" t="s">
        <v>76</v>
      </c>
      <c r="D88" s="170">
        <v>0</v>
      </c>
      <c r="E88" s="170">
        <v>0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0</v>
      </c>
      <c r="J88" s="170"/>
      <c r="K88" s="170"/>
      <c r="L88" s="170">
        <f t="shared" si="26"/>
        <v>0</v>
      </c>
      <c r="M88" s="170">
        <f t="shared" si="26"/>
        <v>0</v>
      </c>
    </row>
    <row r="89" spans="1:67" s="44" customFormat="1" ht="20.25" customHeight="1" x14ac:dyDescent="0.2">
      <c r="A89" s="192"/>
      <c r="B89" s="193"/>
      <c r="C89" s="194" t="s">
        <v>190</v>
      </c>
      <c r="D89" s="195">
        <f>SUM(D86:D88)</f>
        <v>0</v>
      </c>
      <c r="E89" s="195">
        <f t="shared" ref="E89:M89" si="27">SUM(E86:E88)</f>
        <v>0</v>
      </c>
      <c r="F89" s="195">
        <f t="shared" si="27"/>
        <v>0</v>
      </c>
      <c r="G89" s="195">
        <f t="shared" si="27"/>
        <v>0</v>
      </c>
      <c r="H89" s="195">
        <f t="shared" si="27"/>
        <v>0</v>
      </c>
      <c r="I89" s="195">
        <f t="shared" si="27"/>
        <v>0</v>
      </c>
      <c r="J89" s="195">
        <f t="shared" si="27"/>
        <v>0</v>
      </c>
      <c r="K89" s="195">
        <f t="shared" si="27"/>
        <v>0</v>
      </c>
      <c r="L89" s="195">
        <f t="shared" si="27"/>
        <v>0</v>
      </c>
      <c r="M89" s="195">
        <f t="shared" si="27"/>
        <v>0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5">
        <f>+D82+D89</f>
        <v>89391</v>
      </c>
      <c r="E91" s="195">
        <f t="shared" ref="E91:M91" si="28">+E82+E89</f>
        <v>1177405.9056469535</v>
      </c>
      <c r="F91" s="195">
        <f t="shared" si="28"/>
        <v>0</v>
      </c>
      <c r="G91" s="195">
        <f t="shared" si="28"/>
        <v>0</v>
      </c>
      <c r="H91" s="195">
        <f t="shared" si="28"/>
        <v>89391</v>
      </c>
      <c r="I91" s="195">
        <f t="shared" si="28"/>
        <v>1177405.9056469535</v>
      </c>
      <c r="J91" s="195">
        <f t="shared" si="28"/>
        <v>0</v>
      </c>
      <c r="K91" s="195">
        <f t="shared" si="28"/>
        <v>0</v>
      </c>
      <c r="L91" s="195">
        <f t="shared" si="28"/>
        <v>89391</v>
      </c>
      <c r="M91" s="195">
        <f t="shared" si="28"/>
        <v>1177405.9056469535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D76" sqref="D7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8756483</v>
      </c>
      <c r="E11" s="65">
        <v>15999987</v>
      </c>
      <c r="F11" s="65">
        <f>H11-D11</f>
        <v>0</v>
      </c>
      <c r="G11" s="63">
        <f>I11-E11</f>
        <v>0</v>
      </c>
      <c r="H11" s="65">
        <f>D11</f>
        <v>8756483</v>
      </c>
      <c r="I11" s="66">
        <f>E11</f>
        <v>15999987</v>
      </c>
      <c r="J11" s="60"/>
      <c r="K11" s="38"/>
      <c r="L11" s="60">
        <f t="shared" ref="L11:M15" si="0">H11+J11</f>
        <v>8756483</v>
      </c>
      <c r="M11" s="38">
        <f t="shared" si="0"/>
        <v>15999987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2430728</v>
      </c>
      <c r="E13" s="60">
        <v>4354318.5797002474</v>
      </c>
      <c r="F13" s="65">
        <f t="shared" si="1"/>
        <v>0</v>
      </c>
      <c r="G13" s="63">
        <f t="shared" si="1"/>
        <v>0</v>
      </c>
      <c r="H13" s="65">
        <f t="shared" si="2"/>
        <v>2430728</v>
      </c>
      <c r="I13" s="66">
        <f t="shared" si="2"/>
        <v>4354318.5797002474</v>
      </c>
      <c r="J13" s="60"/>
      <c r="K13" s="38"/>
      <c r="L13" s="60">
        <f t="shared" si="0"/>
        <v>2430728</v>
      </c>
      <c r="M13" s="38">
        <f t="shared" si="0"/>
        <v>4354318.5797002474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11187211</v>
      </c>
      <c r="E16" s="61">
        <v>20354305.579700246</v>
      </c>
      <c r="F16" s="61">
        <f t="shared" ref="F16:M16" si="3">SUM(F11:F15)</f>
        <v>0</v>
      </c>
      <c r="G16" s="39">
        <f t="shared" si="3"/>
        <v>0</v>
      </c>
      <c r="H16" s="61">
        <f>SUM(H11:H15)</f>
        <v>11187211</v>
      </c>
      <c r="I16" s="39">
        <f>SUM(I11:I15)</f>
        <v>20354305.579700246</v>
      </c>
      <c r="J16" s="61">
        <f t="shared" si="3"/>
        <v>0</v>
      </c>
      <c r="K16" s="39">
        <f t="shared" si="3"/>
        <v>0</v>
      </c>
      <c r="L16" s="61">
        <f t="shared" si="3"/>
        <v>11187211</v>
      </c>
      <c r="M16" s="39">
        <f t="shared" si="3"/>
        <v>20354305.579700246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-3595574</v>
      </c>
      <c r="E19" s="60">
        <v>-6362818</v>
      </c>
      <c r="F19" s="65">
        <f>H19-D19</f>
        <v>0</v>
      </c>
      <c r="G19" s="63">
        <f>I19-E19</f>
        <v>0</v>
      </c>
      <c r="H19" s="65">
        <f t="shared" si="4"/>
        <v>-3595574</v>
      </c>
      <c r="I19" s="66">
        <f t="shared" si="4"/>
        <v>-6362818</v>
      </c>
      <c r="J19" s="60"/>
      <c r="K19" s="38"/>
      <c r="L19" s="60">
        <f t="shared" ref="L19:M23" si="5">H19+J19</f>
        <v>-3595574</v>
      </c>
      <c r="M19" s="38">
        <f t="shared" si="5"/>
        <v>-6362818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-8411446</v>
      </c>
      <c r="E21" s="60">
        <v>-14851847</v>
      </c>
      <c r="F21" s="65">
        <f t="shared" si="6"/>
        <v>0</v>
      </c>
      <c r="G21" s="63">
        <f t="shared" si="6"/>
        <v>0</v>
      </c>
      <c r="H21" s="65">
        <f t="shared" si="4"/>
        <v>-8411446</v>
      </c>
      <c r="I21" s="66">
        <f t="shared" si="4"/>
        <v>-14851847</v>
      </c>
      <c r="J21" s="60"/>
      <c r="K21" s="38"/>
      <c r="L21" s="60">
        <f t="shared" si="5"/>
        <v>-8411446</v>
      </c>
      <c r="M21" s="38">
        <f t="shared" si="5"/>
        <v>-14851847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-12007020</v>
      </c>
      <c r="E24" s="61">
        <v>-21214665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-12007020</v>
      </c>
      <c r="I24" s="39">
        <f>SUM(I19:I23)</f>
        <v>-21214665</v>
      </c>
      <c r="J24" s="61">
        <f t="shared" si="7"/>
        <v>0</v>
      </c>
      <c r="K24" s="39">
        <f t="shared" si="7"/>
        <v>0</v>
      </c>
      <c r="L24" s="61">
        <f t="shared" si="7"/>
        <v>-12007020</v>
      </c>
      <c r="M24" s="39">
        <f t="shared" si="7"/>
        <v>-21214665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842723</v>
      </c>
      <c r="E27" s="60">
        <v>1517548</v>
      </c>
      <c r="F27" s="65">
        <f>H27-D27</f>
        <v>0</v>
      </c>
      <c r="G27" s="63">
        <f>I27-E27</f>
        <v>0</v>
      </c>
      <c r="H27" s="65">
        <f>D27</f>
        <v>842723</v>
      </c>
      <c r="I27" s="66">
        <f>E27</f>
        <v>1517548</v>
      </c>
      <c r="J27" s="60"/>
      <c r="K27" s="38"/>
      <c r="L27" s="60">
        <f>H27+J27</f>
        <v>842723</v>
      </c>
      <c r="M27" s="38">
        <f>I27+K27</f>
        <v>1517548</v>
      </c>
    </row>
    <row r="28" spans="1:13" x14ac:dyDescent="0.2">
      <c r="A28" s="9">
        <v>12</v>
      </c>
      <c r="B28" s="7"/>
      <c r="C28" s="18" t="s">
        <v>40</v>
      </c>
      <c r="D28" s="60">
        <v>-922792</v>
      </c>
      <c r="E28" s="60">
        <v>-1649530</v>
      </c>
      <c r="F28" s="65">
        <f>H28-D28</f>
        <v>0</v>
      </c>
      <c r="G28" s="63">
        <f>I28-E28</f>
        <v>0</v>
      </c>
      <c r="H28" s="65">
        <f>D28</f>
        <v>-922792</v>
      </c>
      <c r="I28" s="66">
        <f>E28</f>
        <v>-1649530</v>
      </c>
      <c r="J28" s="60"/>
      <c r="K28" s="38"/>
      <c r="L28" s="60">
        <f>H28+J28</f>
        <v>-922792</v>
      </c>
      <c r="M28" s="38">
        <f>I28+K28</f>
        <v>-1649530</v>
      </c>
    </row>
    <row r="29" spans="1:13" x14ac:dyDescent="0.2">
      <c r="A29" s="9"/>
      <c r="B29" s="7" t="s">
        <v>41</v>
      </c>
      <c r="C29" s="6"/>
      <c r="D29" s="61">
        <v>-80069</v>
      </c>
      <c r="E29" s="61">
        <v>-131982</v>
      </c>
      <c r="F29" s="61">
        <f t="shared" ref="F29:M29" si="8">SUM(F27:F28)</f>
        <v>0</v>
      </c>
      <c r="G29" s="39">
        <f t="shared" si="8"/>
        <v>0</v>
      </c>
      <c r="H29" s="61">
        <f>SUM(H27:H28)</f>
        <v>-80069</v>
      </c>
      <c r="I29" s="39">
        <f>SUM(I27:I28)</f>
        <v>-131982</v>
      </c>
      <c r="J29" s="61">
        <f t="shared" si="8"/>
        <v>0</v>
      </c>
      <c r="K29" s="39">
        <f t="shared" si="8"/>
        <v>0</v>
      </c>
      <c r="L29" s="61">
        <f t="shared" si="8"/>
        <v>-80069</v>
      </c>
      <c r="M29" s="39">
        <f t="shared" si="8"/>
        <v>-131982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1542723</v>
      </c>
      <c r="E39" s="60">
        <v>2816830</v>
      </c>
      <c r="F39" s="65">
        <f t="shared" ref="F39:G41" si="13">H39-D39</f>
        <v>0</v>
      </c>
      <c r="G39" s="63">
        <f t="shared" si="13"/>
        <v>0</v>
      </c>
      <c r="H39" s="65">
        <f t="shared" si="12"/>
        <v>1542723</v>
      </c>
      <c r="I39" s="66">
        <f t="shared" si="12"/>
        <v>2816830</v>
      </c>
      <c r="J39" s="60"/>
      <c r="K39" s="38"/>
      <c r="L39" s="60">
        <f t="shared" ref="L39:M41" si="14">H39+J39</f>
        <v>1542723</v>
      </c>
      <c r="M39" s="38">
        <f t="shared" si="14"/>
        <v>2816830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-922792</v>
      </c>
      <c r="E40" s="60">
        <v>-1670255</v>
      </c>
      <c r="F40" s="65">
        <f t="shared" si="13"/>
        <v>0</v>
      </c>
      <c r="G40" s="63">
        <f t="shared" si="13"/>
        <v>0</v>
      </c>
      <c r="H40" s="65">
        <f t="shared" si="12"/>
        <v>-922792</v>
      </c>
      <c r="I40" s="66">
        <f t="shared" si="12"/>
        <v>-1670255</v>
      </c>
      <c r="J40" s="60"/>
      <c r="K40" s="38"/>
      <c r="L40" s="60">
        <f t="shared" si="14"/>
        <v>-922792</v>
      </c>
      <c r="M40" s="38">
        <f t="shared" si="14"/>
        <v>-1670255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-922792</v>
      </c>
      <c r="E42" s="61">
        <v>-1670255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-922792</v>
      </c>
      <c r="I42" s="39">
        <f>SUM(I40:I41)</f>
        <v>-1670255</v>
      </c>
      <c r="J42" s="61">
        <f t="shared" si="15"/>
        <v>0</v>
      </c>
      <c r="K42" s="39">
        <f t="shared" si="15"/>
        <v>0</v>
      </c>
      <c r="L42" s="61">
        <f t="shared" si="15"/>
        <v>-922792</v>
      </c>
      <c r="M42" s="39">
        <f t="shared" si="15"/>
        <v>-1670255</v>
      </c>
    </row>
    <row r="43" spans="1:13" ht="21" customHeight="1" x14ac:dyDescent="0.2">
      <c r="A43" s="9"/>
      <c r="B43" s="7" t="s">
        <v>53</v>
      </c>
      <c r="C43" s="6"/>
      <c r="D43" s="61">
        <v>619931</v>
      </c>
      <c r="E43" s="61">
        <v>1146575</v>
      </c>
      <c r="F43" s="61">
        <f t="shared" ref="F43:M43" si="16">F42+F39</f>
        <v>0</v>
      </c>
      <c r="G43" s="39">
        <f t="shared" si="16"/>
        <v>0</v>
      </c>
      <c r="H43" s="61">
        <f>H42+H39</f>
        <v>619931</v>
      </c>
      <c r="I43" s="39">
        <f>I42+I39</f>
        <v>1146575</v>
      </c>
      <c r="J43" s="61">
        <f t="shared" si="16"/>
        <v>0</v>
      </c>
      <c r="K43" s="39">
        <f t="shared" si="16"/>
        <v>0</v>
      </c>
      <c r="L43" s="61">
        <f t="shared" si="16"/>
        <v>619931</v>
      </c>
      <c r="M43" s="39">
        <f t="shared" si="16"/>
        <v>1146575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60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60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190556</v>
      </c>
      <c r="E49" s="60">
        <v>337495.17154456058</v>
      </c>
      <c r="F49" s="65">
        <f>H49-D49</f>
        <v>0</v>
      </c>
      <c r="G49" s="63">
        <f>I49-E49</f>
        <v>0</v>
      </c>
      <c r="H49" s="65">
        <f>D49</f>
        <v>190556</v>
      </c>
      <c r="I49" s="66">
        <f>E49</f>
        <v>337495.17154456058</v>
      </c>
      <c r="J49" s="60"/>
      <c r="K49" s="38"/>
      <c r="L49" s="60">
        <f>H49+J49</f>
        <v>190556</v>
      </c>
      <c r="M49" s="38">
        <f>I49+K49</f>
        <v>337495.17154456058</v>
      </c>
    </row>
    <row r="50" spans="1:15" x14ac:dyDescent="0.2">
      <c r="A50" s="9"/>
      <c r="B50" s="7"/>
      <c r="C50" s="6"/>
      <c r="D50" s="60">
        <v>0</v>
      </c>
      <c r="E50" s="60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60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>
        <v>0</v>
      </c>
      <c r="E53" s="60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112176.6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112176.6</v>
      </c>
      <c r="J60" s="60"/>
      <c r="K60" s="38"/>
      <c r="L60" s="60">
        <f>H60+J60</f>
        <v>0</v>
      </c>
      <c r="M60" s="38">
        <f>I60+K60</f>
        <v>112176.6</v>
      </c>
    </row>
    <row r="61" spans="1:15" x14ac:dyDescent="0.2">
      <c r="A61" s="9"/>
      <c r="B61" s="62" t="s">
        <v>65</v>
      </c>
      <c r="C61" s="6"/>
      <c r="D61" s="61">
        <v>0</v>
      </c>
      <c r="E61" s="61">
        <v>112176.6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112176.6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112176.6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82</v>
      </c>
      <c r="D81" s="60">
        <v>0</v>
      </c>
      <c r="E81" s="60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-89391</v>
      </c>
      <c r="E82" s="74">
        <f>SUM(E72:E81)+E16+E24+E29+E36+E43+E45+E47+E49+E51+E56+E61+E66</f>
        <v>-2396094.6487551928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-89391</v>
      </c>
      <c r="I82" s="161">
        <f>SUM(I72:I81)+I16+I24+I29+I36+I43+I45+I47+I49+I51+I56+I61+I66</f>
        <v>-2396094.6487551928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-89391</v>
      </c>
      <c r="M82" s="74">
        <f>SUM(M72:M81)+M16+M24+M29+M36+M43+M45+M47+M49+M51+M56+M61+M66</f>
        <v>-2396094.6487551928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30</vt:i4>
      </vt:variant>
    </vt:vector>
  </HeadingPairs>
  <TitlesOfParts>
    <vt:vector size="75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ONT_FLSH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ONT_GL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ONT_VAR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ONT_FLSH!Print_Area</vt:lpstr>
      <vt:lpstr>'ONT_GL '!Print_Area</vt:lpstr>
      <vt:lpstr>ONT_VAR!Print_Area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1999-06-17T20:56:49Z</cp:lastPrinted>
  <dcterms:created xsi:type="dcterms:W3CDTF">1997-07-11T21:57:33Z</dcterms:created>
  <dcterms:modified xsi:type="dcterms:W3CDTF">2014-09-05T10:42:48Z</dcterms:modified>
</cp:coreProperties>
</file>