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30" windowWidth="9780" windowHeight="6795" tabRatio="841" firstSheet="1" activeTab="3"/>
  </bookViews>
  <sheets>
    <sheet name="Module1" sheetId="1" state="veryHidden" r:id=""/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EAST-EGM-FLSH" sheetId="9" r:id="rId9"/>
    <sheet name="EAST-LRC-FLSH" sheetId="11" r:id="rId10"/>
    <sheet name="EAST-CON-FLSH" sheetId="12" r:id="rId11"/>
    <sheet name="BGC-EGM-FLSH" sheetId="10" r:id="rId12"/>
    <sheet name="TX-EGM-FLSH" sheetId="13" r:id="rId13"/>
    <sheet name="TX-HPLR-FLSH" sheetId="14" r:id="rId14"/>
    <sheet name="TX-HPLC-FLSH" sheetId="45" r:id="rId15"/>
    <sheet name="TX-CON-FLSH" sheetId="15" r:id="rId16"/>
    <sheet name="WE-FLSH" sheetId="16" r:id="rId17"/>
    <sheet name="DEN-FLSH" sheetId="56" r:id="rId18"/>
    <sheet name="STG_FLSH" sheetId="18" r:id="rId19"/>
    <sheet name="ONT_FLSH" sheetId="19" r:id="rId20"/>
    <sheet name="BUG_FLSH" sheetId="17" r:id="rId21"/>
    <sheet name="CE_GL" sheetId="20" r:id="rId22"/>
    <sheet name="SITHE_GL" sheetId="54" r:id="rId23"/>
    <sheet name="ARUBA_GL" sheetId="48" r:id="rId24"/>
    <sheet name="EAST-EGM-GL" sheetId="21" r:id="rId25"/>
    <sheet name="EAST-LRC-GL" sheetId="23" r:id="rId26"/>
    <sheet name="EAST-CON-GL " sheetId="24" r:id="rId27"/>
    <sheet name="BGC-EGM-GL" sheetId="22" r:id="rId28"/>
    <sheet name="TX-EGM-GL" sheetId="25" r:id="rId29"/>
    <sheet name="TX-HPLR-GL " sheetId="26" r:id="rId30"/>
    <sheet name="TX-HPLC-GL" sheetId="46" r:id="rId31"/>
    <sheet name="TX-CON-GL " sheetId="27" r:id="rId32"/>
    <sheet name="WE-GL " sheetId="28" r:id="rId33"/>
    <sheet name="DEN-GL" sheetId="55" r:id="rId34"/>
    <sheet name="BUG_GL" sheetId="29" r:id="rId35"/>
    <sheet name="STG_GL" sheetId="30" r:id="rId36"/>
    <sheet name="ONT_GL " sheetId="31" r:id="rId37"/>
    <sheet name="CE-VAR" sheetId="32" r:id="rId38"/>
    <sheet name="SITHE-VAR" sheetId="52" r:id="rId39"/>
    <sheet name="ARUBA-VAR" sheetId="50" r:id="rId40"/>
    <sheet name="EAST-EGM-VAR" sheetId="33" r:id="rId41"/>
    <sheet name="EAST-LRC-VAR" sheetId="35" r:id="rId42"/>
    <sheet name="EAST-CON-VAR" sheetId="36" r:id="rId43"/>
    <sheet name="BGC-EGM-VAR" sheetId="34" r:id="rId44"/>
    <sheet name="TX-EGM-VAR" sheetId="37" r:id="rId45"/>
    <sheet name="TX-HPLR-VAR " sheetId="38" r:id="rId46"/>
    <sheet name="TX-HPLC-VAR" sheetId="47" r:id="rId47"/>
    <sheet name="TX-CON-VAR" sheetId="39" r:id="rId48"/>
    <sheet name="WE-VAR" sheetId="40" r:id="rId49"/>
    <sheet name="DEN-VAR" sheetId="57" r:id="rId50"/>
    <sheet name="STG_VAR" sheetId="42" r:id="rId51"/>
    <sheet name="ONT_VAR" sheetId="43" r:id="rId52"/>
    <sheet name="BUG_VAR" sheetId="41" r:id="rId53"/>
    <sheet name="Actuals" sheetId="44" r:id="rId54"/>
  </sheets>
  <externalReferences>
    <externalReference r:id="rId55"/>
    <externalReference r:id="rId56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4">Actuals!$D$636:$I$651</definedName>
    <definedName name="_xlnm.Print_Area" localSheetId="12">'BGC-EGM-FLSH'!$A$1:$M$82</definedName>
    <definedName name="_xlnm.Print_Area" localSheetId="44">'BGC-EGM-VAR'!$A$1:$I$82</definedName>
    <definedName name="_xlnm.Print_Area" localSheetId="53">BUG_VAR!$A$1:$I$82</definedName>
    <definedName name="_xlnm.Print_Area" localSheetId="38">'CE-VAR'!$A$1:$I$82</definedName>
    <definedName name="_xlnm.Print_Area" localSheetId="3">Check!$A$1:$H$30</definedName>
    <definedName name="_xlnm.Print_Area" localSheetId="11">'EAST-CON-FLSH'!$A$1:$M$82</definedName>
    <definedName name="_xlnm.Print_Area" localSheetId="43">'EAST-CON-VAR'!$A$1:$I$82</definedName>
    <definedName name="_xlnm.Print_Area" localSheetId="9">'EAST-EGM-FLSH'!$A$1:$M$82</definedName>
    <definedName name="_xlnm.Print_Area" localSheetId="41">'EAST-EGM-VAR'!$A$1:$I$82</definedName>
    <definedName name="_xlnm.Print_Area" localSheetId="10">'EAST-LRC-FLSH'!$A$1:$M$82</definedName>
    <definedName name="_xlnm.Print_Area" localSheetId="42">'EAST-LRC-VAR'!$A$1:$I$82</definedName>
    <definedName name="_xlnm.Print_Area" localSheetId="52">ONT_VAR!$A$1:$I$82</definedName>
    <definedName name="_xlnm.Print_Area" localSheetId="4">RECLASS!$A$1:$AG$82</definedName>
    <definedName name="_xlnm.Print_Area" localSheetId="51">STG_VAR!$A$1:$I$82</definedName>
    <definedName name="_xlnm.Print_Area" localSheetId="5">'TIE-OUT'!$A$1:$AG$95</definedName>
    <definedName name="_xlnm.Print_Area" localSheetId="2">TOTAL!$A$1:$I$82</definedName>
    <definedName name="_xlnm.Print_Area" localSheetId="16">'TX-CON-FLSH'!$A$1:$M$82</definedName>
    <definedName name="_xlnm.Print_Area" localSheetId="48">'TX-CON-VAR'!$A$1:$I$82</definedName>
    <definedName name="_xlnm.Print_Area" localSheetId="13">'TX-EGM-FLSH'!$A$1:$M$82</definedName>
    <definedName name="_xlnm.Print_Area" localSheetId="45">'TX-EGM-VAR'!$A$1:$I$82</definedName>
    <definedName name="_xlnm.Print_Area" localSheetId="14">'TX-HPLR-FLSH'!$A$1:$M$82</definedName>
    <definedName name="_xlnm.Print_Area" localSheetId="46">'TX-HPLR-VAR '!$A$1:$I$82</definedName>
    <definedName name="_xlnm.Print_Area" localSheetId="17">'WE-FLSH'!$A$1:$M$82</definedName>
    <definedName name="_xlnm.Print_Area" localSheetId="49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152511"/>
</workbook>
</file>

<file path=xl/calcChain.xml><?xml version="1.0" encoding="utf-8"?>
<calcChain xmlns="http://schemas.openxmlformats.org/spreadsheetml/2006/main">
  <c r="M1" i="44" l="1"/>
  <c r="O1" i="44" s="1"/>
  <c r="Q1" i="44"/>
  <c r="S1" i="44" s="1"/>
  <c r="U1" i="44"/>
  <c r="W1" i="44" s="1"/>
  <c r="Y1" i="44" s="1"/>
  <c r="AA1" i="44"/>
  <c r="AC1" i="44" s="1"/>
  <c r="AE1" i="44" s="1"/>
  <c r="H636" i="44"/>
  <c r="J636" i="44"/>
  <c r="L636" i="44" s="1"/>
  <c r="N636" i="44" s="1"/>
  <c r="P636" i="44" s="1"/>
  <c r="R636" i="44" s="1"/>
  <c r="T636" i="44" s="1"/>
  <c r="V636" i="44" s="1"/>
  <c r="X636" i="44"/>
  <c r="Z636" i="44" s="1"/>
  <c r="AB636" i="44"/>
  <c r="A5" i="48"/>
  <c r="F11" i="48"/>
  <c r="G11" i="48"/>
  <c r="H11" i="48"/>
  <c r="I11" i="48"/>
  <c r="J11" i="48"/>
  <c r="J16" i="48" s="1"/>
  <c r="K11" i="48"/>
  <c r="L11" i="48"/>
  <c r="L16" i="48" s="1"/>
  <c r="M11" i="48"/>
  <c r="N11" i="48"/>
  <c r="O11" i="48"/>
  <c r="P11" i="48"/>
  <c r="Q11" i="48"/>
  <c r="R11" i="48"/>
  <c r="R16" i="48" s="1"/>
  <c r="S11" i="48"/>
  <c r="T11" i="48"/>
  <c r="T16" i="48" s="1"/>
  <c r="U11" i="48"/>
  <c r="V11" i="48"/>
  <c r="W11" i="48"/>
  <c r="X11" i="48"/>
  <c r="Y11" i="48"/>
  <c r="Z11" i="48"/>
  <c r="AA11" i="48"/>
  <c r="AB11" i="48"/>
  <c r="AB16" i="48" s="1"/>
  <c r="AC11" i="48"/>
  <c r="AD11" i="48"/>
  <c r="AE11" i="48"/>
  <c r="AF11" i="48"/>
  <c r="AG11" i="48"/>
  <c r="AH11" i="48"/>
  <c r="AH16" i="48" s="1"/>
  <c r="AI11" i="48"/>
  <c r="AJ11" i="48"/>
  <c r="AJ16" i="48" s="1"/>
  <c r="AK11" i="48"/>
  <c r="AL11" i="48"/>
  <c r="AM11" i="48"/>
  <c r="AN11" i="48"/>
  <c r="AO11" i="48"/>
  <c r="D12" i="48"/>
  <c r="F12" i="48"/>
  <c r="F16" i="48" s="1"/>
  <c r="G12" i="48"/>
  <c r="H12" i="48"/>
  <c r="I12" i="48"/>
  <c r="J12" i="48"/>
  <c r="K12" i="48"/>
  <c r="L12" i="48"/>
  <c r="M12" i="48"/>
  <c r="N12" i="48"/>
  <c r="N16" i="48" s="1"/>
  <c r="O12" i="48"/>
  <c r="O16" i="48" s="1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D16" i="48" s="1"/>
  <c r="AE12" i="48"/>
  <c r="AE16" i="48" s="1"/>
  <c r="AF12" i="48"/>
  <c r="AG12" i="48"/>
  <c r="AH12" i="48"/>
  <c r="AI12" i="48"/>
  <c r="AJ12" i="48"/>
  <c r="AK12" i="48"/>
  <c r="AL12" i="48"/>
  <c r="AL16" i="48" s="1"/>
  <c r="AM12" i="48"/>
  <c r="AM16" i="48" s="1"/>
  <c r="AN12" i="48"/>
  <c r="AO12" i="48"/>
  <c r="F13" i="48"/>
  <c r="G13" i="48"/>
  <c r="H13" i="48"/>
  <c r="I13" i="48"/>
  <c r="J13" i="48"/>
  <c r="K13" i="48"/>
  <c r="L13" i="48"/>
  <c r="M13" i="48"/>
  <c r="E13" i="48" s="1"/>
  <c r="G13" i="50" s="1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I16" i="48" s="1"/>
  <c r="AJ14" i="48"/>
  <c r="AK14" i="48"/>
  <c r="AL14" i="48"/>
  <c r="AM14" i="48"/>
  <c r="AN14" i="48"/>
  <c r="AO14" i="48"/>
  <c r="F15" i="48"/>
  <c r="G15" i="48"/>
  <c r="H15" i="48"/>
  <c r="D15" i="48" s="1"/>
  <c r="I15" i="48"/>
  <c r="J15" i="48"/>
  <c r="K15" i="48"/>
  <c r="L15" i="48"/>
  <c r="M15" i="48"/>
  <c r="E15" i="48" s="1"/>
  <c r="G15" i="50" s="1"/>
  <c r="I15" i="50" s="1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K16" i="48"/>
  <c r="S16" i="48"/>
  <c r="V16" i="48"/>
  <c r="W16" i="48"/>
  <c r="Z16" i="48"/>
  <c r="F19" i="48"/>
  <c r="G19" i="48"/>
  <c r="H19" i="48"/>
  <c r="I19" i="48"/>
  <c r="J19" i="48"/>
  <c r="K19" i="48"/>
  <c r="L19" i="48"/>
  <c r="M19" i="48"/>
  <c r="N19" i="48"/>
  <c r="N24" i="48" s="1"/>
  <c r="O19" i="48"/>
  <c r="P19" i="48"/>
  <c r="Q19" i="48"/>
  <c r="R19" i="48"/>
  <c r="S19" i="48"/>
  <c r="T19" i="48"/>
  <c r="U19" i="48"/>
  <c r="V19" i="48"/>
  <c r="V24" i="48" s="1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L24" i="48" s="1"/>
  <c r="AM19" i="48"/>
  <c r="AN19" i="48"/>
  <c r="AO19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F21" i="48"/>
  <c r="G21" i="48"/>
  <c r="H21" i="48"/>
  <c r="I21" i="48"/>
  <c r="E21" i="48" s="1"/>
  <c r="J21" i="48"/>
  <c r="K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F22" i="48"/>
  <c r="G22" i="48"/>
  <c r="H22" i="48"/>
  <c r="I22" i="48"/>
  <c r="J22" i="48"/>
  <c r="K22" i="48"/>
  <c r="K24" i="48" s="1"/>
  <c r="L22" i="48"/>
  <c r="M22" i="48"/>
  <c r="N22" i="48"/>
  <c r="O22" i="48"/>
  <c r="O24" i="48" s="1"/>
  <c r="P22" i="48"/>
  <c r="Q22" i="48"/>
  <c r="R22" i="48"/>
  <c r="S22" i="48"/>
  <c r="T22" i="48"/>
  <c r="U22" i="48"/>
  <c r="V22" i="48"/>
  <c r="W22" i="48"/>
  <c r="W24" i="48" s="1"/>
  <c r="X22" i="48"/>
  <c r="Y22" i="48"/>
  <c r="Z22" i="48"/>
  <c r="AA22" i="48"/>
  <c r="AA24" i="48" s="1"/>
  <c r="AB22" i="48"/>
  <c r="AC22" i="48"/>
  <c r="AD22" i="48"/>
  <c r="AE22" i="48"/>
  <c r="AE24" i="48" s="1"/>
  <c r="AF22" i="48"/>
  <c r="AG22" i="48"/>
  <c r="AH22" i="48"/>
  <c r="AH24" i="48" s="1"/>
  <c r="AI22" i="48"/>
  <c r="AJ22" i="48"/>
  <c r="AK22" i="48"/>
  <c r="AL22" i="48"/>
  <c r="AM22" i="48"/>
  <c r="AM24" i="48" s="1"/>
  <c r="AN22" i="48"/>
  <c r="AO22" i="48"/>
  <c r="F23" i="48"/>
  <c r="G23" i="48"/>
  <c r="H23" i="48"/>
  <c r="I23" i="48"/>
  <c r="J23" i="48"/>
  <c r="K23" i="48"/>
  <c r="L23" i="48"/>
  <c r="D23" i="48" s="1"/>
  <c r="F23" i="50" s="1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J24" i="48"/>
  <c r="S24" i="48"/>
  <c r="AD24" i="48"/>
  <c r="AI24" i="48"/>
  <c r="F27" i="48"/>
  <c r="G27" i="48"/>
  <c r="H27" i="48"/>
  <c r="H29" i="48" s="1"/>
  <c r="I27" i="48"/>
  <c r="E27" i="48" s="1"/>
  <c r="J27" i="48"/>
  <c r="K27" i="48"/>
  <c r="L27" i="48"/>
  <c r="M27" i="48"/>
  <c r="N27" i="48"/>
  <c r="O27" i="48"/>
  <c r="P27" i="48"/>
  <c r="Q27" i="48"/>
  <c r="R27" i="48"/>
  <c r="S27" i="48"/>
  <c r="T27" i="48"/>
  <c r="T29" i="48" s="1"/>
  <c r="U27" i="48"/>
  <c r="V27" i="48"/>
  <c r="W27" i="48"/>
  <c r="X27" i="48"/>
  <c r="Y27" i="48"/>
  <c r="Y29" i="48" s="1"/>
  <c r="Z27" i="48"/>
  <c r="AA27" i="48"/>
  <c r="AB27" i="48"/>
  <c r="AB29" i="48" s="1"/>
  <c r="AC27" i="48"/>
  <c r="AD27" i="48"/>
  <c r="AE27" i="48"/>
  <c r="AF27" i="48"/>
  <c r="AF29" i="48" s="1"/>
  <c r="AG27" i="48"/>
  <c r="AH27" i="48"/>
  <c r="AI27" i="48"/>
  <c r="AJ27" i="48"/>
  <c r="AJ29" i="48" s="1"/>
  <c r="AK27" i="48"/>
  <c r="AL27" i="48"/>
  <c r="AM27" i="48"/>
  <c r="AN27" i="48"/>
  <c r="AN29" i="48" s="1"/>
  <c r="AO27" i="48"/>
  <c r="F28" i="48"/>
  <c r="G28" i="48"/>
  <c r="H28" i="48"/>
  <c r="I28" i="48"/>
  <c r="J28" i="48"/>
  <c r="K28" i="48"/>
  <c r="K29" i="48" s="1"/>
  <c r="L28" i="48"/>
  <c r="M28" i="48"/>
  <c r="N28" i="48"/>
  <c r="O28" i="48"/>
  <c r="O29" i="48" s="1"/>
  <c r="P28" i="48"/>
  <c r="Q28" i="48"/>
  <c r="R28" i="48"/>
  <c r="S28" i="48"/>
  <c r="S29" i="48" s="1"/>
  <c r="T28" i="48"/>
  <c r="U28" i="48"/>
  <c r="V28" i="48"/>
  <c r="W28" i="48"/>
  <c r="W29" i="48" s="1"/>
  <c r="X28" i="48"/>
  <c r="Y28" i="48"/>
  <c r="Z28" i="48"/>
  <c r="AA28" i="48"/>
  <c r="AA29" i="48" s="1"/>
  <c r="AB28" i="48"/>
  <c r="AC28" i="48"/>
  <c r="AD28" i="48"/>
  <c r="AE28" i="48"/>
  <c r="AE29" i="48" s="1"/>
  <c r="AF28" i="48"/>
  <c r="AG28" i="48"/>
  <c r="AH28" i="48"/>
  <c r="AI28" i="48"/>
  <c r="AI29" i="48" s="1"/>
  <c r="AJ28" i="48"/>
  <c r="AK28" i="48"/>
  <c r="AL28" i="48"/>
  <c r="AL29" i="48" s="1"/>
  <c r="AM28" i="48"/>
  <c r="AM29" i="48" s="1"/>
  <c r="AN28" i="48"/>
  <c r="AO28" i="48"/>
  <c r="F29" i="48"/>
  <c r="I29" i="48"/>
  <c r="M29" i="48"/>
  <c r="N29" i="48"/>
  <c r="P29" i="48"/>
  <c r="Q29" i="48"/>
  <c r="U29" i="48"/>
  <c r="V29" i="48"/>
  <c r="X29" i="48"/>
  <c r="AC29" i="48"/>
  <c r="AD29" i="48"/>
  <c r="AG29" i="48"/>
  <c r="AK29" i="48"/>
  <c r="AO29" i="48"/>
  <c r="F32" i="48"/>
  <c r="G32" i="48"/>
  <c r="H32" i="48"/>
  <c r="I32" i="48"/>
  <c r="J32" i="48"/>
  <c r="J36" i="48" s="1"/>
  <c r="K32" i="48"/>
  <c r="L32" i="48"/>
  <c r="M32" i="48"/>
  <c r="N32" i="48"/>
  <c r="N36" i="48" s="1"/>
  <c r="N82" i="48" s="1"/>
  <c r="L652" i="44" s="1"/>
  <c r="O32" i="48"/>
  <c r="P32" i="48"/>
  <c r="Q32" i="48"/>
  <c r="R32" i="48"/>
  <c r="R36" i="48" s="1"/>
  <c r="S32" i="48"/>
  <c r="T32" i="48"/>
  <c r="U32" i="48"/>
  <c r="V32" i="48"/>
  <c r="V36" i="48" s="1"/>
  <c r="V82" i="48" s="1"/>
  <c r="T652" i="44" s="1"/>
  <c r="W32" i="48"/>
  <c r="X32" i="48"/>
  <c r="X36" i="48" s="1"/>
  <c r="Y32" i="48"/>
  <c r="Z32" i="48"/>
  <c r="AA32" i="48"/>
  <c r="AB32" i="48"/>
  <c r="AC32" i="48"/>
  <c r="AD32" i="48"/>
  <c r="AD36" i="48" s="1"/>
  <c r="AD82" i="48" s="1"/>
  <c r="AB652" i="44" s="1"/>
  <c r="AE32" i="48"/>
  <c r="AF32" i="48"/>
  <c r="AG32" i="48"/>
  <c r="AH32" i="48"/>
  <c r="AH36" i="48" s="1"/>
  <c r="AI32" i="48"/>
  <c r="AJ32" i="48"/>
  <c r="AK32" i="48"/>
  <c r="AL32" i="48"/>
  <c r="AL36" i="48" s="1"/>
  <c r="AL82" i="48" s="1"/>
  <c r="AM32" i="48"/>
  <c r="AN32" i="48"/>
  <c r="AN36" i="48" s="1"/>
  <c r="AO32" i="48"/>
  <c r="F33" i="48"/>
  <c r="G33" i="48"/>
  <c r="H33" i="48"/>
  <c r="I33" i="48"/>
  <c r="E33" i="48" s="1"/>
  <c r="G33" i="50" s="1"/>
  <c r="J33" i="48"/>
  <c r="K33" i="48"/>
  <c r="L33" i="48"/>
  <c r="M33" i="48"/>
  <c r="N33" i="48"/>
  <c r="O33" i="48"/>
  <c r="P33" i="48"/>
  <c r="Q33" i="48"/>
  <c r="R33" i="48"/>
  <c r="S33" i="48"/>
  <c r="T33" i="48"/>
  <c r="T36" i="48" s="1"/>
  <c r="U33" i="48"/>
  <c r="V33" i="48"/>
  <c r="W33" i="48"/>
  <c r="X33" i="48"/>
  <c r="Y33" i="48"/>
  <c r="Z33" i="48"/>
  <c r="AA33" i="48"/>
  <c r="AB33" i="48"/>
  <c r="AB36" i="48" s="1"/>
  <c r="AC33" i="48"/>
  <c r="AD33" i="48"/>
  <c r="AE33" i="48"/>
  <c r="AF33" i="48"/>
  <c r="AF36" i="48" s="1"/>
  <c r="AG33" i="48"/>
  <c r="AH33" i="48"/>
  <c r="AI33" i="48"/>
  <c r="AJ33" i="48"/>
  <c r="AJ36" i="48" s="1"/>
  <c r="AK33" i="48"/>
  <c r="AL33" i="48"/>
  <c r="AM33" i="48"/>
  <c r="AN33" i="48"/>
  <c r="AO33" i="48"/>
  <c r="D34" i="48"/>
  <c r="F34" i="48"/>
  <c r="G34" i="48"/>
  <c r="H34" i="48"/>
  <c r="I34" i="48"/>
  <c r="J34" i="48"/>
  <c r="K34" i="48"/>
  <c r="K36" i="48" s="1"/>
  <c r="L34" i="48"/>
  <c r="M34" i="48"/>
  <c r="N34" i="48"/>
  <c r="O34" i="48"/>
  <c r="O36" i="48" s="1"/>
  <c r="P34" i="48"/>
  <c r="Q34" i="48"/>
  <c r="R34" i="48"/>
  <c r="S34" i="48"/>
  <c r="T34" i="48"/>
  <c r="U34" i="48"/>
  <c r="V34" i="48"/>
  <c r="W34" i="48"/>
  <c r="W36" i="48" s="1"/>
  <c r="X34" i="48"/>
  <c r="Y34" i="48"/>
  <c r="Z34" i="48"/>
  <c r="AA34" i="48"/>
  <c r="AA36" i="48" s="1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M36" i="48" s="1"/>
  <c r="AN34" i="48"/>
  <c r="AO34" i="48"/>
  <c r="F35" i="48"/>
  <c r="G35" i="48"/>
  <c r="H35" i="48"/>
  <c r="I35" i="48"/>
  <c r="J35" i="48"/>
  <c r="K35" i="48"/>
  <c r="L35" i="48"/>
  <c r="D35" i="48" s="1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H36" i="48"/>
  <c r="P36" i="48"/>
  <c r="S36" i="48"/>
  <c r="Z36" i="48"/>
  <c r="AI36" i="48"/>
  <c r="F39" i="48"/>
  <c r="G39" i="48"/>
  <c r="H39" i="48"/>
  <c r="I39" i="48"/>
  <c r="E39" i="48" s="1"/>
  <c r="J39" i="48"/>
  <c r="K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F40" i="48"/>
  <c r="F42" i="48" s="1"/>
  <c r="F43" i="48" s="1"/>
  <c r="G40" i="48"/>
  <c r="H40" i="48"/>
  <c r="I40" i="48"/>
  <c r="J40" i="48"/>
  <c r="K40" i="48"/>
  <c r="K42" i="48" s="1"/>
  <c r="K43" i="48" s="1"/>
  <c r="L40" i="48"/>
  <c r="M40" i="48"/>
  <c r="N40" i="48"/>
  <c r="O40" i="48"/>
  <c r="O42" i="48" s="1"/>
  <c r="O43" i="48" s="1"/>
  <c r="P40" i="48"/>
  <c r="Q40" i="48"/>
  <c r="R40" i="48"/>
  <c r="R42" i="48" s="1"/>
  <c r="R43" i="48" s="1"/>
  <c r="S40" i="48"/>
  <c r="S42" i="48" s="1"/>
  <c r="S43" i="48" s="1"/>
  <c r="T40" i="48"/>
  <c r="U40" i="48"/>
  <c r="V40" i="48"/>
  <c r="W40" i="48"/>
  <c r="X40" i="48"/>
  <c r="Y40" i="48"/>
  <c r="Z40" i="48"/>
  <c r="Z42" i="48" s="1"/>
  <c r="Z43" i="48" s="1"/>
  <c r="AA40" i="48"/>
  <c r="AA42" i="48" s="1"/>
  <c r="AA43" i="48" s="1"/>
  <c r="AB40" i="48"/>
  <c r="AC40" i="48"/>
  <c r="AD40" i="48"/>
  <c r="AE40" i="48"/>
  <c r="AE42" i="48" s="1"/>
  <c r="AF40" i="48"/>
  <c r="AG40" i="48"/>
  <c r="AH40" i="48"/>
  <c r="AH42" i="48" s="1"/>
  <c r="AH43" i="48" s="1"/>
  <c r="AI40" i="48"/>
  <c r="AI42" i="48" s="1"/>
  <c r="AI43" i="48" s="1"/>
  <c r="AJ40" i="48"/>
  <c r="AK40" i="48"/>
  <c r="AL40" i="48"/>
  <c r="AM40" i="48"/>
  <c r="AN40" i="48"/>
  <c r="AO40" i="48"/>
  <c r="F41" i="48"/>
  <c r="G41" i="48"/>
  <c r="H41" i="48"/>
  <c r="I41" i="48"/>
  <c r="I42" i="48" s="1"/>
  <c r="J41" i="48"/>
  <c r="K41" i="48"/>
  <c r="L41" i="48"/>
  <c r="M41" i="48"/>
  <c r="M42" i="48" s="1"/>
  <c r="M43" i="48" s="1"/>
  <c r="N41" i="48"/>
  <c r="O41" i="48"/>
  <c r="P41" i="48"/>
  <c r="Q41" i="48"/>
  <c r="Q42" i="48" s="1"/>
  <c r="Q43" i="48" s="1"/>
  <c r="R41" i="48"/>
  <c r="S41" i="48"/>
  <c r="T41" i="48"/>
  <c r="U41" i="48"/>
  <c r="U42" i="48" s="1"/>
  <c r="V41" i="48"/>
  <c r="W41" i="48"/>
  <c r="X41" i="48"/>
  <c r="Y41" i="48"/>
  <c r="Y42" i="48" s="1"/>
  <c r="Y43" i="48" s="1"/>
  <c r="Z41" i="48"/>
  <c r="AA41" i="48"/>
  <c r="AB41" i="48"/>
  <c r="AC41" i="48"/>
  <c r="AC42" i="48" s="1"/>
  <c r="AC43" i="48" s="1"/>
  <c r="AD41" i="48"/>
  <c r="AE41" i="48"/>
  <c r="AF41" i="48"/>
  <c r="AG41" i="48"/>
  <c r="AG42" i="48" s="1"/>
  <c r="AG43" i="48" s="1"/>
  <c r="AH41" i="48"/>
  <c r="AI41" i="48"/>
  <c r="AJ41" i="48"/>
  <c r="AK41" i="48"/>
  <c r="AK42" i="48" s="1"/>
  <c r="AK43" i="48" s="1"/>
  <c r="AL41" i="48"/>
  <c r="AM41" i="48"/>
  <c r="AN41" i="48"/>
  <c r="AO41" i="48"/>
  <c r="AO42" i="48" s="1"/>
  <c r="G42" i="48"/>
  <c r="G43" i="48" s="1"/>
  <c r="H42" i="48"/>
  <c r="J42" i="48"/>
  <c r="J43" i="48" s="1"/>
  <c r="N42" i="48"/>
  <c r="N43" i="48" s="1"/>
  <c r="P42" i="48"/>
  <c r="V42" i="48"/>
  <c r="V43" i="48" s="1"/>
  <c r="W42" i="48"/>
  <c r="W43" i="48" s="1"/>
  <c r="X42" i="48"/>
  <c r="AD42" i="48"/>
  <c r="AD43" i="48" s="1"/>
  <c r="AF42" i="48"/>
  <c r="AF43" i="48" s="1"/>
  <c r="AL42" i="48"/>
  <c r="AL43" i="48" s="1"/>
  <c r="AM42" i="48"/>
  <c r="AM43" i="48" s="1"/>
  <c r="AN42" i="48"/>
  <c r="H43" i="48"/>
  <c r="I43" i="48"/>
  <c r="P43" i="48"/>
  <c r="U43" i="48"/>
  <c r="X43" i="48"/>
  <c r="AE43" i="48"/>
  <c r="AN43" i="48"/>
  <c r="AO43" i="48"/>
  <c r="F45" i="48"/>
  <c r="G45" i="48"/>
  <c r="H45" i="48"/>
  <c r="I45" i="48"/>
  <c r="J45" i="48"/>
  <c r="K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F47" i="48"/>
  <c r="G47" i="48"/>
  <c r="H47" i="48"/>
  <c r="I47" i="48"/>
  <c r="J47" i="48"/>
  <c r="K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F49" i="48"/>
  <c r="G49" i="48"/>
  <c r="H49" i="48"/>
  <c r="I49" i="48"/>
  <c r="J49" i="48"/>
  <c r="K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F51" i="48"/>
  <c r="G51" i="48"/>
  <c r="H51" i="48"/>
  <c r="I51" i="48"/>
  <c r="J51" i="48"/>
  <c r="K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F54" i="48"/>
  <c r="F56" i="48" s="1"/>
  <c r="G54" i="48"/>
  <c r="H54" i="48"/>
  <c r="I54" i="48"/>
  <c r="J54" i="48"/>
  <c r="K54" i="48"/>
  <c r="L54" i="48"/>
  <c r="L56" i="48" s="1"/>
  <c r="M54" i="48"/>
  <c r="M56" i="48" s="1"/>
  <c r="N54" i="48"/>
  <c r="O54" i="48"/>
  <c r="P54" i="48"/>
  <c r="Q54" i="48"/>
  <c r="Q56" i="48" s="1"/>
  <c r="R54" i="48"/>
  <c r="S54" i="48"/>
  <c r="T54" i="48"/>
  <c r="T56" i="48" s="1"/>
  <c r="U54" i="48"/>
  <c r="U56" i="48" s="1"/>
  <c r="V54" i="48"/>
  <c r="W54" i="48"/>
  <c r="X54" i="48"/>
  <c r="Y54" i="48"/>
  <c r="Y56" i="48" s="1"/>
  <c r="Z54" i="48"/>
  <c r="AA54" i="48"/>
  <c r="AB54" i="48"/>
  <c r="AB56" i="48" s="1"/>
  <c r="AC54" i="48"/>
  <c r="AC56" i="48" s="1"/>
  <c r="AD54" i="48"/>
  <c r="AE54" i="48"/>
  <c r="AF54" i="48"/>
  <c r="AG54" i="48"/>
  <c r="AG56" i="48" s="1"/>
  <c r="AH54" i="48"/>
  <c r="AI54" i="48"/>
  <c r="AJ54" i="48"/>
  <c r="AJ56" i="48" s="1"/>
  <c r="AK54" i="48"/>
  <c r="AL54" i="48"/>
  <c r="AM54" i="48"/>
  <c r="AN54" i="48"/>
  <c r="AO54" i="48"/>
  <c r="AO56" i="48" s="1"/>
  <c r="F55" i="48"/>
  <c r="D55" i="48" s="1"/>
  <c r="G55" i="48"/>
  <c r="G56" i="48" s="1"/>
  <c r="H55" i="48"/>
  <c r="H56" i="48" s="1"/>
  <c r="I55" i="48"/>
  <c r="J55" i="48"/>
  <c r="K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X56" i="48" s="1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I56" i="48"/>
  <c r="J56" i="48"/>
  <c r="K56" i="48"/>
  <c r="N56" i="48"/>
  <c r="P56" i="48"/>
  <c r="R56" i="48"/>
  <c r="S56" i="48"/>
  <c r="V56" i="48"/>
  <c r="Z56" i="48"/>
  <c r="AA56" i="48"/>
  <c r="AD56" i="48"/>
  <c r="AF56" i="48"/>
  <c r="AH56" i="48"/>
  <c r="AI56" i="48"/>
  <c r="AK56" i="48"/>
  <c r="AL56" i="48"/>
  <c r="AN56" i="48"/>
  <c r="F59" i="48"/>
  <c r="G59" i="48"/>
  <c r="H59" i="48"/>
  <c r="I59" i="48"/>
  <c r="J59" i="48"/>
  <c r="K59" i="48"/>
  <c r="L59" i="48"/>
  <c r="M59" i="48"/>
  <c r="M61" i="48" s="1"/>
  <c r="N59" i="48"/>
  <c r="N61" i="48" s="1"/>
  <c r="O59" i="48"/>
  <c r="O61" i="48" s="1"/>
  <c r="P59" i="48"/>
  <c r="Q59" i="48"/>
  <c r="R59" i="48"/>
  <c r="S59" i="48"/>
  <c r="T59" i="48"/>
  <c r="T61" i="48" s="1"/>
  <c r="U59" i="48"/>
  <c r="U61" i="48" s="1"/>
  <c r="V59" i="48"/>
  <c r="W59" i="48"/>
  <c r="W61" i="48" s="1"/>
  <c r="X59" i="48"/>
  <c r="Y59" i="48"/>
  <c r="Z59" i="48"/>
  <c r="AA59" i="48"/>
  <c r="AB59" i="48"/>
  <c r="AB61" i="48" s="1"/>
  <c r="AC59" i="48"/>
  <c r="AC61" i="48" s="1"/>
  <c r="AD59" i="48"/>
  <c r="AD61" i="48" s="1"/>
  <c r="AE59" i="48"/>
  <c r="AE61" i="48" s="1"/>
  <c r="AF59" i="48"/>
  <c r="AG59" i="48"/>
  <c r="AH59" i="48"/>
  <c r="AI59" i="48"/>
  <c r="AJ59" i="48"/>
  <c r="AK59" i="48"/>
  <c r="AK61" i="48" s="1"/>
  <c r="AL59" i="48"/>
  <c r="AL61" i="48" s="1"/>
  <c r="AM59" i="48"/>
  <c r="AM61" i="48" s="1"/>
  <c r="AN59" i="48"/>
  <c r="AO59" i="48"/>
  <c r="F60" i="48"/>
  <c r="G60" i="48"/>
  <c r="H60" i="48"/>
  <c r="I60" i="48"/>
  <c r="J60" i="48"/>
  <c r="K60" i="48"/>
  <c r="L60" i="48"/>
  <c r="M60" i="48"/>
  <c r="N60" i="48"/>
  <c r="O60" i="48"/>
  <c r="P60" i="48"/>
  <c r="Q60" i="48"/>
  <c r="Q61" i="48" s="1"/>
  <c r="R60" i="48"/>
  <c r="S60" i="48"/>
  <c r="T60" i="48"/>
  <c r="U60" i="48"/>
  <c r="V60" i="48"/>
  <c r="W60" i="48"/>
  <c r="X60" i="48"/>
  <c r="X61" i="48" s="1"/>
  <c r="Y60" i="48"/>
  <c r="Z60" i="48"/>
  <c r="AA60" i="48"/>
  <c r="AB60" i="48"/>
  <c r="AC60" i="48"/>
  <c r="AD60" i="48"/>
  <c r="AE60" i="48"/>
  <c r="AF60" i="48"/>
  <c r="AF61" i="48" s="1"/>
  <c r="AG60" i="48"/>
  <c r="AH60" i="48"/>
  <c r="AH61" i="48" s="1"/>
  <c r="AI60" i="48"/>
  <c r="AJ60" i="48"/>
  <c r="AK60" i="48"/>
  <c r="AL60" i="48"/>
  <c r="AM60" i="48"/>
  <c r="AN60" i="48"/>
  <c r="AN61" i="48" s="1"/>
  <c r="AO60" i="48"/>
  <c r="I61" i="48"/>
  <c r="K61" i="48"/>
  <c r="L61" i="48"/>
  <c r="P61" i="48"/>
  <c r="S61" i="48"/>
  <c r="V61" i="48"/>
  <c r="Y61" i="48"/>
  <c r="AA61" i="48"/>
  <c r="AG61" i="48"/>
  <c r="AI61" i="48"/>
  <c r="AJ61" i="48"/>
  <c r="AO61" i="48"/>
  <c r="F64" i="48"/>
  <c r="G64" i="48"/>
  <c r="H64" i="48"/>
  <c r="H66" i="48" s="1"/>
  <c r="I64" i="48"/>
  <c r="J64" i="48"/>
  <c r="K64" i="48"/>
  <c r="L64" i="48"/>
  <c r="M64" i="48"/>
  <c r="N64" i="48"/>
  <c r="O64" i="48"/>
  <c r="P64" i="48"/>
  <c r="P66" i="48" s="1"/>
  <c r="Q64" i="48"/>
  <c r="R64" i="48"/>
  <c r="S64" i="48"/>
  <c r="S66" i="48" s="1"/>
  <c r="T64" i="48"/>
  <c r="U64" i="48"/>
  <c r="V64" i="48"/>
  <c r="W64" i="48"/>
  <c r="X64" i="48"/>
  <c r="X66" i="48" s="1"/>
  <c r="Y64" i="48"/>
  <c r="Z64" i="48"/>
  <c r="Z66" i="48" s="1"/>
  <c r="AA64" i="48"/>
  <c r="AA66" i="48" s="1"/>
  <c r="AB64" i="48"/>
  <c r="AC64" i="48"/>
  <c r="AD64" i="48"/>
  <c r="AD66" i="48" s="1"/>
  <c r="AE64" i="48"/>
  <c r="AF64" i="48"/>
  <c r="AF66" i="48" s="1"/>
  <c r="AG64" i="48"/>
  <c r="AH64" i="48"/>
  <c r="AI64" i="48"/>
  <c r="AI66" i="48" s="1"/>
  <c r="AJ64" i="48"/>
  <c r="AK64" i="48"/>
  <c r="AL64" i="48"/>
  <c r="AL66" i="48" s="1"/>
  <c r="AM64" i="48"/>
  <c r="AN64" i="48"/>
  <c r="AN66" i="48" s="1"/>
  <c r="AO64" i="48"/>
  <c r="F65" i="48"/>
  <c r="G65" i="48"/>
  <c r="H65" i="48"/>
  <c r="I65" i="48"/>
  <c r="J65" i="48"/>
  <c r="K65" i="48"/>
  <c r="L65" i="48"/>
  <c r="M65" i="48"/>
  <c r="N65" i="48"/>
  <c r="O65" i="48"/>
  <c r="O66" i="48" s="1"/>
  <c r="P65" i="48"/>
  <c r="Q65" i="48"/>
  <c r="R65" i="48"/>
  <c r="S65" i="48"/>
  <c r="T65" i="48"/>
  <c r="T66" i="48" s="1"/>
  <c r="U65" i="48"/>
  <c r="V65" i="48"/>
  <c r="W65" i="48"/>
  <c r="W66" i="48" s="1"/>
  <c r="X65" i="48"/>
  <c r="Y65" i="48"/>
  <c r="Z65" i="48"/>
  <c r="AA65" i="48"/>
  <c r="AB65" i="48"/>
  <c r="AC65" i="48"/>
  <c r="AD65" i="48"/>
  <c r="AE65" i="48"/>
  <c r="AE66" i="48" s="1"/>
  <c r="AF65" i="48"/>
  <c r="AG65" i="48"/>
  <c r="AH65" i="48"/>
  <c r="AI65" i="48"/>
  <c r="AJ65" i="48"/>
  <c r="AK65" i="48"/>
  <c r="AL65" i="48"/>
  <c r="AM65" i="48"/>
  <c r="AM66" i="48" s="1"/>
  <c r="AN65" i="48"/>
  <c r="AO65" i="48"/>
  <c r="I66" i="48"/>
  <c r="J66" i="48"/>
  <c r="L66" i="48"/>
  <c r="N66" i="48"/>
  <c r="Q66" i="48"/>
  <c r="R66" i="48"/>
  <c r="V66" i="48"/>
  <c r="Y66" i="48"/>
  <c r="AB66" i="48"/>
  <c r="AG66" i="48"/>
  <c r="AH66" i="48"/>
  <c r="AJ66" i="48"/>
  <c r="AO66" i="48"/>
  <c r="D70" i="48"/>
  <c r="F70" i="48"/>
  <c r="G70" i="48"/>
  <c r="H70" i="48"/>
  <c r="I70" i="48"/>
  <c r="J70" i="48"/>
  <c r="K70" i="48"/>
  <c r="K72" i="48" s="1"/>
  <c r="L70" i="48"/>
  <c r="M70" i="48"/>
  <c r="N70" i="48"/>
  <c r="N72" i="48" s="1"/>
  <c r="O70" i="48"/>
  <c r="P70" i="48"/>
  <c r="Q70" i="48"/>
  <c r="R70" i="48"/>
  <c r="S70" i="48"/>
  <c r="S72" i="48" s="1"/>
  <c r="T70" i="48"/>
  <c r="U70" i="48"/>
  <c r="U72" i="48" s="1"/>
  <c r="V70" i="48"/>
  <c r="W70" i="48"/>
  <c r="X70" i="48"/>
  <c r="Y70" i="48"/>
  <c r="Z70" i="48"/>
  <c r="Z72" i="48" s="1"/>
  <c r="AA70" i="48"/>
  <c r="AA72" i="48" s="1"/>
  <c r="AB70" i="48"/>
  <c r="AC70" i="48"/>
  <c r="AC72" i="48" s="1"/>
  <c r="AD70" i="48"/>
  <c r="AE70" i="48"/>
  <c r="AF70" i="48"/>
  <c r="AG70" i="48"/>
  <c r="AH70" i="48"/>
  <c r="AI70" i="48"/>
  <c r="AI72" i="48" s="1"/>
  <c r="AJ70" i="48"/>
  <c r="AK70" i="48"/>
  <c r="AK72" i="48" s="1"/>
  <c r="AL70" i="48"/>
  <c r="AM70" i="48"/>
  <c r="AN70" i="48"/>
  <c r="AO70" i="48"/>
  <c r="F71" i="48"/>
  <c r="G71" i="48"/>
  <c r="G72" i="48" s="1"/>
  <c r="H71" i="48"/>
  <c r="I71" i="48"/>
  <c r="J71" i="48"/>
  <c r="K71" i="48"/>
  <c r="L71" i="48"/>
  <c r="M71" i="48"/>
  <c r="N71" i="48"/>
  <c r="O71" i="48"/>
  <c r="O72" i="48" s="1"/>
  <c r="P71" i="48"/>
  <c r="P72" i="48" s="1"/>
  <c r="Q71" i="48"/>
  <c r="R71" i="48"/>
  <c r="S71" i="48"/>
  <c r="T71" i="48"/>
  <c r="U71" i="48"/>
  <c r="V71" i="48"/>
  <c r="W71" i="48"/>
  <c r="W72" i="48" s="1"/>
  <c r="X71" i="48"/>
  <c r="X72" i="48" s="1"/>
  <c r="Y71" i="48"/>
  <c r="Z71" i="48"/>
  <c r="AA71" i="48"/>
  <c r="AB71" i="48"/>
  <c r="AB72" i="48" s="1"/>
  <c r="AC71" i="48"/>
  <c r="AD71" i="48"/>
  <c r="AE71" i="48"/>
  <c r="AF71" i="48"/>
  <c r="AG71" i="48"/>
  <c r="AH71" i="48"/>
  <c r="AI71" i="48"/>
  <c r="AJ71" i="48"/>
  <c r="AK71" i="48"/>
  <c r="AL71" i="48"/>
  <c r="AM71" i="48"/>
  <c r="AM72" i="48" s="1"/>
  <c r="AN71" i="48"/>
  <c r="AO71" i="48"/>
  <c r="F72" i="48"/>
  <c r="I72" i="48"/>
  <c r="J72" i="48"/>
  <c r="L72" i="48"/>
  <c r="M72" i="48"/>
  <c r="Q72" i="48"/>
  <c r="R72" i="48"/>
  <c r="T72" i="48"/>
  <c r="V72" i="48"/>
  <c r="Y72" i="48"/>
  <c r="AD72" i="48"/>
  <c r="AE72" i="48"/>
  <c r="AG72" i="48"/>
  <c r="AH72" i="48"/>
  <c r="AJ72" i="48"/>
  <c r="AL72" i="48"/>
  <c r="AO72" i="48"/>
  <c r="F73" i="48"/>
  <c r="G73" i="48"/>
  <c r="H73" i="48"/>
  <c r="D73" i="48" s="1"/>
  <c r="F73" i="50" s="1"/>
  <c r="I73" i="48"/>
  <c r="J73" i="48"/>
  <c r="K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F74" i="48"/>
  <c r="H74" i="48"/>
  <c r="I74" i="48"/>
  <c r="J74" i="48"/>
  <c r="K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F75" i="48"/>
  <c r="G75" i="48"/>
  <c r="H75" i="48"/>
  <c r="I75" i="48"/>
  <c r="J75" i="48"/>
  <c r="K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F76" i="48"/>
  <c r="G76" i="48"/>
  <c r="H76" i="48"/>
  <c r="I76" i="48"/>
  <c r="J76" i="48"/>
  <c r="K76" i="48"/>
  <c r="L76" i="48"/>
  <c r="D76" i="48" s="1"/>
  <c r="F76" i="50" s="1"/>
  <c r="M76" i="48"/>
  <c r="E76" i="48" s="1"/>
  <c r="G76" i="50" s="1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F77" i="48"/>
  <c r="G77" i="48"/>
  <c r="H77" i="48"/>
  <c r="I77" i="48"/>
  <c r="J77" i="48"/>
  <c r="K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F78" i="48"/>
  <c r="G78" i="48"/>
  <c r="H78" i="48"/>
  <c r="I78" i="48"/>
  <c r="J78" i="48"/>
  <c r="K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F79" i="48"/>
  <c r="G79" i="48"/>
  <c r="H79" i="48"/>
  <c r="I79" i="48"/>
  <c r="J79" i="48"/>
  <c r="K79" i="48"/>
  <c r="L79" i="48"/>
  <c r="D79" i="48" s="1"/>
  <c r="M79" i="48"/>
  <c r="E79" i="48" s="1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F80" i="48"/>
  <c r="G80" i="48"/>
  <c r="H80" i="48"/>
  <c r="I80" i="48"/>
  <c r="J80" i="48"/>
  <c r="K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F81" i="48"/>
  <c r="G81" i="48"/>
  <c r="H81" i="48"/>
  <c r="I81" i="48"/>
  <c r="J81" i="48"/>
  <c r="K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A4" i="49"/>
  <c r="A5" i="49"/>
  <c r="H11" i="49"/>
  <c r="I11" i="49"/>
  <c r="G11" i="49" s="1"/>
  <c r="L11" i="49"/>
  <c r="M11" i="49"/>
  <c r="F12" i="49"/>
  <c r="G12" i="49"/>
  <c r="H12" i="49"/>
  <c r="I12" i="49"/>
  <c r="L12" i="49"/>
  <c r="M12" i="49"/>
  <c r="F13" i="49"/>
  <c r="H13" i="49"/>
  <c r="L13" i="49" s="1"/>
  <c r="I13" i="49"/>
  <c r="H14" i="49"/>
  <c r="F14" i="49" s="1"/>
  <c r="I14" i="49"/>
  <c r="L14" i="49"/>
  <c r="D14" i="50" s="1"/>
  <c r="G15" i="49"/>
  <c r="H15" i="49"/>
  <c r="I15" i="49"/>
  <c r="M15" i="49"/>
  <c r="J16" i="49"/>
  <c r="J82" i="49" s="1"/>
  <c r="K16" i="49"/>
  <c r="H18" i="49"/>
  <c r="I18" i="49"/>
  <c r="G19" i="49"/>
  <c r="H19" i="49"/>
  <c r="I19" i="49"/>
  <c r="L19" i="49"/>
  <c r="F20" i="49"/>
  <c r="H20" i="49"/>
  <c r="I20" i="49"/>
  <c r="G20" i="49" s="1"/>
  <c r="L20" i="49"/>
  <c r="M20" i="49"/>
  <c r="E20" i="50" s="1"/>
  <c r="F21" i="49"/>
  <c r="H21" i="49"/>
  <c r="L21" i="49" s="1"/>
  <c r="I21" i="49"/>
  <c r="G21" i="49" s="1"/>
  <c r="M21" i="49"/>
  <c r="E21" i="50" s="1"/>
  <c r="I21" i="50" s="1"/>
  <c r="F22" i="49"/>
  <c r="H22" i="49"/>
  <c r="L22" i="49" s="1"/>
  <c r="I22" i="49"/>
  <c r="H23" i="49"/>
  <c r="I23" i="49"/>
  <c r="J24" i="49"/>
  <c r="K24" i="49"/>
  <c r="F27" i="49"/>
  <c r="G27" i="49"/>
  <c r="H27" i="49"/>
  <c r="I27" i="49"/>
  <c r="L27" i="49"/>
  <c r="M27" i="49"/>
  <c r="E27" i="50" s="1"/>
  <c r="I27" i="50" s="1"/>
  <c r="F28" i="49"/>
  <c r="H28" i="49"/>
  <c r="L28" i="49" s="1"/>
  <c r="I28" i="49"/>
  <c r="H29" i="49"/>
  <c r="I29" i="49"/>
  <c r="J29" i="49"/>
  <c r="K29" i="49"/>
  <c r="H32" i="49"/>
  <c r="F32" i="49" s="1"/>
  <c r="I32" i="49"/>
  <c r="L32" i="49"/>
  <c r="G33" i="49"/>
  <c r="H33" i="49"/>
  <c r="I33" i="49"/>
  <c r="M33" i="49"/>
  <c r="F34" i="49"/>
  <c r="G34" i="49"/>
  <c r="H34" i="49"/>
  <c r="I34" i="49"/>
  <c r="M34" i="49" s="1"/>
  <c r="E34" i="50" s="1"/>
  <c r="L34" i="49"/>
  <c r="H35" i="49"/>
  <c r="I35" i="49"/>
  <c r="J36" i="49"/>
  <c r="K36" i="49"/>
  <c r="L37" i="49"/>
  <c r="M37" i="49"/>
  <c r="H38" i="49"/>
  <c r="I38" i="49"/>
  <c r="F39" i="49"/>
  <c r="H39" i="49"/>
  <c r="I39" i="49"/>
  <c r="G39" i="49" s="1"/>
  <c r="L39" i="49"/>
  <c r="D39" i="50" s="1"/>
  <c r="M39" i="49"/>
  <c r="E39" i="50" s="1"/>
  <c r="F40" i="49"/>
  <c r="F42" i="49" s="1"/>
  <c r="F43" i="49" s="1"/>
  <c r="H40" i="49"/>
  <c r="L40" i="49" s="1"/>
  <c r="I40" i="49"/>
  <c r="G40" i="49" s="1"/>
  <c r="M40" i="49"/>
  <c r="F41" i="49"/>
  <c r="H41" i="49"/>
  <c r="L41" i="49" s="1"/>
  <c r="I41" i="49"/>
  <c r="H42" i="49"/>
  <c r="H43" i="49" s="1"/>
  <c r="I42" i="49"/>
  <c r="I43" i="49" s="1"/>
  <c r="J42" i="49"/>
  <c r="K42" i="49"/>
  <c r="K43" i="49" s="1"/>
  <c r="L42" i="49"/>
  <c r="L43" i="49" s="1"/>
  <c r="J43" i="49"/>
  <c r="H45" i="49"/>
  <c r="F45" i="49" s="1"/>
  <c r="I45" i="49"/>
  <c r="G45" i="49" s="1"/>
  <c r="L45" i="49"/>
  <c r="M45" i="49"/>
  <c r="E45" i="50" s="1"/>
  <c r="F47" i="49"/>
  <c r="G47" i="49"/>
  <c r="H47" i="49"/>
  <c r="I47" i="49"/>
  <c r="L47" i="49"/>
  <c r="M47" i="49"/>
  <c r="F49" i="49"/>
  <c r="G49" i="49"/>
  <c r="H49" i="49"/>
  <c r="L49" i="49" s="1"/>
  <c r="I49" i="49"/>
  <c r="M49" i="49"/>
  <c r="H51" i="49"/>
  <c r="F51" i="49" s="1"/>
  <c r="I51" i="49"/>
  <c r="L51" i="49"/>
  <c r="D51" i="50" s="1"/>
  <c r="G54" i="49"/>
  <c r="H54" i="49"/>
  <c r="I54" i="49"/>
  <c r="M54" i="49"/>
  <c r="F55" i="49"/>
  <c r="G55" i="49"/>
  <c r="H55" i="49"/>
  <c r="I55" i="49"/>
  <c r="M55" i="49" s="1"/>
  <c r="L55" i="49"/>
  <c r="D55" i="50" s="1"/>
  <c r="H56" i="49"/>
  <c r="I56" i="49"/>
  <c r="J56" i="49"/>
  <c r="K56" i="49"/>
  <c r="H59" i="49"/>
  <c r="I59" i="49"/>
  <c r="F60" i="49"/>
  <c r="G60" i="49"/>
  <c r="H60" i="49"/>
  <c r="I60" i="49"/>
  <c r="L60" i="49"/>
  <c r="M60" i="49"/>
  <c r="E60" i="50" s="1"/>
  <c r="I61" i="49"/>
  <c r="J61" i="49"/>
  <c r="K61" i="49"/>
  <c r="G64" i="49"/>
  <c r="H64" i="49"/>
  <c r="I64" i="49"/>
  <c r="L64" i="49"/>
  <c r="L66" i="49" s="1"/>
  <c r="M64" i="49"/>
  <c r="F65" i="49"/>
  <c r="H65" i="49"/>
  <c r="I65" i="49"/>
  <c r="L65" i="49"/>
  <c r="D65" i="50" s="1"/>
  <c r="J66" i="49"/>
  <c r="K66" i="49"/>
  <c r="L69" i="49"/>
  <c r="M69" i="49"/>
  <c r="F70" i="49"/>
  <c r="H70" i="49"/>
  <c r="I70" i="49"/>
  <c r="L70" i="49"/>
  <c r="L72" i="49" s="1"/>
  <c r="F71" i="49"/>
  <c r="G71" i="49"/>
  <c r="H71" i="49"/>
  <c r="L71" i="49" s="1"/>
  <c r="I71" i="49"/>
  <c r="M71" i="49" s="1"/>
  <c r="F72" i="49"/>
  <c r="H72" i="49"/>
  <c r="I72" i="49"/>
  <c r="J72" i="49"/>
  <c r="K72" i="49"/>
  <c r="G73" i="49"/>
  <c r="H73" i="49"/>
  <c r="I73" i="49"/>
  <c r="M73" i="49"/>
  <c r="E73" i="50" s="1"/>
  <c r="H74" i="49"/>
  <c r="F74" i="49" s="1"/>
  <c r="I74" i="49"/>
  <c r="G74" i="49" s="1"/>
  <c r="L74" i="49"/>
  <c r="M74" i="49"/>
  <c r="F75" i="49"/>
  <c r="G75" i="49"/>
  <c r="H75" i="49"/>
  <c r="I75" i="49"/>
  <c r="L75" i="49"/>
  <c r="M75" i="49"/>
  <c r="H76" i="49"/>
  <c r="I76" i="49"/>
  <c r="H77" i="49"/>
  <c r="F77" i="49" s="1"/>
  <c r="I77" i="49"/>
  <c r="L77" i="49"/>
  <c r="G78" i="49"/>
  <c r="H78" i="49"/>
  <c r="I78" i="49"/>
  <c r="M78" i="49"/>
  <c r="F79" i="49"/>
  <c r="G79" i="49"/>
  <c r="H79" i="49"/>
  <c r="I79" i="49"/>
  <c r="M79" i="49" s="1"/>
  <c r="L79" i="49"/>
  <c r="D79" i="50" s="1"/>
  <c r="H80" i="49"/>
  <c r="I80" i="49"/>
  <c r="F81" i="49"/>
  <c r="G81" i="49"/>
  <c r="H81" i="49"/>
  <c r="I81" i="49"/>
  <c r="L81" i="49"/>
  <c r="M81" i="49"/>
  <c r="E81" i="50" s="1"/>
  <c r="D82" i="49"/>
  <c r="E82" i="49"/>
  <c r="K82" i="49"/>
  <c r="A5" i="50"/>
  <c r="D11" i="50"/>
  <c r="E11" i="50"/>
  <c r="D12" i="50"/>
  <c r="E12" i="50"/>
  <c r="F12" i="50"/>
  <c r="H12" i="50" s="1"/>
  <c r="D13" i="50"/>
  <c r="E15" i="50"/>
  <c r="F15" i="50"/>
  <c r="D19" i="50"/>
  <c r="D20" i="50"/>
  <c r="D21" i="50"/>
  <c r="G21" i="50"/>
  <c r="D22" i="50"/>
  <c r="D27" i="50"/>
  <c r="G27" i="50"/>
  <c r="D28" i="50"/>
  <c r="D29" i="50"/>
  <c r="D32" i="50"/>
  <c r="E33" i="50"/>
  <c r="I33" i="50"/>
  <c r="D34" i="50"/>
  <c r="H34" i="50" s="1"/>
  <c r="F34" i="50"/>
  <c r="F35" i="50"/>
  <c r="G39" i="50"/>
  <c r="I39" i="50"/>
  <c r="D40" i="50"/>
  <c r="D41" i="50"/>
  <c r="D45" i="50"/>
  <c r="D47" i="50"/>
  <c r="E47" i="50"/>
  <c r="D49" i="50"/>
  <c r="E49" i="50"/>
  <c r="E54" i="50"/>
  <c r="E55" i="50"/>
  <c r="E56" i="50" s="1"/>
  <c r="F55" i="50"/>
  <c r="D60" i="50"/>
  <c r="D64" i="50"/>
  <c r="D66" i="50" s="1"/>
  <c r="D70" i="50"/>
  <c r="F70" i="50"/>
  <c r="D71" i="50"/>
  <c r="E71" i="50"/>
  <c r="D74" i="50"/>
  <c r="E74" i="50"/>
  <c r="D75" i="50"/>
  <c r="E75" i="50"/>
  <c r="D77" i="50"/>
  <c r="E78" i="50"/>
  <c r="E79" i="50"/>
  <c r="F79" i="50"/>
  <c r="G79" i="50"/>
  <c r="I79" i="50" s="1"/>
  <c r="D81" i="50"/>
  <c r="A4" i="10"/>
  <c r="A5" i="10"/>
  <c r="G11" i="10"/>
  <c r="H11" i="10"/>
  <c r="I11" i="10"/>
  <c r="M11" i="10"/>
  <c r="F12" i="10"/>
  <c r="G12" i="10"/>
  <c r="H12" i="10"/>
  <c r="I12" i="10"/>
  <c r="M12" i="10" s="1"/>
  <c r="L12" i="10"/>
  <c r="F13" i="10"/>
  <c r="H13" i="10"/>
  <c r="I13" i="10"/>
  <c r="G13" i="10" s="1"/>
  <c r="L13" i="10"/>
  <c r="M13" i="10"/>
  <c r="E13" i="34" s="1"/>
  <c r="H14" i="10"/>
  <c r="F14" i="10" s="1"/>
  <c r="I14" i="10"/>
  <c r="G14" i="10" s="1"/>
  <c r="L14" i="10"/>
  <c r="D14" i="34" s="1"/>
  <c r="M14" i="10"/>
  <c r="G15" i="10"/>
  <c r="H15" i="10"/>
  <c r="I15" i="10"/>
  <c r="M15" i="10"/>
  <c r="I16" i="10"/>
  <c r="J16" i="10"/>
  <c r="K16" i="10"/>
  <c r="H18" i="10"/>
  <c r="I18" i="10"/>
  <c r="G19" i="10"/>
  <c r="H19" i="10"/>
  <c r="I19" i="10"/>
  <c r="M19" i="10"/>
  <c r="F20" i="10"/>
  <c r="G20" i="10"/>
  <c r="H20" i="10"/>
  <c r="I20" i="10"/>
  <c r="M20" i="10" s="1"/>
  <c r="L20" i="10"/>
  <c r="D20" i="34" s="1"/>
  <c r="H20" i="34" s="1"/>
  <c r="F21" i="10"/>
  <c r="H21" i="10"/>
  <c r="I21" i="10"/>
  <c r="G21" i="10" s="1"/>
  <c r="L21" i="10"/>
  <c r="M21" i="10"/>
  <c r="E21" i="34" s="1"/>
  <c r="H22" i="10"/>
  <c r="F22" i="10" s="1"/>
  <c r="I22" i="10"/>
  <c r="G22" i="10" s="1"/>
  <c r="L22" i="10"/>
  <c r="M22" i="10"/>
  <c r="G23" i="10"/>
  <c r="H23" i="10"/>
  <c r="I23" i="10"/>
  <c r="M23" i="10"/>
  <c r="I24" i="10"/>
  <c r="J24" i="10"/>
  <c r="J82" i="10" s="1"/>
  <c r="K24" i="10"/>
  <c r="F27" i="10"/>
  <c r="G27" i="10"/>
  <c r="H27" i="10"/>
  <c r="I27" i="10"/>
  <c r="M27" i="10" s="1"/>
  <c r="L27" i="10"/>
  <c r="F28" i="10"/>
  <c r="H28" i="10"/>
  <c r="I28" i="10"/>
  <c r="L28" i="10"/>
  <c r="H29" i="10"/>
  <c r="I29" i="10"/>
  <c r="J29" i="10"/>
  <c r="K29" i="10"/>
  <c r="L29" i="10"/>
  <c r="H32" i="10"/>
  <c r="F32" i="10" s="1"/>
  <c r="I32" i="10"/>
  <c r="L32" i="10"/>
  <c r="G33" i="10"/>
  <c r="H33" i="10"/>
  <c r="I33" i="10"/>
  <c r="M33" i="10"/>
  <c r="E33" i="34" s="1"/>
  <c r="F34" i="10"/>
  <c r="H34" i="10"/>
  <c r="I34" i="10"/>
  <c r="L34" i="10"/>
  <c r="H35" i="10"/>
  <c r="I35" i="10"/>
  <c r="J36" i="10"/>
  <c r="K36" i="10"/>
  <c r="L37" i="10"/>
  <c r="M37" i="10"/>
  <c r="H38" i="10"/>
  <c r="I38" i="10"/>
  <c r="G39" i="10"/>
  <c r="H39" i="10"/>
  <c r="I39" i="10"/>
  <c r="M39" i="10" s="1"/>
  <c r="F40" i="10"/>
  <c r="G40" i="10"/>
  <c r="H40" i="10"/>
  <c r="I40" i="10"/>
  <c r="L40" i="10"/>
  <c r="M40" i="10"/>
  <c r="H41" i="10"/>
  <c r="F41" i="10" s="1"/>
  <c r="I41" i="10"/>
  <c r="L41" i="10"/>
  <c r="H42" i="10"/>
  <c r="H43" i="10" s="1"/>
  <c r="J42" i="10"/>
  <c r="K42" i="10"/>
  <c r="K43" i="10" s="1"/>
  <c r="L42" i="10"/>
  <c r="J43" i="10"/>
  <c r="F45" i="10"/>
  <c r="G45" i="10"/>
  <c r="H45" i="10"/>
  <c r="I45" i="10"/>
  <c r="L45" i="10"/>
  <c r="D45" i="34" s="1"/>
  <c r="M45" i="10"/>
  <c r="G47" i="10"/>
  <c r="H47" i="10"/>
  <c r="I47" i="10"/>
  <c r="M47" i="10" s="1"/>
  <c r="F49" i="10"/>
  <c r="G49" i="10"/>
  <c r="H49" i="10"/>
  <c r="I49" i="10"/>
  <c r="L49" i="10"/>
  <c r="D49" i="34" s="1"/>
  <c r="M49" i="10"/>
  <c r="H51" i="10"/>
  <c r="F51" i="10" s="1"/>
  <c r="I51" i="10"/>
  <c r="L51" i="10"/>
  <c r="G54" i="10"/>
  <c r="H54" i="10"/>
  <c r="I54" i="10"/>
  <c r="M54" i="10"/>
  <c r="F55" i="10"/>
  <c r="H55" i="10"/>
  <c r="I55" i="10"/>
  <c r="I56" i="10" s="1"/>
  <c r="L55" i="10"/>
  <c r="J56" i="10"/>
  <c r="K56" i="10"/>
  <c r="F59" i="10"/>
  <c r="H59" i="10"/>
  <c r="H61" i="10" s="1"/>
  <c r="I59" i="10"/>
  <c r="L59" i="10"/>
  <c r="H60" i="10"/>
  <c r="I60" i="10"/>
  <c r="J61" i="10"/>
  <c r="K61" i="10"/>
  <c r="G64" i="10"/>
  <c r="H64" i="10"/>
  <c r="I64" i="10"/>
  <c r="M64" i="10"/>
  <c r="F65" i="10"/>
  <c r="H65" i="10"/>
  <c r="I65" i="10"/>
  <c r="L65" i="10"/>
  <c r="J66" i="10"/>
  <c r="K66" i="10"/>
  <c r="L69" i="10"/>
  <c r="M69" i="10"/>
  <c r="G70" i="10"/>
  <c r="G72" i="10" s="1"/>
  <c r="H70" i="10"/>
  <c r="I70" i="10"/>
  <c r="M70" i="10" s="1"/>
  <c r="F71" i="10"/>
  <c r="G71" i="10"/>
  <c r="H71" i="10"/>
  <c r="I71" i="10"/>
  <c r="L71" i="10"/>
  <c r="D71" i="34" s="1"/>
  <c r="M71" i="10"/>
  <c r="M72" i="10" s="1"/>
  <c r="I72" i="10"/>
  <c r="J72" i="10"/>
  <c r="K72" i="10"/>
  <c r="F73" i="10"/>
  <c r="H73" i="10"/>
  <c r="I73" i="10"/>
  <c r="G73" i="10" s="1"/>
  <c r="L73" i="10"/>
  <c r="M73" i="10"/>
  <c r="G74" i="10"/>
  <c r="H74" i="10"/>
  <c r="I74" i="10"/>
  <c r="M74" i="10"/>
  <c r="F75" i="10"/>
  <c r="G75" i="10"/>
  <c r="H75" i="10"/>
  <c r="I75" i="10"/>
  <c r="M75" i="10" s="1"/>
  <c r="L75" i="10"/>
  <c r="D75" i="34" s="1"/>
  <c r="F76" i="10"/>
  <c r="H76" i="10"/>
  <c r="I76" i="10"/>
  <c r="L76" i="10"/>
  <c r="D76" i="34" s="1"/>
  <c r="H77" i="10"/>
  <c r="I77" i="10"/>
  <c r="F78" i="10"/>
  <c r="G78" i="10"/>
  <c r="H78" i="10"/>
  <c r="I78" i="10"/>
  <c r="L78" i="10"/>
  <c r="M78" i="10"/>
  <c r="E78" i="34" s="1"/>
  <c r="H79" i="10"/>
  <c r="I79" i="10"/>
  <c r="G80" i="10"/>
  <c r="H80" i="10"/>
  <c r="I80" i="10"/>
  <c r="M80" i="10"/>
  <c r="E80" i="34" s="1"/>
  <c r="F81" i="10"/>
  <c r="H81" i="10"/>
  <c r="I81" i="10"/>
  <c r="G81" i="10" s="1"/>
  <c r="L81" i="10"/>
  <c r="M81" i="10"/>
  <c r="D82" i="10"/>
  <c r="E82" i="10"/>
  <c r="K82" i="10"/>
  <c r="A5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F11" i="22"/>
  <c r="G11" i="22"/>
  <c r="F12" i="22"/>
  <c r="D12" i="22" s="1"/>
  <c r="G12" i="22"/>
  <c r="E12" i="22" s="1"/>
  <c r="G12" i="34" s="1"/>
  <c r="F13" i="22"/>
  <c r="D13" i="22" s="1"/>
  <c r="G13" i="22"/>
  <c r="E13" i="22" s="1"/>
  <c r="G13" i="34" s="1"/>
  <c r="I13" i="34" s="1"/>
  <c r="F14" i="22"/>
  <c r="D14" i="22" s="1"/>
  <c r="G14" i="22"/>
  <c r="E14" i="22" s="1"/>
  <c r="G14" i="34" s="1"/>
  <c r="F15" i="22"/>
  <c r="D15" i="22" s="1"/>
  <c r="F15" i="34" s="1"/>
  <c r="G15" i="22"/>
  <c r="E15" i="22" s="1"/>
  <c r="G15" i="34" s="1"/>
  <c r="I15" i="34" s="1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F19" i="22"/>
  <c r="G19" i="22"/>
  <c r="D20" i="22"/>
  <c r="E20" i="22"/>
  <c r="G20" i="34" s="1"/>
  <c r="F20" i="22"/>
  <c r="G20" i="22"/>
  <c r="D21" i="22"/>
  <c r="F21" i="34" s="1"/>
  <c r="E21" i="22"/>
  <c r="F21" i="22"/>
  <c r="G21" i="22"/>
  <c r="D22" i="22"/>
  <c r="E22" i="22"/>
  <c r="G22" i="34" s="1"/>
  <c r="F22" i="22"/>
  <c r="G22" i="22"/>
  <c r="D23" i="22"/>
  <c r="E23" i="22"/>
  <c r="F23" i="22"/>
  <c r="G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T82" i="22" s="1"/>
  <c r="R642" i="44" s="1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J82" i="22" s="1"/>
  <c r="AK24" i="22"/>
  <c r="AL24" i="22"/>
  <c r="AM24" i="22"/>
  <c r="AN24" i="22"/>
  <c r="AO24" i="22"/>
  <c r="F27" i="22"/>
  <c r="D27" i="22" s="1"/>
  <c r="G27" i="22"/>
  <c r="E27" i="22" s="1"/>
  <c r="F28" i="22"/>
  <c r="D28" i="22" s="1"/>
  <c r="G28" i="22"/>
  <c r="E28" i="22" s="1"/>
  <c r="G28" i="34" s="1"/>
  <c r="H29" i="22"/>
  <c r="I29" i="22"/>
  <c r="J29" i="22"/>
  <c r="J82" i="22" s="1"/>
  <c r="H642" i="44" s="1"/>
  <c r="K29" i="22"/>
  <c r="L29" i="22"/>
  <c r="M29" i="22"/>
  <c r="N29" i="22"/>
  <c r="N82" i="22" s="1"/>
  <c r="L642" i="44" s="1"/>
  <c r="O29" i="22"/>
  <c r="P29" i="22"/>
  <c r="Q29" i="22"/>
  <c r="R29" i="22"/>
  <c r="R82" i="22" s="1"/>
  <c r="P642" i="44" s="1"/>
  <c r="S29" i="22"/>
  <c r="T29" i="22"/>
  <c r="U29" i="22"/>
  <c r="V29" i="22"/>
  <c r="V82" i="22" s="1"/>
  <c r="T642" i="44" s="1"/>
  <c r="W29" i="22"/>
  <c r="X29" i="22"/>
  <c r="Y29" i="22"/>
  <c r="Z29" i="22"/>
  <c r="Z82" i="22" s="1"/>
  <c r="X642" i="44" s="1"/>
  <c r="AA29" i="22"/>
  <c r="AB29" i="22"/>
  <c r="AC29" i="22"/>
  <c r="AD29" i="22"/>
  <c r="AD82" i="22" s="1"/>
  <c r="AB642" i="44" s="1"/>
  <c r="AE29" i="22"/>
  <c r="AF29" i="22"/>
  <c r="AG29" i="22"/>
  <c r="AH29" i="22"/>
  <c r="AH82" i="22" s="1"/>
  <c r="AI29" i="22"/>
  <c r="AJ29" i="22"/>
  <c r="AK29" i="22"/>
  <c r="AL29" i="22"/>
  <c r="AL82" i="22" s="1"/>
  <c r="AM29" i="22"/>
  <c r="AN29" i="22"/>
  <c r="AO29" i="22"/>
  <c r="D32" i="22"/>
  <c r="F32" i="34" s="1"/>
  <c r="E32" i="22"/>
  <c r="G32" i="34" s="1"/>
  <c r="F32" i="22"/>
  <c r="G32" i="22"/>
  <c r="D33" i="22"/>
  <c r="E33" i="22"/>
  <c r="G33" i="34" s="1"/>
  <c r="F33" i="22"/>
  <c r="F36" i="22" s="1"/>
  <c r="G33" i="22"/>
  <c r="G36" i="22" s="1"/>
  <c r="D34" i="22"/>
  <c r="F34" i="34" s="1"/>
  <c r="E34" i="22"/>
  <c r="G34" i="34" s="1"/>
  <c r="F34" i="22"/>
  <c r="G34" i="22"/>
  <c r="D35" i="22"/>
  <c r="F35" i="34" s="1"/>
  <c r="E35" i="22"/>
  <c r="G35" i="34" s="1"/>
  <c r="F35" i="22"/>
  <c r="G35" i="22"/>
  <c r="E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F39" i="22"/>
  <c r="D39" i="22" s="1"/>
  <c r="F39" i="34" s="1"/>
  <c r="G39" i="22"/>
  <c r="E39" i="22" s="1"/>
  <c r="G39" i="34" s="1"/>
  <c r="I39" i="34" s="1"/>
  <c r="F40" i="22"/>
  <c r="D40" i="22" s="1"/>
  <c r="G40" i="22"/>
  <c r="E40" i="22" s="1"/>
  <c r="F41" i="22"/>
  <c r="G41" i="22"/>
  <c r="H42" i="22"/>
  <c r="I42" i="22"/>
  <c r="J42" i="22"/>
  <c r="J43" i="22" s="1"/>
  <c r="K42" i="22"/>
  <c r="K43" i="22" s="1"/>
  <c r="L42" i="22"/>
  <c r="M42" i="22"/>
  <c r="N42" i="22"/>
  <c r="N43" i="22" s="1"/>
  <c r="O42" i="22"/>
  <c r="O43" i="22" s="1"/>
  <c r="P42" i="22"/>
  <c r="Q42" i="22"/>
  <c r="R42" i="22"/>
  <c r="R43" i="22" s="1"/>
  <c r="S42" i="22"/>
  <c r="S43" i="22" s="1"/>
  <c r="T42" i="22"/>
  <c r="U42" i="22"/>
  <c r="V42" i="22"/>
  <c r="V43" i="22" s="1"/>
  <c r="W42" i="22"/>
  <c r="W43" i="22" s="1"/>
  <c r="X42" i="22"/>
  <c r="Y42" i="22"/>
  <c r="Z42" i="22"/>
  <c r="Z43" i="22" s="1"/>
  <c r="AA42" i="22"/>
  <c r="AA43" i="22" s="1"/>
  <c r="AB42" i="22"/>
  <c r="AC42" i="22"/>
  <c r="AD42" i="22"/>
  <c r="AD43" i="22" s="1"/>
  <c r="AE42" i="22"/>
  <c r="AE43" i="22" s="1"/>
  <c r="AF42" i="22"/>
  <c r="AG42" i="22"/>
  <c r="AH42" i="22"/>
  <c r="AH43" i="22" s="1"/>
  <c r="AI42" i="22"/>
  <c r="AI43" i="22" s="1"/>
  <c r="AJ42" i="22"/>
  <c r="AK42" i="22"/>
  <c r="AL42" i="22"/>
  <c r="AL43" i="22" s="1"/>
  <c r="AM42" i="22"/>
  <c r="AM43" i="22" s="1"/>
  <c r="AN42" i="22"/>
  <c r="AO42" i="22"/>
  <c r="H43" i="22"/>
  <c r="I43" i="22"/>
  <c r="L43" i="22"/>
  <c r="M43" i="22"/>
  <c r="P43" i="22"/>
  <c r="Q43" i="22"/>
  <c r="T43" i="22"/>
  <c r="U43" i="22"/>
  <c r="X43" i="22"/>
  <c r="Y43" i="22"/>
  <c r="AB43" i="22"/>
  <c r="AC43" i="22"/>
  <c r="AF43" i="22"/>
  <c r="AG43" i="22"/>
  <c r="AG82" i="22" s="1"/>
  <c r="AJ43" i="22"/>
  <c r="AK43" i="22"/>
  <c r="AN43" i="22"/>
  <c r="AO43" i="22"/>
  <c r="AO82" i="22" s="1"/>
  <c r="F45" i="22"/>
  <c r="D45" i="22" s="1"/>
  <c r="G45" i="22"/>
  <c r="E45" i="22" s="1"/>
  <c r="G45" i="34" s="1"/>
  <c r="F47" i="22"/>
  <c r="D47" i="22" s="1"/>
  <c r="G47" i="22"/>
  <c r="E47" i="22" s="1"/>
  <c r="G47" i="34" s="1"/>
  <c r="I47" i="34" s="1"/>
  <c r="F49" i="22"/>
  <c r="D49" i="22" s="1"/>
  <c r="G49" i="22"/>
  <c r="E49" i="22" s="1"/>
  <c r="G49" i="34" s="1"/>
  <c r="F51" i="22"/>
  <c r="D51" i="22" s="1"/>
  <c r="F51" i="34" s="1"/>
  <c r="H51" i="34" s="1"/>
  <c r="G51" i="22"/>
  <c r="E51" i="22" s="1"/>
  <c r="F54" i="22"/>
  <c r="D54" i="22" s="1"/>
  <c r="G54" i="22"/>
  <c r="E54" i="22" s="1"/>
  <c r="F55" i="22"/>
  <c r="D55" i="22" s="1"/>
  <c r="G55" i="22"/>
  <c r="E55" i="22" s="1"/>
  <c r="G55" i="34" s="1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F59" i="34" s="1"/>
  <c r="E59" i="22"/>
  <c r="F59" i="22"/>
  <c r="G59" i="22"/>
  <c r="D60" i="22"/>
  <c r="E60" i="22"/>
  <c r="G60" i="34" s="1"/>
  <c r="F60" i="22"/>
  <c r="G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F64" i="22"/>
  <c r="D64" i="22" s="1"/>
  <c r="G64" i="22"/>
  <c r="F65" i="22"/>
  <c r="D65" i="22" s="1"/>
  <c r="F65" i="34" s="1"/>
  <c r="G65" i="22"/>
  <c r="E65" i="22" s="1"/>
  <c r="F66" i="22"/>
  <c r="H66" i="22"/>
  <c r="I66" i="22"/>
  <c r="J66" i="22"/>
  <c r="K66" i="22"/>
  <c r="K82" i="22" s="1"/>
  <c r="I642" i="44" s="1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F70" i="34" s="1"/>
  <c r="E70" i="22"/>
  <c r="G70" i="34" s="1"/>
  <c r="F70" i="22"/>
  <c r="G70" i="22"/>
  <c r="D71" i="22"/>
  <c r="F71" i="34" s="1"/>
  <c r="E71" i="22"/>
  <c r="G71" i="34" s="1"/>
  <c r="F71" i="22"/>
  <c r="F72" i="22" s="1"/>
  <c r="G71" i="22"/>
  <c r="G72" i="22" s="1"/>
  <c r="E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F73" i="22"/>
  <c r="D73" i="22" s="1"/>
  <c r="F73" i="34" s="1"/>
  <c r="G73" i="22"/>
  <c r="E73" i="22" s="1"/>
  <c r="G73" i="34" s="1"/>
  <c r="F74" i="22"/>
  <c r="D74" i="22" s="1"/>
  <c r="G74" i="22"/>
  <c r="E74" i="22" s="1"/>
  <c r="F75" i="22"/>
  <c r="D75" i="22" s="1"/>
  <c r="F75" i="34" s="1"/>
  <c r="G75" i="22"/>
  <c r="E75" i="22" s="1"/>
  <c r="G75" i="34" s="1"/>
  <c r="I75" i="34" s="1"/>
  <c r="F76" i="22"/>
  <c r="D76" i="22" s="1"/>
  <c r="F76" i="34" s="1"/>
  <c r="G76" i="22"/>
  <c r="E76" i="22" s="1"/>
  <c r="F77" i="22"/>
  <c r="D77" i="22" s="1"/>
  <c r="F77" i="34" s="1"/>
  <c r="G77" i="22"/>
  <c r="E77" i="22" s="1"/>
  <c r="G77" i="34" s="1"/>
  <c r="F78" i="22"/>
  <c r="D78" i="22" s="1"/>
  <c r="G78" i="22"/>
  <c r="E78" i="22" s="1"/>
  <c r="F79" i="22"/>
  <c r="D79" i="22" s="1"/>
  <c r="F79" i="34" s="1"/>
  <c r="G79" i="22"/>
  <c r="E79" i="22" s="1"/>
  <c r="G79" i="34" s="1"/>
  <c r="F80" i="22"/>
  <c r="D80" i="22" s="1"/>
  <c r="F80" i="34" s="1"/>
  <c r="G80" i="22"/>
  <c r="E80" i="22" s="1"/>
  <c r="G80" i="34" s="1"/>
  <c r="I80" i="34" s="1"/>
  <c r="F81" i="22"/>
  <c r="D81" i="22" s="1"/>
  <c r="F81" i="34" s="1"/>
  <c r="G81" i="22"/>
  <c r="E81" i="22" s="1"/>
  <c r="G81" i="34" s="1"/>
  <c r="S82" i="22"/>
  <c r="Q642" i="44" s="1"/>
  <c r="Y82" i="22"/>
  <c r="W642" i="44" s="1"/>
  <c r="AE82" i="22"/>
  <c r="AC642" i="44" s="1"/>
  <c r="AM82" i="22"/>
  <c r="A5" i="34"/>
  <c r="E11" i="34"/>
  <c r="D12" i="34"/>
  <c r="E12" i="34"/>
  <c r="I12" i="34" s="1"/>
  <c r="F12" i="34"/>
  <c r="D13" i="34"/>
  <c r="F13" i="34"/>
  <c r="E14" i="34"/>
  <c r="I14" i="34" s="1"/>
  <c r="F14" i="34"/>
  <c r="H14" i="34" s="1"/>
  <c r="E15" i="34"/>
  <c r="E19" i="34"/>
  <c r="F19" i="34"/>
  <c r="G19" i="34"/>
  <c r="E20" i="34"/>
  <c r="I20" i="34" s="1"/>
  <c r="F20" i="34"/>
  <c r="D21" i="34"/>
  <c r="H21" i="34" s="1"/>
  <c r="G21" i="34"/>
  <c r="I21" i="34" s="1"/>
  <c r="D22" i="34"/>
  <c r="E22" i="34"/>
  <c r="I22" i="34" s="1"/>
  <c r="F22" i="34"/>
  <c r="E23" i="34"/>
  <c r="F23" i="34"/>
  <c r="G23" i="34"/>
  <c r="I23" i="34" s="1"/>
  <c r="F24" i="34"/>
  <c r="D27" i="34"/>
  <c r="E27" i="34"/>
  <c r="D28" i="34"/>
  <c r="D29" i="34" s="1"/>
  <c r="F28" i="34"/>
  <c r="D34" i="34"/>
  <c r="E39" i="34"/>
  <c r="D40" i="34"/>
  <c r="D42" i="34" s="1"/>
  <c r="E40" i="34"/>
  <c r="F40" i="34"/>
  <c r="D41" i="34"/>
  <c r="E45" i="34"/>
  <c r="I45" i="34" s="1"/>
  <c r="F45" i="34"/>
  <c r="E47" i="34"/>
  <c r="F47" i="34"/>
  <c r="E49" i="34"/>
  <c r="I49" i="34" s="1"/>
  <c r="F49" i="34"/>
  <c r="H49" i="34" s="1"/>
  <c r="D51" i="34"/>
  <c r="G51" i="34"/>
  <c r="E54" i="34"/>
  <c r="F54" i="34"/>
  <c r="D55" i="34"/>
  <c r="F55" i="34"/>
  <c r="D59" i="34"/>
  <c r="G59" i="34"/>
  <c r="H59" i="34"/>
  <c r="F60" i="34"/>
  <c r="E64" i="34"/>
  <c r="D65" i="34"/>
  <c r="G65" i="34"/>
  <c r="H65" i="34"/>
  <c r="E70" i="34"/>
  <c r="E72" i="34" s="1"/>
  <c r="E71" i="34"/>
  <c r="H71" i="34"/>
  <c r="I71" i="34"/>
  <c r="D73" i="34"/>
  <c r="E73" i="34"/>
  <c r="I73" i="34"/>
  <c r="E74" i="34"/>
  <c r="F74" i="34"/>
  <c r="G74" i="34"/>
  <c r="I74" i="34" s="1"/>
  <c r="E75" i="34"/>
  <c r="H75" i="34"/>
  <c r="G76" i="34"/>
  <c r="H76" i="34"/>
  <c r="D78" i="34"/>
  <c r="F78" i="34"/>
  <c r="G78" i="34"/>
  <c r="H78" i="34"/>
  <c r="D81" i="34"/>
  <c r="E81" i="34"/>
  <c r="A5" i="17"/>
  <c r="F11" i="17"/>
  <c r="H11" i="17"/>
  <c r="I11" i="17"/>
  <c r="L11" i="17"/>
  <c r="H12" i="17"/>
  <c r="I12" i="17"/>
  <c r="G12" i="17" s="1"/>
  <c r="M12" i="17"/>
  <c r="F13" i="17"/>
  <c r="G13" i="17"/>
  <c r="H13" i="17"/>
  <c r="I13" i="17"/>
  <c r="L13" i="17"/>
  <c r="M13" i="17"/>
  <c r="G14" i="17"/>
  <c r="H14" i="17"/>
  <c r="I14" i="17"/>
  <c r="M14" i="17" s="1"/>
  <c r="F15" i="17"/>
  <c r="G15" i="17"/>
  <c r="H15" i="17"/>
  <c r="I15" i="17"/>
  <c r="L15" i="17"/>
  <c r="M15" i="17"/>
  <c r="H16" i="17"/>
  <c r="J16" i="17"/>
  <c r="K16" i="17"/>
  <c r="H18" i="17"/>
  <c r="I18" i="17"/>
  <c r="F19" i="17"/>
  <c r="H19" i="17"/>
  <c r="I19" i="17"/>
  <c r="L19" i="17"/>
  <c r="H20" i="17"/>
  <c r="I20" i="17"/>
  <c r="G20" i="17" s="1"/>
  <c r="F21" i="17"/>
  <c r="G21" i="17"/>
  <c r="H21" i="17"/>
  <c r="I21" i="17"/>
  <c r="L21" i="17"/>
  <c r="M21" i="17"/>
  <c r="G22" i="17"/>
  <c r="H22" i="17"/>
  <c r="I22" i="17"/>
  <c r="M22" i="17" s="1"/>
  <c r="F23" i="17"/>
  <c r="G23" i="17"/>
  <c r="H23" i="17"/>
  <c r="I23" i="17"/>
  <c r="L23" i="17"/>
  <c r="M23" i="17"/>
  <c r="H24" i="17"/>
  <c r="J24" i="17"/>
  <c r="K24" i="17"/>
  <c r="H27" i="17"/>
  <c r="I27" i="17"/>
  <c r="M27" i="17" s="1"/>
  <c r="M29" i="17" s="1"/>
  <c r="F28" i="17"/>
  <c r="G28" i="17"/>
  <c r="H28" i="17"/>
  <c r="I28" i="17"/>
  <c r="L28" i="17"/>
  <c r="M28" i="17"/>
  <c r="H29" i="17"/>
  <c r="J29" i="17"/>
  <c r="K29" i="17"/>
  <c r="H32" i="17"/>
  <c r="I32" i="17"/>
  <c r="F33" i="17"/>
  <c r="H33" i="17"/>
  <c r="I33" i="17"/>
  <c r="L33" i="17"/>
  <c r="H34" i="17"/>
  <c r="I34" i="17"/>
  <c r="F35" i="17"/>
  <c r="G35" i="17"/>
  <c r="H35" i="17"/>
  <c r="I35" i="17"/>
  <c r="L35" i="17"/>
  <c r="M35" i="17"/>
  <c r="J36" i="17"/>
  <c r="K36" i="17"/>
  <c r="L37" i="17"/>
  <c r="M37" i="17"/>
  <c r="H38" i="17"/>
  <c r="I38" i="17"/>
  <c r="H39" i="17"/>
  <c r="I39" i="17"/>
  <c r="F40" i="17"/>
  <c r="G40" i="17"/>
  <c r="G42" i="17" s="1"/>
  <c r="H40" i="17"/>
  <c r="I40" i="17"/>
  <c r="L40" i="17"/>
  <c r="M40" i="17"/>
  <c r="M42" i="17" s="1"/>
  <c r="G41" i="17"/>
  <c r="H41" i="17"/>
  <c r="I41" i="17"/>
  <c r="M41" i="17" s="1"/>
  <c r="J42" i="17"/>
  <c r="K42" i="17"/>
  <c r="J43" i="17"/>
  <c r="K43" i="17"/>
  <c r="F45" i="17"/>
  <c r="H45" i="17"/>
  <c r="I45" i="17"/>
  <c r="L45" i="17"/>
  <c r="H47" i="17"/>
  <c r="I47" i="17"/>
  <c r="F49" i="17"/>
  <c r="G49" i="17"/>
  <c r="H49" i="17"/>
  <c r="I49" i="17"/>
  <c r="L49" i="17"/>
  <c r="M49" i="17"/>
  <c r="G51" i="17"/>
  <c r="H51" i="17"/>
  <c r="I51" i="17"/>
  <c r="M51" i="17" s="1"/>
  <c r="F54" i="17"/>
  <c r="G54" i="17"/>
  <c r="G56" i="17" s="1"/>
  <c r="H54" i="17"/>
  <c r="H56" i="17" s="1"/>
  <c r="I54" i="17"/>
  <c r="I56" i="17" s="1"/>
  <c r="L54" i="17"/>
  <c r="M54" i="17"/>
  <c r="H55" i="17"/>
  <c r="I55" i="17"/>
  <c r="G55" i="17" s="1"/>
  <c r="M55" i="17"/>
  <c r="M56" i="17" s="1"/>
  <c r="J56" i="17"/>
  <c r="K56" i="17"/>
  <c r="F59" i="17"/>
  <c r="G59" i="17"/>
  <c r="H59" i="17"/>
  <c r="I59" i="17"/>
  <c r="L59" i="17"/>
  <c r="M59" i="17"/>
  <c r="M61" i="17" s="1"/>
  <c r="G60" i="17"/>
  <c r="G61" i="17" s="1"/>
  <c r="H60" i="17"/>
  <c r="I60" i="17"/>
  <c r="M60" i="17" s="1"/>
  <c r="I61" i="17"/>
  <c r="J61" i="17"/>
  <c r="K61" i="17"/>
  <c r="F64" i="17"/>
  <c r="G64" i="17"/>
  <c r="G66" i="17" s="1"/>
  <c r="H64" i="17"/>
  <c r="I64" i="17"/>
  <c r="L64" i="17"/>
  <c r="M64" i="17"/>
  <c r="M66" i="17" s="1"/>
  <c r="H65" i="17"/>
  <c r="I65" i="17"/>
  <c r="G65" i="17" s="1"/>
  <c r="M65" i="17"/>
  <c r="J66" i="17"/>
  <c r="K66" i="17"/>
  <c r="L69" i="17"/>
  <c r="M69" i="17"/>
  <c r="H70" i="17"/>
  <c r="I70" i="17"/>
  <c r="F71" i="17"/>
  <c r="G71" i="17"/>
  <c r="H71" i="17"/>
  <c r="I71" i="17"/>
  <c r="L71" i="17"/>
  <c r="M71" i="17"/>
  <c r="J72" i="17"/>
  <c r="K72" i="17"/>
  <c r="G73" i="17"/>
  <c r="H73" i="17"/>
  <c r="I73" i="17"/>
  <c r="M73" i="17" s="1"/>
  <c r="F74" i="17"/>
  <c r="G74" i="17"/>
  <c r="H74" i="17"/>
  <c r="I74" i="17"/>
  <c r="L74" i="17"/>
  <c r="M74" i="17"/>
  <c r="H75" i="17"/>
  <c r="I75" i="17"/>
  <c r="G75" i="17" s="1"/>
  <c r="F76" i="17"/>
  <c r="G76" i="17"/>
  <c r="H76" i="17"/>
  <c r="I76" i="17"/>
  <c r="L76" i="17"/>
  <c r="M76" i="17"/>
  <c r="H77" i="17"/>
  <c r="I77" i="17"/>
  <c r="F78" i="17"/>
  <c r="H78" i="17"/>
  <c r="I78" i="17"/>
  <c r="L78" i="17"/>
  <c r="H79" i="17"/>
  <c r="I79" i="17"/>
  <c r="F80" i="17"/>
  <c r="G80" i="17"/>
  <c r="H80" i="17"/>
  <c r="I80" i="17"/>
  <c r="L80" i="17"/>
  <c r="M80" i="17"/>
  <c r="G81" i="17"/>
  <c r="H81" i="17"/>
  <c r="I81" i="17"/>
  <c r="M81" i="17" s="1"/>
  <c r="D82" i="17"/>
  <c r="E82" i="17"/>
  <c r="A5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F11" i="29"/>
  <c r="H11" i="29"/>
  <c r="I11" i="29"/>
  <c r="J11" i="29"/>
  <c r="K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W16" i="29" s="1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G16" i="29" s="1"/>
  <c r="AH12" i="29"/>
  <c r="AI12" i="29"/>
  <c r="AJ12" i="29"/>
  <c r="AK12" i="29"/>
  <c r="AL12" i="29"/>
  <c r="AM12" i="29"/>
  <c r="AN12" i="29"/>
  <c r="AO12" i="29"/>
  <c r="F13" i="29"/>
  <c r="G13" i="29"/>
  <c r="H13" i="29"/>
  <c r="I13" i="29"/>
  <c r="J13" i="29"/>
  <c r="K13" i="29"/>
  <c r="L13" i="29"/>
  <c r="D13" i="29" s="1"/>
  <c r="M13" i="29"/>
  <c r="N13" i="29"/>
  <c r="O13" i="29"/>
  <c r="P13" i="29"/>
  <c r="Q13" i="29"/>
  <c r="R13" i="29"/>
  <c r="S13" i="29"/>
  <c r="S16" i="29" s="1"/>
  <c r="T13" i="29"/>
  <c r="U13" i="29"/>
  <c r="V13" i="29"/>
  <c r="W13" i="29"/>
  <c r="X13" i="29"/>
  <c r="Y13" i="29"/>
  <c r="Z13" i="29"/>
  <c r="AA13" i="29"/>
  <c r="AA16" i="29" s="1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F14" i="29"/>
  <c r="G14" i="29"/>
  <c r="H14" i="29"/>
  <c r="I14" i="29"/>
  <c r="J14" i="29"/>
  <c r="K14" i="29"/>
  <c r="L14" i="29"/>
  <c r="M14" i="29"/>
  <c r="E14" i="29" s="1"/>
  <c r="G14" i="41" s="1"/>
  <c r="I14" i="41" s="1"/>
  <c r="N14" i="29"/>
  <c r="N16" i="29" s="1"/>
  <c r="O14" i="29"/>
  <c r="P14" i="29"/>
  <c r="Q14" i="29"/>
  <c r="R14" i="29"/>
  <c r="R16" i="29" s="1"/>
  <c r="S14" i="29"/>
  <c r="T14" i="29"/>
  <c r="U14" i="29"/>
  <c r="V14" i="29"/>
  <c r="V16" i="29" s="1"/>
  <c r="W14" i="29"/>
  <c r="X14" i="29"/>
  <c r="Y14" i="29"/>
  <c r="Z14" i="29"/>
  <c r="Z16" i="29" s="1"/>
  <c r="AA14" i="29"/>
  <c r="AB14" i="29"/>
  <c r="AC14" i="29"/>
  <c r="AD14" i="29"/>
  <c r="AD16" i="29" s="1"/>
  <c r="AE14" i="29"/>
  <c r="AF14" i="29"/>
  <c r="AG14" i="29"/>
  <c r="AH14" i="29"/>
  <c r="AH16" i="29" s="1"/>
  <c r="AI14" i="29"/>
  <c r="AJ14" i="29"/>
  <c r="AK14" i="29"/>
  <c r="AL14" i="29"/>
  <c r="AM14" i="29"/>
  <c r="AN14" i="29"/>
  <c r="AO14" i="29"/>
  <c r="D15" i="29"/>
  <c r="F15" i="41" s="1"/>
  <c r="H15" i="41" s="1"/>
  <c r="F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E16" i="29" s="1"/>
  <c r="AF15" i="29"/>
  <c r="AG15" i="29"/>
  <c r="AH15" i="29"/>
  <c r="AI15" i="29"/>
  <c r="AJ15" i="29"/>
  <c r="AK15" i="29"/>
  <c r="AL15" i="29"/>
  <c r="AM15" i="29"/>
  <c r="AN15" i="29"/>
  <c r="AO15" i="29"/>
  <c r="I16" i="29"/>
  <c r="O16" i="29"/>
  <c r="AM16" i="29"/>
  <c r="AO16" i="29"/>
  <c r="F19" i="29"/>
  <c r="G19" i="29"/>
  <c r="H19" i="29"/>
  <c r="I19" i="29"/>
  <c r="J19" i="29"/>
  <c r="K19" i="29"/>
  <c r="L19" i="29"/>
  <c r="D19" i="29" s="1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Z24" i="29" s="1"/>
  <c r="AA19" i="29"/>
  <c r="AB19" i="29"/>
  <c r="AC19" i="29"/>
  <c r="AD19" i="29"/>
  <c r="AE19" i="29"/>
  <c r="AF19" i="29"/>
  <c r="AF24" i="29" s="1"/>
  <c r="AG19" i="29"/>
  <c r="AH19" i="29"/>
  <c r="AI19" i="29"/>
  <c r="AJ19" i="29"/>
  <c r="AK19" i="29"/>
  <c r="AL19" i="29"/>
  <c r="AM19" i="29"/>
  <c r="AN19" i="29"/>
  <c r="AO19" i="29"/>
  <c r="E20" i="29"/>
  <c r="F20" i="29"/>
  <c r="G20" i="29"/>
  <c r="H20" i="29"/>
  <c r="I20" i="29"/>
  <c r="J20" i="29"/>
  <c r="L20" i="29"/>
  <c r="M20" i="29"/>
  <c r="N20" i="29"/>
  <c r="N24" i="29" s="1"/>
  <c r="O20" i="29"/>
  <c r="P20" i="29"/>
  <c r="Q20" i="29"/>
  <c r="R20" i="29"/>
  <c r="S20" i="29"/>
  <c r="T20" i="29"/>
  <c r="U20" i="29"/>
  <c r="V20" i="29"/>
  <c r="V24" i="29" s="1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L24" i="29" s="1"/>
  <c r="AM20" i="29"/>
  <c r="AN20" i="29"/>
  <c r="AN24" i="29" s="1"/>
  <c r="AO20" i="29"/>
  <c r="F21" i="29"/>
  <c r="G21" i="29"/>
  <c r="H21" i="29"/>
  <c r="D21" i="29" s="1"/>
  <c r="F21" i="41" s="1"/>
  <c r="H21" i="41" s="1"/>
  <c r="I21" i="29"/>
  <c r="J21" i="29"/>
  <c r="K21" i="29"/>
  <c r="L21" i="29"/>
  <c r="M21" i="29"/>
  <c r="N21" i="29"/>
  <c r="O21" i="29"/>
  <c r="O24" i="29" s="1"/>
  <c r="O82" i="29" s="1"/>
  <c r="M638" i="44" s="1"/>
  <c r="P21" i="29"/>
  <c r="Q21" i="29"/>
  <c r="R21" i="29"/>
  <c r="S21" i="29"/>
  <c r="T21" i="29"/>
  <c r="T24" i="29" s="1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M24" i="29" s="1"/>
  <c r="AM82" i="29" s="1"/>
  <c r="AN21" i="29"/>
  <c r="AO21" i="29"/>
  <c r="F22" i="29"/>
  <c r="G22" i="29"/>
  <c r="H22" i="29"/>
  <c r="I22" i="29"/>
  <c r="J22" i="29"/>
  <c r="J24" i="29" s="1"/>
  <c r="K22" i="29"/>
  <c r="K24" i="29" s="1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H24" i="29" s="1"/>
  <c r="AI22" i="29"/>
  <c r="AI24" i="29" s="1"/>
  <c r="AJ22" i="29"/>
  <c r="AK22" i="29"/>
  <c r="AL22" i="29"/>
  <c r="AM22" i="29"/>
  <c r="AN22" i="29"/>
  <c r="AO22" i="29"/>
  <c r="F23" i="29"/>
  <c r="G23" i="29"/>
  <c r="H23" i="29"/>
  <c r="I23" i="29"/>
  <c r="J23" i="29"/>
  <c r="K23" i="29"/>
  <c r="L23" i="29"/>
  <c r="D23" i="29" s="1"/>
  <c r="F23" i="41" s="1"/>
  <c r="H23" i="41" s="1"/>
  <c r="M23" i="29"/>
  <c r="E23" i="29" s="1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C24" i="29" s="1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F24" i="29"/>
  <c r="L24" i="29"/>
  <c r="P24" i="29"/>
  <c r="U24" i="29"/>
  <c r="X24" i="29"/>
  <c r="AD24" i="29"/>
  <c r="F27" i="29"/>
  <c r="G27" i="29"/>
  <c r="G29" i="29" s="1"/>
  <c r="H27" i="29"/>
  <c r="I27" i="29"/>
  <c r="I29" i="29" s="1"/>
  <c r="J27" i="29"/>
  <c r="J29" i="29" s="1"/>
  <c r="K27" i="29"/>
  <c r="L27" i="29"/>
  <c r="M27" i="29"/>
  <c r="M29" i="29" s="1"/>
  <c r="N27" i="29"/>
  <c r="N29" i="29" s="1"/>
  <c r="O27" i="29"/>
  <c r="O29" i="29" s="1"/>
  <c r="P27" i="29"/>
  <c r="Q27" i="29"/>
  <c r="R27" i="29"/>
  <c r="R29" i="29" s="1"/>
  <c r="S27" i="29"/>
  <c r="T27" i="29"/>
  <c r="U27" i="29"/>
  <c r="U29" i="29" s="1"/>
  <c r="V27" i="29"/>
  <c r="V29" i="29" s="1"/>
  <c r="W27" i="29"/>
  <c r="W29" i="29" s="1"/>
  <c r="X27" i="29"/>
  <c r="Y27" i="29"/>
  <c r="Z27" i="29"/>
  <c r="AA27" i="29"/>
  <c r="AB27" i="29"/>
  <c r="AC27" i="29"/>
  <c r="AC29" i="29" s="1"/>
  <c r="AD27" i="29"/>
  <c r="AE27" i="29"/>
  <c r="AF27" i="29"/>
  <c r="AG27" i="29"/>
  <c r="AH27" i="29"/>
  <c r="AI27" i="29"/>
  <c r="AJ27" i="29"/>
  <c r="AK27" i="29"/>
  <c r="AK29" i="29" s="1"/>
  <c r="AL27" i="29"/>
  <c r="AM27" i="29"/>
  <c r="AN27" i="29"/>
  <c r="AO27" i="29"/>
  <c r="F28" i="29"/>
  <c r="G28" i="29"/>
  <c r="H28" i="29"/>
  <c r="D28" i="29" s="1"/>
  <c r="F28" i="41" s="1"/>
  <c r="I28" i="29"/>
  <c r="J28" i="29"/>
  <c r="K28" i="29"/>
  <c r="L28" i="29"/>
  <c r="M28" i="29"/>
  <c r="N28" i="29"/>
  <c r="O28" i="29"/>
  <c r="P28" i="29"/>
  <c r="P29" i="29" s="1"/>
  <c r="Q28" i="29"/>
  <c r="R28" i="29"/>
  <c r="S28" i="29"/>
  <c r="S29" i="29" s="1"/>
  <c r="T28" i="29"/>
  <c r="U28" i="29"/>
  <c r="V28" i="29"/>
  <c r="W28" i="29"/>
  <c r="X28" i="29"/>
  <c r="X29" i="29" s="1"/>
  <c r="Y28" i="29"/>
  <c r="Z28" i="29"/>
  <c r="AA28" i="29"/>
  <c r="AA29" i="29" s="1"/>
  <c r="AB28" i="29"/>
  <c r="AB29" i="29" s="1"/>
  <c r="AC28" i="29"/>
  <c r="AD28" i="29"/>
  <c r="AE28" i="29"/>
  <c r="AF28" i="29"/>
  <c r="AF29" i="29" s="1"/>
  <c r="AG28" i="29"/>
  <c r="AH28" i="29"/>
  <c r="AI28" i="29"/>
  <c r="AI29" i="29" s="1"/>
  <c r="AJ28" i="29"/>
  <c r="AJ29" i="29" s="1"/>
  <c r="AK28" i="29"/>
  <c r="AL28" i="29"/>
  <c r="AM28" i="29"/>
  <c r="AN28" i="29"/>
  <c r="AN29" i="29" s="1"/>
  <c r="AO28" i="29"/>
  <c r="F29" i="29"/>
  <c r="H29" i="29"/>
  <c r="K29" i="29"/>
  <c r="L29" i="29"/>
  <c r="Q29" i="29"/>
  <c r="T29" i="29"/>
  <c r="Y29" i="29"/>
  <c r="Z29" i="29"/>
  <c r="AD29" i="29"/>
  <c r="AE29" i="29"/>
  <c r="AG29" i="29"/>
  <c r="AH29" i="29"/>
  <c r="AL29" i="29"/>
  <c r="AM29" i="29"/>
  <c r="AO29" i="29"/>
  <c r="F32" i="29"/>
  <c r="G32" i="29"/>
  <c r="H32" i="29"/>
  <c r="I32" i="29"/>
  <c r="J32" i="29"/>
  <c r="K32" i="29"/>
  <c r="K36" i="29" s="1"/>
  <c r="L32" i="29"/>
  <c r="M32" i="29"/>
  <c r="N32" i="29"/>
  <c r="O32" i="29"/>
  <c r="O36" i="29" s="1"/>
  <c r="P32" i="29"/>
  <c r="Q32" i="29"/>
  <c r="R32" i="29"/>
  <c r="S32" i="29"/>
  <c r="S36" i="29" s="1"/>
  <c r="T32" i="29"/>
  <c r="T36" i="29" s="1"/>
  <c r="U32" i="29"/>
  <c r="V32" i="29"/>
  <c r="W32" i="29"/>
  <c r="X32" i="29"/>
  <c r="D32" i="29" s="1"/>
  <c r="Y32" i="29"/>
  <c r="Z32" i="29"/>
  <c r="AA32" i="29"/>
  <c r="AA36" i="29" s="1"/>
  <c r="AB32" i="29"/>
  <c r="AC32" i="29"/>
  <c r="AD32" i="29"/>
  <c r="AE32" i="29"/>
  <c r="AE36" i="29" s="1"/>
  <c r="AF32" i="29"/>
  <c r="AG32" i="29"/>
  <c r="AH32" i="29"/>
  <c r="AI32" i="29"/>
  <c r="AI36" i="29" s="1"/>
  <c r="AJ32" i="29"/>
  <c r="AJ36" i="29" s="1"/>
  <c r="AK32" i="29"/>
  <c r="AL32" i="29"/>
  <c r="AM32" i="29"/>
  <c r="AN32" i="29"/>
  <c r="AO32" i="29"/>
  <c r="F33" i="29"/>
  <c r="G33" i="29"/>
  <c r="H33" i="29"/>
  <c r="I33" i="29"/>
  <c r="J33" i="29"/>
  <c r="J36" i="29" s="1"/>
  <c r="K33" i="29"/>
  <c r="L33" i="29"/>
  <c r="M33" i="29"/>
  <c r="M36" i="29" s="1"/>
  <c r="N33" i="29"/>
  <c r="N36" i="29" s="1"/>
  <c r="O33" i="29"/>
  <c r="P33" i="29"/>
  <c r="Q33" i="29"/>
  <c r="R33" i="29"/>
  <c r="R36" i="29" s="1"/>
  <c r="S33" i="29"/>
  <c r="T33" i="29"/>
  <c r="U33" i="29"/>
  <c r="U36" i="29" s="1"/>
  <c r="V33" i="29"/>
  <c r="V36" i="29" s="1"/>
  <c r="W33" i="29"/>
  <c r="X33" i="29"/>
  <c r="Y33" i="29"/>
  <c r="Z33" i="29"/>
  <c r="Z36" i="29" s="1"/>
  <c r="AA33" i="29"/>
  <c r="AB33" i="29"/>
  <c r="AC33" i="29"/>
  <c r="AC36" i="29" s="1"/>
  <c r="AD33" i="29"/>
  <c r="AD36" i="29" s="1"/>
  <c r="AE33" i="29"/>
  <c r="AF33" i="29"/>
  <c r="AG33" i="29"/>
  <c r="AH33" i="29"/>
  <c r="AH36" i="29" s="1"/>
  <c r="AI33" i="29"/>
  <c r="AJ33" i="29"/>
  <c r="AK33" i="29"/>
  <c r="AK36" i="29" s="1"/>
  <c r="AL33" i="29"/>
  <c r="AL36" i="29" s="1"/>
  <c r="AM33" i="29"/>
  <c r="AN33" i="29"/>
  <c r="AO33" i="29"/>
  <c r="F34" i="29"/>
  <c r="G34" i="29"/>
  <c r="H34" i="29"/>
  <c r="I34" i="29"/>
  <c r="J34" i="29"/>
  <c r="K34" i="29"/>
  <c r="L34" i="29"/>
  <c r="M34" i="29"/>
  <c r="N34" i="29"/>
  <c r="O34" i="29"/>
  <c r="P34" i="29"/>
  <c r="P36" i="29" s="1"/>
  <c r="Q34" i="29"/>
  <c r="R34" i="29"/>
  <c r="S34" i="29"/>
  <c r="T34" i="29"/>
  <c r="U34" i="29"/>
  <c r="V34" i="29"/>
  <c r="W34" i="29"/>
  <c r="X34" i="29"/>
  <c r="X36" i="29" s="1"/>
  <c r="Y34" i="29"/>
  <c r="Z34" i="29"/>
  <c r="AA34" i="29"/>
  <c r="AB34" i="29"/>
  <c r="AC34" i="29"/>
  <c r="AD34" i="29"/>
  <c r="AE34" i="29"/>
  <c r="AF34" i="29"/>
  <c r="AF36" i="29" s="1"/>
  <c r="AG34" i="29"/>
  <c r="AH34" i="29"/>
  <c r="AI34" i="29"/>
  <c r="AJ34" i="29"/>
  <c r="AK34" i="29"/>
  <c r="AL34" i="29"/>
  <c r="AM34" i="29"/>
  <c r="AN34" i="29"/>
  <c r="AO34" i="29"/>
  <c r="F35" i="29"/>
  <c r="G35" i="29"/>
  <c r="H35" i="29"/>
  <c r="I35" i="29"/>
  <c r="E35" i="29" s="1"/>
  <c r="G35" i="41" s="1"/>
  <c r="I35" i="41" s="1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G36" i="29"/>
  <c r="L36" i="29"/>
  <c r="W36" i="29"/>
  <c r="AB36" i="29"/>
  <c r="AM36" i="29"/>
  <c r="AN36" i="29"/>
  <c r="F39" i="29"/>
  <c r="G39" i="29"/>
  <c r="H39" i="29"/>
  <c r="I39" i="29"/>
  <c r="E39" i="29" s="1"/>
  <c r="G39" i="41" s="1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F40" i="29"/>
  <c r="H40" i="29"/>
  <c r="D40" i="29" s="1"/>
  <c r="F40" i="41" s="1"/>
  <c r="I40" i="29"/>
  <c r="J40" i="29"/>
  <c r="K40" i="29"/>
  <c r="K42" i="29" s="1"/>
  <c r="K43" i="29" s="1"/>
  <c r="L40" i="29"/>
  <c r="M40" i="29"/>
  <c r="N40" i="29"/>
  <c r="N42" i="29" s="1"/>
  <c r="N43" i="29" s="1"/>
  <c r="O40" i="29"/>
  <c r="O42" i="29" s="1"/>
  <c r="O43" i="29" s="1"/>
  <c r="P40" i="29"/>
  <c r="P42" i="29" s="1"/>
  <c r="P43" i="29" s="1"/>
  <c r="Q40" i="29"/>
  <c r="R40" i="29"/>
  <c r="S40" i="29"/>
  <c r="T40" i="29"/>
  <c r="U40" i="29"/>
  <c r="V40" i="29"/>
  <c r="V42" i="29" s="1"/>
  <c r="V43" i="29" s="1"/>
  <c r="W40" i="29"/>
  <c r="W42" i="29" s="1"/>
  <c r="W43" i="29" s="1"/>
  <c r="X40" i="29"/>
  <c r="Y40" i="29"/>
  <c r="Z40" i="29"/>
  <c r="AA40" i="29"/>
  <c r="AA42" i="29" s="1"/>
  <c r="AA43" i="29" s="1"/>
  <c r="AB40" i="29"/>
  <c r="AC40" i="29"/>
  <c r="AD40" i="29"/>
  <c r="AD42" i="29" s="1"/>
  <c r="AD43" i="29" s="1"/>
  <c r="AE40" i="29"/>
  <c r="AE42" i="29" s="1"/>
  <c r="AE43" i="29" s="1"/>
  <c r="AF40" i="29"/>
  <c r="AF42" i="29" s="1"/>
  <c r="AF43" i="29" s="1"/>
  <c r="AG40" i="29"/>
  <c r="AH40" i="29"/>
  <c r="AI40" i="29"/>
  <c r="AJ40" i="29"/>
  <c r="AK40" i="29"/>
  <c r="AL40" i="29"/>
  <c r="AL42" i="29" s="1"/>
  <c r="AL43" i="29" s="1"/>
  <c r="AM40" i="29"/>
  <c r="AM42" i="29" s="1"/>
  <c r="AM43" i="29" s="1"/>
  <c r="AN40" i="29"/>
  <c r="AO40" i="29"/>
  <c r="F41" i="29"/>
  <c r="G41" i="29"/>
  <c r="H41" i="29"/>
  <c r="I41" i="29"/>
  <c r="J41" i="29"/>
  <c r="J42" i="29" s="1"/>
  <c r="J43" i="29" s="1"/>
  <c r="K41" i="29"/>
  <c r="L41" i="29"/>
  <c r="M41" i="29"/>
  <c r="N41" i="29"/>
  <c r="O41" i="29"/>
  <c r="P41" i="29"/>
  <c r="Q41" i="29"/>
  <c r="Q42" i="29" s="1"/>
  <c r="Q43" i="29" s="1"/>
  <c r="R41" i="29"/>
  <c r="R42" i="29" s="1"/>
  <c r="R43" i="29" s="1"/>
  <c r="S41" i="29"/>
  <c r="T41" i="29"/>
  <c r="U41" i="29"/>
  <c r="V41" i="29"/>
  <c r="W41" i="29"/>
  <c r="X41" i="29"/>
  <c r="Y41" i="29"/>
  <c r="Y42" i="29" s="1"/>
  <c r="Y43" i="29" s="1"/>
  <c r="Z41" i="29"/>
  <c r="Z42" i="29" s="1"/>
  <c r="Z43" i="29" s="1"/>
  <c r="AA41" i="29"/>
  <c r="AB41" i="29"/>
  <c r="AC41" i="29"/>
  <c r="AD41" i="29"/>
  <c r="AE41" i="29"/>
  <c r="AF41" i="29"/>
  <c r="AG41" i="29"/>
  <c r="AG42" i="29" s="1"/>
  <c r="AG43" i="29" s="1"/>
  <c r="AH41" i="29"/>
  <c r="AH42" i="29" s="1"/>
  <c r="AH43" i="29" s="1"/>
  <c r="AI41" i="29"/>
  <c r="AJ41" i="29"/>
  <c r="AK41" i="29"/>
  <c r="AL41" i="29"/>
  <c r="AM41" i="29"/>
  <c r="AN41" i="29"/>
  <c r="AO41" i="29"/>
  <c r="AO42" i="29" s="1"/>
  <c r="AO43" i="29" s="1"/>
  <c r="H42" i="29"/>
  <c r="H43" i="29" s="1"/>
  <c r="L42" i="29"/>
  <c r="L43" i="29" s="1"/>
  <c r="S42" i="29"/>
  <c r="S43" i="29" s="1"/>
  <c r="T42" i="29"/>
  <c r="T43" i="29" s="1"/>
  <c r="X42" i="29"/>
  <c r="X43" i="29" s="1"/>
  <c r="AB42" i="29"/>
  <c r="AB43" i="29" s="1"/>
  <c r="AI42" i="29"/>
  <c r="AI43" i="29" s="1"/>
  <c r="AJ42" i="29"/>
  <c r="AJ43" i="29" s="1"/>
  <c r="AN42" i="29"/>
  <c r="AN43" i="29" s="1"/>
  <c r="F45" i="29"/>
  <c r="G45" i="29"/>
  <c r="H45" i="29"/>
  <c r="D45" i="29" s="1"/>
  <c r="F45" i="41" s="1"/>
  <c r="H45" i="41" s="1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F51" i="29"/>
  <c r="G51" i="29"/>
  <c r="H51" i="29"/>
  <c r="I51" i="29"/>
  <c r="J51" i="29"/>
  <c r="K51" i="29"/>
  <c r="L51" i="29"/>
  <c r="M51" i="29"/>
  <c r="E51" i="29" s="1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F54" i="41" s="1"/>
  <c r="F54" i="29"/>
  <c r="H54" i="29"/>
  <c r="I54" i="29"/>
  <c r="J54" i="29"/>
  <c r="K54" i="29"/>
  <c r="K56" i="29" s="1"/>
  <c r="L54" i="29"/>
  <c r="M54" i="29"/>
  <c r="N54" i="29"/>
  <c r="O54" i="29"/>
  <c r="O56" i="29" s="1"/>
  <c r="P54" i="29"/>
  <c r="P56" i="29" s="1"/>
  <c r="Q54" i="29"/>
  <c r="R54" i="29"/>
  <c r="S54" i="29"/>
  <c r="S56" i="29" s="1"/>
  <c r="T54" i="29"/>
  <c r="U54" i="29"/>
  <c r="V54" i="29"/>
  <c r="V56" i="29" s="1"/>
  <c r="W54" i="29"/>
  <c r="W56" i="29" s="1"/>
  <c r="X54" i="29"/>
  <c r="X56" i="29" s="1"/>
  <c r="Y54" i="29"/>
  <c r="Z54" i="29"/>
  <c r="AA54" i="29"/>
  <c r="AA56" i="29" s="1"/>
  <c r="AB54" i="29"/>
  <c r="AC54" i="29"/>
  <c r="AD54" i="29"/>
  <c r="AD56" i="29" s="1"/>
  <c r="AE54" i="29"/>
  <c r="AE56" i="29" s="1"/>
  <c r="AF54" i="29"/>
  <c r="AG54" i="29"/>
  <c r="AH54" i="29"/>
  <c r="AI54" i="29"/>
  <c r="AI56" i="29" s="1"/>
  <c r="AJ54" i="29"/>
  <c r="AJ56" i="29" s="1"/>
  <c r="AK54" i="29"/>
  <c r="AL54" i="29"/>
  <c r="AL56" i="29" s="1"/>
  <c r="AM54" i="29"/>
  <c r="AM56" i="29" s="1"/>
  <c r="AN54" i="29"/>
  <c r="AO54" i="29"/>
  <c r="F55" i="29"/>
  <c r="D55" i="29" s="1"/>
  <c r="H55" i="29"/>
  <c r="I55" i="29"/>
  <c r="I56" i="29" s="1"/>
  <c r="J55" i="29"/>
  <c r="J56" i="29" s="1"/>
  <c r="K55" i="29"/>
  <c r="L55" i="29"/>
  <c r="M55" i="29"/>
  <c r="N55" i="29"/>
  <c r="P55" i="29"/>
  <c r="Q55" i="29"/>
  <c r="R55" i="29"/>
  <c r="R56" i="29" s="1"/>
  <c r="S55" i="29"/>
  <c r="T55" i="29"/>
  <c r="U55" i="29"/>
  <c r="V55" i="29"/>
  <c r="W55" i="29"/>
  <c r="X55" i="29"/>
  <c r="Y55" i="29"/>
  <c r="Z55" i="29"/>
  <c r="Z56" i="29" s="1"/>
  <c r="AA55" i="29"/>
  <c r="AB55" i="29"/>
  <c r="AC55" i="29"/>
  <c r="AD55" i="29"/>
  <c r="AE55" i="29"/>
  <c r="AF55" i="29"/>
  <c r="AG55" i="29"/>
  <c r="AH55" i="29"/>
  <c r="AH56" i="29" s="1"/>
  <c r="AI55" i="29"/>
  <c r="AJ55" i="29"/>
  <c r="AK55" i="29"/>
  <c r="AL55" i="29"/>
  <c r="AM55" i="29"/>
  <c r="AN55" i="29"/>
  <c r="AO55" i="29"/>
  <c r="H56" i="29"/>
  <c r="L56" i="29"/>
  <c r="M56" i="29"/>
  <c r="Q56" i="29"/>
  <c r="T56" i="29"/>
  <c r="U56" i="29"/>
  <c r="Y56" i="29"/>
  <c r="AB56" i="29"/>
  <c r="AC56" i="29"/>
  <c r="AF56" i="29"/>
  <c r="AG56" i="29"/>
  <c r="AK56" i="29"/>
  <c r="AN56" i="29"/>
  <c r="AO56" i="29"/>
  <c r="F59" i="29"/>
  <c r="G59" i="29"/>
  <c r="H59" i="29"/>
  <c r="I59" i="29"/>
  <c r="J59" i="29"/>
  <c r="K59" i="29"/>
  <c r="K61" i="29" s="1"/>
  <c r="L59" i="29"/>
  <c r="M59" i="29"/>
  <c r="N59" i="29"/>
  <c r="O59" i="29"/>
  <c r="O61" i="29" s="1"/>
  <c r="P59" i="29"/>
  <c r="Q59" i="29"/>
  <c r="R59" i="29"/>
  <c r="R61" i="29" s="1"/>
  <c r="S59" i="29"/>
  <c r="S61" i="29" s="1"/>
  <c r="T59" i="29"/>
  <c r="U59" i="29"/>
  <c r="V59" i="29"/>
  <c r="W59" i="29"/>
  <c r="X59" i="29"/>
  <c r="Y59" i="29"/>
  <c r="Z59" i="29"/>
  <c r="Z61" i="29" s="1"/>
  <c r="AA59" i="29"/>
  <c r="AA61" i="29" s="1"/>
  <c r="AB59" i="29"/>
  <c r="AC59" i="29"/>
  <c r="AD59" i="29"/>
  <c r="AE59" i="29"/>
  <c r="AE61" i="29" s="1"/>
  <c r="AF59" i="29"/>
  <c r="AG59" i="29"/>
  <c r="AH59" i="29"/>
  <c r="AI59" i="29"/>
  <c r="AJ59" i="29"/>
  <c r="AK59" i="29"/>
  <c r="AL59" i="29"/>
  <c r="AL61" i="29" s="1"/>
  <c r="AM59" i="29"/>
  <c r="AM61" i="29" s="1"/>
  <c r="AN59" i="29"/>
  <c r="AO59" i="29"/>
  <c r="F60" i="29"/>
  <c r="G60" i="29"/>
  <c r="H60" i="29"/>
  <c r="H61" i="29" s="1"/>
  <c r="I60" i="29"/>
  <c r="J60" i="29"/>
  <c r="K60" i="29"/>
  <c r="L60" i="29"/>
  <c r="D60" i="29" s="1"/>
  <c r="F60" i="41" s="1"/>
  <c r="H60" i="41" s="1"/>
  <c r="M60" i="29"/>
  <c r="E60" i="29" s="1"/>
  <c r="G60" i="41" s="1"/>
  <c r="I60" i="41" s="1"/>
  <c r="N60" i="29"/>
  <c r="O60" i="29"/>
  <c r="P60" i="29"/>
  <c r="P61" i="29" s="1"/>
  <c r="Q60" i="29"/>
  <c r="R60" i="29"/>
  <c r="S60" i="29"/>
  <c r="T60" i="29"/>
  <c r="U60" i="29"/>
  <c r="V60" i="29"/>
  <c r="W60" i="29"/>
  <c r="X60" i="29"/>
  <c r="X61" i="29" s="1"/>
  <c r="Y60" i="29"/>
  <c r="Y61" i="29" s="1"/>
  <c r="Z60" i="29"/>
  <c r="AA60" i="29"/>
  <c r="AB60" i="29"/>
  <c r="AC60" i="29"/>
  <c r="AD60" i="29"/>
  <c r="AE60" i="29"/>
  <c r="AF60" i="29"/>
  <c r="AF61" i="29" s="1"/>
  <c r="AG60" i="29"/>
  <c r="AG61" i="29" s="1"/>
  <c r="AH60" i="29"/>
  <c r="AI60" i="29"/>
  <c r="AJ60" i="29"/>
  <c r="AK60" i="29"/>
  <c r="AL60" i="29"/>
  <c r="AM60" i="29"/>
  <c r="AN60" i="29"/>
  <c r="AN61" i="29" s="1"/>
  <c r="AO60" i="29"/>
  <c r="AO61" i="29" s="1"/>
  <c r="F61" i="29"/>
  <c r="I61" i="29"/>
  <c r="J61" i="29"/>
  <c r="N61" i="29"/>
  <c r="Q61" i="29"/>
  <c r="V61" i="29"/>
  <c r="W61" i="29"/>
  <c r="AD61" i="29"/>
  <c r="AH61" i="29"/>
  <c r="AI61" i="29"/>
  <c r="F64" i="29"/>
  <c r="G64" i="29"/>
  <c r="H64" i="29"/>
  <c r="I64" i="29"/>
  <c r="J64" i="29"/>
  <c r="K64" i="29"/>
  <c r="E64" i="29" s="1"/>
  <c r="L64" i="29"/>
  <c r="L66" i="29" s="1"/>
  <c r="M64" i="29"/>
  <c r="N64" i="29"/>
  <c r="O64" i="29"/>
  <c r="P64" i="29"/>
  <c r="P66" i="29" s="1"/>
  <c r="Q64" i="29"/>
  <c r="R64" i="29"/>
  <c r="S64" i="29"/>
  <c r="T64" i="29"/>
  <c r="T66" i="29" s="1"/>
  <c r="U64" i="29"/>
  <c r="V64" i="29"/>
  <c r="W64" i="29"/>
  <c r="X64" i="29"/>
  <c r="X66" i="29" s="1"/>
  <c r="Y64" i="29"/>
  <c r="Z64" i="29"/>
  <c r="AA64" i="29"/>
  <c r="AB64" i="29"/>
  <c r="AB66" i="29" s="1"/>
  <c r="AC64" i="29"/>
  <c r="AD64" i="29"/>
  <c r="AE64" i="29"/>
  <c r="AF64" i="29"/>
  <c r="AF66" i="29" s="1"/>
  <c r="AG64" i="29"/>
  <c r="AH64" i="29"/>
  <c r="AI64" i="29"/>
  <c r="AJ64" i="29"/>
  <c r="AJ66" i="29" s="1"/>
  <c r="AK64" i="29"/>
  <c r="AL64" i="29"/>
  <c r="AM64" i="29"/>
  <c r="AN64" i="29"/>
  <c r="AN66" i="29" s="1"/>
  <c r="AO64" i="29"/>
  <c r="F65" i="29"/>
  <c r="G65" i="29"/>
  <c r="H65" i="29"/>
  <c r="I65" i="29"/>
  <c r="J65" i="29"/>
  <c r="K65" i="29"/>
  <c r="L65" i="29"/>
  <c r="M65" i="29"/>
  <c r="M66" i="29" s="1"/>
  <c r="N65" i="29"/>
  <c r="N66" i="29" s="1"/>
  <c r="O65" i="29"/>
  <c r="O66" i="29" s="1"/>
  <c r="P65" i="29"/>
  <c r="Q65" i="29"/>
  <c r="R65" i="29"/>
  <c r="S65" i="29"/>
  <c r="T65" i="29"/>
  <c r="U65" i="29"/>
  <c r="V65" i="29"/>
  <c r="V66" i="29" s="1"/>
  <c r="W65" i="29"/>
  <c r="W66" i="29" s="1"/>
  <c r="X65" i="29"/>
  <c r="Y65" i="29"/>
  <c r="Z65" i="29"/>
  <c r="AA65" i="29"/>
  <c r="AB65" i="29"/>
  <c r="AC65" i="29"/>
  <c r="AD65" i="29"/>
  <c r="AD66" i="29" s="1"/>
  <c r="AE65" i="29"/>
  <c r="AF65" i="29"/>
  <c r="AG65" i="29"/>
  <c r="AH65" i="29"/>
  <c r="AI65" i="29"/>
  <c r="AJ65" i="29"/>
  <c r="AK65" i="29"/>
  <c r="AL65" i="29"/>
  <c r="AL66" i="29" s="1"/>
  <c r="AM65" i="29"/>
  <c r="AM66" i="29" s="1"/>
  <c r="AN65" i="29"/>
  <c r="AO65" i="29"/>
  <c r="I66" i="29"/>
  <c r="Q66" i="29"/>
  <c r="U66" i="29"/>
  <c r="Y66" i="29"/>
  <c r="AC66" i="29"/>
  <c r="AE66" i="29"/>
  <c r="AG66" i="29"/>
  <c r="AK66" i="29"/>
  <c r="AO66" i="29"/>
  <c r="F70" i="29"/>
  <c r="G70" i="29"/>
  <c r="H70" i="29"/>
  <c r="I70" i="29"/>
  <c r="I72" i="29" s="1"/>
  <c r="J70" i="29"/>
  <c r="J72" i="29" s="1"/>
  <c r="K70" i="29"/>
  <c r="K72" i="29" s="1"/>
  <c r="L70" i="29"/>
  <c r="M70" i="29"/>
  <c r="N70" i="29"/>
  <c r="N72" i="29" s="1"/>
  <c r="O70" i="29"/>
  <c r="P70" i="29"/>
  <c r="Q70" i="29"/>
  <c r="Q72" i="29" s="1"/>
  <c r="R70" i="29"/>
  <c r="R72" i="29" s="1"/>
  <c r="S70" i="29"/>
  <c r="T70" i="29"/>
  <c r="U70" i="29"/>
  <c r="V70" i="29"/>
  <c r="V72" i="29" s="1"/>
  <c r="W70" i="29"/>
  <c r="W72" i="29" s="1"/>
  <c r="X70" i="29"/>
  <c r="Y70" i="29"/>
  <c r="Y72" i="29" s="1"/>
  <c r="Z70" i="29"/>
  <c r="AA70" i="29"/>
  <c r="AB70" i="29"/>
  <c r="AC70" i="29"/>
  <c r="AD70" i="29"/>
  <c r="AD72" i="29" s="1"/>
  <c r="AE70" i="29"/>
  <c r="AF70" i="29"/>
  <c r="AG70" i="29"/>
  <c r="AG72" i="29" s="1"/>
  <c r="AH70" i="29"/>
  <c r="AH72" i="29" s="1"/>
  <c r="AI70" i="29"/>
  <c r="AJ70" i="29"/>
  <c r="AK70" i="29"/>
  <c r="AL70" i="29"/>
  <c r="AL72" i="29" s="1"/>
  <c r="AM70" i="29"/>
  <c r="AN70" i="29"/>
  <c r="AO70" i="29"/>
  <c r="AO72" i="29" s="1"/>
  <c r="F71" i="29"/>
  <c r="G71" i="29"/>
  <c r="H71" i="29"/>
  <c r="I71" i="29"/>
  <c r="J71" i="29"/>
  <c r="K71" i="29"/>
  <c r="E71" i="29" s="1"/>
  <c r="L71" i="29"/>
  <c r="L72" i="29" s="1"/>
  <c r="M71" i="29"/>
  <c r="N71" i="29"/>
  <c r="O71" i="29"/>
  <c r="P71" i="29"/>
  <c r="Q71" i="29"/>
  <c r="R71" i="29"/>
  <c r="S71" i="29"/>
  <c r="T71" i="29"/>
  <c r="T72" i="29" s="1"/>
  <c r="U71" i="29"/>
  <c r="V71" i="29"/>
  <c r="W71" i="29"/>
  <c r="X71" i="29"/>
  <c r="Y71" i="29"/>
  <c r="Z71" i="29"/>
  <c r="AA71" i="29"/>
  <c r="AB71" i="29"/>
  <c r="AB72" i="29" s="1"/>
  <c r="AC71" i="29"/>
  <c r="AC72" i="29" s="1"/>
  <c r="AD71" i="29"/>
  <c r="AE71" i="29"/>
  <c r="AF71" i="29"/>
  <c r="AG71" i="29"/>
  <c r="AH71" i="29"/>
  <c r="AI71" i="29"/>
  <c r="AI72" i="29" s="1"/>
  <c r="AJ71" i="29"/>
  <c r="AJ72" i="29" s="1"/>
  <c r="AK71" i="29"/>
  <c r="AK72" i="29" s="1"/>
  <c r="AL71" i="29"/>
  <c r="AM71" i="29"/>
  <c r="AN71" i="29"/>
  <c r="AO71" i="29"/>
  <c r="G72" i="29"/>
  <c r="M72" i="29"/>
  <c r="O72" i="29"/>
  <c r="S72" i="29"/>
  <c r="U72" i="29"/>
  <c r="Z72" i="29"/>
  <c r="AA72" i="29"/>
  <c r="AE72" i="29"/>
  <c r="AM72" i="29"/>
  <c r="F73" i="29"/>
  <c r="G73" i="29"/>
  <c r="H73" i="29"/>
  <c r="D73" i="29" s="1"/>
  <c r="F73" i="41" s="1"/>
  <c r="H73" i="41" s="1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F75" i="29"/>
  <c r="G75" i="29"/>
  <c r="H75" i="29"/>
  <c r="I75" i="29"/>
  <c r="E75" i="29" s="1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F77" i="29"/>
  <c r="G77" i="29"/>
  <c r="H77" i="29"/>
  <c r="D77" i="29" s="1"/>
  <c r="F77" i="41" s="1"/>
  <c r="I77" i="29"/>
  <c r="J77" i="29"/>
  <c r="K77" i="29"/>
  <c r="L77" i="29"/>
  <c r="M77" i="29"/>
  <c r="E77" i="29" s="1"/>
  <c r="G77" i="41" s="1"/>
  <c r="I77" i="41" s="1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F78" i="29"/>
  <c r="G78" i="29"/>
  <c r="H78" i="29"/>
  <c r="I78" i="29"/>
  <c r="J78" i="29"/>
  <c r="K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F79" i="41" s="1"/>
  <c r="H79" i="41" s="1"/>
  <c r="F79" i="29"/>
  <c r="G79" i="29"/>
  <c r="H79" i="29"/>
  <c r="I79" i="29"/>
  <c r="E79" i="29" s="1"/>
  <c r="G79" i="41" s="1"/>
  <c r="J79" i="29"/>
  <c r="K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F80" i="29"/>
  <c r="G80" i="29"/>
  <c r="H80" i="29"/>
  <c r="I80" i="29"/>
  <c r="J80" i="29"/>
  <c r="K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F81" i="29"/>
  <c r="G81" i="29"/>
  <c r="H81" i="29"/>
  <c r="I81" i="29"/>
  <c r="E81" i="29" s="1"/>
  <c r="G81" i="41" s="1"/>
  <c r="I81" i="41" s="1"/>
  <c r="J81" i="29"/>
  <c r="K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A4" i="41"/>
  <c r="A5" i="41"/>
  <c r="D11" i="41"/>
  <c r="E11" i="41"/>
  <c r="D12" i="41"/>
  <c r="E12" i="41"/>
  <c r="E16" i="41" s="1"/>
  <c r="D13" i="41"/>
  <c r="E13" i="41"/>
  <c r="F13" i="41"/>
  <c r="H13" i="41" s="1"/>
  <c r="D14" i="41"/>
  <c r="E14" i="41"/>
  <c r="D15" i="41"/>
  <c r="E15" i="41"/>
  <c r="D19" i="41"/>
  <c r="E19" i="41"/>
  <c r="F19" i="41"/>
  <c r="D20" i="41"/>
  <c r="E20" i="41"/>
  <c r="G20" i="41"/>
  <c r="D21" i="41"/>
  <c r="E21" i="41"/>
  <c r="D22" i="41"/>
  <c r="E22" i="41"/>
  <c r="D23" i="41"/>
  <c r="E23" i="41"/>
  <c r="E24" i="41" s="1"/>
  <c r="G23" i="41"/>
  <c r="D24" i="41"/>
  <c r="D27" i="41"/>
  <c r="E27" i="41"/>
  <c r="D28" i="41"/>
  <c r="D29" i="41" s="1"/>
  <c r="E28" i="41"/>
  <c r="H28" i="41"/>
  <c r="E29" i="41"/>
  <c r="D32" i="41"/>
  <c r="D36" i="41" s="1"/>
  <c r="E32" i="41"/>
  <c r="D33" i="41"/>
  <c r="E33" i="41"/>
  <c r="D34" i="41"/>
  <c r="E34" i="41"/>
  <c r="D35" i="41"/>
  <c r="E35" i="41"/>
  <c r="E36" i="41"/>
  <c r="D39" i="41"/>
  <c r="E39" i="41"/>
  <c r="I39" i="41"/>
  <c r="D40" i="41"/>
  <c r="E40" i="41"/>
  <c r="H40" i="41"/>
  <c r="D41" i="41"/>
  <c r="E41" i="41"/>
  <c r="E42" i="41" s="1"/>
  <c r="E43" i="41" s="1"/>
  <c r="D42" i="41"/>
  <c r="D43" i="41" s="1"/>
  <c r="D45" i="41"/>
  <c r="E45" i="41"/>
  <c r="D47" i="41"/>
  <c r="E47" i="41"/>
  <c r="D49" i="41"/>
  <c r="E49" i="41"/>
  <c r="D51" i="41"/>
  <c r="E51" i="41"/>
  <c r="G51" i="41"/>
  <c r="I51" i="41" s="1"/>
  <c r="D54" i="41"/>
  <c r="E54" i="41"/>
  <c r="H54" i="41"/>
  <c r="D55" i="41"/>
  <c r="E55" i="41"/>
  <c r="E56" i="41" s="1"/>
  <c r="D56" i="41"/>
  <c r="D59" i="41"/>
  <c r="E59" i="41"/>
  <c r="D60" i="41"/>
  <c r="D61" i="41" s="1"/>
  <c r="E60" i="41"/>
  <c r="E61" i="41"/>
  <c r="D64" i="41"/>
  <c r="D66" i="41" s="1"/>
  <c r="E64" i="41"/>
  <c r="E66" i="41" s="1"/>
  <c r="D65" i="41"/>
  <c r="E65" i="41"/>
  <c r="D70" i="41"/>
  <c r="E70" i="41"/>
  <c r="E72" i="41" s="1"/>
  <c r="D71" i="41"/>
  <c r="E71" i="41"/>
  <c r="G71" i="41"/>
  <c r="I71" i="41" s="1"/>
  <c r="D73" i="41"/>
  <c r="E73" i="41"/>
  <c r="D74" i="41"/>
  <c r="E74" i="41"/>
  <c r="D75" i="41"/>
  <c r="E75" i="41"/>
  <c r="G75" i="41"/>
  <c r="I75" i="41" s="1"/>
  <c r="D76" i="41"/>
  <c r="E76" i="41"/>
  <c r="D77" i="41"/>
  <c r="E77" i="41"/>
  <c r="D78" i="41"/>
  <c r="E78" i="41"/>
  <c r="D79" i="41"/>
  <c r="E79" i="41"/>
  <c r="D80" i="41"/>
  <c r="E80" i="41"/>
  <c r="D81" i="41"/>
  <c r="E81" i="41"/>
  <c r="A5" i="20"/>
  <c r="F11" i="20"/>
  <c r="G11" i="20"/>
  <c r="H11" i="20"/>
  <c r="H16" i="20" s="1"/>
  <c r="I11" i="20"/>
  <c r="J11" i="20"/>
  <c r="K11" i="20"/>
  <c r="K16" i="20" s="1"/>
  <c r="L11" i="20"/>
  <c r="L16" i="20" s="1"/>
  <c r="M11" i="20"/>
  <c r="N11" i="20"/>
  <c r="N16" i="20" s="1"/>
  <c r="O11" i="20"/>
  <c r="P11" i="20"/>
  <c r="P16" i="20" s="1"/>
  <c r="Q11" i="20"/>
  <c r="R11" i="20"/>
  <c r="S11" i="20"/>
  <c r="S16" i="20" s="1"/>
  <c r="T11" i="20"/>
  <c r="T16" i="20" s="1"/>
  <c r="U11" i="20"/>
  <c r="V11" i="20"/>
  <c r="W11" i="20"/>
  <c r="X11" i="20"/>
  <c r="X16" i="20" s="1"/>
  <c r="Y11" i="20"/>
  <c r="Z11" i="20"/>
  <c r="AA11" i="20"/>
  <c r="AA16" i="20" s="1"/>
  <c r="AB11" i="20"/>
  <c r="AB16" i="20" s="1"/>
  <c r="AC11" i="20"/>
  <c r="AD11" i="20"/>
  <c r="AD16" i="20" s="1"/>
  <c r="AE11" i="20"/>
  <c r="AE16" i="20" s="1"/>
  <c r="AF11" i="20"/>
  <c r="AG11" i="20"/>
  <c r="AH11" i="20"/>
  <c r="AI11" i="20"/>
  <c r="AI16" i="20" s="1"/>
  <c r="AJ11" i="20"/>
  <c r="AJ16" i="20" s="1"/>
  <c r="AK11" i="20"/>
  <c r="AL11" i="20"/>
  <c r="AM11" i="20"/>
  <c r="AN11" i="20"/>
  <c r="AN16" i="20" s="1"/>
  <c r="AO11" i="20"/>
  <c r="F12" i="20"/>
  <c r="G12" i="20"/>
  <c r="H12" i="20"/>
  <c r="I12" i="20"/>
  <c r="J12" i="20"/>
  <c r="K12" i="20"/>
  <c r="L12" i="20"/>
  <c r="M12" i="20"/>
  <c r="N12" i="20"/>
  <c r="P12" i="20"/>
  <c r="Q12" i="20"/>
  <c r="R12" i="20"/>
  <c r="R16" i="20" s="1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H16" i="20" s="1"/>
  <c r="AI12" i="20"/>
  <c r="AJ12" i="20"/>
  <c r="AK12" i="20"/>
  <c r="AL12" i="20"/>
  <c r="AM12" i="20"/>
  <c r="AN12" i="20"/>
  <c r="AO12" i="20"/>
  <c r="F13" i="20"/>
  <c r="G13" i="20"/>
  <c r="H13" i="20"/>
  <c r="I13" i="20"/>
  <c r="J13" i="20"/>
  <c r="K13" i="20"/>
  <c r="L13" i="20"/>
  <c r="D13" i="20" s="1"/>
  <c r="F13" i="32" s="1"/>
  <c r="M13" i="20"/>
  <c r="E13" i="20" s="1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F14" i="20"/>
  <c r="G14" i="20"/>
  <c r="H14" i="20"/>
  <c r="I14" i="20"/>
  <c r="J14" i="20"/>
  <c r="K14" i="20"/>
  <c r="L14" i="20"/>
  <c r="M14" i="20"/>
  <c r="E14" i="20" s="1"/>
  <c r="G14" i="32" s="1"/>
  <c r="I14" i="32" s="1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F15" i="20"/>
  <c r="G15" i="20"/>
  <c r="H15" i="20"/>
  <c r="I15" i="20"/>
  <c r="J15" i="20"/>
  <c r="K15" i="20"/>
  <c r="L15" i="20"/>
  <c r="D15" i="20" s="1"/>
  <c r="M15" i="20"/>
  <c r="N15" i="20"/>
  <c r="O15" i="20"/>
  <c r="P15" i="20"/>
  <c r="Q15" i="20"/>
  <c r="Q16" i="20" s="1"/>
  <c r="R15" i="20"/>
  <c r="S15" i="20"/>
  <c r="T15" i="20"/>
  <c r="U15" i="20"/>
  <c r="V15" i="20"/>
  <c r="W15" i="20"/>
  <c r="X15" i="20"/>
  <c r="Y15" i="20"/>
  <c r="Y16" i="20" s="1"/>
  <c r="Z15" i="20"/>
  <c r="AA15" i="20"/>
  <c r="AB15" i="20"/>
  <c r="AC15" i="20"/>
  <c r="AD15" i="20"/>
  <c r="AE15" i="20"/>
  <c r="AF15" i="20"/>
  <c r="AG15" i="20"/>
  <c r="AG16" i="20" s="1"/>
  <c r="AH15" i="20"/>
  <c r="AI15" i="20"/>
  <c r="AJ15" i="20"/>
  <c r="AK15" i="20"/>
  <c r="AL15" i="20"/>
  <c r="AL16" i="20" s="1"/>
  <c r="AM15" i="20"/>
  <c r="AN15" i="20"/>
  <c r="AO15" i="20"/>
  <c r="F16" i="20"/>
  <c r="G16" i="20"/>
  <c r="J16" i="20"/>
  <c r="O16" i="20"/>
  <c r="V16" i="20"/>
  <c r="V82" i="20" s="1"/>
  <c r="T639" i="44" s="1"/>
  <c r="W16" i="20"/>
  <c r="Z16" i="20"/>
  <c r="AF16" i="20"/>
  <c r="AM16" i="20"/>
  <c r="F19" i="20"/>
  <c r="G19" i="20"/>
  <c r="H19" i="20"/>
  <c r="I19" i="20"/>
  <c r="J19" i="20"/>
  <c r="K19" i="20"/>
  <c r="L19" i="20"/>
  <c r="M19" i="20"/>
  <c r="E19" i="20" s="1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F20" i="20"/>
  <c r="G20" i="20"/>
  <c r="H20" i="20"/>
  <c r="I20" i="20"/>
  <c r="J20" i="20"/>
  <c r="L20" i="20"/>
  <c r="M20" i="20"/>
  <c r="N20" i="20"/>
  <c r="O20" i="20"/>
  <c r="P20" i="20"/>
  <c r="Q20" i="20"/>
  <c r="R20" i="20"/>
  <c r="S20" i="20"/>
  <c r="T20" i="20"/>
  <c r="T24" i="20" s="1"/>
  <c r="U20" i="20"/>
  <c r="V20" i="20"/>
  <c r="W20" i="20"/>
  <c r="W24" i="20" s="1"/>
  <c r="X20" i="20"/>
  <c r="X24" i="20" s="1"/>
  <c r="Y20" i="20"/>
  <c r="Z20" i="20"/>
  <c r="AA20" i="20"/>
  <c r="AA24" i="20" s="1"/>
  <c r="AB20" i="20"/>
  <c r="AC20" i="20"/>
  <c r="AD20" i="20"/>
  <c r="AE20" i="20"/>
  <c r="AE24" i="20" s="1"/>
  <c r="AF20" i="20"/>
  <c r="AF24" i="20" s="1"/>
  <c r="AG20" i="20"/>
  <c r="AH20" i="20"/>
  <c r="AI20" i="20"/>
  <c r="AJ20" i="20"/>
  <c r="AK20" i="20"/>
  <c r="AL20" i="20"/>
  <c r="AM20" i="20"/>
  <c r="AM24" i="20" s="1"/>
  <c r="AN20" i="20"/>
  <c r="AO20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L24" i="20" s="1"/>
  <c r="AM21" i="20"/>
  <c r="AN21" i="20"/>
  <c r="AO21" i="20"/>
  <c r="D22" i="20"/>
  <c r="F22" i="32" s="1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F23" i="32" s="1"/>
  <c r="F23" i="20"/>
  <c r="G23" i="20"/>
  <c r="H23" i="20"/>
  <c r="I23" i="20"/>
  <c r="J23" i="20"/>
  <c r="K23" i="20"/>
  <c r="K24" i="20" s="1"/>
  <c r="L23" i="20"/>
  <c r="M23" i="20"/>
  <c r="N23" i="20"/>
  <c r="O23" i="20"/>
  <c r="P23" i="20"/>
  <c r="Q23" i="20"/>
  <c r="R23" i="20"/>
  <c r="S23" i="20"/>
  <c r="S24" i="20" s="1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I24" i="20" s="1"/>
  <c r="AJ23" i="20"/>
  <c r="AK23" i="20"/>
  <c r="AL23" i="20"/>
  <c r="AM23" i="20"/>
  <c r="AN23" i="20"/>
  <c r="AO23" i="20"/>
  <c r="I24" i="20"/>
  <c r="N24" i="20"/>
  <c r="O24" i="20"/>
  <c r="V24" i="20"/>
  <c r="AB24" i="20"/>
  <c r="AD24" i="20"/>
  <c r="AJ24" i="20"/>
  <c r="AN24" i="20"/>
  <c r="F27" i="20"/>
  <c r="G27" i="20"/>
  <c r="H27" i="20"/>
  <c r="I27" i="20"/>
  <c r="J27" i="20"/>
  <c r="J29" i="20" s="1"/>
  <c r="K27" i="20"/>
  <c r="L27" i="20"/>
  <c r="M27" i="20"/>
  <c r="M29" i="20" s="1"/>
  <c r="N27" i="20"/>
  <c r="O27" i="20"/>
  <c r="P27" i="20"/>
  <c r="Q27" i="20"/>
  <c r="Q29" i="20" s="1"/>
  <c r="R27" i="20"/>
  <c r="S27" i="20"/>
  <c r="T27" i="20"/>
  <c r="U27" i="20"/>
  <c r="U29" i="20" s="1"/>
  <c r="V27" i="20"/>
  <c r="V29" i="20" s="1"/>
  <c r="W27" i="20"/>
  <c r="X27" i="20"/>
  <c r="Y27" i="20"/>
  <c r="Y29" i="20" s="1"/>
  <c r="Z27" i="20"/>
  <c r="AA27" i="20"/>
  <c r="AB27" i="20"/>
  <c r="AC27" i="20"/>
  <c r="AC29" i="20" s="1"/>
  <c r="AD27" i="20"/>
  <c r="AE27" i="20"/>
  <c r="AF27" i="20"/>
  <c r="AG27" i="20"/>
  <c r="AG29" i="20" s="1"/>
  <c r="AH27" i="20"/>
  <c r="AI27" i="20"/>
  <c r="AJ27" i="20"/>
  <c r="AK27" i="20"/>
  <c r="AK29" i="20" s="1"/>
  <c r="AL27" i="20"/>
  <c r="AM27" i="20"/>
  <c r="AN27" i="20"/>
  <c r="AO27" i="20"/>
  <c r="AO29" i="20" s="1"/>
  <c r="F28" i="20"/>
  <c r="G28" i="20"/>
  <c r="H28" i="20"/>
  <c r="I28" i="20"/>
  <c r="J28" i="20"/>
  <c r="K28" i="20"/>
  <c r="L28" i="20"/>
  <c r="M28" i="20"/>
  <c r="N28" i="20"/>
  <c r="O28" i="20"/>
  <c r="O29" i="20" s="1"/>
  <c r="P28" i="20"/>
  <c r="Q28" i="20"/>
  <c r="R28" i="20"/>
  <c r="S28" i="20"/>
  <c r="T28" i="20"/>
  <c r="U28" i="20"/>
  <c r="V28" i="20"/>
  <c r="W28" i="20"/>
  <c r="W29" i="20" s="1"/>
  <c r="X28" i="20"/>
  <c r="Y28" i="20"/>
  <c r="Z28" i="20"/>
  <c r="AA28" i="20"/>
  <c r="AB28" i="20"/>
  <c r="AB29" i="20" s="1"/>
  <c r="AC28" i="20"/>
  <c r="AD28" i="20"/>
  <c r="AE28" i="20"/>
  <c r="AE29" i="20" s="1"/>
  <c r="AF28" i="20"/>
  <c r="AG28" i="20"/>
  <c r="AH28" i="20"/>
  <c r="AH29" i="20" s="1"/>
  <c r="AI28" i="20"/>
  <c r="AJ28" i="20"/>
  <c r="AJ29" i="20" s="1"/>
  <c r="AK28" i="20"/>
  <c r="AL28" i="20"/>
  <c r="AM28" i="20"/>
  <c r="AM29" i="20" s="1"/>
  <c r="AN28" i="20"/>
  <c r="AO28" i="20"/>
  <c r="F29" i="20"/>
  <c r="L29" i="20"/>
  <c r="N29" i="20"/>
  <c r="R29" i="20"/>
  <c r="T29" i="20"/>
  <c r="Z29" i="20"/>
  <c r="AD29" i="20"/>
  <c r="AL29" i="20"/>
  <c r="F32" i="20"/>
  <c r="G32" i="20"/>
  <c r="H32" i="20"/>
  <c r="I32" i="20"/>
  <c r="J32" i="20"/>
  <c r="K32" i="20"/>
  <c r="L32" i="20"/>
  <c r="L36" i="20" s="1"/>
  <c r="M32" i="20"/>
  <c r="N32" i="20"/>
  <c r="N36" i="20" s="1"/>
  <c r="O32" i="20"/>
  <c r="P32" i="20"/>
  <c r="Q32" i="20"/>
  <c r="R32" i="20"/>
  <c r="S32" i="20"/>
  <c r="S36" i="20" s="1"/>
  <c r="T32" i="20"/>
  <c r="U32" i="20"/>
  <c r="V32" i="20"/>
  <c r="D32" i="20" s="1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I36" i="20" s="1"/>
  <c r="AJ32" i="20"/>
  <c r="AK32" i="20"/>
  <c r="AL32" i="20"/>
  <c r="AM32" i="20"/>
  <c r="AN32" i="20"/>
  <c r="AO32" i="20"/>
  <c r="F33" i="20"/>
  <c r="G33" i="20"/>
  <c r="H33" i="20"/>
  <c r="I33" i="20"/>
  <c r="J33" i="20"/>
  <c r="K33" i="20"/>
  <c r="L33" i="20"/>
  <c r="M33" i="20"/>
  <c r="M36" i="20" s="1"/>
  <c r="N33" i="20"/>
  <c r="O33" i="20"/>
  <c r="P33" i="20"/>
  <c r="Q33" i="20"/>
  <c r="Q36" i="20" s="1"/>
  <c r="R33" i="20"/>
  <c r="S33" i="20"/>
  <c r="T33" i="20"/>
  <c r="U33" i="20"/>
  <c r="U36" i="20" s="1"/>
  <c r="V33" i="20"/>
  <c r="W33" i="20"/>
  <c r="X33" i="20"/>
  <c r="Y33" i="20"/>
  <c r="Z33" i="20"/>
  <c r="AA33" i="20"/>
  <c r="AB33" i="20"/>
  <c r="AC33" i="20"/>
  <c r="AC36" i="20" s="1"/>
  <c r="AD33" i="20"/>
  <c r="AD36" i="20" s="1"/>
  <c r="AE33" i="20"/>
  <c r="AF33" i="20"/>
  <c r="AG33" i="20"/>
  <c r="AG36" i="20" s="1"/>
  <c r="AH33" i="20"/>
  <c r="AI33" i="20"/>
  <c r="AJ33" i="20"/>
  <c r="AK33" i="20"/>
  <c r="AK36" i="20" s="1"/>
  <c r="AL33" i="20"/>
  <c r="AL36" i="20" s="1"/>
  <c r="AM33" i="20"/>
  <c r="AN33" i="20"/>
  <c r="AO33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B36" i="20" s="1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N36" i="20" s="1"/>
  <c r="AO34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F36" i="20"/>
  <c r="I36" i="20"/>
  <c r="K36" i="20"/>
  <c r="P36" i="20"/>
  <c r="T36" i="20"/>
  <c r="V36" i="20"/>
  <c r="Y36" i="20"/>
  <c r="AA36" i="20"/>
  <c r="AF36" i="20"/>
  <c r="AJ36" i="20"/>
  <c r="AO36" i="20"/>
  <c r="F39" i="20"/>
  <c r="G39" i="20"/>
  <c r="H39" i="20"/>
  <c r="H43" i="20" s="1"/>
  <c r="I39" i="20"/>
  <c r="J39" i="20"/>
  <c r="K39" i="20"/>
  <c r="L39" i="20"/>
  <c r="M39" i="20"/>
  <c r="E39" i="20" s="1"/>
  <c r="G39" i="32" s="1"/>
  <c r="I39" i="32" s="1"/>
  <c r="N39" i="20"/>
  <c r="O39" i="20"/>
  <c r="P39" i="20"/>
  <c r="Q39" i="20"/>
  <c r="R39" i="20"/>
  <c r="S39" i="20"/>
  <c r="T39" i="20"/>
  <c r="U39" i="20"/>
  <c r="V39" i="20"/>
  <c r="W39" i="20"/>
  <c r="X39" i="20"/>
  <c r="X43" i="20" s="1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AO43" i="20" s="1"/>
  <c r="F40" i="20"/>
  <c r="G40" i="20"/>
  <c r="H40" i="20"/>
  <c r="I40" i="20"/>
  <c r="J40" i="20"/>
  <c r="K40" i="20"/>
  <c r="K42" i="20" s="1"/>
  <c r="K43" i="20" s="1"/>
  <c r="L40" i="20"/>
  <c r="M40" i="20"/>
  <c r="M42" i="20" s="1"/>
  <c r="N40" i="20"/>
  <c r="O40" i="20"/>
  <c r="P40" i="20"/>
  <c r="Q40" i="20"/>
  <c r="R40" i="20"/>
  <c r="R42" i="20" s="1"/>
  <c r="R43" i="20" s="1"/>
  <c r="S40" i="20"/>
  <c r="S42" i="20" s="1"/>
  <c r="T40" i="20"/>
  <c r="U40" i="20"/>
  <c r="V40" i="20"/>
  <c r="W40" i="20"/>
  <c r="W42" i="20" s="1"/>
  <c r="X40" i="20"/>
  <c r="Y40" i="20"/>
  <c r="Z40" i="20"/>
  <c r="Z42" i="20" s="1"/>
  <c r="Z43" i="20" s="1"/>
  <c r="AA40" i="20"/>
  <c r="AA42" i="20" s="1"/>
  <c r="AA43" i="20" s="1"/>
  <c r="AB40" i="20"/>
  <c r="AC40" i="20"/>
  <c r="AC42" i="20" s="1"/>
  <c r="AD40" i="20"/>
  <c r="AE40" i="20"/>
  <c r="AE42" i="20" s="1"/>
  <c r="AE43" i="20" s="1"/>
  <c r="AF40" i="20"/>
  <c r="AF42" i="20" s="1"/>
  <c r="AG40" i="20"/>
  <c r="AH40" i="20"/>
  <c r="AH42" i="20" s="1"/>
  <c r="AH43" i="20" s="1"/>
  <c r="AI40" i="20"/>
  <c r="AJ40" i="20"/>
  <c r="AK40" i="20"/>
  <c r="AL40" i="20"/>
  <c r="AM40" i="20"/>
  <c r="AN40" i="20"/>
  <c r="AO40" i="20"/>
  <c r="F41" i="20"/>
  <c r="G41" i="20"/>
  <c r="H41" i="20"/>
  <c r="I41" i="20"/>
  <c r="I42" i="20" s="1"/>
  <c r="J41" i="20"/>
  <c r="K41" i="20"/>
  <c r="L41" i="20"/>
  <c r="D41" i="20" s="1"/>
  <c r="F41" i="32" s="1"/>
  <c r="M41" i="20"/>
  <c r="E41" i="20" s="1"/>
  <c r="G41" i="32" s="1"/>
  <c r="N41" i="20"/>
  <c r="N42" i="20" s="1"/>
  <c r="N43" i="20" s="1"/>
  <c r="O41" i="20"/>
  <c r="P41" i="20"/>
  <c r="Q41" i="20"/>
  <c r="Q42" i="20" s="1"/>
  <c r="R41" i="20"/>
  <c r="S41" i="20"/>
  <c r="T41" i="20"/>
  <c r="T42" i="20" s="1"/>
  <c r="T43" i="20" s="1"/>
  <c r="U41" i="20"/>
  <c r="U42" i="20" s="1"/>
  <c r="U43" i="20" s="1"/>
  <c r="V41" i="20"/>
  <c r="V42" i="20" s="1"/>
  <c r="V43" i="20" s="1"/>
  <c r="W41" i="20"/>
  <c r="X41" i="20"/>
  <c r="Y41" i="20"/>
  <c r="Z41" i="20"/>
  <c r="AA41" i="20"/>
  <c r="AB41" i="20"/>
  <c r="AB42" i="20" s="1"/>
  <c r="AB43" i="20" s="1"/>
  <c r="AC41" i="20"/>
  <c r="AD41" i="20"/>
  <c r="AE41" i="20"/>
  <c r="AF41" i="20"/>
  <c r="AG41" i="20"/>
  <c r="AH41" i="20"/>
  <c r="AI41" i="20"/>
  <c r="AJ41" i="20"/>
  <c r="AJ42" i="20" s="1"/>
  <c r="AJ43" i="20" s="1"/>
  <c r="AK41" i="20"/>
  <c r="AK42" i="20" s="1"/>
  <c r="AL41" i="20"/>
  <c r="AM41" i="20"/>
  <c r="AN41" i="20"/>
  <c r="AO41" i="20"/>
  <c r="AO42" i="20" s="1"/>
  <c r="F42" i="20"/>
  <c r="F43" i="20" s="1"/>
  <c r="G42" i="20"/>
  <c r="G43" i="20" s="1"/>
  <c r="H42" i="20"/>
  <c r="L42" i="20"/>
  <c r="L43" i="20" s="1"/>
  <c r="O42" i="20"/>
  <c r="O43" i="20" s="1"/>
  <c r="P42" i="20"/>
  <c r="P43" i="20" s="1"/>
  <c r="X42" i="20"/>
  <c r="Y42" i="20"/>
  <c r="Y43" i="20" s="1"/>
  <c r="AD42" i="20"/>
  <c r="AD43" i="20" s="1"/>
  <c r="AG42" i="20"/>
  <c r="AI42" i="20"/>
  <c r="AI43" i="20" s="1"/>
  <c r="AL42" i="20"/>
  <c r="AM42" i="20"/>
  <c r="AM43" i="20" s="1"/>
  <c r="AN42" i="20"/>
  <c r="S43" i="20"/>
  <c r="W43" i="20"/>
  <c r="AF43" i="20"/>
  <c r="AG43" i="20"/>
  <c r="AL43" i="20"/>
  <c r="D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F47" i="20"/>
  <c r="G47" i="20"/>
  <c r="H47" i="20"/>
  <c r="I47" i="20"/>
  <c r="J47" i="20"/>
  <c r="K47" i="20"/>
  <c r="L47" i="20"/>
  <c r="M47" i="20"/>
  <c r="E47" i="20" s="1"/>
  <c r="G47" i="32" s="1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B82" i="20" s="1"/>
  <c r="Z639" i="44" s="1"/>
  <c r="AC49" i="20"/>
  <c r="AD49" i="20"/>
  <c r="AE49" i="20"/>
  <c r="AF49" i="20"/>
  <c r="AG49" i="20"/>
  <c r="AH49" i="20"/>
  <c r="AI49" i="20"/>
  <c r="AJ49" i="20"/>
  <c r="AJ82" i="20" s="1"/>
  <c r="AK49" i="20"/>
  <c r="AL49" i="20"/>
  <c r="AM49" i="20"/>
  <c r="AN49" i="20"/>
  <c r="AO49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F54" i="20"/>
  <c r="G54" i="20"/>
  <c r="G56" i="20" s="1"/>
  <c r="H54" i="20"/>
  <c r="I54" i="20"/>
  <c r="I56" i="20" s="1"/>
  <c r="J54" i="20"/>
  <c r="K54" i="20"/>
  <c r="L54" i="20"/>
  <c r="L56" i="20" s="1"/>
  <c r="M54" i="20"/>
  <c r="M56" i="20" s="1"/>
  <c r="N54" i="20"/>
  <c r="O54" i="20"/>
  <c r="O56" i="20" s="1"/>
  <c r="P54" i="20"/>
  <c r="P56" i="20" s="1"/>
  <c r="Q54" i="20"/>
  <c r="R54" i="20"/>
  <c r="S54" i="20"/>
  <c r="T54" i="20"/>
  <c r="T56" i="20" s="1"/>
  <c r="U54" i="20"/>
  <c r="U56" i="20" s="1"/>
  <c r="V54" i="20"/>
  <c r="W54" i="20"/>
  <c r="X54" i="20"/>
  <c r="X56" i="20" s="1"/>
  <c r="Y54" i="20"/>
  <c r="Y56" i="20" s="1"/>
  <c r="Z54" i="20"/>
  <c r="AA54" i="20"/>
  <c r="AB54" i="20"/>
  <c r="AC54" i="20"/>
  <c r="AC56" i="20" s="1"/>
  <c r="AD54" i="20"/>
  <c r="AE54" i="20"/>
  <c r="AE56" i="20" s="1"/>
  <c r="AF54" i="20"/>
  <c r="AG54" i="20"/>
  <c r="AG56" i="20" s="1"/>
  <c r="AH54" i="20"/>
  <c r="AI54" i="20"/>
  <c r="AJ54" i="20"/>
  <c r="AK54" i="20"/>
  <c r="AK56" i="20" s="1"/>
  <c r="AL54" i="20"/>
  <c r="AM54" i="20"/>
  <c r="AN54" i="20"/>
  <c r="AO54" i="20"/>
  <c r="AO56" i="20" s="1"/>
  <c r="F55" i="20"/>
  <c r="G55" i="20"/>
  <c r="H55" i="20"/>
  <c r="I55" i="20"/>
  <c r="J55" i="20"/>
  <c r="K55" i="20"/>
  <c r="K56" i="20" s="1"/>
  <c r="L55" i="20"/>
  <c r="M55" i="20"/>
  <c r="N55" i="20"/>
  <c r="N56" i="20" s="1"/>
  <c r="O55" i="20"/>
  <c r="P55" i="20"/>
  <c r="Q55" i="20"/>
  <c r="R55" i="20"/>
  <c r="S55" i="20"/>
  <c r="S56" i="20" s="1"/>
  <c r="T55" i="20"/>
  <c r="U55" i="20"/>
  <c r="V55" i="20"/>
  <c r="V56" i="20" s="1"/>
  <c r="W55" i="20"/>
  <c r="W56" i="20" s="1"/>
  <c r="X55" i="20"/>
  <c r="Y55" i="20"/>
  <c r="Z55" i="20"/>
  <c r="AA55" i="20"/>
  <c r="AB55" i="20"/>
  <c r="AC55" i="20"/>
  <c r="AD55" i="20"/>
  <c r="AD56" i="20" s="1"/>
  <c r="AE55" i="20"/>
  <c r="AF55" i="20"/>
  <c r="AG55" i="20"/>
  <c r="AH55" i="20"/>
  <c r="AI55" i="20"/>
  <c r="AI56" i="20" s="1"/>
  <c r="AJ55" i="20"/>
  <c r="AK55" i="20"/>
  <c r="AL55" i="20"/>
  <c r="AL56" i="20" s="1"/>
  <c r="AM55" i="20"/>
  <c r="AM56" i="20" s="1"/>
  <c r="AN55" i="20"/>
  <c r="AO55" i="20"/>
  <c r="H56" i="20"/>
  <c r="Q56" i="20"/>
  <c r="AA56" i="20"/>
  <c r="AB56" i="20"/>
  <c r="AF56" i="20"/>
  <c r="AJ56" i="20"/>
  <c r="AN56" i="20"/>
  <c r="F59" i="20"/>
  <c r="G59" i="20"/>
  <c r="H59" i="20"/>
  <c r="I59" i="20"/>
  <c r="I61" i="20" s="1"/>
  <c r="J59" i="20"/>
  <c r="J61" i="20" s="1"/>
  <c r="K59" i="20"/>
  <c r="L59" i="20"/>
  <c r="M59" i="20"/>
  <c r="N59" i="20"/>
  <c r="O59" i="20"/>
  <c r="O61" i="20" s="1"/>
  <c r="P59" i="20"/>
  <c r="P61" i="20" s="1"/>
  <c r="Q59" i="20"/>
  <c r="Q61" i="20" s="1"/>
  <c r="R59" i="20"/>
  <c r="R61" i="20" s="1"/>
  <c r="S59" i="20"/>
  <c r="T59" i="20"/>
  <c r="U59" i="20"/>
  <c r="V59" i="20"/>
  <c r="W59" i="20"/>
  <c r="W61" i="20" s="1"/>
  <c r="X59" i="20"/>
  <c r="X61" i="20" s="1"/>
  <c r="Y59" i="20"/>
  <c r="Y61" i="20" s="1"/>
  <c r="Z59" i="20"/>
  <c r="Z61" i="20" s="1"/>
  <c r="AA59" i="20"/>
  <c r="AB59" i="20"/>
  <c r="AC59" i="20"/>
  <c r="AD59" i="20"/>
  <c r="AE59" i="20"/>
  <c r="AE61" i="20" s="1"/>
  <c r="AF59" i="20"/>
  <c r="AF61" i="20" s="1"/>
  <c r="AG59" i="20"/>
  <c r="AG61" i="20" s="1"/>
  <c r="AH59" i="20"/>
  <c r="AH61" i="20" s="1"/>
  <c r="AI59" i="20"/>
  <c r="AJ59" i="20"/>
  <c r="AJ61" i="20" s="1"/>
  <c r="AK59" i="20"/>
  <c r="AL59" i="20"/>
  <c r="AM59" i="20"/>
  <c r="AM61" i="20" s="1"/>
  <c r="AN59" i="20"/>
  <c r="AN61" i="20" s="1"/>
  <c r="AO59" i="20"/>
  <c r="AO61" i="20" s="1"/>
  <c r="F60" i="20"/>
  <c r="G60" i="20"/>
  <c r="H60" i="20"/>
  <c r="I60" i="20"/>
  <c r="J60" i="20"/>
  <c r="K60" i="20"/>
  <c r="L60" i="20"/>
  <c r="M60" i="20"/>
  <c r="M61" i="20" s="1"/>
  <c r="N60" i="20"/>
  <c r="N61" i="20" s="1"/>
  <c r="O60" i="20"/>
  <c r="P60" i="20"/>
  <c r="Q60" i="20"/>
  <c r="R60" i="20"/>
  <c r="S60" i="20"/>
  <c r="T60" i="20"/>
  <c r="U60" i="20"/>
  <c r="U61" i="20" s="1"/>
  <c r="V60" i="20"/>
  <c r="V61" i="20" s="1"/>
  <c r="W60" i="20"/>
  <c r="X60" i="20"/>
  <c r="Y60" i="20"/>
  <c r="Z60" i="20"/>
  <c r="AA60" i="20"/>
  <c r="AB60" i="20"/>
  <c r="AC60" i="20"/>
  <c r="AC61" i="20" s="1"/>
  <c r="AD60" i="20"/>
  <c r="AD61" i="20" s="1"/>
  <c r="AE60" i="20"/>
  <c r="AF60" i="20"/>
  <c r="AG60" i="20"/>
  <c r="AH60" i="20"/>
  <c r="AI60" i="20"/>
  <c r="AJ60" i="20"/>
  <c r="AK60" i="20"/>
  <c r="AK61" i="20" s="1"/>
  <c r="AL60" i="20"/>
  <c r="AL61" i="20" s="1"/>
  <c r="AM60" i="20"/>
  <c r="AN60" i="20"/>
  <c r="AO60" i="20"/>
  <c r="H61" i="20"/>
  <c r="K61" i="20"/>
  <c r="L61" i="20"/>
  <c r="S61" i="20"/>
  <c r="T61" i="20"/>
  <c r="AA61" i="20"/>
  <c r="AB61" i="20"/>
  <c r="AI61" i="20"/>
  <c r="F64" i="20"/>
  <c r="F66" i="20" s="1"/>
  <c r="G64" i="20"/>
  <c r="H64" i="20"/>
  <c r="I64" i="20"/>
  <c r="J64" i="20"/>
  <c r="K64" i="20"/>
  <c r="L64" i="20"/>
  <c r="M64" i="20"/>
  <c r="M66" i="20" s="1"/>
  <c r="N64" i="20"/>
  <c r="O64" i="20"/>
  <c r="P64" i="20"/>
  <c r="Q64" i="20"/>
  <c r="R64" i="20"/>
  <c r="S64" i="20"/>
  <c r="T64" i="20"/>
  <c r="U64" i="20"/>
  <c r="U66" i="20" s="1"/>
  <c r="V64" i="20"/>
  <c r="W64" i="20"/>
  <c r="X64" i="20"/>
  <c r="Y64" i="20"/>
  <c r="Z64" i="20"/>
  <c r="Z66" i="20" s="1"/>
  <c r="AA64" i="20"/>
  <c r="AB64" i="20"/>
  <c r="AC64" i="20"/>
  <c r="AC66" i="20" s="1"/>
  <c r="AD64" i="20"/>
  <c r="AE64" i="20"/>
  <c r="AF64" i="20"/>
  <c r="AG64" i="20"/>
  <c r="AH64" i="20"/>
  <c r="AI64" i="20"/>
  <c r="AJ64" i="20"/>
  <c r="AK64" i="20"/>
  <c r="AK66" i="20" s="1"/>
  <c r="AL64" i="20"/>
  <c r="AM64" i="20"/>
  <c r="AN64" i="20"/>
  <c r="AO64" i="20"/>
  <c r="F65" i="20"/>
  <c r="G65" i="20"/>
  <c r="H65" i="20"/>
  <c r="I65" i="20"/>
  <c r="J65" i="20"/>
  <c r="K65" i="20"/>
  <c r="K66" i="20" s="1"/>
  <c r="L65" i="20"/>
  <c r="L66" i="20" s="1"/>
  <c r="M65" i="20"/>
  <c r="N65" i="20"/>
  <c r="O65" i="20"/>
  <c r="P65" i="20"/>
  <c r="Q65" i="20"/>
  <c r="R65" i="20"/>
  <c r="S65" i="20"/>
  <c r="S66" i="20" s="1"/>
  <c r="T65" i="20"/>
  <c r="T66" i="20" s="1"/>
  <c r="U65" i="20"/>
  <c r="V65" i="20"/>
  <c r="W65" i="20"/>
  <c r="X65" i="20"/>
  <c r="Y65" i="20"/>
  <c r="Z65" i="20"/>
  <c r="AA65" i="20"/>
  <c r="AA66" i="20" s="1"/>
  <c r="AB65" i="20"/>
  <c r="AB66" i="20" s="1"/>
  <c r="AC65" i="20"/>
  <c r="AD65" i="20"/>
  <c r="AE65" i="20"/>
  <c r="AF65" i="20"/>
  <c r="AG65" i="20"/>
  <c r="AH65" i="20"/>
  <c r="AI65" i="20"/>
  <c r="AI66" i="20" s="1"/>
  <c r="AJ65" i="20"/>
  <c r="AJ66" i="20" s="1"/>
  <c r="AK65" i="20"/>
  <c r="AL65" i="20"/>
  <c r="AM65" i="20"/>
  <c r="AN65" i="20"/>
  <c r="AO65" i="20"/>
  <c r="I66" i="20"/>
  <c r="J66" i="20"/>
  <c r="N66" i="20"/>
  <c r="Q66" i="20"/>
  <c r="R66" i="20"/>
  <c r="V66" i="20"/>
  <c r="Y66" i="20"/>
  <c r="AD66" i="20"/>
  <c r="AG66" i="20"/>
  <c r="AH66" i="20"/>
  <c r="AL66" i="20"/>
  <c r="AO66" i="20"/>
  <c r="F70" i="20"/>
  <c r="G70" i="20"/>
  <c r="H70" i="20"/>
  <c r="I70" i="20"/>
  <c r="J70" i="20"/>
  <c r="K70" i="20"/>
  <c r="K72" i="20" s="1"/>
  <c r="L70" i="20"/>
  <c r="L72" i="20" s="1"/>
  <c r="M70" i="20"/>
  <c r="M72" i="20" s="1"/>
  <c r="N70" i="20"/>
  <c r="O70" i="20"/>
  <c r="P70" i="20"/>
  <c r="P72" i="20" s="1"/>
  <c r="Q70" i="20"/>
  <c r="R70" i="20"/>
  <c r="S70" i="20"/>
  <c r="S72" i="20" s="1"/>
  <c r="T70" i="20"/>
  <c r="U70" i="20"/>
  <c r="U72" i="20" s="1"/>
  <c r="V70" i="20"/>
  <c r="W70" i="20"/>
  <c r="X70" i="20"/>
  <c r="X72" i="20" s="1"/>
  <c r="Y70" i="20"/>
  <c r="Z70" i="20"/>
  <c r="AA70" i="20"/>
  <c r="AA72" i="20" s="1"/>
  <c r="AB70" i="20"/>
  <c r="AC70" i="20"/>
  <c r="AC72" i="20" s="1"/>
  <c r="AD70" i="20"/>
  <c r="AE70" i="20"/>
  <c r="AF70" i="20"/>
  <c r="AF72" i="20" s="1"/>
  <c r="AG70" i="20"/>
  <c r="AH70" i="20"/>
  <c r="AI70" i="20"/>
  <c r="AI72" i="20" s="1"/>
  <c r="AJ70" i="20"/>
  <c r="AJ72" i="20" s="1"/>
  <c r="AK70" i="20"/>
  <c r="AK72" i="20" s="1"/>
  <c r="AL70" i="20"/>
  <c r="AM70" i="20"/>
  <c r="AN70" i="20"/>
  <c r="AN72" i="20" s="1"/>
  <c r="AO70" i="20"/>
  <c r="F71" i="20"/>
  <c r="G71" i="20"/>
  <c r="H71" i="20"/>
  <c r="I71" i="20"/>
  <c r="I72" i="20" s="1"/>
  <c r="J71" i="20"/>
  <c r="J72" i="20" s="1"/>
  <c r="K71" i="20"/>
  <c r="L71" i="20"/>
  <c r="M71" i="20"/>
  <c r="E71" i="20" s="1"/>
  <c r="G71" i="32" s="1"/>
  <c r="N71" i="20"/>
  <c r="O71" i="20"/>
  <c r="P71" i="20"/>
  <c r="Q71" i="20"/>
  <c r="Q72" i="20" s="1"/>
  <c r="R71" i="20"/>
  <c r="R72" i="20" s="1"/>
  <c r="S71" i="20"/>
  <c r="T71" i="20"/>
  <c r="U71" i="20"/>
  <c r="V71" i="20"/>
  <c r="W71" i="20"/>
  <c r="X71" i="20"/>
  <c r="Y71" i="20"/>
  <c r="Y72" i="20" s="1"/>
  <c r="Z71" i="20"/>
  <c r="Z72" i="20" s="1"/>
  <c r="AA71" i="20"/>
  <c r="AB71" i="20"/>
  <c r="AC71" i="20"/>
  <c r="AD71" i="20"/>
  <c r="AE71" i="20"/>
  <c r="AF71" i="20"/>
  <c r="AG71" i="20"/>
  <c r="AG72" i="20" s="1"/>
  <c r="AH71" i="20"/>
  <c r="AH72" i="20" s="1"/>
  <c r="AI71" i="20"/>
  <c r="AJ71" i="20"/>
  <c r="AK71" i="20"/>
  <c r="AL71" i="20"/>
  <c r="AM71" i="20"/>
  <c r="AN71" i="20"/>
  <c r="AO71" i="20"/>
  <c r="AO72" i="20" s="1"/>
  <c r="G72" i="20"/>
  <c r="O72" i="20"/>
  <c r="T72" i="20"/>
  <c r="W72" i="20"/>
  <c r="AB72" i="20"/>
  <c r="AE72" i="20"/>
  <c r="AM72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F74" i="20"/>
  <c r="H74" i="20"/>
  <c r="D74" i="20" s="1"/>
  <c r="F74" i="32" s="1"/>
  <c r="H74" i="32" s="1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F75" i="20"/>
  <c r="G75" i="20"/>
  <c r="H75" i="20"/>
  <c r="I75" i="20"/>
  <c r="J75" i="20"/>
  <c r="K75" i="20"/>
  <c r="L75" i="20"/>
  <c r="M75" i="20"/>
  <c r="E75" i="20" s="1"/>
  <c r="G75" i="32" s="1"/>
  <c r="I75" i="32" s="1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F76" i="32" s="1"/>
  <c r="F76" i="20"/>
  <c r="G76" i="20"/>
  <c r="H76" i="20"/>
  <c r="I76" i="20"/>
  <c r="J76" i="20"/>
  <c r="K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F77" i="20"/>
  <c r="G77" i="20"/>
  <c r="H77" i="20"/>
  <c r="I77" i="20"/>
  <c r="J77" i="20"/>
  <c r="K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F78" i="32" s="1"/>
  <c r="F78" i="20"/>
  <c r="G78" i="20"/>
  <c r="H78" i="20"/>
  <c r="I78" i="20"/>
  <c r="J78" i="20"/>
  <c r="K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F79" i="20"/>
  <c r="G79" i="20"/>
  <c r="H79" i="20"/>
  <c r="I79" i="20"/>
  <c r="J79" i="20"/>
  <c r="K79" i="20"/>
  <c r="L79" i="20"/>
  <c r="M79" i="20"/>
  <c r="E79" i="20" s="1"/>
  <c r="G79" i="32" s="1"/>
  <c r="I79" i="32" s="1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F80" i="20"/>
  <c r="G80" i="20"/>
  <c r="H80" i="20"/>
  <c r="I80" i="20"/>
  <c r="J80" i="20"/>
  <c r="K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F81" i="20"/>
  <c r="G81" i="20"/>
  <c r="H81" i="20"/>
  <c r="I81" i="20"/>
  <c r="J81" i="20"/>
  <c r="K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T82" i="20"/>
  <c r="R639" i="44" s="1"/>
  <c r="A4" i="8"/>
  <c r="A5" i="8"/>
  <c r="F11" i="8"/>
  <c r="H11" i="8"/>
  <c r="I11" i="8"/>
  <c r="G11" i="8" s="1"/>
  <c r="L11" i="8"/>
  <c r="G12" i="8"/>
  <c r="H12" i="8"/>
  <c r="I12" i="8"/>
  <c r="M12" i="8"/>
  <c r="F13" i="8"/>
  <c r="H13" i="8"/>
  <c r="I13" i="8"/>
  <c r="L13" i="8"/>
  <c r="G14" i="8"/>
  <c r="H14" i="8"/>
  <c r="I14" i="8"/>
  <c r="M14" i="8"/>
  <c r="E14" i="32" s="1"/>
  <c r="F15" i="8"/>
  <c r="H15" i="8"/>
  <c r="I15" i="8"/>
  <c r="G15" i="8" s="1"/>
  <c r="L15" i="8"/>
  <c r="H16" i="8"/>
  <c r="J16" i="8"/>
  <c r="J82" i="8" s="1"/>
  <c r="K16" i="8"/>
  <c r="H18" i="8"/>
  <c r="I18" i="8"/>
  <c r="F19" i="8"/>
  <c r="H19" i="8"/>
  <c r="I19" i="8"/>
  <c r="G19" i="8" s="1"/>
  <c r="L19" i="8"/>
  <c r="G20" i="8"/>
  <c r="H20" i="8"/>
  <c r="I20" i="8"/>
  <c r="M20" i="8"/>
  <c r="E20" i="32" s="1"/>
  <c r="F21" i="8"/>
  <c r="H21" i="8"/>
  <c r="I21" i="8"/>
  <c r="L21" i="8"/>
  <c r="D21" i="32" s="1"/>
  <c r="G22" i="8"/>
  <c r="H22" i="8"/>
  <c r="I22" i="8"/>
  <c r="M22" i="8"/>
  <c r="E22" i="32" s="1"/>
  <c r="F23" i="8"/>
  <c r="H23" i="8"/>
  <c r="I23" i="8"/>
  <c r="G23" i="8" s="1"/>
  <c r="L23" i="8"/>
  <c r="D23" i="32" s="1"/>
  <c r="H23" i="32" s="1"/>
  <c r="H24" i="8"/>
  <c r="J24" i="8"/>
  <c r="K24" i="8"/>
  <c r="G27" i="8"/>
  <c r="H27" i="8"/>
  <c r="I27" i="8"/>
  <c r="M27" i="8"/>
  <c r="F28" i="8"/>
  <c r="H28" i="8"/>
  <c r="I28" i="8"/>
  <c r="L28" i="8"/>
  <c r="D28" i="32" s="1"/>
  <c r="H29" i="8"/>
  <c r="J29" i="8"/>
  <c r="K29" i="8"/>
  <c r="K82" i="8" s="1"/>
  <c r="G32" i="8"/>
  <c r="H32" i="8"/>
  <c r="I32" i="8"/>
  <c r="M32" i="8"/>
  <c r="H33" i="8"/>
  <c r="F33" i="8" s="1"/>
  <c r="I33" i="8"/>
  <c r="G33" i="8" s="1"/>
  <c r="G34" i="8"/>
  <c r="H34" i="8"/>
  <c r="I34" i="8"/>
  <c r="M34" i="8"/>
  <c r="F35" i="8"/>
  <c r="H35" i="8"/>
  <c r="I35" i="8"/>
  <c r="L35" i="8"/>
  <c r="J36" i="8"/>
  <c r="K36" i="8"/>
  <c r="L37" i="8"/>
  <c r="M37" i="8"/>
  <c r="H38" i="8"/>
  <c r="I38" i="8"/>
  <c r="G39" i="8"/>
  <c r="H39" i="8"/>
  <c r="F39" i="8" s="1"/>
  <c r="I39" i="8"/>
  <c r="L39" i="8"/>
  <c r="D39" i="32" s="1"/>
  <c r="M39" i="8"/>
  <c r="F40" i="8"/>
  <c r="H40" i="8"/>
  <c r="I40" i="8"/>
  <c r="L40" i="8"/>
  <c r="G41" i="8"/>
  <c r="H41" i="8"/>
  <c r="L41" i="8" s="1"/>
  <c r="I41" i="8"/>
  <c r="M41" i="8"/>
  <c r="H42" i="8"/>
  <c r="H43" i="8" s="1"/>
  <c r="J42" i="8"/>
  <c r="J43" i="8" s="1"/>
  <c r="K42" i="8"/>
  <c r="K43" i="8"/>
  <c r="F45" i="8"/>
  <c r="H45" i="8"/>
  <c r="I45" i="8"/>
  <c r="G45" i="8" s="1"/>
  <c r="L45" i="8"/>
  <c r="D45" i="32" s="1"/>
  <c r="G47" i="8"/>
  <c r="H47" i="8"/>
  <c r="F47" i="8" s="1"/>
  <c r="I47" i="8"/>
  <c r="L47" i="8"/>
  <c r="D47" i="32" s="1"/>
  <c r="M47" i="8"/>
  <c r="F49" i="8"/>
  <c r="H49" i="8"/>
  <c r="I49" i="8"/>
  <c r="L49" i="8"/>
  <c r="D49" i="32" s="1"/>
  <c r="G51" i="8"/>
  <c r="H51" i="8"/>
  <c r="I51" i="8"/>
  <c r="M51" i="8"/>
  <c r="H54" i="8"/>
  <c r="L54" i="8" s="1"/>
  <c r="D54" i="32" s="1"/>
  <c r="I54" i="8"/>
  <c r="G54" i="8" s="1"/>
  <c r="G56" i="8" s="1"/>
  <c r="G55" i="8"/>
  <c r="H55" i="8"/>
  <c r="I55" i="8"/>
  <c r="M55" i="8"/>
  <c r="I56" i="8"/>
  <c r="J56" i="8"/>
  <c r="K56" i="8"/>
  <c r="F59" i="8"/>
  <c r="H59" i="8"/>
  <c r="I59" i="8"/>
  <c r="L59" i="8"/>
  <c r="G60" i="8"/>
  <c r="H60" i="8"/>
  <c r="I60" i="8"/>
  <c r="M60" i="8"/>
  <c r="E60" i="32" s="1"/>
  <c r="I61" i="8"/>
  <c r="J61" i="8"/>
  <c r="K61" i="8"/>
  <c r="F64" i="8"/>
  <c r="F66" i="8" s="1"/>
  <c r="H64" i="8"/>
  <c r="H66" i="8" s="1"/>
  <c r="I64" i="8"/>
  <c r="L64" i="8"/>
  <c r="D64" i="32" s="1"/>
  <c r="G65" i="8"/>
  <c r="H65" i="8"/>
  <c r="F65" i="8" s="1"/>
  <c r="I65" i="8"/>
  <c r="L65" i="8"/>
  <c r="D65" i="32" s="1"/>
  <c r="M65" i="8"/>
  <c r="E65" i="32" s="1"/>
  <c r="I66" i="8"/>
  <c r="J66" i="8"/>
  <c r="K66" i="8"/>
  <c r="L69" i="8"/>
  <c r="M69" i="8"/>
  <c r="G70" i="8"/>
  <c r="H70" i="8"/>
  <c r="F70" i="8" s="1"/>
  <c r="I70" i="8"/>
  <c r="L70" i="8"/>
  <c r="L72" i="8" s="1"/>
  <c r="M70" i="8"/>
  <c r="F71" i="8"/>
  <c r="H71" i="8"/>
  <c r="I71" i="8"/>
  <c r="L71" i="8"/>
  <c r="D71" i="32" s="1"/>
  <c r="F72" i="8"/>
  <c r="H72" i="8"/>
  <c r="J72" i="8"/>
  <c r="K72" i="8"/>
  <c r="F73" i="8"/>
  <c r="G73" i="8"/>
  <c r="H73" i="8"/>
  <c r="L73" i="8" s="1"/>
  <c r="D73" i="32" s="1"/>
  <c r="I73" i="8"/>
  <c r="M73" i="8"/>
  <c r="E73" i="32" s="1"/>
  <c r="F74" i="8"/>
  <c r="H74" i="8"/>
  <c r="I74" i="8"/>
  <c r="L74" i="8"/>
  <c r="G75" i="8"/>
  <c r="H75" i="8"/>
  <c r="F75" i="8" s="1"/>
  <c r="I75" i="8"/>
  <c r="L75" i="8"/>
  <c r="D75" i="32" s="1"/>
  <c r="M75" i="8"/>
  <c r="E75" i="32" s="1"/>
  <c r="F76" i="8"/>
  <c r="H76" i="8"/>
  <c r="I76" i="8"/>
  <c r="L76" i="8"/>
  <c r="G77" i="8"/>
  <c r="H77" i="8"/>
  <c r="I77" i="8"/>
  <c r="M77" i="8"/>
  <c r="F78" i="8"/>
  <c r="H78" i="8"/>
  <c r="L78" i="8" s="1"/>
  <c r="D78" i="32" s="1"/>
  <c r="I78" i="8"/>
  <c r="G79" i="8"/>
  <c r="H79" i="8"/>
  <c r="I79" i="8"/>
  <c r="M79" i="8"/>
  <c r="E79" i="32" s="1"/>
  <c r="F80" i="8"/>
  <c r="H80" i="8"/>
  <c r="I80" i="8"/>
  <c r="L80" i="8"/>
  <c r="D80" i="32" s="1"/>
  <c r="F81" i="8"/>
  <c r="G81" i="8"/>
  <c r="H81" i="8"/>
  <c r="L81" i="8" s="1"/>
  <c r="D81" i="32" s="1"/>
  <c r="I81" i="8"/>
  <c r="M81" i="8"/>
  <c r="E81" i="32" s="1"/>
  <c r="D82" i="8"/>
  <c r="E82" i="8"/>
  <c r="A5" i="32"/>
  <c r="D11" i="32"/>
  <c r="E12" i="32"/>
  <c r="D13" i="32"/>
  <c r="G13" i="32"/>
  <c r="D15" i="32"/>
  <c r="H15" i="32" s="1"/>
  <c r="F15" i="32"/>
  <c r="E27" i="32"/>
  <c r="E34" i="32"/>
  <c r="D35" i="32"/>
  <c r="E39" i="32"/>
  <c r="D41" i="32"/>
  <c r="H41" i="32" s="1"/>
  <c r="E41" i="32"/>
  <c r="I41" i="32"/>
  <c r="F45" i="32"/>
  <c r="E47" i="32"/>
  <c r="E51" i="32"/>
  <c r="E55" i="32"/>
  <c r="E70" i="32"/>
  <c r="D74" i="32"/>
  <c r="D76" i="32"/>
  <c r="H76" i="32" s="1"/>
  <c r="E77" i="32"/>
  <c r="D11" i="4"/>
  <c r="E11" i="4" s="1"/>
  <c r="F11" i="4"/>
  <c r="D12" i="4"/>
  <c r="F12" i="4"/>
  <c r="E12" i="4" s="1"/>
  <c r="D13" i="4"/>
  <c r="F13" i="4"/>
  <c r="E13" i="4" s="1"/>
  <c r="C14" i="4"/>
  <c r="E14" i="4"/>
  <c r="H14" i="4"/>
  <c r="D15" i="4"/>
  <c r="F15" i="4"/>
  <c r="D16" i="4"/>
  <c r="F16" i="4"/>
  <c r="E16" i="4" s="1"/>
  <c r="D17" i="4"/>
  <c r="F17" i="4"/>
  <c r="E17" i="4" s="1"/>
  <c r="D18" i="4"/>
  <c r="E18" i="4" s="1"/>
  <c r="F18" i="4"/>
  <c r="D19" i="4"/>
  <c r="F19" i="4"/>
  <c r="D20" i="4"/>
  <c r="F20" i="4"/>
  <c r="D21" i="4"/>
  <c r="E21" i="4"/>
  <c r="F21" i="4"/>
  <c r="D22" i="4"/>
  <c r="F22" i="4"/>
  <c r="E22" i="4" s="1"/>
  <c r="D23" i="4"/>
  <c r="E23" i="4" s="1"/>
  <c r="F23" i="4"/>
  <c r="D24" i="4"/>
  <c r="E24" i="4"/>
  <c r="F24" i="4"/>
  <c r="D25" i="4"/>
  <c r="F25" i="4"/>
  <c r="E25" i="4" s="1"/>
  <c r="D26" i="4"/>
  <c r="E26" i="4" s="1"/>
  <c r="F26" i="4"/>
  <c r="D27" i="4"/>
  <c r="E27" i="4"/>
  <c r="F27" i="4"/>
  <c r="D28" i="4"/>
  <c r="F28" i="4"/>
  <c r="D30" i="4"/>
  <c r="E30" i="4"/>
  <c r="F30" i="4"/>
  <c r="H30" i="4"/>
  <c r="A4" i="56"/>
  <c r="A5" i="56"/>
  <c r="G11" i="56"/>
  <c r="H11" i="56"/>
  <c r="I11" i="56"/>
  <c r="L11" i="56"/>
  <c r="M11" i="56"/>
  <c r="E11" i="57" s="1"/>
  <c r="F12" i="56"/>
  <c r="H12" i="56"/>
  <c r="I12" i="56"/>
  <c r="L12" i="56"/>
  <c r="G13" i="56"/>
  <c r="H13" i="56"/>
  <c r="I13" i="56"/>
  <c r="M13" i="56"/>
  <c r="F14" i="56"/>
  <c r="H14" i="56"/>
  <c r="L14" i="56" s="1"/>
  <c r="D14" i="57" s="1"/>
  <c r="I14" i="56"/>
  <c r="I16" i="56" s="1"/>
  <c r="G15" i="56"/>
  <c r="H15" i="56"/>
  <c r="I15" i="56"/>
  <c r="M15" i="56"/>
  <c r="J16" i="56"/>
  <c r="J82" i="56" s="1"/>
  <c r="J91" i="56" s="1"/>
  <c r="K16" i="56"/>
  <c r="H18" i="56"/>
  <c r="I18" i="56"/>
  <c r="G19" i="56"/>
  <c r="H19" i="56"/>
  <c r="I19" i="56"/>
  <c r="M19" i="56"/>
  <c r="F20" i="56"/>
  <c r="H20" i="56"/>
  <c r="I20" i="56"/>
  <c r="I24" i="56" s="1"/>
  <c r="L20" i="56"/>
  <c r="F21" i="56"/>
  <c r="G21" i="56"/>
  <c r="H21" i="56"/>
  <c r="L21" i="56" s="1"/>
  <c r="I21" i="56"/>
  <c r="M21" i="56"/>
  <c r="E21" i="57" s="1"/>
  <c r="H22" i="56"/>
  <c r="F22" i="56" s="1"/>
  <c r="I22" i="56"/>
  <c r="L22" i="56"/>
  <c r="D22" i="57" s="1"/>
  <c r="G23" i="56"/>
  <c r="H23" i="56"/>
  <c r="F23" i="56" s="1"/>
  <c r="I23" i="56"/>
  <c r="L23" i="56"/>
  <c r="D23" i="57" s="1"/>
  <c r="M23" i="56"/>
  <c r="J24" i="56"/>
  <c r="K24" i="56"/>
  <c r="F27" i="56"/>
  <c r="H27" i="56"/>
  <c r="I27" i="56"/>
  <c r="I29" i="56" s="1"/>
  <c r="L27" i="56"/>
  <c r="L29" i="56" s="1"/>
  <c r="F28" i="56"/>
  <c r="G28" i="56"/>
  <c r="H28" i="56"/>
  <c r="L28" i="56" s="1"/>
  <c r="I28" i="56"/>
  <c r="M28" i="56"/>
  <c r="E28" i="57" s="1"/>
  <c r="H29" i="56"/>
  <c r="J29" i="56"/>
  <c r="K29" i="56"/>
  <c r="H32" i="56"/>
  <c r="I32" i="56"/>
  <c r="G33" i="56"/>
  <c r="H33" i="56"/>
  <c r="I33" i="56"/>
  <c r="M33" i="56"/>
  <c r="E33" i="57" s="1"/>
  <c r="F34" i="56"/>
  <c r="H34" i="56"/>
  <c r="I34" i="56"/>
  <c r="I36" i="56" s="1"/>
  <c r="L34" i="56"/>
  <c r="F35" i="56"/>
  <c r="G35" i="56"/>
  <c r="H35" i="56"/>
  <c r="L35" i="56" s="1"/>
  <c r="I35" i="56"/>
  <c r="M35" i="56"/>
  <c r="J36" i="56"/>
  <c r="K36" i="56"/>
  <c r="L37" i="56"/>
  <c r="M37" i="56"/>
  <c r="H38" i="56"/>
  <c r="I38" i="56"/>
  <c r="F39" i="56"/>
  <c r="H39" i="56"/>
  <c r="I39" i="56"/>
  <c r="L39" i="56"/>
  <c r="F40" i="56"/>
  <c r="G40" i="56"/>
  <c r="H40" i="56"/>
  <c r="L40" i="56" s="1"/>
  <c r="I40" i="56"/>
  <c r="M40" i="56"/>
  <c r="F41" i="56"/>
  <c r="H41" i="56"/>
  <c r="I41" i="56"/>
  <c r="L41" i="56"/>
  <c r="D41" i="57" s="1"/>
  <c r="H42" i="56"/>
  <c r="H43" i="56" s="1"/>
  <c r="J42" i="56"/>
  <c r="K42" i="56"/>
  <c r="L42" i="56"/>
  <c r="L43" i="56" s="1"/>
  <c r="J43" i="56"/>
  <c r="K43" i="56"/>
  <c r="G45" i="56"/>
  <c r="H45" i="56"/>
  <c r="F45" i="56" s="1"/>
  <c r="I45" i="56"/>
  <c r="M45" i="56"/>
  <c r="F47" i="56"/>
  <c r="H47" i="56"/>
  <c r="I47" i="56"/>
  <c r="L47" i="56"/>
  <c r="F49" i="56"/>
  <c r="G49" i="56"/>
  <c r="H49" i="56"/>
  <c r="L49" i="56" s="1"/>
  <c r="I49" i="56"/>
  <c r="M49" i="56"/>
  <c r="E49" i="57" s="1"/>
  <c r="F51" i="56"/>
  <c r="H51" i="56"/>
  <c r="I51" i="56"/>
  <c r="L51" i="56"/>
  <c r="G54" i="56"/>
  <c r="G56" i="56" s="1"/>
  <c r="H54" i="56"/>
  <c r="F54" i="56" s="1"/>
  <c r="F56" i="56" s="1"/>
  <c r="I54" i="56"/>
  <c r="L54" i="56"/>
  <c r="L56" i="56" s="1"/>
  <c r="M54" i="56"/>
  <c r="F55" i="56"/>
  <c r="H55" i="56"/>
  <c r="I55" i="56"/>
  <c r="G55" i="56" s="1"/>
  <c r="L55" i="56"/>
  <c r="D55" i="57" s="1"/>
  <c r="H56" i="56"/>
  <c r="J56" i="56"/>
  <c r="K56" i="56"/>
  <c r="G59" i="56"/>
  <c r="H59" i="56"/>
  <c r="I59" i="56"/>
  <c r="I61" i="56" s="1"/>
  <c r="M59" i="56"/>
  <c r="F60" i="56"/>
  <c r="H60" i="56"/>
  <c r="I60" i="56"/>
  <c r="L60" i="56"/>
  <c r="H61" i="56"/>
  <c r="J61" i="56"/>
  <c r="K61" i="56"/>
  <c r="G64" i="56"/>
  <c r="H64" i="56"/>
  <c r="I64" i="56"/>
  <c r="M64" i="56"/>
  <c r="F65" i="56"/>
  <c r="H65" i="56"/>
  <c r="I65" i="56"/>
  <c r="G65" i="56" s="1"/>
  <c r="G66" i="56" s="1"/>
  <c r="L65" i="56"/>
  <c r="H66" i="56"/>
  <c r="J66" i="56"/>
  <c r="K66" i="56"/>
  <c r="G70" i="56"/>
  <c r="H70" i="56"/>
  <c r="I70" i="56"/>
  <c r="M70" i="56"/>
  <c r="F71" i="56"/>
  <c r="H71" i="56"/>
  <c r="I71" i="56"/>
  <c r="L71" i="56"/>
  <c r="J72" i="56"/>
  <c r="K72" i="56"/>
  <c r="G73" i="56"/>
  <c r="H73" i="56"/>
  <c r="I73" i="56"/>
  <c r="M73" i="56"/>
  <c r="E73" i="57" s="1"/>
  <c r="F74" i="56"/>
  <c r="H74" i="56"/>
  <c r="I74" i="56"/>
  <c r="G74" i="56" s="1"/>
  <c r="L74" i="56"/>
  <c r="D74" i="57" s="1"/>
  <c r="G75" i="56"/>
  <c r="H75" i="56"/>
  <c r="I75" i="56"/>
  <c r="M75" i="56"/>
  <c r="F76" i="56"/>
  <c r="H76" i="56"/>
  <c r="I76" i="56"/>
  <c r="L76" i="56"/>
  <c r="G77" i="56"/>
  <c r="H77" i="56"/>
  <c r="I77" i="56"/>
  <c r="M77" i="56"/>
  <c r="E77" i="57" s="1"/>
  <c r="F78" i="56"/>
  <c r="H78" i="56"/>
  <c r="I78" i="56"/>
  <c r="G78" i="56" s="1"/>
  <c r="L78" i="56"/>
  <c r="D78" i="57" s="1"/>
  <c r="G79" i="56"/>
  <c r="H79" i="56"/>
  <c r="I79" i="56"/>
  <c r="M79" i="56"/>
  <c r="F80" i="56"/>
  <c r="H80" i="56"/>
  <c r="I80" i="56"/>
  <c r="L80" i="56"/>
  <c r="G81" i="56"/>
  <c r="H81" i="56"/>
  <c r="I81" i="56"/>
  <c r="M81" i="56"/>
  <c r="E81" i="57" s="1"/>
  <c r="D82" i="56"/>
  <c r="D91" i="56" s="1"/>
  <c r="E82" i="56"/>
  <c r="H86" i="56"/>
  <c r="I86" i="56"/>
  <c r="M86" i="56" s="1"/>
  <c r="E86" i="57" s="1"/>
  <c r="L86" i="56"/>
  <c r="H87" i="56"/>
  <c r="I87" i="56"/>
  <c r="L87" i="56"/>
  <c r="H88" i="56"/>
  <c r="I88" i="56"/>
  <c r="M88" i="56" s="1"/>
  <c r="E88" i="57" s="1"/>
  <c r="L88" i="56"/>
  <c r="D88" i="57" s="1"/>
  <c r="D89" i="56"/>
  <c r="E89" i="56"/>
  <c r="E91" i="56" s="1"/>
  <c r="F89" i="56"/>
  <c r="G89" i="56"/>
  <c r="H89" i="56"/>
  <c r="J89" i="56"/>
  <c r="K89" i="56"/>
  <c r="A5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F11" i="55"/>
  <c r="G11" i="55"/>
  <c r="H11" i="55"/>
  <c r="I11" i="55"/>
  <c r="J11" i="55"/>
  <c r="K11" i="55"/>
  <c r="L11" i="55"/>
  <c r="D11" i="55" s="1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F12" i="55"/>
  <c r="G12" i="55"/>
  <c r="H12" i="55"/>
  <c r="I12" i="55"/>
  <c r="J12" i="55"/>
  <c r="K12" i="55"/>
  <c r="L12" i="55"/>
  <c r="M12" i="55"/>
  <c r="M16" i="55" s="1"/>
  <c r="N12" i="55"/>
  <c r="O12" i="55"/>
  <c r="P12" i="55"/>
  <c r="Q12" i="55"/>
  <c r="R12" i="55"/>
  <c r="S12" i="55"/>
  <c r="T12" i="55"/>
  <c r="U12" i="55"/>
  <c r="U16" i="55" s="1"/>
  <c r="V12" i="55"/>
  <c r="W12" i="55"/>
  <c r="X12" i="55"/>
  <c r="Y12" i="55"/>
  <c r="Z12" i="55"/>
  <c r="AA12" i="55"/>
  <c r="AB12" i="55"/>
  <c r="AC12" i="55"/>
  <c r="AC16" i="55" s="1"/>
  <c r="AD12" i="55"/>
  <c r="AD16" i="55" s="1"/>
  <c r="AE12" i="55"/>
  <c r="AF12" i="55"/>
  <c r="AG12" i="55"/>
  <c r="AH12" i="55"/>
  <c r="AI12" i="55"/>
  <c r="AJ12" i="55"/>
  <c r="AK12" i="55"/>
  <c r="AK16" i="55" s="1"/>
  <c r="AL12" i="55"/>
  <c r="AM12" i="55"/>
  <c r="AN12" i="55"/>
  <c r="AO12" i="55"/>
  <c r="F13" i="55"/>
  <c r="G13" i="55"/>
  <c r="H13" i="55"/>
  <c r="I13" i="55"/>
  <c r="J13" i="55"/>
  <c r="K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F14" i="55"/>
  <c r="G14" i="55"/>
  <c r="H14" i="55"/>
  <c r="I14" i="55"/>
  <c r="J14" i="55"/>
  <c r="K14" i="55"/>
  <c r="L14" i="55"/>
  <c r="M14" i="55"/>
  <c r="N14" i="55"/>
  <c r="O14" i="55"/>
  <c r="P14" i="55"/>
  <c r="Q14" i="55"/>
  <c r="Q16" i="55" s="1"/>
  <c r="R14" i="55"/>
  <c r="S14" i="55"/>
  <c r="T14" i="55"/>
  <c r="U14" i="55"/>
  <c r="V14" i="55"/>
  <c r="W14" i="55"/>
  <c r="X14" i="55"/>
  <c r="Y14" i="55"/>
  <c r="Y16" i="55" s="1"/>
  <c r="Z14" i="55"/>
  <c r="AA14" i="55"/>
  <c r="AB14" i="55"/>
  <c r="AC14" i="55"/>
  <c r="AD14" i="55"/>
  <c r="AE14" i="55"/>
  <c r="AF14" i="55"/>
  <c r="AG14" i="55"/>
  <c r="AG16" i="55" s="1"/>
  <c r="AH14" i="55"/>
  <c r="AI14" i="55"/>
  <c r="AJ14" i="55"/>
  <c r="AK14" i="55"/>
  <c r="AL14" i="55"/>
  <c r="AM14" i="55"/>
  <c r="AN14" i="55"/>
  <c r="AO14" i="55"/>
  <c r="AO16" i="55" s="1"/>
  <c r="F15" i="55"/>
  <c r="G15" i="55"/>
  <c r="H15" i="55"/>
  <c r="D15" i="55" s="1"/>
  <c r="F15" i="57" s="1"/>
  <c r="I15" i="55"/>
  <c r="J15" i="55"/>
  <c r="K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F16" i="55"/>
  <c r="J16" i="55"/>
  <c r="N16" i="55"/>
  <c r="R16" i="55"/>
  <c r="V16" i="55"/>
  <c r="Z16" i="55"/>
  <c r="AH16" i="55"/>
  <c r="AL16" i="55"/>
  <c r="F19" i="55"/>
  <c r="G19" i="55"/>
  <c r="H19" i="55"/>
  <c r="I19" i="55"/>
  <c r="J19" i="55"/>
  <c r="K19" i="55"/>
  <c r="K24" i="55" s="1"/>
  <c r="L19" i="55"/>
  <c r="L24" i="55" s="1"/>
  <c r="M19" i="55"/>
  <c r="N19" i="55"/>
  <c r="O19" i="55"/>
  <c r="O24" i="55" s="1"/>
  <c r="P19" i="55"/>
  <c r="Q19" i="55"/>
  <c r="R19" i="55"/>
  <c r="S19" i="55"/>
  <c r="S24" i="55" s="1"/>
  <c r="T19" i="55"/>
  <c r="T24" i="55" s="1"/>
  <c r="U19" i="55"/>
  <c r="V19" i="55"/>
  <c r="W19" i="55"/>
  <c r="W24" i="55" s="1"/>
  <c r="X19" i="55"/>
  <c r="Y19" i="55"/>
  <c r="Z19" i="55"/>
  <c r="AA19" i="55"/>
  <c r="AA24" i="55" s="1"/>
  <c r="AB19" i="55"/>
  <c r="AB24" i="55" s="1"/>
  <c r="AC19" i="55"/>
  <c r="AD19" i="55"/>
  <c r="AE19" i="55"/>
  <c r="AE24" i="55" s="1"/>
  <c r="AF19" i="55"/>
  <c r="AG19" i="55"/>
  <c r="AH19" i="55"/>
  <c r="AI19" i="55"/>
  <c r="AI24" i="55" s="1"/>
  <c r="AJ19" i="55"/>
  <c r="AJ24" i="55" s="1"/>
  <c r="AK19" i="55"/>
  <c r="AL19" i="55"/>
  <c r="AM19" i="55"/>
  <c r="AM24" i="55" s="1"/>
  <c r="AN19" i="55"/>
  <c r="AO19" i="55"/>
  <c r="F20" i="55"/>
  <c r="G20" i="55"/>
  <c r="H20" i="55"/>
  <c r="I20" i="55"/>
  <c r="J20" i="55"/>
  <c r="J24" i="55" s="1"/>
  <c r="K20" i="55"/>
  <c r="L20" i="55"/>
  <c r="M20" i="55"/>
  <c r="N20" i="55"/>
  <c r="O20" i="55"/>
  <c r="P20" i="55"/>
  <c r="Q20" i="55"/>
  <c r="Q24" i="55" s="1"/>
  <c r="R20" i="55"/>
  <c r="R24" i="55" s="1"/>
  <c r="S20" i="55"/>
  <c r="T20" i="55"/>
  <c r="U20" i="55"/>
  <c r="V20" i="55"/>
  <c r="W20" i="55"/>
  <c r="X20" i="55"/>
  <c r="Y20" i="55"/>
  <c r="Z20" i="55"/>
  <c r="Z24" i="55" s="1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AO24" i="55" s="1"/>
  <c r="D21" i="55"/>
  <c r="F21" i="55"/>
  <c r="G21" i="55"/>
  <c r="E21" i="55" s="1"/>
  <c r="G21" i="57" s="1"/>
  <c r="H21" i="55"/>
  <c r="I21" i="55"/>
  <c r="J21" i="55"/>
  <c r="K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F22" i="55"/>
  <c r="G22" i="55"/>
  <c r="H22" i="55"/>
  <c r="I22" i="55"/>
  <c r="J22" i="55"/>
  <c r="K22" i="55"/>
  <c r="L22" i="55"/>
  <c r="M22" i="55"/>
  <c r="M24" i="55" s="1"/>
  <c r="N22" i="55"/>
  <c r="O22" i="55"/>
  <c r="P22" i="55"/>
  <c r="Q22" i="55"/>
  <c r="R22" i="55"/>
  <c r="S22" i="55"/>
  <c r="T22" i="55"/>
  <c r="U22" i="55"/>
  <c r="U24" i="55" s="1"/>
  <c r="V22" i="55"/>
  <c r="W22" i="55"/>
  <c r="X22" i="55"/>
  <c r="Y22" i="55"/>
  <c r="Z22" i="55"/>
  <c r="AA22" i="55"/>
  <c r="AB22" i="55"/>
  <c r="AC22" i="55"/>
  <c r="AC24" i="55" s="1"/>
  <c r="AD22" i="55"/>
  <c r="AD24" i="55" s="1"/>
  <c r="AE22" i="55"/>
  <c r="AF22" i="55"/>
  <c r="AG22" i="55"/>
  <c r="AH22" i="55"/>
  <c r="AI22" i="55"/>
  <c r="AJ22" i="55"/>
  <c r="AK22" i="55"/>
  <c r="AK24" i="55" s="1"/>
  <c r="AL22" i="55"/>
  <c r="AL24" i="55" s="1"/>
  <c r="AM22" i="55"/>
  <c r="AN22" i="55"/>
  <c r="AO22" i="55"/>
  <c r="F23" i="55"/>
  <c r="G23" i="55"/>
  <c r="H23" i="55"/>
  <c r="I23" i="55"/>
  <c r="J23" i="55"/>
  <c r="K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I24" i="55"/>
  <c r="N24" i="55"/>
  <c r="V24" i="55"/>
  <c r="Y24" i="55"/>
  <c r="AG24" i="55"/>
  <c r="AH24" i="55"/>
  <c r="D27" i="55"/>
  <c r="F27" i="55"/>
  <c r="F29" i="55" s="1"/>
  <c r="G27" i="55"/>
  <c r="E27" i="55" s="1"/>
  <c r="H27" i="55"/>
  <c r="H29" i="55" s="1"/>
  <c r="I27" i="55"/>
  <c r="J27" i="55"/>
  <c r="K27" i="55"/>
  <c r="K29" i="55" s="1"/>
  <c r="L27" i="55"/>
  <c r="M27" i="55"/>
  <c r="N27" i="55"/>
  <c r="N29" i="55" s="1"/>
  <c r="O27" i="55"/>
  <c r="P27" i="55"/>
  <c r="P29" i="55" s="1"/>
  <c r="Q27" i="55"/>
  <c r="R27" i="55"/>
  <c r="S27" i="55"/>
  <c r="S29" i="55" s="1"/>
  <c r="T27" i="55"/>
  <c r="U27" i="55"/>
  <c r="V27" i="55"/>
  <c r="V29" i="55" s="1"/>
  <c r="W27" i="55"/>
  <c r="X27" i="55"/>
  <c r="X29" i="55" s="1"/>
  <c r="Y27" i="55"/>
  <c r="Z27" i="55"/>
  <c r="AA27" i="55"/>
  <c r="AA29" i="55" s="1"/>
  <c r="AB27" i="55"/>
  <c r="AC27" i="55"/>
  <c r="AD27" i="55"/>
  <c r="AD29" i="55" s="1"/>
  <c r="AE27" i="55"/>
  <c r="AF27" i="55"/>
  <c r="AG27" i="55"/>
  <c r="AH27" i="55"/>
  <c r="AI27" i="55"/>
  <c r="AI29" i="55" s="1"/>
  <c r="AJ27" i="55"/>
  <c r="AK27" i="55"/>
  <c r="AL27" i="55"/>
  <c r="AL29" i="55" s="1"/>
  <c r="AM27" i="55"/>
  <c r="AN27" i="55"/>
  <c r="AO27" i="55"/>
  <c r="F28" i="55"/>
  <c r="G28" i="55"/>
  <c r="H28" i="55"/>
  <c r="I28" i="55"/>
  <c r="I29" i="55" s="1"/>
  <c r="J28" i="55"/>
  <c r="J29" i="55" s="1"/>
  <c r="K28" i="55"/>
  <c r="L28" i="55"/>
  <c r="M28" i="55"/>
  <c r="M29" i="55" s="1"/>
  <c r="N28" i="55"/>
  <c r="O28" i="55"/>
  <c r="P28" i="55"/>
  <c r="Q28" i="55"/>
  <c r="Q29" i="55" s="1"/>
  <c r="R28" i="55"/>
  <c r="R29" i="55" s="1"/>
  <c r="S28" i="55"/>
  <c r="T28" i="55"/>
  <c r="U28" i="55"/>
  <c r="U29" i="55" s="1"/>
  <c r="V28" i="55"/>
  <c r="W28" i="55"/>
  <c r="X28" i="55"/>
  <c r="Y28" i="55"/>
  <c r="Y29" i="55" s="1"/>
  <c r="Z28" i="55"/>
  <c r="Z29" i="55" s="1"/>
  <c r="AA28" i="55"/>
  <c r="AB28" i="55"/>
  <c r="AC28" i="55"/>
  <c r="AC29" i="55" s="1"/>
  <c r="AD28" i="55"/>
  <c r="AE28" i="55"/>
  <c r="AF28" i="55"/>
  <c r="AG28" i="55"/>
  <c r="AG29" i="55" s="1"/>
  <c r="AH28" i="55"/>
  <c r="AH29" i="55" s="1"/>
  <c r="AI28" i="55"/>
  <c r="AJ28" i="55"/>
  <c r="AK28" i="55"/>
  <c r="AK29" i="55" s="1"/>
  <c r="AL28" i="55"/>
  <c r="AM28" i="55"/>
  <c r="AN28" i="55"/>
  <c r="AO28" i="55"/>
  <c r="AO29" i="55" s="1"/>
  <c r="G29" i="55"/>
  <c r="L29" i="55"/>
  <c r="O29" i="55"/>
  <c r="T29" i="55"/>
  <c r="W29" i="55"/>
  <c r="AB29" i="55"/>
  <c r="AE29" i="55"/>
  <c r="AF29" i="55"/>
  <c r="AJ29" i="55"/>
  <c r="AM29" i="55"/>
  <c r="AN29" i="55"/>
  <c r="F32" i="55"/>
  <c r="G32" i="55"/>
  <c r="H32" i="55"/>
  <c r="I32" i="55"/>
  <c r="J32" i="55"/>
  <c r="J36" i="55" s="1"/>
  <c r="K32" i="55"/>
  <c r="L32" i="55"/>
  <c r="M32" i="55"/>
  <c r="N32" i="55"/>
  <c r="N36" i="55" s="1"/>
  <c r="O32" i="55"/>
  <c r="P32" i="55"/>
  <c r="Q32" i="55"/>
  <c r="R32" i="55"/>
  <c r="S32" i="55"/>
  <c r="T32" i="55"/>
  <c r="U32" i="55"/>
  <c r="V32" i="55"/>
  <c r="V36" i="55" s="1"/>
  <c r="W32" i="55"/>
  <c r="X32" i="55"/>
  <c r="Y32" i="55"/>
  <c r="Z32" i="55"/>
  <c r="Z36" i="55" s="1"/>
  <c r="AA32" i="55"/>
  <c r="AB32" i="55"/>
  <c r="AC32" i="55"/>
  <c r="AD32" i="55"/>
  <c r="AE32" i="55"/>
  <c r="AF32" i="55"/>
  <c r="AG32" i="55"/>
  <c r="AG36" i="55" s="1"/>
  <c r="AH32" i="55"/>
  <c r="AH36" i="55" s="1"/>
  <c r="AI32" i="55"/>
  <c r="AJ32" i="55"/>
  <c r="AK32" i="55"/>
  <c r="AL32" i="55"/>
  <c r="AM32" i="55"/>
  <c r="AN32" i="55"/>
  <c r="AO32" i="55"/>
  <c r="F33" i="55"/>
  <c r="G33" i="55"/>
  <c r="H33" i="55"/>
  <c r="I33" i="55"/>
  <c r="J33" i="55"/>
  <c r="K33" i="55"/>
  <c r="K36" i="55" s="1"/>
  <c r="L33" i="55"/>
  <c r="L36" i="55" s="1"/>
  <c r="M33" i="55"/>
  <c r="N33" i="55"/>
  <c r="O33" i="55"/>
  <c r="P33" i="55"/>
  <c r="P36" i="55" s="1"/>
  <c r="Q33" i="55"/>
  <c r="R33" i="55"/>
  <c r="S33" i="55"/>
  <c r="S36" i="55" s="1"/>
  <c r="T33" i="55"/>
  <c r="T36" i="55" s="1"/>
  <c r="U33" i="55"/>
  <c r="V33" i="55"/>
  <c r="W33" i="55"/>
  <c r="X33" i="55"/>
  <c r="X36" i="55" s="1"/>
  <c r="Y33" i="55"/>
  <c r="Z33" i="55"/>
  <c r="AA33" i="55"/>
  <c r="AA36" i="55" s="1"/>
  <c r="AB33" i="55"/>
  <c r="AB36" i="55" s="1"/>
  <c r="AC33" i="55"/>
  <c r="AD33" i="55"/>
  <c r="AE33" i="55"/>
  <c r="AF33" i="55"/>
  <c r="AF36" i="55" s="1"/>
  <c r="AG33" i="55"/>
  <c r="AH33" i="55"/>
  <c r="AI33" i="55"/>
  <c r="AI36" i="55" s="1"/>
  <c r="AJ33" i="55"/>
  <c r="AJ36" i="55" s="1"/>
  <c r="AK33" i="55"/>
  <c r="AL33" i="55"/>
  <c r="AM33" i="55"/>
  <c r="AN33" i="55"/>
  <c r="AN36" i="55" s="1"/>
  <c r="AO33" i="55"/>
  <c r="F34" i="55"/>
  <c r="G34" i="55"/>
  <c r="H34" i="55"/>
  <c r="I34" i="55"/>
  <c r="J34" i="55"/>
  <c r="K34" i="55"/>
  <c r="L34" i="55"/>
  <c r="M34" i="55"/>
  <c r="M36" i="55" s="1"/>
  <c r="N34" i="55"/>
  <c r="O34" i="55"/>
  <c r="P34" i="55"/>
  <c r="Q34" i="55"/>
  <c r="R34" i="55"/>
  <c r="S34" i="55"/>
  <c r="T34" i="55"/>
  <c r="U34" i="55"/>
  <c r="U36" i="55" s="1"/>
  <c r="V34" i="55"/>
  <c r="W34" i="55"/>
  <c r="X34" i="55"/>
  <c r="Y34" i="55"/>
  <c r="Z34" i="55"/>
  <c r="AA34" i="55"/>
  <c r="AB34" i="55"/>
  <c r="AC34" i="55"/>
  <c r="AC36" i="55" s="1"/>
  <c r="AD34" i="55"/>
  <c r="AE34" i="55"/>
  <c r="AF34" i="55"/>
  <c r="AG34" i="55"/>
  <c r="AH34" i="55"/>
  <c r="AI34" i="55"/>
  <c r="AJ34" i="55"/>
  <c r="AK34" i="55"/>
  <c r="AK36" i="55" s="1"/>
  <c r="AL34" i="55"/>
  <c r="AM34" i="55"/>
  <c r="AN34" i="55"/>
  <c r="AO34" i="55"/>
  <c r="F35" i="55"/>
  <c r="G35" i="55"/>
  <c r="H35" i="55"/>
  <c r="D35" i="55" s="1"/>
  <c r="F35" i="57" s="1"/>
  <c r="H35" i="57" s="1"/>
  <c r="I35" i="55"/>
  <c r="J35" i="55"/>
  <c r="K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I36" i="55"/>
  <c r="Q36" i="55"/>
  <c r="R36" i="55"/>
  <c r="Y36" i="55"/>
  <c r="AD36" i="55"/>
  <c r="AL36" i="55"/>
  <c r="AO36" i="55"/>
  <c r="F39" i="55"/>
  <c r="G39" i="55"/>
  <c r="H39" i="55"/>
  <c r="I39" i="55"/>
  <c r="J39" i="55"/>
  <c r="K39" i="55"/>
  <c r="L39" i="55"/>
  <c r="M39" i="55"/>
  <c r="N39" i="55"/>
  <c r="O39" i="55"/>
  <c r="P39" i="55"/>
  <c r="P43" i="55" s="1"/>
  <c r="Q39" i="55"/>
  <c r="R39" i="55"/>
  <c r="S39" i="55"/>
  <c r="S43" i="55" s="1"/>
  <c r="T39" i="55"/>
  <c r="T43" i="55" s="1"/>
  <c r="U39" i="55"/>
  <c r="V39" i="55"/>
  <c r="W39" i="55"/>
  <c r="X39" i="55"/>
  <c r="Y39" i="55"/>
  <c r="Z39" i="55"/>
  <c r="AA39" i="55"/>
  <c r="AB39" i="55"/>
  <c r="AB43" i="55" s="1"/>
  <c r="AC39" i="55"/>
  <c r="AD39" i="55"/>
  <c r="AE39" i="55"/>
  <c r="AF39" i="55"/>
  <c r="AF43" i="55" s="1"/>
  <c r="AG39" i="55"/>
  <c r="AH39" i="55"/>
  <c r="AI39" i="55"/>
  <c r="AI43" i="55" s="1"/>
  <c r="AJ39" i="55"/>
  <c r="AJ43" i="55" s="1"/>
  <c r="AK39" i="55"/>
  <c r="AL39" i="55"/>
  <c r="AM39" i="55"/>
  <c r="AN39" i="55"/>
  <c r="AN43" i="55" s="1"/>
  <c r="AO39" i="55"/>
  <c r="F40" i="55"/>
  <c r="G40" i="55"/>
  <c r="H40" i="55"/>
  <c r="H42" i="55" s="1"/>
  <c r="I40" i="55"/>
  <c r="J40" i="55"/>
  <c r="K40" i="55"/>
  <c r="L40" i="55"/>
  <c r="M40" i="55"/>
  <c r="M42" i="55" s="1"/>
  <c r="M43" i="55" s="1"/>
  <c r="N40" i="55"/>
  <c r="N42" i="55" s="1"/>
  <c r="N43" i="55" s="1"/>
  <c r="O40" i="55"/>
  <c r="P40" i="55"/>
  <c r="P42" i="55" s="1"/>
  <c r="Q40" i="55"/>
  <c r="R40" i="55"/>
  <c r="R42" i="55" s="1"/>
  <c r="R43" i="55" s="1"/>
  <c r="S40" i="55"/>
  <c r="T40" i="55"/>
  <c r="U40" i="55"/>
  <c r="U42" i="55" s="1"/>
  <c r="U43" i="55" s="1"/>
  <c r="V40" i="55"/>
  <c r="V42" i="55" s="1"/>
  <c r="V43" i="55" s="1"/>
  <c r="W40" i="55"/>
  <c r="X40" i="55"/>
  <c r="X42" i="55" s="1"/>
  <c r="Y40" i="55"/>
  <c r="Z40" i="55"/>
  <c r="AA40" i="55"/>
  <c r="AB40" i="55"/>
  <c r="AC40" i="55"/>
  <c r="AC42" i="55" s="1"/>
  <c r="AC43" i="55" s="1"/>
  <c r="AD40" i="55"/>
  <c r="AD42" i="55" s="1"/>
  <c r="AD43" i="55" s="1"/>
  <c r="AE40" i="55"/>
  <c r="AF40" i="55"/>
  <c r="AF42" i="55" s="1"/>
  <c r="AG40" i="55"/>
  <c r="AH40" i="55"/>
  <c r="AI40" i="55"/>
  <c r="AJ40" i="55"/>
  <c r="AK40" i="55"/>
  <c r="AK42" i="55" s="1"/>
  <c r="AK43" i="55" s="1"/>
  <c r="AL40" i="55"/>
  <c r="AM40" i="55"/>
  <c r="AN40" i="55"/>
  <c r="AN42" i="55" s="1"/>
  <c r="AO40" i="55"/>
  <c r="F41" i="55"/>
  <c r="G41" i="55"/>
  <c r="H41" i="55"/>
  <c r="I41" i="55"/>
  <c r="J41" i="55"/>
  <c r="K41" i="55"/>
  <c r="K42" i="55" s="1"/>
  <c r="L41" i="55"/>
  <c r="L42" i="55" s="1"/>
  <c r="L43" i="55" s="1"/>
  <c r="M41" i="55"/>
  <c r="N41" i="55"/>
  <c r="O41" i="55"/>
  <c r="O42" i="55" s="1"/>
  <c r="O43" i="55" s="1"/>
  <c r="P41" i="55"/>
  <c r="Q41" i="55"/>
  <c r="R41" i="55"/>
  <c r="S41" i="55"/>
  <c r="S42" i="55" s="1"/>
  <c r="T41" i="55"/>
  <c r="T42" i="55" s="1"/>
  <c r="U41" i="55"/>
  <c r="V41" i="55"/>
  <c r="W41" i="55"/>
  <c r="W42" i="55" s="1"/>
  <c r="W43" i="55" s="1"/>
  <c r="X41" i="55"/>
  <c r="Y41" i="55"/>
  <c r="Z41" i="55"/>
  <c r="AA41" i="55"/>
  <c r="AA42" i="55" s="1"/>
  <c r="AA43" i="55" s="1"/>
  <c r="AB41" i="55"/>
  <c r="AB42" i="55" s="1"/>
  <c r="AC41" i="55"/>
  <c r="AD41" i="55"/>
  <c r="AE41" i="55"/>
  <c r="AE42" i="55" s="1"/>
  <c r="AE43" i="55" s="1"/>
  <c r="AF41" i="55"/>
  <c r="AG41" i="55"/>
  <c r="AH41" i="55"/>
  <c r="AI41" i="55"/>
  <c r="AI42" i="55" s="1"/>
  <c r="AJ41" i="55"/>
  <c r="AJ42" i="55" s="1"/>
  <c r="AK41" i="55"/>
  <c r="AL41" i="55"/>
  <c r="AM41" i="55"/>
  <c r="AM42" i="55" s="1"/>
  <c r="AM43" i="55" s="1"/>
  <c r="AN41" i="55"/>
  <c r="AO41" i="55"/>
  <c r="F42" i="55"/>
  <c r="F43" i="55" s="1"/>
  <c r="I42" i="55"/>
  <c r="I43" i="55" s="1"/>
  <c r="J42" i="55"/>
  <c r="J43" i="55" s="1"/>
  <c r="Q42" i="55"/>
  <c r="Q43" i="55" s="1"/>
  <c r="Y42" i="55"/>
  <c r="Y43" i="55" s="1"/>
  <c r="Z42" i="55"/>
  <c r="Z43" i="55" s="1"/>
  <c r="AG42" i="55"/>
  <c r="AG43" i="55" s="1"/>
  <c r="AH42" i="55"/>
  <c r="AH43" i="55" s="1"/>
  <c r="AL42" i="55"/>
  <c r="AL43" i="55" s="1"/>
  <c r="AO42" i="55"/>
  <c r="AO43" i="55" s="1"/>
  <c r="K43" i="55"/>
  <c r="F45" i="55"/>
  <c r="G45" i="55"/>
  <c r="H45" i="55"/>
  <c r="I45" i="55"/>
  <c r="J45" i="55"/>
  <c r="K45" i="55"/>
  <c r="L45" i="55"/>
  <c r="M45" i="55"/>
  <c r="E45" i="55" s="1"/>
  <c r="G45" i="57" s="1"/>
  <c r="I45" i="57" s="1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F47" i="55"/>
  <c r="G47" i="55"/>
  <c r="H47" i="55"/>
  <c r="I47" i="55"/>
  <c r="J47" i="55"/>
  <c r="K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F49" i="55"/>
  <c r="G49" i="55"/>
  <c r="H49" i="55"/>
  <c r="I49" i="55"/>
  <c r="J49" i="55"/>
  <c r="K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F51" i="57" s="1"/>
  <c r="H51" i="57" s="1"/>
  <c r="F51" i="55"/>
  <c r="G51" i="55"/>
  <c r="E51" i="55" s="1"/>
  <c r="G51" i="57" s="1"/>
  <c r="H51" i="55"/>
  <c r="I51" i="55"/>
  <c r="J51" i="55"/>
  <c r="K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F54" i="55"/>
  <c r="G54" i="55"/>
  <c r="H54" i="55"/>
  <c r="I54" i="55"/>
  <c r="J54" i="55"/>
  <c r="J56" i="55" s="1"/>
  <c r="K54" i="55"/>
  <c r="L54" i="55"/>
  <c r="M54" i="55"/>
  <c r="M56" i="55" s="1"/>
  <c r="N54" i="55"/>
  <c r="N56" i="55" s="1"/>
  <c r="O54" i="55"/>
  <c r="P54" i="55"/>
  <c r="Q54" i="55"/>
  <c r="R54" i="55"/>
  <c r="R56" i="55" s="1"/>
  <c r="S54" i="55"/>
  <c r="T54" i="55"/>
  <c r="U54" i="55"/>
  <c r="U56" i="55" s="1"/>
  <c r="V54" i="55"/>
  <c r="W54" i="55"/>
  <c r="X54" i="55"/>
  <c r="Y54" i="55"/>
  <c r="Z54" i="55"/>
  <c r="Z56" i="55" s="1"/>
  <c r="AA54" i="55"/>
  <c r="AB54" i="55"/>
  <c r="AC54" i="55"/>
  <c r="AC56" i="55" s="1"/>
  <c r="AD54" i="55"/>
  <c r="AD56" i="55" s="1"/>
  <c r="AE54" i="55"/>
  <c r="AF54" i="55"/>
  <c r="AG54" i="55"/>
  <c r="AH54" i="55"/>
  <c r="AH56" i="55" s="1"/>
  <c r="AI54" i="55"/>
  <c r="AJ54" i="55"/>
  <c r="AK54" i="55"/>
  <c r="AK56" i="55" s="1"/>
  <c r="AL54" i="55"/>
  <c r="AL56" i="55" s="1"/>
  <c r="AM54" i="55"/>
  <c r="AN54" i="55"/>
  <c r="AO54" i="55"/>
  <c r="D55" i="55"/>
  <c r="F55" i="57" s="1"/>
  <c r="H55" i="57" s="1"/>
  <c r="F55" i="55"/>
  <c r="G55" i="55"/>
  <c r="H55" i="55"/>
  <c r="I55" i="55"/>
  <c r="J55" i="55"/>
  <c r="K55" i="55"/>
  <c r="K56" i="55" s="1"/>
  <c r="L55" i="55"/>
  <c r="L56" i="55" s="1"/>
  <c r="M55" i="55"/>
  <c r="N55" i="55"/>
  <c r="O55" i="55"/>
  <c r="O56" i="55" s="1"/>
  <c r="P55" i="55"/>
  <c r="Q55" i="55"/>
  <c r="R55" i="55"/>
  <c r="S55" i="55"/>
  <c r="S56" i="55" s="1"/>
  <c r="T55" i="55"/>
  <c r="T56" i="55" s="1"/>
  <c r="U55" i="55"/>
  <c r="V55" i="55"/>
  <c r="W55" i="55"/>
  <c r="W56" i="55" s="1"/>
  <c r="X55" i="55"/>
  <c r="Y55" i="55"/>
  <c r="Z55" i="55"/>
  <c r="AA55" i="55"/>
  <c r="AA56" i="55" s="1"/>
  <c r="AB55" i="55"/>
  <c r="AB56" i="55" s="1"/>
  <c r="AC55" i="55"/>
  <c r="AD55" i="55"/>
  <c r="AE55" i="55"/>
  <c r="AE56" i="55" s="1"/>
  <c r="AF55" i="55"/>
  <c r="AG55" i="55"/>
  <c r="AH55" i="55"/>
  <c r="AI55" i="55"/>
  <c r="AI56" i="55" s="1"/>
  <c r="AJ55" i="55"/>
  <c r="AJ56" i="55" s="1"/>
  <c r="AK55" i="55"/>
  <c r="AL55" i="55"/>
  <c r="AM55" i="55"/>
  <c r="AM56" i="55" s="1"/>
  <c r="AN55" i="55"/>
  <c r="AO55" i="55"/>
  <c r="I56" i="55"/>
  <c r="Q56" i="55"/>
  <c r="V56" i="55"/>
  <c r="Y56" i="55"/>
  <c r="AG56" i="55"/>
  <c r="AO56" i="55"/>
  <c r="D59" i="55"/>
  <c r="F59" i="55"/>
  <c r="F61" i="55" s="1"/>
  <c r="G59" i="55"/>
  <c r="E59" i="55" s="1"/>
  <c r="H59" i="55"/>
  <c r="H61" i="55" s="1"/>
  <c r="I59" i="55"/>
  <c r="J59" i="55"/>
  <c r="K59" i="55"/>
  <c r="K61" i="55" s="1"/>
  <c r="L59" i="55"/>
  <c r="M59" i="55"/>
  <c r="N59" i="55"/>
  <c r="N61" i="55" s="1"/>
  <c r="O59" i="55"/>
  <c r="P59" i="55"/>
  <c r="P61" i="55" s="1"/>
  <c r="Q59" i="55"/>
  <c r="R59" i="55"/>
  <c r="S59" i="55"/>
  <c r="S61" i="55" s="1"/>
  <c r="T59" i="55"/>
  <c r="U59" i="55"/>
  <c r="V59" i="55"/>
  <c r="V61" i="55" s="1"/>
  <c r="W59" i="55"/>
  <c r="X59" i="55"/>
  <c r="X61" i="55" s="1"/>
  <c r="Y59" i="55"/>
  <c r="Z59" i="55"/>
  <c r="AA59" i="55"/>
  <c r="AA61" i="55" s="1"/>
  <c r="AB59" i="55"/>
  <c r="AC59" i="55"/>
  <c r="AD59" i="55"/>
  <c r="AD61" i="55" s="1"/>
  <c r="AE59" i="55"/>
  <c r="AF59" i="55"/>
  <c r="AG59" i="55"/>
  <c r="AH59" i="55"/>
  <c r="AI59" i="55"/>
  <c r="AI61" i="55" s="1"/>
  <c r="AJ59" i="55"/>
  <c r="AK59" i="55"/>
  <c r="AL59" i="55"/>
  <c r="AL61" i="55" s="1"/>
  <c r="AM59" i="55"/>
  <c r="AN59" i="55"/>
  <c r="AO59" i="55"/>
  <c r="F60" i="55"/>
  <c r="G60" i="55"/>
  <c r="H60" i="55"/>
  <c r="I60" i="55"/>
  <c r="I61" i="55" s="1"/>
  <c r="J60" i="55"/>
  <c r="J61" i="55" s="1"/>
  <c r="K60" i="55"/>
  <c r="L60" i="55"/>
  <c r="M60" i="55"/>
  <c r="M61" i="55" s="1"/>
  <c r="N60" i="55"/>
  <c r="O60" i="55"/>
  <c r="P60" i="55"/>
  <c r="Q60" i="55"/>
  <c r="Q61" i="55" s="1"/>
  <c r="R60" i="55"/>
  <c r="R61" i="55" s="1"/>
  <c r="S60" i="55"/>
  <c r="T60" i="55"/>
  <c r="U60" i="55"/>
  <c r="U61" i="55" s="1"/>
  <c r="V60" i="55"/>
  <c r="W60" i="55"/>
  <c r="X60" i="55"/>
  <c r="Y60" i="55"/>
  <c r="Y61" i="55" s="1"/>
  <c r="Z60" i="55"/>
  <c r="Z61" i="55" s="1"/>
  <c r="AA60" i="55"/>
  <c r="AB60" i="55"/>
  <c r="AC60" i="55"/>
  <c r="AC61" i="55" s="1"/>
  <c r="AD60" i="55"/>
  <c r="AE60" i="55"/>
  <c r="AF60" i="55"/>
  <c r="AG60" i="55"/>
  <c r="AG61" i="55" s="1"/>
  <c r="AH60" i="55"/>
  <c r="AH61" i="55" s="1"/>
  <c r="AI60" i="55"/>
  <c r="AJ60" i="55"/>
  <c r="AK60" i="55"/>
  <c r="AK61" i="55" s="1"/>
  <c r="AL60" i="55"/>
  <c r="AM60" i="55"/>
  <c r="AN60" i="55"/>
  <c r="AO60" i="55"/>
  <c r="AO61" i="55" s="1"/>
  <c r="G61" i="55"/>
  <c r="L61" i="55"/>
  <c r="O61" i="55"/>
  <c r="T61" i="55"/>
  <c r="W61" i="55"/>
  <c r="AB61" i="55"/>
  <c r="AE61" i="55"/>
  <c r="AF61" i="55"/>
  <c r="AJ61" i="55"/>
  <c r="AM61" i="55"/>
  <c r="AN61" i="55"/>
  <c r="F64" i="55"/>
  <c r="G64" i="55"/>
  <c r="H64" i="55"/>
  <c r="I64" i="55"/>
  <c r="J64" i="55"/>
  <c r="J66" i="55" s="1"/>
  <c r="K64" i="55"/>
  <c r="L64" i="55"/>
  <c r="M64" i="55"/>
  <c r="N64" i="55"/>
  <c r="N66" i="55" s="1"/>
  <c r="O64" i="55"/>
  <c r="P64" i="55"/>
  <c r="Q64" i="55"/>
  <c r="Q66" i="55" s="1"/>
  <c r="R64" i="55"/>
  <c r="R66" i="55" s="1"/>
  <c r="S64" i="55"/>
  <c r="T64" i="55"/>
  <c r="U64" i="55"/>
  <c r="V64" i="55"/>
  <c r="W64" i="55"/>
  <c r="X64" i="55"/>
  <c r="Y64" i="55"/>
  <c r="Y66" i="55" s="1"/>
  <c r="Z64" i="55"/>
  <c r="Z66" i="55" s="1"/>
  <c r="AA64" i="55"/>
  <c r="AB64" i="55"/>
  <c r="AC64" i="55"/>
  <c r="AD64" i="55"/>
  <c r="AD66" i="55" s="1"/>
  <c r="AE64" i="55"/>
  <c r="AF64" i="55"/>
  <c r="AG64" i="55"/>
  <c r="AG66" i="55" s="1"/>
  <c r="AH64" i="55"/>
  <c r="AH66" i="55" s="1"/>
  <c r="AI64" i="55"/>
  <c r="AJ64" i="55"/>
  <c r="AK64" i="55"/>
  <c r="AL64" i="55"/>
  <c r="AL66" i="55" s="1"/>
  <c r="AM64" i="55"/>
  <c r="AN64" i="55"/>
  <c r="AO64" i="55"/>
  <c r="AO66" i="55" s="1"/>
  <c r="F65" i="55"/>
  <c r="G65" i="55"/>
  <c r="H65" i="55"/>
  <c r="I65" i="55"/>
  <c r="J65" i="55"/>
  <c r="K65" i="55"/>
  <c r="K66" i="55" s="1"/>
  <c r="L65" i="55"/>
  <c r="M65" i="55"/>
  <c r="N65" i="55"/>
  <c r="O65" i="55"/>
  <c r="O66" i="55" s="1"/>
  <c r="P65" i="55"/>
  <c r="P66" i="55" s="1"/>
  <c r="Q65" i="55"/>
  <c r="R65" i="55"/>
  <c r="S65" i="55"/>
  <c r="S66" i="55" s="1"/>
  <c r="T65" i="55"/>
  <c r="U65" i="55"/>
  <c r="V65" i="55"/>
  <c r="W65" i="55"/>
  <c r="W66" i="55" s="1"/>
  <c r="X65" i="55"/>
  <c r="X66" i="55" s="1"/>
  <c r="Y65" i="55"/>
  <c r="Z65" i="55"/>
  <c r="AA65" i="55"/>
  <c r="AA66" i="55" s="1"/>
  <c r="AB65" i="55"/>
  <c r="AC65" i="55"/>
  <c r="AD65" i="55"/>
  <c r="AE65" i="55"/>
  <c r="AE66" i="55" s="1"/>
  <c r="AF65" i="55"/>
  <c r="AF66" i="55" s="1"/>
  <c r="AG65" i="55"/>
  <c r="AH65" i="55"/>
  <c r="AI65" i="55"/>
  <c r="AI66" i="55" s="1"/>
  <c r="AJ65" i="55"/>
  <c r="AK65" i="55"/>
  <c r="AL65" i="55"/>
  <c r="AM65" i="55"/>
  <c r="AM66" i="55" s="1"/>
  <c r="AN65" i="55"/>
  <c r="AN66" i="55" s="1"/>
  <c r="AO65" i="55"/>
  <c r="M66" i="55"/>
  <c r="U66" i="55"/>
  <c r="V66" i="55"/>
  <c r="AC66" i="55"/>
  <c r="AK66" i="55"/>
  <c r="D70" i="55"/>
  <c r="F70" i="55"/>
  <c r="G70" i="55"/>
  <c r="H70" i="55"/>
  <c r="H72" i="55" s="1"/>
  <c r="I70" i="55"/>
  <c r="J70" i="55"/>
  <c r="K70" i="55"/>
  <c r="L70" i="55"/>
  <c r="M70" i="55"/>
  <c r="N70" i="55"/>
  <c r="O70" i="55"/>
  <c r="O72" i="55" s="1"/>
  <c r="P70" i="55"/>
  <c r="Q70" i="55"/>
  <c r="R70" i="55"/>
  <c r="S70" i="55"/>
  <c r="T70" i="55"/>
  <c r="U70" i="55"/>
  <c r="V70" i="55"/>
  <c r="W70" i="55"/>
  <c r="W72" i="55" s="1"/>
  <c r="X70" i="55"/>
  <c r="Y70" i="55"/>
  <c r="Z70" i="55"/>
  <c r="AA70" i="55"/>
  <c r="AB70" i="55"/>
  <c r="AC70" i="55"/>
  <c r="AD70" i="55"/>
  <c r="AE70" i="55"/>
  <c r="AE72" i="55" s="1"/>
  <c r="AF70" i="55"/>
  <c r="AG70" i="55"/>
  <c r="AH70" i="55"/>
  <c r="AI70" i="55"/>
  <c r="AJ70" i="55"/>
  <c r="AK70" i="55"/>
  <c r="AL70" i="55"/>
  <c r="AM70" i="55"/>
  <c r="AM72" i="55" s="1"/>
  <c r="AN70" i="55"/>
  <c r="AN72" i="55" s="1"/>
  <c r="AO70" i="55"/>
  <c r="F71" i="55"/>
  <c r="G71" i="55"/>
  <c r="H71" i="55"/>
  <c r="I71" i="55"/>
  <c r="J71" i="55"/>
  <c r="K71" i="55"/>
  <c r="L71" i="55"/>
  <c r="M71" i="55"/>
  <c r="M72" i="55" s="1"/>
  <c r="N71" i="55"/>
  <c r="N72" i="55" s="1"/>
  <c r="O71" i="55"/>
  <c r="P71" i="55"/>
  <c r="Q71" i="55"/>
  <c r="Q72" i="55" s="1"/>
  <c r="R71" i="55"/>
  <c r="S71" i="55"/>
  <c r="T71" i="55"/>
  <c r="U71" i="55"/>
  <c r="U72" i="55" s="1"/>
  <c r="V71" i="55"/>
  <c r="V72" i="55" s="1"/>
  <c r="W71" i="55"/>
  <c r="X71" i="55"/>
  <c r="Y71" i="55"/>
  <c r="Y72" i="55" s="1"/>
  <c r="Z71" i="55"/>
  <c r="AA71" i="55"/>
  <c r="AB71" i="55"/>
  <c r="AC71" i="55"/>
  <c r="AC72" i="55" s="1"/>
  <c r="AD71" i="55"/>
  <c r="AD72" i="55" s="1"/>
  <c r="AE71" i="55"/>
  <c r="AF71" i="55"/>
  <c r="AG71" i="55"/>
  <c r="AG72" i="55" s="1"/>
  <c r="AH71" i="55"/>
  <c r="AI71" i="55"/>
  <c r="AJ71" i="55"/>
  <c r="AK71" i="55"/>
  <c r="AK72" i="55" s="1"/>
  <c r="AL71" i="55"/>
  <c r="AL72" i="55" s="1"/>
  <c r="AM71" i="55"/>
  <c r="AN71" i="55"/>
  <c r="AO71" i="55"/>
  <c r="AO72" i="55" s="1"/>
  <c r="K72" i="55"/>
  <c r="L72" i="55"/>
  <c r="P72" i="55"/>
  <c r="S72" i="55"/>
  <c r="T72" i="55"/>
  <c r="X72" i="55"/>
  <c r="AA72" i="55"/>
  <c r="AB72" i="55"/>
  <c r="AF72" i="55"/>
  <c r="AI72" i="55"/>
  <c r="AJ72" i="55"/>
  <c r="F73" i="55"/>
  <c r="G73" i="55"/>
  <c r="H73" i="55"/>
  <c r="I73" i="55"/>
  <c r="J73" i="55"/>
  <c r="K73" i="55"/>
  <c r="L73" i="55"/>
  <c r="M73" i="55"/>
  <c r="E73" i="55" s="1"/>
  <c r="G73" i="57" s="1"/>
  <c r="I73" i="57" s="1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F74" i="55"/>
  <c r="G74" i="55"/>
  <c r="H74" i="55"/>
  <c r="I74" i="55"/>
  <c r="J74" i="55"/>
  <c r="K74" i="55"/>
  <c r="L74" i="55"/>
  <c r="D74" i="55" s="1"/>
  <c r="F74" i="57" s="1"/>
  <c r="H74" i="57" s="1"/>
  <c r="M74" i="55"/>
  <c r="N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F75" i="55"/>
  <c r="D75" i="55" s="1"/>
  <c r="F75" i="57" s="1"/>
  <c r="G75" i="55"/>
  <c r="H75" i="55"/>
  <c r="I75" i="55"/>
  <c r="J75" i="55"/>
  <c r="K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F76" i="55"/>
  <c r="G76" i="55"/>
  <c r="H76" i="55"/>
  <c r="I76" i="55"/>
  <c r="J76" i="55"/>
  <c r="K76" i="55"/>
  <c r="L76" i="55"/>
  <c r="D76" i="55" s="1"/>
  <c r="F76" i="57" s="1"/>
  <c r="H76" i="57" s="1"/>
  <c r="M76" i="55"/>
  <c r="E76" i="55" s="1"/>
  <c r="G76" i="57" s="1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F77" i="55"/>
  <c r="G77" i="55"/>
  <c r="H77" i="55"/>
  <c r="I77" i="55"/>
  <c r="J77" i="55"/>
  <c r="K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F78" i="55"/>
  <c r="G78" i="55"/>
  <c r="H78" i="55"/>
  <c r="I78" i="55"/>
  <c r="E78" i="55" s="1"/>
  <c r="G78" i="57" s="1"/>
  <c r="J78" i="55"/>
  <c r="K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F79" i="55"/>
  <c r="D79" i="55" s="1"/>
  <c r="F79" i="57" s="1"/>
  <c r="G79" i="55"/>
  <c r="H79" i="55"/>
  <c r="I79" i="55"/>
  <c r="J79" i="55"/>
  <c r="K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F80" i="55"/>
  <c r="G80" i="55"/>
  <c r="H80" i="55"/>
  <c r="I80" i="55"/>
  <c r="J80" i="55"/>
  <c r="K80" i="55"/>
  <c r="L80" i="55"/>
  <c r="D80" i="55" s="1"/>
  <c r="F80" i="57" s="1"/>
  <c r="H80" i="57" s="1"/>
  <c r="M80" i="55"/>
  <c r="E80" i="55" s="1"/>
  <c r="G80" i="57" s="1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F81" i="55"/>
  <c r="G81" i="55"/>
  <c r="H81" i="55"/>
  <c r="I81" i="55"/>
  <c r="J81" i="55"/>
  <c r="K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F86" i="55"/>
  <c r="D86" i="55" s="1"/>
  <c r="G86" i="55"/>
  <c r="F87" i="55"/>
  <c r="D87" i="55" s="1"/>
  <c r="F87" i="57" s="1"/>
  <c r="G87" i="55"/>
  <c r="E87" i="55" s="1"/>
  <c r="G87" i="57" s="1"/>
  <c r="F88" i="55"/>
  <c r="D88" i="55" s="1"/>
  <c r="F88" i="57" s="1"/>
  <c r="G88" i="55"/>
  <c r="E88" i="55" s="1"/>
  <c r="G88" i="57" s="1"/>
  <c r="I88" i="57" s="1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A5" i="57"/>
  <c r="D11" i="57"/>
  <c r="D12" i="57"/>
  <c r="E13" i="57"/>
  <c r="E15" i="57"/>
  <c r="E19" i="57"/>
  <c r="D20" i="57"/>
  <c r="D21" i="57"/>
  <c r="F21" i="57"/>
  <c r="H21" i="57" s="1"/>
  <c r="I21" i="57"/>
  <c r="E23" i="57"/>
  <c r="D27" i="57"/>
  <c r="D28" i="57"/>
  <c r="D34" i="57"/>
  <c r="D35" i="57"/>
  <c r="E35" i="57"/>
  <c r="D39" i="57"/>
  <c r="D40" i="57"/>
  <c r="E40" i="57"/>
  <c r="D42" i="57"/>
  <c r="D43" i="57" s="1"/>
  <c r="E45" i="57"/>
  <c r="D47" i="57"/>
  <c r="D49" i="57"/>
  <c r="D51" i="57"/>
  <c r="D54" i="57"/>
  <c r="D56" i="57" s="1"/>
  <c r="E59" i="57"/>
  <c r="D60" i="57"/>
  <c r="D65" i="57"/>
  <c r="E70" i="57"/>
  <c r="F70" i="57"/>
  <c r="D71" i="57"/>
  <c r="E75" i="57"/>
  <c r="D76" i="57"/>
  <c r="E79" i="57"/>
  <c r="D80" i="57"/>
  <c r="D86" i="57"/>
  <c r="D87" i="57"/>
  <c r="A5" i="12"/>
  <c r="D11" i="12"/>
  <c r="E11" i="12"/>
  <c r="J11" i="12"/>
  <c r="J16" i="12" s="1"/>
  <c r="K11" i="12"/>
  <c r="K16" i="12" s="1"/>
  <c r="D12" i="12"/>
  <c r="D16" i="12" s="1"/>
  <c r="E12" i="12"/>
  <c r="J12" i="12"/>
  <c r="K12" i="12"/>
  <c r="D13" i="12"/>
  <c r="E13" i="12"/>
  <c r="J13" i="12"/>
  <c r="K13" i="12"/>
  <c r="D14" i="12"/>
  <c r="E14" i="12"/>
  <c r="J14" i="12"/>
  <c r="K14" i="12"/>
  <c r="D15" i="12"/>
  <c r="E15" i="12"/>
  <c r="J15" i="12"/>
  <c r="K15" i="12"/>
  <c r="E16" i="12"/>
  <c r="D19" i="12"/>
  <c r="E19" i="12"/>
  <c r="E24" i="12" s="1"/>
  <c r="J19" i="12"/>
  <c r="K19" i="12"/>
  <c r="D20" i="12"/>
  <c r="E20" i="12"/>
  <c r="J20" i="12"/>
  <c r="K20" i="12"/>
  <c r="D21" i="12"/>
  <c r="E21" i="12"/>
  <c r="J21" i="12"/>
  <c r="K21" i="12"/>
  <c r="D22" i="12"/>
  <c r="D24" i="12" s="1"/>
  <c r="E22" i="12"/>
  <c r="J22" i="12"/>
  <c r="K22" i="12"/>
  <c r="D23" i="12"/>
  <c r="E23" i="12"/>
  <c r="J23" i="12"/>
  <c r="K23" i="12"/>
  <c r="K24" i="12"/>
  <c r="D27" i="12"/>
  <c r="E27" i="12"/>
  <c r="J27" i="12"/>
  <c r="J29" i="12" s="1"/>
  <c r="K27" i="12"/>
  <c r="D28" i="12"/>
  <c r="D29" i="12" s="1"/>
  <c r="E28" i="12"/>
  <c r="J28" i="12"/>
  <c r="K28" i="12"/>
  <c r="E29" i="12"/>
  <c r="K29" i="12"/>
  <c r="D32" i="12"/>
  <c r="E32" i="12"/>
  <c r="E36" i="12" s="1"/>
  <c r="J32" i="12"/>
  <c r="K32" i="12"/>
  <c r="D33" i="12"/>
  <c r="E33" i="12"/>
  <c r="J33" i="12"/>
  <c r="J36" i="12" s="1"/>
  <c r="K33" i="12"/>
  <c r="K36" i="12" s="1"/>
  <c r="D34" i="12"/>
  <c r="E34" i="12"/>
  <c r="J34" i="12"/>
  <c r="K34" i="12"/>
  <c r="D35" i="12"/>
  <c r="E35" i="12"/>
  <c r="J35" i="12"/>
  <c r="K35" i="12"/>
  <c r="D36" i="12"/>
  <c r="L37" i="12"/>
  <c r="M37" i="12"/>
  <c r="D39" i="12"/>
  <c r="E39" i="12"/>
  <c r="J39" i="12"/>
  <c r="K39" i="12"/>
  <c r="D40" i="12"/>
  <c r="E40" i="12"/>
  <c r="J40" i="12"/>
  <c r="K40" i="12"/>
  <c r="K42" i="12" s="1"/>
  <c r="K43" i="12" s="1"/>
  <c r="D41" i="12"/>
  <c r="D42" i="12" s="1"/>
  <c r="D43" i="12" s="1"/>
  <c r="E41" i="12"/>
  <c r="J41" i="12"/>
  <c r="K41" i="12"/>
  <c r="J42" i="12"/>
  <c r="J43" i="12" s="1"/>
  <c r="D45" i="12"/>
  <c r="E45" i="12"/>
  <c r="J45" i="12"/>
  <c r="K45" i="12"/>
  <c r="D47" i="12"/>
  <c r="E47" i="12"/>
  <c r="J47" i="12"/>
  <c r="K47" i="12"/>
  <c r="D49" i="12"/>
  <c r="E49" i="12"/>
  <c r="J49" i="12"/>
  <c r="K49" i="12"/>
  <c r="D51" i="12"/>
  <c r="E51" i="12"/>
  <c r="J51" i="12"/>
  <c r="K51" i="12"/>
  <c r="D54" i="12"/>
  <c r="E54" i="12"/>
  <c r="J54" i="12"/>
  <c r="J56" i="12" s="1"/>
  <c r="K54" i="12"/>
  <c r="D55" i="12"/>
  <c r="D56" i="12" s="1"/>
  <c r="E55" i="12"/>
  <c r="J55" i="12"/>
  <c r="K55" i="12"/>
  <c r="K56" i="12"/>
  <c r="D59" i="12"/>
  <c r="D61" i="12" s="1"/>
  <c r="E59" i="12"/>
  <c r="J59" i="12"/>
  <c r="K59" i="12"/>
  <c r="D60" i="12"/>
  <c r="E60" i="12"/>
  <c r="E61" i="12" s="1"/>
  <c r="J60" i="12"/>
  <c r="J61" i="12" s="1"/>
  <c r="K60" i="12"/>
  <c r="K61" i="12"/>
  <c r="D64" i="12"/>
  <c r="E64" i="12"/>
  <c r="J64" i="12"/>
  <c r="J66" i="12" s="1"/>
  <c r="K64" i="12"/>
  <c r="D65" i="12"/>
  <c r="D66" i="12" s="1"/>
  <c r="E65" i="12"/>
  <c r="J65" i="12"/>
  <c r="K65" i="12"/>
  <c r="E66" i="12"/>
  <c r="K66" i="12"/>
  <c r="D70" i="12"/>
  <c r="E70" i="12"/>
  <c r="E72" i="12" s="1"/>
  <c r="J70" i="12"/>
  <c r="K70" i="12"/>
  <c r="K72" i="12" s="1"/>
  <c r="D71" i="12"/>
  <c r="E71" i="12"/>
  <c r="J71" i="12"/>
  <c r="J72" i="12" s="1"/>
  <c r="K71" i="12"/>
  <c r="D72" i="12"/>
  <c r="D73" i="12"/>
  <c r="E73" i="12"/>
  <c r="J73" i="12"/>
  <c r="K73" i="12"/>
  <c r="D74" i="12"/>
  <c r="E74" i="12"/>
  <c r="J74" i="12"/>
  <c r="K74" i="12"/>
  <c r="D75" i="12"/>
  <c r="E75" i="12"/>
  <c r="J75" i="12"/>
  <c r="K75" i="12"/>
  <c r="D76" i="12"/>
  <c r="E76" i="12"/>
  <c r="J76" i="12"/>
  <c r="K76" i="12"/>
  <c r="D77" i="12"/>
  <c r="E77" i="12"/>
  <c r="J77" i="12"/>
  <c r="K77" i="12"/>
  <c r="D78" i="12"/>
  <c r="E78" i="12"/>
  <c r="J78" i="12"/>
  <c r="K78" i="12"/>
  <c r="D79" i="12"/>
  <c r="E79" i="12"/>
  <c r="J79" i="12"/>
  <c r="K79" i="12"/>
  <c r="D80" i="12"/>
  <c r="E80" i="12"/>
  <c r="J80" i="12"/>
  <c r="K80" i="12"/>
  <c r="E81" i="12"/>
  <c r="J81" i="12"/>
  <c r="K81" i="12"/>
  <c r="D86" i="12"/>
  <c r="E86" i="12"/>
  <c r="F86" i="12"/>
  <c r="F89" i="12" s="1"/>
  <c r="G86" i="12"/>
  <c r="J86" i="12"/>
  <c r="K86" i="12"/>
  <c r="D87" i="12"/>
  <c r="E87" i="12"/>
  <c r="E89" i="12" s="1"/>
  <c r="F87" i="12"/>
  <c r="G87" i="12"/>
  <c r="J87" i="12"/>
  <c r="K87" i="12"/>
  <c r="D88" i="12"/>
  <c r="E88" i="12"/>
  <c r="F88" i="12"/>
  <c r="G88" i="12"/>
  <c r="J88" i="12"/>
  <c r="K88" i="12"/>
  <c r="D89" i="12"/>
  <c r="K89" i="12"/>
  <c r="A5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F11" i="24"/>
  <c r="I11" i="24"/>
  <c r="AF11" i="24"/>
  <c r="AG11" i="24"/>
  <c r="AG16" i="24" s="1"/>
  <c r="AH11" i="24"/>
  <c r="AI11" i="24"/>
  <c r="AJ11" i="24"/>
  <c r="AK11" i="24"/>
  <c r="AL11" i="24"/>
  <c r="AM11" i="24"/>
  <c r="AN11" i="24"/>
  <c r="AO11" i="24"/>
  <c r="AO16" i="24" s="1"/>
  <c r="F12" i="24"/>
  <c r="G12" i="24"/>
  <c r="AF12" i="24"/>
  <c r="AF16" i="24" s="1"/>
  <c r="AG12" i="24"/>
  <c r="AH12" i="24"/>
  <c r="AI12" i="24"/>
  <c r="AJ12" i="24"/>
  <c r="AJ16" i="24" s="1"/>
  <c r="AK12" i="24"/>
  <c r="AL12" i="24"/>
  <c r="AM12" i="24"/>
  <c r="AN12" i="24"/>
  <c r="AN16" i="24" s="1"/>
  <c r="AO12" i="24"/>
  <c r="F13" i="24"/>
  <c r="G13" i="24"/>
  <c r="AF13" i="24"/>
  <c r="AG13" i="24"/>
  <c r="AH13" i="24"/>
  <c r="AI13" i="24"/>
  <c r="AJ13" i="24"/>
  <c r="AK13" i="24"/>
  <c r="AL13" i="24"/>
  <c r="AM13" i="24"/>
  <c r="AN13" i="24"/>
  <c r="AO13" i="24"/>
  <c r="F14" i="24"/>
  <c r="G14" i="24"/>
  <c r="AF14" i="24"/>
  <c r="AG14" i="24"/>
  <c r="AH14" i="24"/>
  <c r="AI14" i="24"/>
  <c r="AJ14" i="24"/>
  <c r="AK14" i="24"/>
  <c r="AL14" i="24"/>
  <c r="AM14" i="24"/>
  <c r="AN14" i="24"/>
  <c r="AO14" i="24"/>
  <c r="F15" i="24"/>
  <c r="N15" i="24"/>
  <c r="AF15" i="24"/>
  <c r="AG15" i="24"/>
  <c r="AH15" i="24"/>
  <c r="AI15" i="24"/>
  <c r="AJ15" i="24"/>
  <c r="AK15" i="24"/>
  <c r="AL15" i="24"/>
  <c r="AM15" i="24"/>
  <c r="AN15" i="24"/>
  <c r="AO15" i="24"/>
  <c r="AK16" i="24"/>
  <c r="F19" i="24"/>
  <c r="U19" i="24"/>
  <c r="AF19" i="24"/>
  <c r="AG19" i="24"/>
  <c r="AH19" i="24"/>
  <c r="AH24" i="24" s="1"/>
  <c r="AI19" i="24"/>
  <c r="AJ19" i="24"/>
  <c r="AK19" i="24"/>
  <c r="AL19" i="24"/>
  <c r="AM19" i="24"/>
  <c r="AN19" i="24"/>
  <c r="AO19" i="24"/>
  <c r="F20" i="24"/>
  <c r="G20" i="24"/>
  <c r="AF20" i="24"/>
  <c r="AG20" i="24"/>
  <c r="AH20" i="24"/>
  <c r="AI20" i="24"/>
  <c r="AJ20" i="24"/>
  <c r="AK20" i="24"/>
  <c r="AK24" i="24" s="1"/>
  <c r="AL20" i="24"/>
  <c r="AM20" i="24"/>
  <c r="AN20" i="24"/>
  <c r="AO20" i="24"/>
  <c r="F21" i="24"/>
  <c r="G21" i="24"/>
  <c r="AF21" i="24"/>
  <c r="AG21" i="24"/>
  <c r="AH21" i="24"/>
  <c r="AI21" i="24"/>
  <c r="AJ21" i="24"/>
  <c r="AK21" i="24"/>
  <c r="AL21" i="24"/>
  <c r="AM21" i="24"/>
  <c r="AN21" i="24"/>
  <c r="AO21" i="24"/>
  <c r="F22" i="24"/>
  <c r="G22" i="24"/>
  <c r="AF22" i="24"/>
  <c r="AG22" i="24"/>
  <c r="AH22" i="24"/>
  <c r="AI22" i="24"/>
  <c r="AJ22" i="24"/>
  <c r="AK22" i="24"/>
  <c r="AL22" i="24"/>
  <c r="AM22" i="24"/>
  <c r="AN22" i="24"/>
  <c r="AO22" i="24"/>
  <c r="F23" i="24"/>
  <c r="G23" i="24"/>
  <c r="AF23" i="24"/>
  <c r="AG23" i="24"/>
  <c r="AH23" i="24"/>
  <c r="AI23" i="24"/>
  <c r="AJ23" i="24"/>
  <c r="AK23" i="24"/>
  <c r="AL23" i="24"/>
  <c r="AM23" i="24"/>
  <c r="AN23" i="24"/>
  <c r="AO23" i="24"/>
  <c r="AF24" i="24"/>
  <c r="AG24" i="24"/>
  <c r="AJ24" i="24"/>
  <c r="AL24" i="24"/>
  <c r="AN24" i="24"/>
  <c r="AO24" i="24"/>
  <c r="F27" i="24"/>
  <c r="G27" i="24"/>
  <c r="AF27" i="24"/>
  <c r="AF29" i="24" s="1"/>
  <c r="AG27" i="24"/>
  <c r="AH27" i="24"/>
  <c r="AI27" i="24"/>
  <c r="AJ27" i="24"/>
  <c r="AK27" i="24"/>
  <c r="AL27" i="24"/>
  <c r="AM27" i="24"/>
  <c r="AM29" i="24" s="1"/>
  <c r="AN27" i="24"/>
  <c r="AN29" i="24" s="1"/>
  <c r="AO27" i="24"/>
  <c r="F28" i="24"/>
  <c r="G28" i="24"/>
  <c r="AF28" i="24"/>
  <c r="AG28" i="24"/>
  <c r="AH28" i="24"/>
  <c r="AI28" i="24"/>
  <c r="AJ28" i="24"/>
  <c r="AK28" i="24"/>
  <c r="AK29" i="24" s="1"/>
  <c r="AL28" i="24"/>
  <c r="AM28" i="24"/>
  <c r="AN28" i="24"/>
  <c r="AO28" i="24"/>
  <c r="F29" i="24"/>
  <c r="G29" i="24"/>
  <c r="AH29" i="24"/>
  <c r="AI29" i="24"/>
  <c r="AL29" i="24"/>
  <c r="F32" i="24"/>
  <c r="G32" i="24"/>
  <c r="AF32" i="24"/>
  <c r="AG32" i="24"/>
  <c r="AH32" i="24"/>
  <c r="AI32" i="24"/>
  <c r="AJ32" i="24"/>
  <c r="AJ36" i="24" s="1"/>
  <c r="AK32" i="24"/>
  <c r="AL32" i="24"/>
  <c r="AM32" i="24"/>
  <c r="AN32" i="24"/>
  <c r="AN36" i="24" s="1"/>
  <c r="AO32" i="24"/>
  <c r="F33" i="24"/>
  <c r="G33" i="24"/>
  <c r="AF33" i="24"/>
  <c r="AG33" i="24"/>
  <c r="AG36" i="24" s="1"/>
  <c r="AH33" i="24"/>
  <c r="AI33" i="24"/>
  <c r="AJ33" i="24"/>
  <c r="AK33" i="24"/>
  <c r="AL33" i="24"/>
  <c r="AL36" i="24" s="1"/>
  <c r="AM33" i="24"/>
  <c r="AN33" i="24"/>
  <c r="AO33" i="24"/>
  <c r="AO36" i="24" s="1"/>
  <c r="F34" i="24"/>
  <c r="G34" i="24"/>
  <c r="AF34" i="24"/>
  <c r="AG34" i="24"/>
  <c r="AH34" i="24"/>
  <c r="AI34" i="24"/>
  <c r="AI36" i="24" s="1"/>
  <c r="AJ34" i="24"/>
  <c r="AK34" i="24"/>
  <c r="AL34" i="24"/>
  <c r="AM34" i="24"/>
  <c r="AN34" i="24"/>
  <c r="AO34" i="24"/>
  <c r="F35" i="24"/>
  <c r="M35" i="24"/>
  <c r="AF35" i="24"/>
  <c r="AG35" i="24"/>
  <c r="AH35" i="24"/>
  <c r="AI35" i="24"/>
  <c r="AJ35" i="24"/>
  <c r="AK35" i="24"/>
  <c r="AL35" i="24"/>
  <c r="AM35" i="24"/>
  <c r="AN35" i="24"/>
  <c r="AO35" i="24"/>
  <c r="AF36" i="24"/>
  <c r="AM36" i="24"/>
  <c r="F39" i="24"/>
  <c r="G39" i="24"/>
  <c r="AF39" i="24"/>
  <c r="AG39" i="24"/>
  <c r="AG43" i="24" s="1"/>
  <c r="AH39" i="24"/>
  <c r="AI39" i="24"/>
  <c r="AJ39" i="24"/>
  <c r="AK39" i="24"/>
  <c r="AL39" i="24"/>
  <c r="AM39" i="24"/>
  <c r="AN39" i="24"/>
  <c r="AO39" i="24"/>
  <c r="F40" i="24"/>
  <c r="G40" i="24"/>
  <c r="P40" i="24"/>
  <c r="S40" i="24"/>
  <c r="AF40" i="24"/>
  <c r="AG40" i="24"/>
  <c r="AH40" i="24"/>
  <c r="AI40" i="24"/>
  <c r="AI42" i="24" s="1"/>
  <c r="AI43" i="24" s="1"/>
  <c r="AJ40" i="24"/>
  <c r="AK40" i="24"/>
  <c r="AK42" i="24" s="1"/>
  <c r="AK43" i="24" s="1"/>
  <c r="AL40" i="24"/>
  <c r="AL42" i="24" s="1"/>
  <c r="AL43" i="24" s="1"/>
  <c r="AM40" i="24"/>
  <c r="AN40" i="24"/>
  <c r="AO40" i="24"/>
  <c r="F41" i="24"/>
  <c r="G41" i="24"/>
  <c r="X41" i="24"/>
  <c r="AF41" i="24"/>
  <c r="AG41" i="24"/>
  <c r="AG42" i="24" s="1"/>
  <c r="AH41" i="24"/>
  <c r="AH42" i="24" s="1"/>
  <c r="AH43" i="24" s="1"/>
  <c r="AI41" i="24"/>
  <c r="AJ41" i="24"/>
  <c r="AK41" i="24"/>
  <c r="AL41" i="24"/>
  <c r="AM41" i="24"/>
  <c r="AN41" i="24"/>
  <c r="AN42" i="24" s="1"/>
  <c r="AN43" i="24" s="1"/>
  <c r="AO41" i="24"/>
  <c r="AO42" i="24" s="1"/>
  <c r="G42" i="24"/>
  <c r="G43" i="24" s="1"/>
  <c r="AF42" i="24"/>
  <c r="AF43" i="24" s="1"/>
  <c r="AJ42" i="24"/>
  <c r="AJ43" i="24" s="1"/>
  <c r="AM42" i="24"/>
  <c r="AM43" i="24" s="1"/>
  <c r="AO43" i="24"/>
  <c r="F45" i="24"/>
  <c r="G45" i="24"/>
  <c r="K45" i="24"/>
  <c r="AF45" i="24"/>
  <c r="AG45" i="24"/>
  <c r="AH45" i="24"/>
  <c r="AI45" i="24"/>
  <c r="AJ45" i="24"/>
  <c r="AK45" i="24"/>
  <c r="AL45" i="24"/>
  <c r="AM45" i="24"/>
  <c r="AN45" i="24"/>
  <c r="AO45" i="24"/>
  <c r="F47" i="24"/>
  <c r="G47" i="24"/>
  <c r="N47" i="24"/>
  <c r="AF47" i="24"/>
  <c r="AG47" i="24"/>
  <c r="AH47" i="24"/>
  <c r="AI47" i="24"/>
  <c r="AJ47" i="24"/>
  <c r="AK47" i="24"/>
  <c r="AL47" i="24"/>
  <c r="AM47" i="24"/>
  <c r="AN47" i="24"/>
  <c r="AO47" i="24"/>
  <c r="F49" i="24"/>
  <c r="G49" i="24"/>
  <c r="AF49" i="24"/>
  <c r="AG49" i="24"/>
  <c r="AH49" i="24"/>
  <c r="AI49" i="24"/>
  <c r="AJ49" i="24"/>
  <c r="AK49" i="24"/>
  <c r="AL49" i="24"/>
  <c r="AM49" i="24"/>
  <c r="AN49" i="24"/>
  <c r="AO49" i="24"/>
  <c r="F51" i="24"/>
  <c r="G51" i="24"/>
  <c r="AF51" i="24"/>
  <c r="AG51" i="24"/>
  <c r="AH51" i="24"/>
  <c r="AI51" i="24"/>
  <c r="AJ51" i="24"/>
  <c r="AK51" i="24"/>
  <c r="AL51" i="24"/>
  <c r="AM51" i="24"/>
  <c r="AN51" i="24"/>
  <c r="AO51" i="24"/>
  <c r="F54" i="24"/>
  <c r="AA54" i="24"/>
  <c r="AF54" i="24"/>
  <c r="AF56" i="24" s="1"/>
  <c r="AG54" i="24"/>
  <c r="AH54" i="24"/>
  <c r="AI54" i="24"/>
  <c r="AJ54" i="24"/>
  <c r="AJ56" i="24" s="1"/>
  <c r="AK54" i="24"/>
  <c r="AL54" i="24"/>
  <c r="AM54" i="24"/>
  <c r="AM56" i="24" s="1"/>
  <c r="AN54" i="24"/>
  <c r="AN56" i="24" s="1"/>
  <c r="AO54" i="24"/>
  <c r="F55" i="24"/>
  <c r="U55" i="24"/>
  <c r="AF55" i="24"/>
  <c r="AG55" i="24"/>
  <c r="AG56" i="24" s="1"/>
  <c r="AH55" i="24"/>
  <c r="AI55" i="24"/>
  <c r="AJ55" i="24"/>
  <c r="AK55" i="24"/>
  <c r="AL55" i="24"/>
  <c r="AM55" i="24"/>
  <c r="AN55" i="24"/>
  <c r="AO55" i="24"/>
  <c r="AO56" i="24" s="1"/>
  <c r="AH56" i="24"/>
  <c r="AI56" i="24"/>
  <c r="F59" i="24"/>
  <c r="G59" i="24"/>
  <c r="AF59" i="24"/>
  <c r="AG59" i="24"/>
  <c r="AH59" i="24"/>
  <c r="AI59" i="24"/>
  <c r="AI61" i="24" s="1"/>
  <c r="AJ59" i="24"/>
  <c r="AK59" i="24"/>
  <c r="AK61" i="24" s="1"/>
  <c r="AL59" i="24"/>
  <c r="AM59" i="24"/>
  <c r="AN59" i="24"/>
  <c r="AO59" i="24"/>
  <c r="F60" i="24"/>
  <c r="G60" i="24"/>
  <c r="AF60" i="24"/>
  <c r="AF61" i="24" s="1"/>
  <c r="AG60" i="24"/>
  <c r="AH60" i="24"/>
  <c r="AI60" i="24"/>
  <c r="AJ60" i="24"/>
  <c r="AK60" i="24"/>
  <c r="AL60" i="24"/>
  <c r="AM60" i="24"/>
  <c r="AM61" i="24" s="1"/>
  <c r="AN60" i="24"/>
  <c r="AO60" i="24"/>
  <c r="AG61" i="24"/>
  <c r="AH61" i="24"/>
  <c r="AL61" i="24"/>
  <c r="AN61" i="24"/>
  <c r="AO61" i="24"/>
  <c r="F64" i="24"/>
  <c r="G64" i="24"/>
  <c r="T64" i="24"/>
  <c r="AF64" i="24"/>
  <c r="AF66" i="24" s="1"/>
  <c r="AG64" i="24"/>
  <c r="AG66" i="24" s="1"/>
  <c r="AH64" i="24"/>
  <c r="AH66" i="24" s="1"/>
  <c r="AI64" i="24"/>
  <c r="AI66" i="24" s="1"/>
  <c r="AJ64" i="24"/>
  <c r="AK64" i="24"/>
  <c r="AL64" i="24"/>
  <c r="AM64" i="24"/>
  <c r="AN64" i="24"/>
  <c r="AN66" i="24" s="1"/>
  <c r="AO64" i="24"/>
  <c r="AO66" i="24" s="1"/>
  <c r="F65" i="24"/>
  <c r="G65" i="24"/>
  <c r="AF65" i="24"/>
  <c r="AG65" i="24"/>
  <c r="AH65" i="24"/>
  <c r="AI65" i="24"/>
  <c r="AJ65" i="24"/>
  <c r="AJ66" i="24" s="1"/>
  <c r="AK65" i="24"/>
  <c r="AK66" i="24" s="1"/>
  <c r="AL65" i="24"/>
  <c r="AL66" i="24" s="1"/>
  <c r="AM65" i="24"/>
  <c r="AN65" i="24"/>
  <c r="AO65" i="24"/>
  <c r="F66" i="24"/>
  <c r="G66" i="24"/>
  <c r="AM66" i="24"/>
  <c r="F70" i="24"/>
  <c r="G70" i="24"/>
  <c r="M70" i="24"/>
  <c r="AF70" i="24"/>
  <c r="AG70" i="24"/>
  <c r="AH70" i="24"/>
  <c r="AH72" i="24" s="1"/>
  <c r="AI70" i="24"/>
  <c r="AJ70" i="24"/>
  <c r="AK70" i="24"/>
  <c r="AL70" i="24"/>
  <c r="AM70" i="24"/>
  <c r="AM72" i="24" s="1"/>
  <c r="AN70" i="24"/>
  <c r="AO70" i="24"/>
  <c r="F71" i="24"/>
  <c r="G71" i="24"/>
  <c r="L71" i="24"/>
  <c r="AF71" i="24"/>
  <c r="AG71" i="24"/>
  <c r="AH71" i="24"/>
  <c r="AI71" i="24"/>
  <c r="AI72" i="24" s="1"/>
  <c r="AJ71" i="24"/>
  <c r="AJ72" i="24" s="1"/>
  <c r="AK71" i="24"/>
  <c r="AL71" i="24"/>
  <c r="AM71" i="24"/>
  <c r="AN71" i="24"/>
  <c r="AO71" i="24"/>
  <c r="AG72" i="24"/>
  <c r="AK72" i="24"/>
  <c r="AL72" i="24"/>
  <c r="AO72" i="24"/>
  <c r="F73" i="24"/>
  <c r="G73" i="24"/>
  <c r="AF73" i="24"/>
  <c r="AG73" i="24"/>
  <c r="AH73" i="24"/>
  <c r="AI73" i="24"/>
  <c r="AJ73" i="24"/>
  <c r="AK73" i="24"/>
  <c r="AL73" i="24"/>
  <c r="AM73" i="24"/>
  <c r="AN73" i="24"/>
  <c r="AO73" i="24"/>
  <c r="F74" i="24"/>
  <c r="AF74" i="24"/>
  <c r="AG74" i="24"/>
  <c r="AH74" i="24"/>
  <c r="AI74" i="24"/>
  <c r="AJ74" i="24"/>
  <c r="AK74" i="24"/>
  <c r="AL74" i="24"/>
  <c r="AM74" i="24"/>
  <c r="AN74" i="24"/>
  <c r="AO74" i="24"/>
  <c r="F75" i="24"/>
  <c r="G75" i="24"/>
  <c r="AF75" i="24"/>
  <c r="AG75" i="24"/>
  <c r="AH75" i="24"/>
  <c r="AI75" i="24"/>
  <c r="AJ75" i="24"/>
  <c r="AK75" i="24"/>
  <c r="AL75" i="24"/>
  <c r="AM75" i="24"/>
  <c r="AN75" i="24"/>
  <c r="AO75" i="24"/>
  <c r="F76" i="24"/>
  <c r="G76" i="24"/>
  <c r="AF76" i="24"/>
  <c r="AG76" i="24"/>
  <c r="AH76" i="24"/>
  <c r="AI76" i="24"/>
  <c r="AJ76" i="24"/>
  <c r="AK76" i="24"/>
  <c r="AL76" i="24"/>
  <c r="AM76" i="24"/>
  <c r="AN76" i="24"/>
  <c r="AO76" i="24"/>
  <c r="F77" i="24"/>
  <c r="G77" i="24"/>
  <c r="AF77" i="24"/>
  <c r="AG77" i="24"/>
  <c r="AH77" i="24"/>
  <c r="AI77" i="24"/>
  <c r="AJ77" i="24"/>
  <c r="AK77" i="24"/>
  <c r="AL77" i="24"/>
  <c r="AM77" i="24"/>
  <c r="AN77" i="24"/>
  <c r="AO77" i="24"/>
  <c r="F78" i="24"/>
  <c r="G78" i="24"/>
  <c r="AF78" i="24"/>
  <c r="AG78" i="24"/>
  <c r="AH78" i="24"/>
  <c r="AI78" i="24"/>
  <c r="AJ78" i="24"/>
  <c r="AK78" i="24"/>
  <c r="AL78" i="24"/>
  <c r="AM78" i="24"/>
  <c r="AN78" i="24"/>
  <c r="AO78" i="24"/>
  <c r="F79" i="24"/>
  <c r="G79" i="24"/>
  <c r="P79" i="24"/>
  <c r="AF79" i="24"/>
  <c r="AG79" i="24"/>
  <c r="AH79" i="24"/>
  <c r="AI79" i="24"/>
  <c r="AJ79" i="24"/>
  <c r="AK79" i="24"/>
  <c r="AL79" i="24"/>
  <c r="AM79" i="24"/>
  <c r="AN79" i="24"/>
  <c r="AO79" i="24"/>
  <c r="F80" i="24"/>
  <c r="G80" i="24"/>
  <c r="AF80" i="24"/>
  <c r="AG80" i="24"/>
  <c r="AH80" i="24"/>
  <c r="AI80" i="24"/>
  <c r="AJ80" i="24"/>
  <c r="AK80" i="24"/>
  <c r="AL80" i="24"/>
  <c r="AM80" i="24"/>
  <c r="AN80" i="24"/>
  <c r="AO80" i="24"/>
  <c r="F81" i="24"/>
  <c r="AF81" i="24"/>
  <c r="AG81" i="24"/>
  <c r="AH81" i="24"/>
  <c r="AI81" i="24"/>
  <c r="AJ81" i="24"/>
  <c r="AK81" i="24"/>
  <c r="AL81" i="24"/>
  <c r="AM81" i="24"/>
  <c r="AN81" i="24"/>
  <c r="AO81" i="24"/>
  <c r="H86" i="24"/>
  <c r="H89" i="24" s="1"/>
  <c r="I86" i="24"/>
  <c r="J86" i="24"/>
  <c r="K86" i="24"/>
  <c r="L86" i="24"/>
  <c r="M86" i="24"/>
  <c r="N86" i="24"/>
  <c r="O86" i="24"/>
  <c r="O89" i="24" s="1"/>
  <c r="P86" i="24"/>
  <c r="P89" i="24" s="1"/>
  <c r="Q86" i="24"/>
  <c r="R86" i="24"/>
  <c r="S86" i="24"/>
  <c r="T86" i="24"/>
  <c r="U86" i="24"/>
  <c r="V86" i="24"/>
  <c r="W86" i="24"/>
  <c r="W89" i="24" s="1"/>
  <c r="X86" i="24"/>
  <c r="X89" i="24" s="1"/>
  <c r="Y86" i="24"/>
  <c r="Z86" i="24"/>
  <c r="AA86" i="24"/>
  <c r="AB86" i="24"/>
  <c r="AC86" i="24"/>
  <c r="AC89" i="24" s="1"/>
  <c r="AD86" i="24"/>
  <c r="AE86" i="24"/>
  <c r="AE89" i="24" s="1"/>
  <c r="AF86" i="24"/>
  <c r="AF89" i="24" s="1"/>
  <c r="AG86" i="24"/>
  <c r="AH86" i="24"/>
  <c r="AI86" i="24"/>
  <c r="AJ86" i="24"/>
  <c r="AK86" i="24"/>
  <c r="AK89" i="24" s="1"/>
  <c r="AL86" i="24"/>
  <c r="AM86" i="24"/>
  <c r="AN86" i="24"/>
  <c r="AN89" i="24" s="1"/>
  <c r="AO86" i="24"/>
  <c r="H87" i="24"/>
  <c r="I87" i="24"/>
  <c r="J87" i="24"/>
  <c r="K87" i="24"/>
  <c r="K89" i="24" s="1"/>
  <c r="L87" i="24"/>
  <c r="M87" i="24"/>
  <c r="N87" i="24"/>
  <c r="O87" i="24"/>
  <c r="P87" i="24"/>
  <c r="Q87" i="24"/>
  <c r="R87" i="24"/>
  <c r="S87" i="24"/>
  <c r="S89" i="24" s="1"/>
  <c r="T87" i="24"/>
  <c r="U87" i="24"/>
  <c r="V87" i="24"/>
  <c r="V89" i="24" s="1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I89" i="24" s="1"/>
  <c r="AJ87" i="24"/>
  <c r="AK87" i="24"/>
  <c r="AL87" i="24"/>
  <c r="AM87" i="24"/>
  <c r="AN87" i="24"/>
  <c r="AO87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J89" i="24"/>
  <c r="M89" i="24"/>
  <c r="N89" i="24"/>
  <c r="R89" i="24"/>
  <c r="U89" i="24"/>
  <c r="Z89" i="24"/>
  <c r="AA89" i="24"/>
  <c r="AD89" i="24"/>
  <c r="AH89" i="24"/>
  <c r="AL89" i="24"/>
  <c r="AM89" i="24"/>
  <c r="A4" i="36"/>
  <c r="A5" i="36"/>
  <c r="A4" i="9"/>
  <c r="A5" i="9"/>
  <c r="F11" i="9"/>
  <c r="H11" i="9"/>
  <c r="I11" i="9"/>
  <c r="M11" i="9" s="1"/>
  <c r="L11" i="9"/>
  <c r="G12" i="9"/>
  <c r="H12" i="9"/>
  <c r="I12" i="9"/>
  <c r="M12" i="9"/>
  <c r="F13" i="9"/>
  <c r="H13" i="9"/>
  <c r="I13" i="9"/>
  <c r="L13" i="9"/>
  <c r="G14" i="9"/>
  <c r="H14" i="9"/>
  <c r="I14" i="9"/>
  <c r="M14" i="9"/>
  <c r="F15" i="9"/>
  <c r="H15" i="9"/>
  <c r="I15" i="9"/>
  <c r="G15" i="9" s="1"/>
  <c r="L15" i="9"/>
  <c r="H16" i="9"/>
  <c r="J16" i="9"/>
  <c r="K16" i="9"/>
  <c r="H18" i="9"/>
  <c r="I18" i="9"/>
  <c r="F19" i="9"/>
  <c r="H19" i="9"/>
  <c r="I19" i="9"/>
  <c r="M19" i="9" s="1"/>
  <c r="L19" i="9"/>
  <c r="G20" i="9"/>
  <c r="H20" i="9"/>
  <c r="I20" i="9"/>
  <c r="L20" i="9"/>
  <c r="M20" i="9"/>
  <c r="F21" i="9"/>
  <c r="H21" i="9"/>
  <c r="I21" i="9"/>
  <c r="L21" i="9"/>
  <c r="G22" i="9"/>
  <c r="H22" i="9"/>
  <c r="I22" i="9"/>
  <c r="M22" i="9"/>
  <c r="H23" i="9"/>
  <c r="I23" i="9"/>
  <c r="J24" i="9"/>
  <c r="K24" i="9"/>
  <c r="G27" i="9"/>
  <c r="H27" i="9"/>
  <c r="I27" i="9"/>
  <c r="M27" i="9"/>
  <c r="F28" i="9"/>
  <c r="H28" i="9"/>
  <c r="I28" i="9"/>
  <c r="L28" i="9"/>
  <c r="J29" i="9"/>
  <c r="K29" i="9"/>
  <c r="F32" i="9"/>
  <c r="G32" i="9"/>
  <c r="H32" i="9"/>
  <c r="I32" i="9"/>
  <c r="M32" i="9"/>
  <c r="H33" i="9"/>
  <c r="I33" i="9"/>
  <c r="L33" i="9"/>
  <c r="G34" i="9"/>
  <c r="H34" i="9"/>
  <c r="I34" i="9"/>
  <c r="M34" i="9"/>
  <c r="F35" i="9"/>
  <c r="H35" i="9"/>
  <c r="I35" i="9"/>
  <c r="L35" i="9"/>
  <c r="D35" i="33" s="1"/>
  <c r="J36" i="9"/>
  <c r="K36" i="9"/>
  <c r="H38" i="9"/>
  <c r="I38" i="9"/>
  <c r="F39" i="9"/>
  <c r="H39" i="9"/>
  <c r="I39" i="9"/>
  <c r="L39" i="9"/>
  <c r="G40" i="9"/>
  <c r="H40" i="9"/>
  <c r="I40" i="9"/>
  <c r="M40" i="9"/>
  <c r="H41" i="9"/>
  <c r="I41" i="9"/>
  <c r="J42" i="9"/>
  <c r="J43" i="9" s="1"/>
  <c r="K42" i="9"/>
  <c r="K43" i="9" s="1"/>
  <c r="G45" i="9"/>
  <c r="H45" i="9"/>
  <c r="I45" i="9"/>
  <c r="L45" i="9"/>
  <c r="M45" i="9"/>
  <c r="F47" i="9"/>
  <c r="H47" i="9"/>
  <c r="I47" i="9"/>
  <c r="L47" i="9"/>
  <c r="G49" i="9"/>
  <c r="H49" i="9"/>
  <c r="I49" i="9"/>
  <c r="M49" i="9"/>
  <c r="H51" i="9"/>
  <c r="I51" i="9"/>
  <c r="G54" i="9"/>
  <c r="H54" i="9"/>
  <c r="I54" i="9"/>
  <c r="M54" i="9"/>
  <c r="F55" i="9"/>
  <c r="H55" i="9"/>
  <c r="I55" i="9"/>
  <c r="L55" i="9"/>
  <c r="J56" i="9"/>
  <c r="K56" i="9"/>
  <c r="G59" i="9"/>
  <c r="H59" i="9"/>
  <c r="I59" i="9"/>
  <c r="M59" i="9"/>
  <c r="H60" i="9"/>
  <c r="I60" i="9"/>
  <c r="J61" i="9"/>
  <c r="K61" i="9"/>
  <c r="G64" i="9"/>
  <c r="H64" i="9"/>
  <c r="I64" i="9"/>
  <c r="M64" i="9"/>
  <c r="F65" i="9"/>
  <c r="H65" i="9"/>
  <c r="I65" i="9"/>
  <c r="L65" i="9"/>
  <c r="D65" i="33" s="1"/>
  <c r="J66" i="9"/>
  <c r="K66" i="9"/>
  <c r="G70" i="9"/>
  <c r="H70" i="9"/>
  <c r="I70" i="9"/>
  <c r="I72" i="9" s="1"/>
  <c r="M70" i="9"/>
  <c r="F71" i="9"/>
  <c r="H71" i="9"/>
  <c r="I71" i="9"/>
  <c r="J72" i="9"/>
  <c r="K72" i="9"/>
  <c r="G73" i="9"/>
  <c r="H73" i="9"/>
  <c r="I73" i="9"/>
  <c r="L73" i="9"/>
  <c r="M73" i="9"/>
  <c r="F74" i="9"/>
  <c r="H74" i="9"/>
  <c r="I74" i="9"/>
  <c r="L74" i="9"/>
  <c r="G75" i="9"/>
  <c r="H75" i="9"/>
  <c r="I75" i="9"/>
  <c r="M75" i="9"/>
  <c r="H76" i="9"/>
  <c r="I76" i="9"/>
  <c r="G77" i="9"/>
  <c r="H77" i="9"/>
  <c r="I77" i="9"/>
  <c r="L77" i="9"/>
  <c r="M77" i="9"/>
  <c r="F78" i="9"/>
  <c r="H78" i="9"/>
  <c r="I78" i="9"/>
  <c r="L78" i="9"/>
  <c r="G79" i="9"/>
  <c r="H79" i="9"/>
  <c r="I79" i="9"/>
  <c r="M79" i="9"/>
  <c r="H80" i="9"/>
  <c r="I80" i="9"/>
  <c r="L80" i="9"/>
  <c r="G81" i="9"/>
  <c r="H81" i="9"/>
  <c r="I81" i="9"/>
  <c r="L81" i="9"/>
  <c r="M81" i="9"/>
  <c r="D82" i="9"/>
  <c r="D91" i="9" s="1"/>
  <c r="E82" i="9"/>
  <c r="J82" i="9"/>
  <c r="H86" i="9"/>
  <c r="H86" i="12" s="1"/>
  <c r="I86" i="9"/>
  <c r="L86" i="9"/>
  <c r="L86" i="12" s="1"/>
  <c r="H87" i="9"/>
  <c r="I87" i="9"/>
  <c r="H88" i="9"/>
  <c r="H88" i="12" s="1"/>
  <c r="I88" i="9"/>
  <c r="L88" i="9"/>
  <c r="L88" i="12" s="1"/>
  <c r="D88" i="36" s="1"/>
  <c r="D89" i="9"/>
  <c r="E89" i="9"/>
  <c r="E91" i="9" s="1"/>
  <c r="F89" i="9"/>
  <c r="G89" i="9"/>
  <c r="J89" i="9"/>
  <c r="K89" i="9"/>
  <c r="J91" i="9"/>
  <c r="A5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F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B16" i="21" s="1"/>
  <c r="AC11" i="21"/>
  <c r="AD11" i="21"/>
  <c r="AE11" i="21"/>
  <c r="AF11" i="21"/>
  <c r="AG11" i="21"/>
  <c r="AH11" i="21"/>
  <c r="AI11" i="21"/>
  <c r="AJ11" i="21"/>
  <c r="AJ16" i="21" s="1"/>
  <c r="AK11" i="21"/>
  <c r="AL11" i="21"/>
  <c r="AM11" i="21"/>
  <c r="AN11" i="21"/>
  <c r="AO11" i="21"/>
  <c r="F12" i="21"/>
  <c r="F16" i="21" s="1"/>
  <c r="G12" i="21"/>
  <c r="H12" i="21"/>
  <c r="I12" i="21"/>
  <c r="J12" i="21"/>
  <c r="J12" i="24" s="1"/>
  <c r="K12" i="21"/>
  <c r="L12" i="21"/>
  <c r="M12" i="21"/>
  <c r="N12" i="21"/>
  <c r="O12" i="21"/>
  <c r="P12" i="21"/>
  <c r="Q12" i="21"/>
  <c r="R12" i="21"/>
  <c r="R12" i="24" s="1"/>
  <c r="S12" i="21"/>
  <c r="T12" i="21"/>
  <c r="U12" i="21"/>
  <c r="V12" i="21"/>
  <c r="W12" i="21"/>
  <c r="X12" i="21"/>
  <c r="Y12" i="21"/>
  <c r="Z12" i="21"/>
  <c r="Z12" i="24" s="1"/>
  <c r="AA12" i="21"/>
  <c r="AB12" i="21"/>
  <c r="AC12" i="21"/>
  <c r="AD12" i="21"/>
  <c r="AE12" i="21"/>
  <c r="AF12" i="21"/>
  <c r="AG12" i="21"/>
  <c r="AG16" i="21" s="1"/>
  <c r="AH12" i="21"/>
  <c r="AI12" i="21"/>
  <c r="AJ12" i="21"/>
  <c r="AK12" i="21"/>
  <c r="AK16" i="21" s="1"/>
  <c r="AL12" i="21"/>
  <c r="AL16" i="21" s="1"/>
  <c r="AM12" i="21"/>
  <c r="AN12" i="21"/>
  <c r="AO12" i="21"/>
  <c r="D13" i="21"/>
  <c r="F13" i="21"/>
  <c r="G13" i="21"/>
  <c r="H13" i="21"/>
  <c r="I13" i="21"/>
  <c r="J13" i="21"/>
  <c r="K13" i="21"/>
  <c r="L13" i="21"/>
  <c r="M13" i="21"/>
  <c r="M13" i="24" s="1"/>
  <c r="N13" i="21"/>
  <c r="O13" i="21"/>
  <c r="P13" i="21"/>
  <c r="Q13" i="21"/>
  <c r="R13" i="21"/>
  <c r="S13" i="21"/>
  <c r="T13" i="21"/>
  <c r="U13" i="21"/>
  <c r="U13" i="24" s="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F14" i="21"/>
  <c r="G14" i="21"/>
  <c r="H14" i="21"/>
  <c r="I14" i="21"/>
  <c r="E14" i="21" s="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F15" i="33" s="1"/>
  <c r="F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I16" i="21"/>
  <c r="L16" i="21"/>
  <c r="Q16" i="21"/>
  <c r="Y16" i="21"/>
  <c r="AC16" i="21"/>
  <c r="AH16" i="21"/>
  <c r="AO16" i="21"/>
  <c r="F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E24" i="21" s="1"/>
  <c r="AF19" i="21"/>
  <c r="AF24" i="21" s="1"/>
  <c r="AG19" i="21"/>
  <c r="AH19" i="21"/>
  <c r="AI19" i="21"/>
  <c r="AJ19" i="21"/>
  <c r="AK19" i="21"/>
  <c r="AL19" i="21"/>
  <c r="AM19" i="21"/>
  <c r="AN19" i="21"/>
  <c r="AN24" i="21" s="1"/>
  <c r="AO19" i="21"/>
  <c r="F20" i="21"/>
  <c r="G20" i="21"/>
  <c r="H20" i="21"/>
  <c r="I20" i="21"/>
  <c r="E20" i="21" s="1"/>
  <c r="G20" i="33" s="1"/>
  <c r="I20" i="33" s="1"/>
  <c r="J20" i="21"/>
  <c r="L20" i="21"/>
  <c r="L20" i="24" s="1"/>
  <c r="M20" i="21"/>
  <c r="N20" i="21"/>
  <c r="O20" i="21"/>
  <c r="P20" i="21"/>
  <c r="Q20" i="21"/>
  <c r="R20" i="21"/>
  <c r="S20" i="21"/>
  <c r="T20" i="21"/>
  <c r="T20" i="24" s="1"/>
  <c r="U20" i="21"/>
  <c r="V20" i="21"/>
  <c r="W20" i="21"/>
  <c r="X20" i="21"/>
  <c r="Y20" i="21"/>
  <c r="Y24" i="21" s="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F21" i="21"/>
  <c r="G21" i="21"/>
  <c r="H21" i="21"/>
  <c r="I21" i="21"/>
  <c r="J21" i="21"/>
  <c r="K21" i="21"/>
  <c r="L21" i="21"/>
  <c r="M21" i="21"/>
  <c r="N21" i="21"/>
  <c r="N21" i="24" s="1"/>
  <c r="O21" i="21"/>
  <c r="P21" i="21"/>
  <c r="Q21" i="21"/>
  <c r="R21" i="21"/>
  <c r="S21" i="21"/>
  <c r="T21" i="21"/>
  <c r="U21" i="21"/>
  <c r="V21" i="21"/>
  <c r="V21" i="24" s="1"/>
  <c r="W21" i="21"/>
  <c r="X21" i="21"/>
  <c r="Y21" i="21"/>
  <c r="Z21" i="21"/>
  <c r="AA21" i="21"/>
  <c r="AB21" i="21"/>
  <c r="AC21" i="21"/>
  <c r="AD21" i="21"/>
  <c r="AD21" i="24" s="1"/>
  <c r="AE21" i="21"/>
  <c r="AF21" i="21"/>
  <c r="AG21" i="21"/>
  <c r="AH21" i="21"/>
  <c r="AI21" i="21"/>
  <c r="AJ21" i="21"/>
  <c r="AK21" i="21"/>
  <c r="AL21" i="21"/>
  <c r="AL24" i="21" s="1"/>
  <c r="AM21" i="21"/>
  <c r="AN21" i="21"/>
  <c r="AO21" i="21"/>
  <c r="F22" i="21"/>
  <c r="G22" i="21"/>
  <c r="H22" i="21"/>
  <c r="I22" i="21"/>
  <c r="J22" i="21"/>
  <c r="J22" i="24" s="1"/>
  <c r="K22" i="21"/>
  <c r="L22" i="21"/>
  <c r="M22" i="21"/>
  <c r="N22" i="21"/>
  <c r="O22" i="21"/>
  <c r="P22" i="21"/>
  <c r="Q22" i="21"/>
  <c r="R22" i="21"/>
  <c r="R22" i="24" s="1"/>
  <c r="S22" i="21"/>
  <c r="T22" i="21"/>
  <c r="U22" i="21"/>
  <c r="V22" i="21"/>
  <c r="W22" i="21"/>
  <c r="X22" i="21"/>
  <c r="Y22" i="21"/>
  <c r="Z22" i="21"/>
  <c r="Z22" i="24" s="1"/>
  <c r="AA22" i="21"/>
  <c r="AB22" i="21"/>
  <c r="AC22" i="21"/>
  <c r="AD22" i="21"/>
  <c r="AE22" i="21"/>
  <c r="AF22" i="21"/>
  <c r="AG22" i="21"/>
  <c r="AH22" i="21"/>
  <c r="AH24" i="21" s="1"/>
  <c r="AI22" i="21"/>
  <c r="AJ22" i="21"/>
  <c r="AK22" i="21"/>
  <c r="AL22" i="21"/>
  <c r="AM22" i="21"/>
  <c r="AM24" i="21" s="1"/>
  <c r="AN22" i="21"/>
  <c r="AO22" i="21"/>
  <c r="D23" i="21"/>
  <c r="F23" i="33" s="1"/>
  <c r="F23" i="21"/>
  <c r="G23" i="21"/>
  <c r="E23" i="21" s="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I24" i="21"/>
  <c r="K24" i="21"/>
  <c r="L24" i="21"/>
  <c r="S24" i="21"/>
  <c r="W24" i="21"/>
  <c r="AA24" i="21"/>
  <c r="AG24" i="21"/>
  <c r="AI24" i="21"/>
  <c r="AO24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F29" i="21" s="1"/>
  <c r="AG27" i="21"/>
  <c r="AG29" i="21" s="1"/>
  <c r="AH27" i="21"/>
  <c r="AI27" i="21"/>
  <c r="AI29" i="21" s="1"/>
  <c r="AJ27" i="21"/>
  <c r="AK27" i="21"/>
  <c r="AL27" i="21"/>
  <c r="AM27" i="21"/>
  <c r="AN27" i="21"/>
  <c r="AO27" i="21"/>
  <c r="AO29" i="21" s="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N29" i="21" s="1"/>
  <c r="AO28" i="21"/>
  <c r="G29" i="21"/>
  <c r="H29" i="21"/>
  <c r="I29" i="21"/>
  <c r="L29" i="21"/>
  <c r="M29" i="21"/>
  <c r="O29" i="21"/>
  <c r="R29" i="21"/>
  <c r="T29" i="21"/>
  <c r="W29" i="21"/>
  <c r="X29" i="21"/>
  <c r="AB29" i="21"/>
  <c r="AE29" i="21"/>
  <c r="AH29" i="21"/>
  <c r="AJ29" i="21"/>
  <c r="AM29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I36" i="21" s="1"/>
  <c r="AJ32" i="21"/>
  <c r="AJ36" i="21" s="1"/>
  <c r="AK32" i="21"/>
  <c r="AL32" i="21"/>
  <c r="AM32" i="21"/>
  <c r="AN32" i="21"/>
  <c r="AO32" i="21"/>
  <c r="D33" i="21"/>
  <c r="F33" i="33" s="1"/>
  <c r="F33" i="21"/>
  <c r="G33" i="21"/>
  <c r="H33" i="21"/>
  <c r="I33" i="21"/>
  <c r="J33" i="21"/>
  <c r="K33" i="21"/>
  <c r="L33" i="21"/>
  <c r="L33" i="24" s="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B33" i="24" s="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F34" i="21"/>
  <c r="G34" i="21"/>
  <c r="H34" i="21"/>
  <c r="H34" i="24" s="1"/>
  <c r="I34" i="21"/>
  <c r="J34" i="21"/>
  <c r="J34" i="24" s="1"/>
  <c r="K34" i="21"/>
  <c r="L34" i="21"/>
  <c r="M34" i="21"/>
  <c r="N34" i="21"/>
  <c r="O34" i="21"/>
  <c r="P34" i="21"/>
  <c r="Q34" i="21"/>
  <c r="R34" i="21"/>
  <c r="R34" i="24" s="1"/>
  <c r="S34" i="21"/>
  <c r="T34" i="21"/>
  <c r="U34" i="21"/>
  <c r="V34" i="21"/>
  <c r="W34" i="21"/>
  <c r="X34" i="21"/>
  <c r="X34" i="24" s="1"/>
  <c r="Y34" i="21"/>
  <c r="Z34" i="21"/>
  <c r="Z34" i="24" s="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M36" i="21" s="1"/>
  <c r="AN34" i="21"/>
  <c r="AN36" i="21" s="1"/>
  <c r="AO34" i="21"/>
  <c r="D35" i="21"/>
  <c r="F35" i="33" s="1"/>
  <c r="H35" i="33" s="1"/>
  <c r="F35" i="21"/>
  <c r="H35" i="21"/>
  <c r="I35" i="21"/>
  <c r="J35" i="21"/>
  <c r="K35" i="21"/>
  <c r="L35" i="21"/>
  <c r="M35" i="21"/>
  <c r="N35" i="21"/>
  <c r="O35" i="21"/>
  <c r="P35" i="21"/>
  <c r="Q35" i="21"/>
  <c r="Q35" i="24" s="1"/>
  <c r="R35" i="21"/>
  <c r="S35" i="21"/>
  <c r="T35" i="21"/>
  <c r="U35" i="21"/>
  <c r="U35" i="24" s="1"/>
  <c r="V35" i="21"/>
  <c r="W35" i="21"/>
  <c r="X35" i="21"/>
  <c r="Y35" i="21"/>
  <c r="Z35" i="21"/>
  <c r="AA35" i="21"/>
  <c r="AB35" i="21"/>
  <c r="AC35" i="21"/>
  <c r="AC35" i="24" s="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AO36" i="21" s="1"/>
  <c r="Q36" i="21"/>
  <c r="V36" i="21"/>
  <c r="AA36" i="21"/>
  <c r="AD36" i="21"/>
  <c r="AE36" i="21"/>
  <c r="AH36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I43" i="21" s="1"/>
  <c r="AJ39" i="21"/>
  <c r="AK39" i="21"/>
  <c r="AL39" i="21"/>
  <c r="AM39" i="21"/>
  <c r="AN39" i="21"/>
  <c r="AO39" i="21"/>
  <c r="F40" i="21"/>
  <c r="G40" i="21"/>
  <c r="G42" i="21" s="1"/>
  <c r="G43" i="21" s="1"/>
  <c r="H40" i="21"/>
  <c r="I40" i="21"/>
  <c r="J40" i="21"/>
  <c r="K40" i="21"/>
  <c r="L40" i="21"/>
  <c r="M40" i="21"/>
  <c r="N40" i="21"/>
  <c r="O40" i="21"/>
  <c r="P40" i="21"/>
  <c r="P42" i="21" s="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K42" i="21" s="1"/>
  <c r="AK43" i="21" s="1"/>
  <c r="AL40" i="21"/>
  <c r="AM40" i="21"/>
  <c r="AM42" i="21" s="1"/>
  <c r="AM43" i="21" s="1"/>
  <c r="AN40" i="21"/>
  <c r="AO40" i="21"/>
  <c r="F41" i="21"/>
  <c r="G41" i="21"/>
  <c r="H41" i="21"/>
  <c r="I41" i="21"/>
  <c r="J41" i="21"/>
  <c r="K41" i="21"/>
  <c r="L41" i="21"/>
  <c r="M41" i="21"/>
  <c r="N41" i="21"/>
  <c r="N41" i="24" s="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G42" i="21" s="1"/>
  <c r="AG43" i="21" s="1"/>
  <c r="AH41" i="21"/>
  <c r="AH42" i="21" s="1"/>
  <c r="AH43" i="21" s="1"/>
  <c r="AI41" i="21"/>
  <c r="AJ41" i="21"/>
  <c r="AK41" i="21"/>
  <c r="AL41" i="21"/>
  <c r="AM41" i="21"/>
  <c r="AN41" i="21"/>
  <c r="AO41" i="21"/>
  <c r="AO42" i="21" s="1"/>
  <c r="AO43" i="21" s="1"/>
  <c r="F42" i="21"/>
  <c r="H42" i="21"/>
  <c r="H43" i="21" s="1"/>
  <c r="L42" i="21"/>
  <c r="N42" i="21"/>
  <c r="N43" i="21" s="1"/>
  <c r="S42" i="21"/>
  <c r="V42" i="21"/>
  <c r="V43" i="21" s="1"/>
  <c r="X42" i="21"/>
  <c r="X43" i="21" s="1"/>
  <c r="AA42" i="21"/>
  <c r="AA43" i="21" s="1"/>
  <c r="AB42" i="21"/>
  <c r="AB43" i="21" s="1"/>
  <c r="AF42" i="21"/>
  <c r="AF43" i="21" s="1"/>
  <c r="AI42" i="21"/>
  <c r="AJ42" i="21"/>
  <c r="AL42" i="21"/>
  <c r="AL43" i="21" s="1"/>
  <c r="AN42" i="21"/>
  <c r="AN43" i="21" s="1"/>
  <c r="F43" i="21"/>
  <c r="L43" i="21"/>
  <c r="P43" i="21"/>
  <c r="AJ43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F47" i="21"/>
  <c r="G47" i="21"/>
  <c r="H47" i="21"/>
  <c r="I47" i="21"/>
  <c r="J47" i="21"/>
  <c r="K47" i="21"/>
  <c r="L47" i="21"/>
  <c r="M47" i="21"/>
  <c r="N47" i="21"/>
  <c r="O47" i="21"/>
  <c r="O47" i="24" s="1"/>
  <c r="P47" i="21"/>
  <c r="Q47" i="21"/>
  <c r="R47" i="21"/>
  <c r="S47" i="21"/>
  <c r="T47" i="21"/>
  <c r="T47" i="24" s="1"/>
  <c r="U47" i="21"/>
  <c r="V47" i="21"/>
  <c r="W47" i="21"/>
  <c r="W47" i="24" s="1"/>
  <c r="X47" i="21"/>
  <c r="Y47" i="21"/>
  <c r="Z47" i="21"/>
  <c r="AA47" i="21"/>
  <c r="AB47" i="21"/>
  <c r="AB47" i="24" s="1"/>
  <c r="AC47" i="21"/>
  <c r="AD47" i="21"/>
  <c r="AE47" i="21"/>
  <c r="AE47" i="24" s="1"/>
  <c r="AF47" i="21"/>
  <c r="AG47" i="21"/>
  <c r="AH47" i="21"/>
  <c r="AI47" i="21"/>
  <c r="AJ47" i="21"/>
  <c r="AK47" i="21"/>
  <c r="AL47" i="21"/>
  <c r="AM47" i="21"/>
  <c r="AN47" i="21"/>
  <c r="AO47" i="21"/>
  <c r="F49" i="21"/>
  <c r="G49" i="21"/>
  <c r="H49" i="21"/>
  <c r="H49" i="24" s="1"/>
  <c r="I49" i="21"/>
  <c r="J49" i="21"/>
  <c r="K49" i="21"/>
  <c r="L49" i="21"/>
  <c r="L49" i="24" s="1"/>
  <c r="M49" i="21"/>
  <c r="N49" i="21"/>
  <c r="O49" i="21"/>
  <c r="O49" i="24" s="1"/>
  <c r="P49" i="21"/>
  <c r="P49" i="24" s="1"/>
  <c r="Q49" i="21"/>
  <c r="R49" i="21"/>
  <c r="S49" i="21"/>
  <c r="T49" i="21"/>
  <c r="T49" i="24" s="1"/>
  <c r="U49" i="21"/>
  <c r="V49" i="21"/>
  <c r="W49" i="21"/>
  <c r="W49" i="24" s="1"/>
  <c r="X49" i="21"/>
  <c r="X49" i="24" s="1"/>
  <c r="Y49" i="21"/>
  <c r="Z49" i="21"/>
  <c r="AA49" i="21"/>
  <c r="AB49" i="21"/>
  <c r="AB49" i="24" s="1"/>
  <c r="AC49" i="21"/>
  <c r="AD49" i="21"/>
  <c r="AE49" i="21"/>
  <c r="AE49" i="24" s="1"/>
  <c r="AF49" i="21"/>
  <c r="AG49" i="21"/>
  <c r="AH49" i="21"/>
  <c r="AI49" i="21"/>
  <c r="AJ49" i="21"/>
  <c r="AK49" i="21"/>
  <c r="AL49" i="21"/>
  <c r="AM49" i="21"/>
  <c r="AN49" i="21"/>
  <c r="AO49" i="21"/>
  <c r="F51" i="21"/>
  <c r="G51" i="21"/>
  <c r="H51" i="21"/>
  <c r="I51" i="21"/>
  <c r="J51" i="21"/>
  <c r="J51" i="24" s="1"/>
  <c r="K51" i="21"/>
  <c r="L51" i="21"/>
  <c r="M51" i="21"/>
  <c r="N51" i="21"/>
  <c r="N51" i="24" s="1"/>
  <c r="O51" i="21"/>
  <c r="P51" i="21"/>
  <c r="Q51" i="21"/>
  <c r="R51" i="21"/>
  <c r="R51" i="24" s="1"/>
  <c r="S51" i="21"/>
  <c r="T51" i="21"/>
  <c r="U51" i="21"/>
  <c r="V51" i="21"/>
  <c r="V51" i="24" s="1"/>
  <c r="W51" i="21"/>
  <c r="X51" i="21"/>
  <c r="Y51" i="21"/>
  <c r="Y51" i="24" s="1"/>
  <c r="Z51" i="21"/>
  <c r="Z51" i="24" s="1"/>
  <c r="AA51" i="21"/>
  <c r="AB51" i="21"/>
  <c r="AC51" i="21"/>
  <c r="AD51" i="21"/>
  <c r="AD51" i="24" s="1"/>
  <c r="AE51" i="21"/>
  <c r="AF51" i="21"/>
  <c r="AG51" i="21"/>
  <c r="AH51" i="21"/>
  <c r="AI51" i="21"/>
  <c r="AJ51" i="21"/>
  <c r="AK51" i="21"/>
  <c r="AL51" i="21"/>
  <c r="AM51" i="21"/>
  <c r="AN51" i="21"/>
  <c r="AO51" i="21"/>
  <c r="F54" i="21"/>
  <c r="H54" i="21"/>
  <c r="I54" i="21"/>
  <c r="J54" i="21"/>
  <c r="K54" i="21"/>
  <c r="L54" i="21"/>
  <c r="M54" i="21"/>
  <c r="M56" i="21" s="1"/>
  <c r="N54" i="21"/>
  <c r="N54" i="24" s="1"/>
  <c r="O54" i="21"/>
  <c r="P54" i="21"/>
  <c r="Q54" i="21"/>
  <c r="R54" i="21"/>
  <c r="S54" i="21"/>
  <c r="T54" i="21"/>
  <c r="U54" i="21"/>
  <c r="U56" i="21" s="1"/>
  <c r="V54" i="21"/>
  <c r="V54" i="24" s="1"/>
  <c r="W54" i="21"/>
  <c r="X54" i="21"/>
  <c r="Y54" i="21"/>
  <c r="Z54" i="21"/>
  <c r="AA54" i="21"/>
  <c r="AB54" i="21"/>
  <c r="AB54" i="24" s="1"/>
  <c r="AC54" i="21"/>
  <c r="AC56" i="21" s="1"/>
  <c r="AD54" i="21"/>
  <c r="AE54" i="21"/>
  <c r="AF54" i="21"/>
  <c r="AF56" i="21" s="1"/>
  <c r="AG54" i="21"/>
  <c r="AH54" i="21"/>
  <c r="AI54" i="21"/>
  <c r="AJ54" i="21"/>
  <c r="AK54" i="21"/>
  <c r="AK56" i="21" s="1"/>
  <c r="AL54" i="21"/>
  <c r="AL56" i="21" s="1"/>
  <c r="AM54" i="21"/>
  <c r="AN54" i="21"/>
  <c r="AO54" i="21"/>
  <c r="F55" i="21"/>
  <c r="D55" i="21" s="1"/>
  <c r="H55" i="21"/>
  <c r="I55" i="21"/>
  <c r="J55" i="21"/>
  <c r="K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Y56" i="21" s="1"/>
  <c r="Z55" i="21"/>
  <c r="AA55" i="21"/>
  <c r="AB55" i="21"/>
  <c r="AC55" i="21"/>
  <c r="AD55" i="21"/>
  <c r="AE55" i="21"/>
  <c r="AF55" i="21"/>
  <c r="AG55" i="21"/>
  <c r="AG56" i="21" s="1"/>
  <c r="AH55" i="21"/>
  <c r="AI55" i="21"/>
  <c r="AJ55" i="21"/>
  <c r="AK55" i="21"/>
  <c r="AL55" i="21"/>
  <c r="AM55" i="21"/>
  <c r="AN55" i="21"/>
  <c r="AO55" i="21"/>
  <c r="AO56" i="21" s="1"/>
  <c r="J56" i="21"/>
  <c r="K56" i="21"/>
  <c r="N56" i="21"/>
  <c r="O56" i="21"/>
  <c r="P56" i="21"/>
  <c r="R56" i="21"/>
  <c r="W56" i="21"/>
  <c r="Z56" i="21"/>
  <c r="AA56" i="21"/>
  <c r="AB56" i="21"/>
  <c r="AE56" i="21"/>
  <c r="AH56" i="21"/>
  <c r="AI56" i="21"/>
  <c r="AM56" i="21"/>
  <c r="F59" i="21"/>
  <c r="G59" i="21"/>
  <c r="H59" i="21"/>
  <c r="I59" i="21"/>
  <c r="J59" i="21"/>
  <c r="K59" i="21"/>
  <c r="L59" i="21"/>
  <c r="M59" i="21"/>
  <c r="N59" i="21"/>
  <c r="N61" i="21" s="1"/>
  <c r="O59" i="21"/>
  <c r="P59" i="21"/>
  <c r="Q59" i="21"/>
  <c r="Q59" i="24" s="1"/>
  <c r="R59" i="21"/>
  <c r="S59" i="21"/>
  <c r="T59" i="21"/>
  <c r="U59" i="21"/>
  <c r="V59" i="21"/>
  <c r="V59" i="24" s="1"/>
  <c r="W59" i="21"/>
  <c r="X59" i="21"/>
  <c r="Y59" i="21"/>
  <c r="Y59" i="24" s="1"/>
  <c r="Z59" i="21"/>
  <c r="AA59" i="21"/>
  <c r="AB59" i="21"/>
  <c r="AC59" i="21"/>
  <c r="AD59" i="21"/>
  <c r="AE59" i="21"/>
  <c r="AF59" i="21"/>
  <c r="AG59" i="21"/>
  <c r="AG61" i="21" s="1"/>
  <c r="AH59" i="21"/>
  <c r="AH61" i="21" s="1"/>
  <c r="AI59" i="21"/>
  <c r="AJ59" i="21"/>
  <c r="AK59" i="21"/>
  <c r="AK61" i="21" s="1"/>
  <c r="AL59" i="21"/>
  <c r="AL61" i="21" s="1"/>
  <c r="AM59" i="21"/>
  <c r="AN59" i="21"/>
  <c r="AO59" i="21"/>
  <c r="AO61" i="21" s="1"/>
  <c r="F60" i="21"/>
  <c r="G60" i="21"/>
  <c r="H60" i="21"/>
  <c r="I60" i="21"/>
  <c r="J60" i="21"/>
  <c r="K60" i="21"/>
  <c r="L60" i="21"/>
  <c r="L60" i="24" s="1"/>
  <c r="M60" i="21"/>
  <c r="N60" i="21"/>
  <c r="O60" i="21"/>
  <c r="O61" i="21" s="1"/>
  <c r="P60" i="21"/>
  <c r="Q60" i="21"/>
  <c r="R60" i="21"/>
  <c r="S60" i="21"/>
  <c r="T60" i="21"/>
  <c r="T60" i="24" s="1"/>
  <c r="U60" i="21"/>
  <c r="V60" i="21"/>
  <c r="W60" i="21"/>
  <c r="X60" i="21"/>
  <c r="Y60" i="21"/>
  <c r="Z60" i="21"/>
  <c r="AA60" i="21"/>
  <c r="AB60" i="21"/>
  <c r="AB60" i="24" s="1"/>
  <c r="AC60" i="21"/>
  <c r="AD60" i="21"/>
  <c r="AE60" i="21"/>
  <c r="AF60" i="21"/>
  <c r="AF61" i="21" s="1"/>
  <c r="AG60" i="21"/>
  <c r="AH60" i="21"/>
  <c r="AI60" i="21"/>
  <c r="AJ60" i="21"/>
  <c r="AK60" i="21"/>
  <c r="AL60" i="21"/>
  <c r="AM60" i="21"/>
  <c r="AM61" i="21" s="1"/>
  <c r="AN60" i="21"/>
  <c r="AN61" i="21" s="1"/>
  <c r="AO60" i="21"/>
  <c r="L61" i="21"/>
  <c r="Q61" i="21"/>
  <c r="Y61" i="21"/>
  <c r="AB61" i="21"/>
  <c r="AJ61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R64" i="24" s="1"/>
  <c r="S64" i="21"/>
  <c r="S64" i="24" s="1"/>
  <c r="T64" i="21"/>
  <c r="U64" i="21"/>
  <c r="V64" i="21"/>
  <c r="W64" i="21"/>
  <c r="X64" i="21"/>
  <c r="Y64" i="21"/>
  <c r="Z64" i="21"/>
  <c r="Z64" i="24" s="1"/>
  <c r="Z66" i="24" s="1"/>
  <c r="AA64" i="21"/>
  <c r="AB64" i="21"/>
  <c r="AC64" i="21"/>
  <c r="AD64" i="21"/>
  <c r="AE64" i="21"/>
  <c r="AF64" i="21"/>
  <c r="AG64" i="21"/>
  <c r="AH64" i="21"/>
  <c r="AH66" i="21" s="1"/>
  <c r="AI64" i="21"/>
  <c r="AI66" i="21" s="1"/>
  <c r="AJ64" i="21"/>
  <c r="AK64" i="21"/>
  <c r="AL64" i="21"/>
  <c r="AL66" i="21" s="1"/>
  <c r="AM64" i="21"/>
  <c r="AM66" i="21" s="1"/>
  <c r="AN64" i="21"/>
  <c r="AO64" i="21"/>
  <c r="F65" i="21"/>
  <c r="G65" i="21"/>
  <c r="H65" i="21"/>
  <c r="I65" i="21"/>
  <c r="I65" i="24" s="1"/>
  <c r="J65" i="21"/>
  <c r="K65" i="21"/>
  <c r="L65" i="21"/>
  <c r="L65" i="24" s="1"/>
  <c r="M65" i="21"/>
  <c r="N65" i="21"/>
  <c r="O65" i="21"/>
  <c r="P65" i="21"/>
  <c r="P65" i="24" s="1"/>
  <c r="Q65" i="21"/>
  <c r="Q65" i="24" s="1"/>
  <c r="R65" i="21"/>
  <c r="S65" i="21"/>
  <c r="T65" i="21"/>
  <c r="T66" i="21" s="1"/>
  <c r="U65" i="21"/>
  <c r="V65" i="21"/>
  <c r="W65" i="21"/>
  <c r="X65" i="21"/>
  <c r="X65" i="24" s="1"/>
  <c r="Y65" i="21"/>
  <c r="Y65" i="24" s="1"/>
  <c r="Z65" i="21"/>
  <c r="Z65" i="24" s="1"/>
  <c r="AA65" i="21"/>
  <c r="AB65" i="21"/>
  <c r="AB65" i="24" s="1"/>
  <c r="AC65" i="21"/>
  <c r="AD65" i="21"/>
  <c r="AE65" i="21"/>
  <c r="AF65" i="21"/>
  <c r="AG65" i="21"/>
  <c r="AH65" i="21"/>
  <c r="AI65" i="21"/>
  <c r="AJ65" i="21"/>
  <c r="AK65" i="21"/>
  <c r="AK66" i="21" s="1"/>
  <c r="AL65" i="21"/>
  <c r="AM65" i="21"/>
  <c r="AN65" i="21"/>
  <c r="AO65" i="21"/>
  <c r="L66" i="21"/>
  <c r="S66" i="21"/>
  <c r="AB66" i="21"/>
  <c r="AJ66" i="21"/>
  <c r="F70" i="21"/>
  <c r="G70" i="21"/>
  <c r="G72" i="21" s="1"/>
  <c r="H70" i="21"/>
  <c r="I70" i="21"/>
  <c r="J70" i="21"/>
  <c r="K70" i="21"/>
  <c r="L70" i="21"/>
  <c r="M70" i="21"/>
  <c r="E70" i="21" s="1"/>
  <c r="G70" i="33" s="1"/>
  <c r="N70" i="21"/>
  <c r="O70" i="21"/>
  <c r="O72" i="21" s="1"/>
  <c r="P70" i="21"/>
  <c r="Q70" i="21"/>
  <c r="R70" i="21"/>
  <c r="S70" i="21"/>
  <c r="T70" i="21"/>
  <c r="U70" i="21"/>
  <c r="V70" i="21"/>
  <c r="W70" i="21"/>
  <c r="W72" i="21" s="1"/>
  <c r="X70" i="21"/>
  <c r="X70" i="24" s="1"/>
  <c r="Y70" i="21"/>
  <c r="Z70" i="21"/>
  <c r="AA70" i="21"/>
  <c r="AB70" i="21"/>
  <c r="AC70" i="21"/>
  <c r="AD70" i="21"/>
  <c r="AD70" i="24" s="1"/>
  <c r="AD72" i="24" s="1"/>
  <c r="AE70" i="21"/>
  <c r="AE72" i="21" s="1"/>
  <c r="AF70" i="21"/>
  <c r="AF72" i="21" s="1"/>
  <c r="AG70" i="21"/>
  <c r="AH70" i="21"/>
  <c r="AH72" i="21" s="1"/>
  <c r="AI70" i="21"/>
  <c r="AJ70" i="21"/>
  <c r="AK70" i="21"/>
  <c r="AL70" i="21"/>
  <c r="AL72" i="21" s="1"/>
  <c r="AM70" i="21"/>
  <c r="AM72" i="21" s="1"/>
  <c r="AN70" i="21"/>
  <c r="AN72" i="21" s="1"/>
  <c r="AO70" i="21"/>
  <c r="D71" i="21"/>
  <c r="F71" i="33" s="1"/>
  <c r="F71" i="21"/>
  <c r="G71" i="21"/>
  <c r="H71" i="21"/>
  <c r="I71" i="21"/>
  <c r="J71" i="21"/>
  <c r="K71" i="21"/>
  <c r="L71" i="21"/>
  <c r="M71" i="21"/>
  <c r="N71" i="21"/>
  <c r="N71" i="24" s="1"/>
  <c r="O71" i="21"/>
  <c r="P71" i="21"/>
  <c r="Q71" i="21"/>
  <c r="R71" i="21"/>
  <c r="S71" i="21"/>
  <c r="T71" i="21"/>
  <c r="U71" i="21"/>
  <c r="V71" i="21"/>
  <c r="V71" i="24" s="1"/>
  <c r="W71" i="21"/>
  <c r="X71" i="21"/>
  <c r="Y71" i="21"/>
  <c r="Z71" i="21"/>
  <c r="AA71" i="21"/>
  <c r="AB71" i="21"/>
  <c r="AC71" i="21"/>
  <c r="AD71" i="21"/>
  <c r="AD71" i="24" s="1"/>
  <c r="AE71" i="21"/>
  <c r="AF71" i="21"/>
  <c r="AG71" i="21"/>
  <c r="AH71" i="21"/>
  <c r="AI71" i="21"/>
  <c r="AI72" i="21" s="1"/>
  <c r="AJ71" i="21"/>
  <c r="AK71" i="21"/>
  <c r="AL71" i="21"/>
  <c r="AM71" i="21"/>
  <c r="AN71" i="21"/>
  <c r="AO71" i="21"/>
  <c r="I72" i="21"/>
  <c r="L72" i="21"/>
  <c r="M72" i="21"/>
  <c r="Q72" i="21"/>
  <c r="T72" i="21"/>
  <c r="Y72" i="21"/>
  <c r="AB72" i="21"/>
  <c r="AC72" i="21"/>
  <c r="AG72" i="21"/>
  <c r="AJ72" i="21"/>
  <c r="AK72" i="21"/>
  <c r="AO72" i="21"/>
  <c r="F73" i="21"/>
  <c r="G73" i="21"/>
  <c r="H73" i="21"/>
  <c r="H73" i="24" s="1"/>
  <c r="I73" i="21"/>
  <c r="J73" i="21"/>
  <c r="K73" i="21"/>
  <c r="K73" i="24" s="1"/>
  <c r="L73" i="21"/>
  <c r="M73" i="21"/>
  <c r="N73" i="21"/>
  <c r="N73" i="24" s="1"/>
  <c r="O73" i="21"/>
  <c r="O73" i="24" s="1"/>
  <c r="P73" i="21"/>
  <c r="P73" i="24" s="1"/>
  <c r="Q73" i="21"/>
  <c r="R73" i="21"/>
  <c r="S73" i="21"/>
  <c r="S73" i="24" s="1"/>
  <c r="T73" i="21"/>
  <c r="U73" i="21"/>
  <c r="V73" i="21"/>
  <c r="V73" i="24" s="1"/>
  <c r="W73" i="21"/>
  <c r="W73" i="24" s="1"/>
  <c r="X73" i="21"/>
  <c r="X73" i="24" s="1"/>
  <c r="Y73" i="21"/>
  <c r="Z73" i="21"/>
  <c r="AA73" i="21"/>
  <c r="AA73" i="24" s="1"/>
  <c r="AB73" i="21"/>
  <c r="AC73" i="21"/>
  <c r="AD73" i="21"/>
  <c r="AD73" i="24" s="1"/>
  <c r="AE73" i="21"/>
  <c r="AE73" i="24" s="1"/>
  <c r="AF73" i="21"/>
  <c r="AG73" i="21"/>
  <c r="AH73" i="21"/>
  <c r="AI73" i="21"/>
  <c r="AJ73" i="21"/>
  <c r="AK73" i="21"/>
  <c r="AL73" i="21"/>
  <c r="AM73" i="21"/>
  <c r="AN73" i="21"/>
  <c r="AO73" i="21"/>
  <c r="F74" i="21"/>
  <c r="H74" i="21"/>
  <c r="I74" i="21"/>
  <c r="J74" i="21"/>
  <c r="J74" i="24" s="1"/>
  <c r="K74" i="21"/>
  <c r="L74" i="21"/>
  <c r="M74" i="21"/>
  <c r="N74" i="21"/>
  <c r="N74" i="24" s="1"/>
  <c r="O74" i="21"/>
  <c r="P74" i="21"/>
  <c r="Q74" i="21"/>
  <c r="R74" i="21"/>
  <c r="R74" i="24" s="1"/>
  <c r="S74" i="21"/>
  <c r="T74" i="21"/>
  <c r="U74" i="21"/>
  <c r="V74" i="21"/>
  <c r="V74" i="24" s="1"/>
  <c r="W74" i="21"/>
  <c r="X74" i="21"/>
  <c r="Y74" i="21"/>
  <c r="Z74" i="21"/>
  <c r="Z74" i="24" s="1"/>
  <c r="AA74" i="21"/>
  <c r="AB74" i="21"/>
  <c r="AC74" i="21"/>
  <c r="AD74" i="21"/>
  <c r="AD74" i="24" s="1"/>
  <c r="AE74" i="21"/>
  <c r="AF74" i="21"/>
  <c r="AG74" i="21"/>
  <c r="AH74" i="21"/>
  <c r="AI74" i="21"/>
  <c r="AJ74" i="21"/>
  <c r="AK74" i="21"/>
  <c r="AL74" i="21"/>
  <c r="AM74" i="21"/>
  <c r="AN74" i="21"/>
  <c r="AO74" i="21"/>
  <c r="F75" i="21"/>
  <c r="G75" i="21"/>
  <c r="H75" i="21"/>
  <c r="I75" i="21"/>
  <c r="I75" i="24" s="1"/>
  <c r="J75" i="21"/>
  <c r="K75" i="21"/>
  <c r="L75" i="21"/>
  <c r="L75" i="24" s="1"/>
  <c r="M75" i="21"/>
  <c r="N75" i="21"/>
  <c r="N75" i="24" s="1"/>
  <c r="O75" i="21"/>
  <c r="P75" i="21"/>
  <c r="Q75" i="21"/>
  <c r="Q75" i="24" s="1"/>
  <c r="R75" i="21"/>
  <c r="S75" i="21"/>
  <c r="T75" i="21"/>
  <c r="U75" i="21"/>
  <c r="V75" i="21"/>
  <c r="V75" i="24" s="1"/>
  <c r="W75" i="21"/>
  <c r="X75" i="21"/>
  <c r="Y75" i="21"/>
  <c r="Y75" i="24" s="1"/>
  <c r="Z75" i="21"/>
  <c r="AA75" i="21"/>
  <c r="AB75" i="21"/>
  <c r="AC75" i="21"/>
  <c r="AD75" i="21"/>
  <c r="AD75" i="24" s="1"/>
  <c r="AE75" i="21"/>
  <c r="AF75" i="21"/>
  <c r="AG75" i="21"/>
  <c r="AH75" i="21"/>
  <c r="AI75" i="21"/>
  <c r="AJ75" i="21"/>
  <c r="AK75" i="21"/>
  <c r="AL75" i="21"/>
  <c r="AM75" i="21"/>
  <c r="AN75" i="21"/>
  <c r="AO75" i="21"/>
  <c r="F76" i="21"/>
  <c r="G76" i="21"/>
  <c r="H76" i="21"/>
  <c r="I76" i="21"/>
  <c r="J76" i="21"/>
  <c r="J76" i="24" s="1"/>
  <c r="K76" i="21"/>
  <c r="L76" i="21"/>
  <c r="M76" i="21"/>
  <c r="M76" i="24" s="1"/>
  <c r="N76" i="21"/>
  <c r="O76" i="21"/>
  <c r="P76" i="21"/>
  <c r="Q76" i="21"/>
  <c r="R76" i="21"/>
  <c r="R76" i="24" s="1"/>
  <c r="S76" i="21"/>
  <c r="T76" i="21"/>
  <c r="U76" i="21"/>
  <c r="U76" i="24" s="1"/>
  <c r="V76" i="21"/>
  <c r="W76" i="21"/>
  <c r="X76" i="21"/>
  <c r="Y76" i="21"/>
  <c r="Z76" i="21"/>
  <c r="Z76" i="24" s="1"/>
  <c r="AA76" i="21"/>
  <c r="AB76" i="21"/>
  <c r="AC76" i="21"/>
  <c r="AC76" i="24" s="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F77" i="21"/>
  <c r="G77" i="21"/>
  <c r="H77" i="21"/>
  <c r="I77" i="21"/>
  <c r="J77" i="21"/>
  <c r="K77" i="21"/>
  <c r="L77" i="21"/>
  <c r="L77" i="24" s="1"/>
  <c r="M77" i="21"/>
  <c r="N77" i="21"/>
  <c r="O77" i="21"/>
  <c r="P77" i="21"/>
  <c r="Q77" i="21"/>
  <c r="R77" i="21"/>
  <c r="S77" i="21"/>
  <c r="T77" i="21"/>
  <c r="T77" i="24" s="1"/>
  <c r="U77" i="21"/>
  <c r="V77" i="21"/>
  <c r="W77" i="21"/>
  <c r="X77" i="21"/>
  <c r="Y77" i="21"/>
  <c r="Z77" i="21"/>
  <c r="AA77" i="21"/>
  <c r="AB77" i="21"/>
  <c r="AB77" i="24" s="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F78" i="21"/>
  <c r="G78" i="21"/>
  <c r="H78" i="21"/>
  <c r="I78" i="21"/>
  <c r="J78" i="21"/>
  <c r="K78" i="21"/>
  <c r="L78" i="21"/>
  <c r="M78" i="21"/>
  <c r="N78" i="21"/>
  <c r="N78" i="24" s="1"/>
  <c r="O78" i="21"/>
  <c r="O78" i="24" s="1"/>
  <c r="P78" i="21"/>
  <c r="Q78" i="21"/>
  <c r="R78" i="21"/>
  <c r="R78" i="24" s="1"/>
  <c r="S78" i="21"/>
  <c r="T78" i="21"/>
  <c r="U78" i="21"/>
  <c r="V78" i="21"/>
  <c r="V78" i="24" s="1"/>
  <c r="W78" i="21"/>
  <c r="W78" i="24" s="1"/>
  <c r="X78" i="21"/>
  <c r="Y78" i="21"/>
  <c r="Z78" i="21"/>
  <c r="Z78" i="24" s="1"/>
  <c r="AA78" i="21"/>
  <c r="AB78" i="21"/>
  <c r="AC78" i="21"/>
  <c r="AD78" i="21"/>
  <c r="AD78" i="24" s="1"/>
  <c r="AE78" i="21"/>
  <c r="AE78" i="24" s="1"/>
  <c r="AF78" i="21"/>
  <c r="AG78" i="21"/>
  <c r="AH78" i="21"/>
  <c r="AI78" i="21"/>
  <c r="AJ78" i="21"/>
  <c r="AK78" i="21"/>
  <c r="AL78" i="21"/>
  <c r="AM78" i="21"/>
  <c r="AN78" i="21"/>
  <c r="AO78" i="21"/>
  <c r="F79" i="21"/>
  <c r="G79" i="21"/>
  <c r="H79" i="21"/>
  <c r="I79" i="21"/>
  <c r="J79" i="21"/>
  <c r="K79" i="21"/>
  <c r="L79" i="21"/>
  <c r="L79" i="24" s="1"/>
  <c r="M79" i="21"/>
  <c r="N79" i="21"/>
  <c r="O79" i="21"/>
  <c r="P79" i="21"/>
  <c r="Q79" i="21"/>
  <c r="R79" i="21"/>
  <c r="R79" i="24" s="1"/>
  <c r="S79" i="21"/>
  <c r="T79" i="21"/>
  <c r="T79" i="24" s="1"/>
  <c r="U79" i="21"/>
  <c r="V79" i="21"/>
  <c r="W79" i="21"/>
  <c r="X79" i="21"/>
  <c r="Y79" i="21"/>
  <c r="Z79" i="21"/>
  <c r="Z79" i="24" s="1"/>
  <c r="AA79" i="21"/>
  <c r="AB79" i="21"/>
  <c r="AB79" i="24" s="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F80" i="33" s="1"/>
  <c r="H80" i="33" s="1"/>
  <c r="F80" i="21"/>
  <c r="G80" i="21"/>
  <c r="H80" i="21"/>
  <c r="H80" i="24" s="1"/>
  <c r="I80" i="21"/>
  <c r="J80" i="21"/>
  <c r="K80" i="21"/>
  <c r="K80" i="24" s="1"/>
  <c r="L80" i="21"/>
  <c r="L80" i="24" s="1"/>
  <c r="M80" i="21"/>
  <c r="N80" i="21"/>
  <c r="O80" i="21"/>
  <c r="P80" i="21"/>
  <c r="P80" i="24" s="1"/>
  <c r="Q80" i="21"/>
  <c r="R80" i="21"/>
  <c r="S80" i="21"/>
  <c r="S80" i="24" s="1"/>
  <c r="T80" i="21"/>
  <c r="T80" i="24" s="1"/>
  <c r="U80" i="21"/>
  <c r="V80" i="21"/>
  <c r="W80" i="21"/>
  <c r="X80" i="21"/>
  <c r="X80" i="24" s="1"/>
  <c r="Y80" i="21"/>
  <c r="Z80" i="21"/>
  <c r="AA80" i="21"/>
  <c r="AA80" i="24" s="1"/>
  <c r="AB80" i="21"/>
  <c r="AB80" i="24" s="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F81" i="21"/>
  <c r="H81" i="21"/>
  <c r="H81" i="24" s="1"/>
  <c r="I81" i="21"/>
  <c r="J81" i="21"/>
  <c r="K81" i="21"/>
  <c r="K81" i="24" s="1"/>
  <c r="L81" i="21"/>
  <c r="M81" i="21"/>
  <c r="N81" i="21"/>
  <c r="O81" i="21"/>
  <c r="P81" i="21"/>
  <c r="P81" i="24" s="1"/>
  <c r="Q81" i="21"/>
  <c r="R81" i="21"/>
  <c r="S81" i="21"/>
  <c r="S81" i="24" s="1"/>
  <c r="T81" i="21"/>
  <c r="U81" i="21"/>
  <c r="V81" i="21"/>
  <c r="W81" i="21"/>
  <c r="X81" i="21"/>
  <c r="X81" i="24" s="1"/>
  <c r="Y81" i="21"/>
  <c r="Z81" i="21"/>
  <c r="AA81" i="21"/>
  <c r="AA81" i="24" s="1"/>
  <c r="AB81" i="21"/>
  <c r="AB81" i="24" s="1"/>
  <c r="AC81" i="21"/>
  <c r="AC81" i="24" s="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F86" i="21"/>
  <c r="G86" i="21"/>
  <c r="F87" i="21"/>
  <c r="G87" i="21"/>
  <c r="D88" i="21"/>
  <c r="F88" i="21"/>
  <c r="F88" i="24" s="1"/>
  <c r="G88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A5" i="33"/>
  <c r="D11" i="33"/>
  <c r="E11" i="33"/>
  <c r="E12" i="33"/>
  <c r="D13" i="33"/>
  <c r="F13" i="33"/>
  <c r="H13" i="33" s="1"/>
  <c r="E14" i="33"/>
  <c r="G14" i="33"/>
  <c r="I14" i="33" s="1"/>
  <c r="D15" i="33"/>
  <c r="H15" i="33" s="1"/>
  <c r="E19" i="33"/>
  <c r="D20" i="33"/>
  <c r="E20" i="33"/>
  <c r="D21" i="33"/>
  <c r="E22" i="33"/>
  <c r="G23" i="33"/>
  <c r="E27" i="33"/>
  <c r="D28" i="33"/>
  <c r="E32" i="33"/>
  <c r="D33" i="33"/>
  <c r="H33" i="33"/>
  <c r="E34" i="33"/>
  <c r="D39" i="33"/>
  <c r="E40" i="33"/>
  <c r="D45" i="33"/>
  <c r="E45" i="33"/>
  <c r="D47" i="33"/>
  <c r="E49" i="33"/>
  <c r="E54" i="33"/>
  <c r="D55" i="33"/>
  <c r="F55" i="33"/>
  <c r="H55" i="33"/>
  <c r="E59" i="33"/>
  <c r="E64" i="33"/>
  <c r="E70" i="33"/>
  <c r="I70" i="33" s="1"/>
  <c r="D73" i="33"/>
  <c r="E73" i="33"/>
  <c r="D74" i="33"/>
  <c r="E75" i="33"/>
  <c r="D77" i="33"/>
  <c r="E77" i="33"/>
  <c r="D78" i="33"/>
  <c r="E79" i="33"/>
  <c r="D80" i="33"/>
  <c r="D81" i="33"/>
  <c r="E81" i="33"/>
  <c r="D86" i="33"/>
  <c r="D88" i="33"/>
  <c r="F88" i="33"/>
  <c r="H88" i="33" s="1"/>
  <c r="A4" i="11"/>
  <c r="A5" i="11"/>
  <c r="G11" i="11"/>
  <c r="H11" i="11"/>
  <c r="I11" i="11"/>
  <c r="L11" i="11"/>
  <c r="D11" i="35" s="1"/>
  <c r="F12" i="11"/>
  <c r="H12" i="11"/>
  <c r="I12" i="11"/>
  <c r="G12" i="11" s="1"/>
  <c r="L12" i="11"/>
  <c r="F13" i="11"/>
  <c r="H13" i="11"/>
  <c r="L13" i="11" s="1"/>
  <c r="I13" i="11"/>
  <c r="G13" i="11" s="1"/>
  <c r="F14" i="11"/>
  <c r="H14" i="11"/>
  <c r="L14" i="11" s="1"/>
  <c r="D14" i="35" s="1"/>
  <c r="I14" i="11"/>
  <c r="H15" i="11"/>
  <c r="I15" i="11"/>
  <c r="J16" i="11"/>
  <c r="J82" i="11" s="1"/>
  <c r="K16" i="11"/>
  <c r="K82" i="11" s="1"/>
  <c r="H18" i="11"/>
  <c r="I18" i="11"/>
  <c r="H19" i="11"/>
  <c r="I19" i="11"/>
  <c r="L19" i="11"/>
  <c r="M19" i="11"/>
  <c r="F20" i="11"/>
  <c r="G20" i="11"/>
  <c r="H20" i="11"/>
  <c r="I20" i="11"/>
  <c r="I20" i="12" s="1"/>
  <c r="L20" i="11"/>
  <c r="M20" i="11"/>
  <c r="F21" i="11"/>
  <c r="G21" i="11"/>
  <c r="H21" i="11"/>
  <c r="L21" i="11" s="1"/>
  <c r="I21" i="11"/>
  <c r="M21" i="11" s="1"/>
  <c r="E21" i="35" s="1"/>
  <c r="H22" i="11"/>
  <c r="F22" i="11" s="1"/>
  <c r="I22" i="11"/>
  <c r="L22" i="11"/>
  <c r="D22" i="35" s="1"/>
  <c r="G23" i="11"/>
  <c r="H23" i="11"/>
  <c r="I23" i="11"/>
  <c r="M23" i="11"/>
  <c r="E23" i="35" s="1"/>
  <c r="J24" i="11"/>
  <c r="K24" i="11"/>
  <c r="F27" i="11"/>
  <c r="G27" i="11"/>
  <c r="H27" i="11"/>
  <c r="I27" i="11"/>
  <c r="L27" i="11"/>
  <c r="M27" i="11"/>
  <c r="E27" i="35" s="1"/>
  <c r="H28" i="11"/>
  <c r="I28" i="11"/>
  <c r="J29" i="11"/>
  <c r="K29" i="11"/>
  <c r="F32" i="11"/>
  <c r="H32" i="11"/>
  <c r="L32" i="11" s="1"/>
  <c r="I32" i="11"/>
  <c r="H33" i="11"/>
  <c r="I33" i="11"/>
  <c r="F34" i="11"/>
  <c r="H34" i="11"/>
  <c r="I34" i="11"/>
  <c r="G34" i="11" s="1"/>
  <c r="L34" i="11"/>
  <c r="D34" i="35" s="1"/>
  <c r="M34" i="11"/>
  <c r="E34" i="35" s="1"/>
  <c r="G35" i="11"/>
  <c r="H35" i="11"/>
  <c r="I35" i="11"/>
  <c r="M35" i="11" s="1"/>
  <c r="J36" i="11"/>
  <c r="K36" i="11"/>
  <c r="L37" i="11"/>
  <c r="M37" i="11"/>
  <c r="H38" i="11"/>
  <c r="I38" i="11"/>
  <c r="F39" i="11"/>
  <c r="G39" i="11"/>
  <c r="H39" i="11"/>
  <c r="I39" i="11"/>
  <c r="L39" i="11"/>
  <c r="M39" i="11"/>
  <c r="E39" i="35" s="1"/>
  <c r="F40" i="11"/>
  <c r="H40" i="11"/>
  <c r="L40" i="11" s="1"/>
  <c r="I40" i="11"/>
  <c r="I42" i="11" s="1"/>
  <c r="H41" i="11"/>
  <c r="I41" i="11"/>
  <c r="J42" i="11"/>
  <c r="K42" i="11"/>
  <c r="K43" i="11" s="1"/>
  <c r="I43" i="11"/>
  <c r="J43" i="11"/>
  <c r="H45" i="11"/>
  <c r="F45" i="11" s="1"/>
  <c r="I45" i="11"/>
  <c r="L45" i="11"/>
  <c r="D45" i="35" s="1"/>
  <c r="F47" i="11"/>
  <c r="H47" i="11"/>
  <c r="I47" i="11"/>
  <c r="L47" i="11"/>
  <c r="F49" i="11"/>
  <c r="H49" i="11"/>
  <c r="L49" i="11" s="1"/>
  <c r="I49" i="11"/>
  <c r="H51" i="11"/>
  <c r="I51" i="11"/>
  <c r="H54" i="11"/>
  <c r="I54" i="11"/>
  <c r="M54" i="11"/>
  <c r="E54" i="35" s="1"/>
  <c r="F55" i="11"/>
  <c r="H55" i="11"/>
  <c r="I55" i="11"/>
  <c r="L55" i="11"/>
  <c r="J56" i="11"/>
  <c r="K56" i="11"/>
  <c r="G59" i="11"/>
  <c r="H59" i="11"/>
  <c r="I59" i="11"/>
  <c r="M59" i="11" s="1"/>
  <c r="E59" i="35" s="1"/>
  <c r="F60" i="11"/>
  <c r="G60" i="11"/>
  <c r="H60" i="11"/>
  <c r="I60" i="11"/>
  <c r="L60" i="11"/>
  <c r="D60" i="35" s="1"/>
  <c r="M60" i="11"/>
  <c r="E60" i="35" s="1"/>
  <c r="E61" i="35" s="1"/>
  <c r="I61" i="11"/>
  <c r="J61" i="11"/>
  <c r="K61" i="11"/>
  <c r="M61" i="11"/>
  <c r="G64" i="11"/>
  <c r="H64" i="11"/>
  <c r="F64" i="11" s="1"/>
  <c r="I64" i="11"/>
  <c r="I66" i="11" s="1"/>
  <c r="L64" i="11"/>
  <c r="M64" i="11"/>
  <c r="F65" i="11"/>
  <c r="F66" i="11" s="1"/>
  <c r="H65" i="11"/>
  <c r="I65" i="11"/>
  <c r="L65" i="11"/>
  <c r="H66" i="11"/>
  <c r="J66" i="11"/>
  <c r="K66" i="11"/>
  <c r="F70" i="11"/>
  <c r="G70" i="11"/>
  <c r="H70" i="11"/>
  <c r="L70" i="11" s="1"/>
  <c r="L72" i="11" s="1"/>
  <c r="I70" i="11"/>
  <c r="M70" i="11"/>
  <c r="E70" i="35" s="1"/>
  <c r="F71" i="11"/>
  <c r="H71" i="11"/>
  <c r="I71" i="11"/>
  <c r="L71" i="11"/>
  <c r="D71" i="35" s="1"/>
  <c r="M71" i="11"/>
  <c r="M72" i="11" s="1"/>
  <c r="H72" i="11"/>
  <c r="J72" i="11"/>
  <c r="K72" i="11"/>
  <c r="G73" i="11"/>
  <c r="H73" i="11"/>
  <c r="F73" i="11" s="1"/>
  <c r="I73" i="11"/>
  <c r="M73" i="11" s="1"/>
  <c r="L73" i="11"/>
  <c r="D73" i="35" s="1"/>
  <c r="F74" i="11"/>
  <c r="H74" i="11"/>
  <c r="I74" i="11"/>
  <c r="G74" i="11" s="1"/>
  <c r="L74" i="11"/>
  <c r="M74" i="11"/>
  <c r="E74" i="35" s="1"/>
  <c r="F75" i="11"/>
  <c r="H75" i="11"/>
  <c r="L75" i="11" s="1"/>
  <c r="I75" i="11"/>
  <c r="H76" i="11"/>
  <c r="I76" i="11"/>
  <c r="G77" i="11"/>
  <c r="H77" i="11"/>
  <c r="I77" i="11"/>
  <c r="M77" i="11"/>
  <c r="F78" i="11"/>
  <c r="H78" i="11"/>
  <c r="I78" i="11"/>
  <c r="G78" i="11" s="1"/>
  <c r="L78" i="11"/>
  <c r="M78" i="11"/>
  <c r="E78" i="35" s="1"/>
  <c r="G79" i="11"/>
  <c r="H79" i="11"/>
  <c r="I79" i="11"/>
  <c r="M79" i="11" s="1"/>
  <c r="E79" i="35" s="1"/>
  <c r="G80" i="11"/>
  <c r="H80" i="11"/>
  <c r="I80" i="11"/>
  <c r="M80" i="11"/>
  <c r="E80" i="35" s="1"/>
  <c r="H81" i="11"/>
  <c r="F81" i="11" s="1"/>
  <c r="I81" i="11"/>
  <c r="L81" i="11"/>
  <c r="D81" i="35" s="1"/>
  <c r="D82" i="11"/>
  <c r="E82" i="11"/>
  <c r="E84" i="12" s="1"/>
  <c r="A5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F11" i="23"/>
  <c r="G11" i="23"/>
  <c r="H11" i="23"/>
  <c r="I11" i="23"/>
  <c r="J11" i="23"/>
  <c r="D11" i="23" s="1"/>
  <c r="K11" i="23"/>
  <c r="K16" i="23" s="1"/>
  <c r="L11" i="23"/>
  <c r="M11" i="23"/>
  <c r="N11" i="23"/>
  <c r="O11" i="23"/>
  <c r="P11" i="23"/>
  <c r="Q11" i="23"/>
  <c r="R11" i="23"/>
  <c r="R16" i="23" s="1"/>
  <c r="S11" i="23"/>
  <c r="S16" i="23" s="1"/>
  <c r="T11" i="23"/>
  <c r="U11" i="23"/>
  <c r="V11" i="23"/>
  <c r="W11" i="23"/>
  <c r="X11" i="23"/>
  <c r="Y11" i="23"/>
  <c r="Z11" i="23"/>
  <c r="Z16" i="23" s="1"/>
  <c r="AA11" i="23"/>
  <c r="AA16" i="23" s="1"/>
  <c r="AB11" i="23"/>
  <c r="AC11" i="23"/>
  <c r="AD11" i="23"/>
  <c r="AE11" i="23"/>
  <c r="AF11" i="23"/>
  <c r="AG11" i="23"/>
  <c r="AH11" i="23"/>
  <c r="AI11" i="23"/>
  <c r="AI16" i="23" s="1"/>
  <c r="AJ11" i="23"/>
  <c r="AK11" i="23"/>
  <c r="AL11" i="23"/>
  <c r="AM11" i="23"/>
  <c r="AN11" i="23"/>
  <c r="AO11" i="23"/>
  <c r="F12" i="23"/>
  <c r="F16" i="23" s="1"/>
  <c r="G12" i="23"/>
  <c r="H12" i="23"/>
  <c r="I12" i="23"/>
  <c r="I16" i="23" s="1"/>
  <c r="J12" i="23"/>
  <c r="K12" i="23"/>
  <c r="L12" i="23"/>
  <c r="D12" i="23" s="1"/>
  <c r="M12" i="23"/>
  <c r="M16" i="23" s="1"/>
  <c r="N12" i="23"/>
  <c r="N16" i="23" s="1"/>
  <c r="O12" i="23"/>
  <c r="P12" i="23"/>
  <c r="Q12" i="23"/>
  <c r="R12" i="23"/>
  <c r="S12" i="23"/>
  <c r="S12" i="24" s="1"/>
  <c r="T12" i="23"/>
  <c r="U12" i="23"/>
  <c r="U16" i="23" s="1"/>
  <c r="V12" i="23"/>
  <c r="W12" i="23"/>
  <c r="X12" i="23"/>
  <c r="Y12" i="23"/>
  <c r="Y16" i="23" s="1"/>
  <c r="Z12" i="23"/>
  <c r="AA12" i="23"/>
  <c r="AB12" i="23"/>
  <c r="AC12" i="23"/>
  <c r="AC16" i="23" s="1"/>
  <c r="AD12" i="23"/>
  <c r="AE12" i="23"/>
  <c r="AF12" i="23"/>
  <c r="AG12" i="23"/>
  <c r="AH12" i="23"/>
  <c r="AI12" i="23"/>
  <c r="AJ12" i="23"/>
  <c r="AK12" i="23"/>
  <c r="AK16" i="23" s="1"/>
  <c r="AL12" i="23"/>
  <c r="AM12" i="23"/>
  <c r="AN12" i="23"/>
  <c r="AO12" i="23"/>
  <c r="F13" i="23"/>
  <c r="G13" i="23"/>
  <c r="G16" i="23" s="1"/>
  <c r="H13" i="23"/>
  <c r="I13" i="23"/>
  <c r="J13" i="23"/>
  <c r="K13" i="23"/>
  <c r="L13" i="23"/>
  <c r="M13" i="23"/>
  <c r="N13" i="23"/>
  <c r="N13" i="24" s="1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F14" i="23"/>
  <c r="G14" i="23"/>
  <c r="H14" i="23"/>
  <c r="I14" i="23"/>
  <c r="J14" i="23"/>
  <c r="K14" i="23"/>
  <c r="E14" i="23" s="1"/>
  <c r="L14" i="23"/>
  <c r="M14" i="23"/>
  <c r="N14" i="23"/>
  <c r="O14" i="23"/>
  <c r="P14" i="23"/>
  <c r="Q14" i="23"/>
  <c r="Q14" i="24" s="1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H16" i="23" s="1"/>
  <c r="AI14" i="23"/>
  <c r="AJ14" i="23"/>
  <c r="AK14" i="23"/>
  <c r="AL14" i="23"/>
  <c r="AM14" i="23"/>
  <c r="AN14" i="23"/>
  <c r="AO14" i="23"/>
  <c r="F15" i="23"/>
  <c r="G15" i="23"/>
  <c r="H15" i="23"/>
  <c r="I15" i="23"/>
  <c r="J15" i="23"/>
  <c r="K15" i="23"/>
  <c r="L15" i="23"/>
  <c r="D15" i="23" s="1"/>
  <c r="F15" i="35" s="1"/>
  <c r="M15" i="23"/>
  <c r="E15" i="23" s="1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J16" i="23"/>
  <c r="O16" i="23"/>
  <c r="Q16" i="23"/>
  <c r="V16" i="23"/>
  <c r="W16" i="23"/>
  <c r="AD16" i="23"/>
  <c r="AG16" i="23"/>
  <c r="AL16" i="23"/>
  <c r="AO16" i="23"/>
  <c r="F19" i="23"/>
  <c r="G19" i="23"/>
  <c r="H19" i="23"/>
  <c r="I19" i="23"/>
  <c r="J19" i="23"/>
  <c r="K19" i="23"/>
  <c r="L19" i="23"/>
  <c r="M19" i="23"/>
  <c r="N19" i="23"/>
  <c r="O19" i="23"/>
  <c r="O24" i="23" s="1"/>
  <c r="P19" i="23"/>
  <c r="Q19" i="23"/>
  <c r="R19" i="23"/>
  <c r="S19" i="23"/>
  <c r="T19" i="23"/>
  <c r="U19" i="23"/>
  <c r="V19" i="23"/>
  <c r="W19" i="23"/>
  <c r="W24" i="23" s="1"/>
  <c r="X19" i="23"/>
  <c r="Y19" i="23"/>
  <c r="Z19" i="23"/>
  <c r="AA19" i="23"/>
  <c r="AB19" i="23"/>
  <c r="AC19" i="23"/>
  <c r="AD19" i="23"/>
  <c r="AE19" i="23"/>
  <c r="AE24" i="23" s="1"/>
  <c r="AF19" i="23"/>
  <c r="AG19" i="23"/>
  <c r="AH19" i="23"/>
  <c r="AI19" i="23"/>
  <c r="AJ19" i="23"/>
  <c r="AK19" i="23"/>
  <c r="AL19" i="23"/>
  <c r="AM19" i="23"/>
  <c r="AM24" i="23" s="1"/>
  <c r="AN19" i="23"/>
  <c r="AO19" i="23"/>
  <c r="F20" i="23"/>
  <c r="G20" i="23"/>
  <c r="H20" i="23"/>
  <c r="I20" i="23"/>
  <c r="J20" i="23"/>
  <c r="J24" i="23" s="1"/>
  <c r="K20" i="23"/>
  <c r="K20" i="24" s="1"/>
  <c r="L20" i="23"/>
  <c r="M20" i="23"/>
  <c r="N20" i="23"/>
  <c r="O20" i="23"/>
  <c r="P20" i="23"/>
  <c r="Q20" i="23"/>
  <c r="R20" i="23"/>
  <c r="R24" i="23" s="1"/>
  <c r="S20" i="23"/>
  <c r="T20" i="23"/>
  <c r="U20" i="23"/>
  <c r="V20" i="23"/>
  <c r="W20" i="23"/>
  <c r="X20" i="23"/>
  <c r="X20" i="24" s="1"/>
  <c r="Y20" i="23"/>
  <c r="Z20" i="23"/>
  <c r="Z24" i="23" s="1"/>
  <c r="AA20" i="23"/>
  <c r="AB20" i="23"/>
  <c r="AC20" i="23"/>
  <c r="AC24" i="23" s="1"/>
  <c r="AD20" i="23"/>
  <c r="AE20" i="23"/>
  <c r="AE20" i="24" s="1"/>
  <c r="AF20" i="23"/>
  <c r="AG20" i="23"/>
  <c r="AH20" i="23"/>
  <c r="AI20" i="23"/>
  <c r="AJ20" i="23"/>
  <c r="AK20" i="23"/>
  <c r="AK24" i="23" s="1"/>
  <c r="AL20" i="23"/>
  <c r="AM20" i="23"/>
  <c r="AN20" i="23"/>
  <c r="AO20" i="23"/>
  <c r="D21" i="23"/>
  <c r="F21" i="35" s="1"/>
  <c r="H21" i="35" s="1"/>
  <c r="F21" i="23"/>
  <c r="G21" i="23"/>
  <c r="H21" i="23"/>
  <c r="I21" i="23"/>
  <c r="J21" i="23"/>
  <c r="K21" i="23"/>
  <c r="L21" i="23"/>
  <c r="M21" i="23"/>
  <c r="E21" i="23" s="1"/>
  <c r="G21" i="35" s="1"/>
  <c r="I21" i="35" s="1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Z21" i="24" s="1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F22" i="23"/>
  <c r="G22" i="23"/>
  <c r="H22" i="23"/>
  <c r="I22" i="23"/>
  <c r="I24" i="23" s="1"/>
  <c r="J22" i="23"/>
  <c r="K22" i="23"/>
  <c r="L22" i="23"/>
  <c r="M22" i="23"/>
  <c r="N22" i="23"/>
  <c r="O22" i="23"/>
  <c r="P22" i="23"/>
  <c r="Q22" i="23"/>
  <c r="Q22" i="24" s="1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Z23" i="24" s="1"/>
  <c r="AA23" i="23"/>
  <c r="AB23" i="23"/>
  <c r="AC23" i="23"/>
  <c r="AD23" i="23"/>
  <c r="AE23" i="23"/>
  <c r="AF23" i="23"/>
  <c r="AG23" i="23"/>
  <c r="AH23" i="23"/>
  <c r="AI23" i="23"/>
  <c r="AI24" i="23" s="1"/>
  <c r="AJ23" i="23"/>
  <c r="AK23" i="23"/>
  <c r="AL23" i="23"/>
  <c r="AM23" i="23"/>
  <c r="AN23" i="23"/>
  <c r="AO23" i="23"/>
  <c r="F24" i="23"/>
  <c r="M24" i="23"/>
  <c r="N24" i="23"/>
  <c r="S24" i="23"/>
  <c r="U24" i="23"/>
  <c r="V24" i="23"/>
  <c r="AA24" i="23"/>
  <c r="AD24" i="23"/>
  <c r="AH24" i="23"/>
  <c r="AL24" i="23"/>
  <c r="F27" i="23"/>
  <c r="G27" i="23"/>
  <c r="G29" i="23" s="1"/>
  <c r="H27" i="23"/>
  <c r="D27" i="23" s="1"/>
  <c r="F27" i="35" s="1"/>
  <c r="I27" i="23"/>
  <c r="J27" i="23"/>
  <c r="J29" i="23" s="1"/>
  <c r="K27" i="23"/>
  <c r="L27" i="23"/>
  <c r="M27" i="23"/>
  <c r="N27" i="23"/>
  <c r="O27" i="23"/>
  <c r="P27" i="23"/>
  <c r="Q27" i="23"/>
  <c r="R27" i="23"/>
  <c r="R27" i="24" s="1"/>
  <c r="S27" i="23"/>
  <c r="S29" i="23" s="1"/>
  <c r="T27" i="23"/>
  <c r="T29" i="23" s="1"/>
  <c r="U27" i="23"/>
  <c r="V27" i="23"/>
  <c r="W27" i="23"/>
  <c r="X27" i="23"/>
  <c r="Y27" i="23"/>
  <c r="Z27" i="23"/>
  <c r="Z29" i="23" s="1"/>
  <c r="AA27" i="23"/>
  <c r="AB27" i="23"/>
  <c r="AC27" i="23"/>
  <c r="AD27" i="23"/>
  <c r="AE27" i="23"/>
  <c r="AE27" i="24" s="1"/>
  <c r="AF27" i="23"/>
  <c r="AG27" i="23"/>
  <c r="AH27" i="23"/>
  <c r="AH29" i="23" s="1"/>
  <c r="AI27" i="23"/>
  <c r="AJ27" i="23"/>
  <c r="AK27" i="23"/>
  <c r="AL27" i="23"/>
  <c r="AM27" i="23"/>
  <c r="AM29" i="23" s="1"/>
  <c r="AN27" i="23"/>
  <c r="AO27" i="23"/>
  <c r="F28" i="23"/>
  <c r="G28" i="23"/>
  <c r="H28" i="23"/>
  <c r="I28" i="23"/>
  <c r="J28" i="23"/>
  <c r="K28" i="23"/>
  <c r="L28" i="23"/>
  <c r="M28" i="23"/>
  <c r="E28" i="23" s="1"/>
  <c r="G28" i="35" s="1"/>
  <c r="N28" i="23"/>
  <c r="N29" i="23" s="1"/>
  <c r="O28" i="23"/>
  <c r="P28" i="23"/>
  <c r="Q28" i="23"/>
  <c r="R28" i="23"/>
  <c r="S28" i="23"/>
  <c r="T28" i="23"/>
  <c r="U28" i="23"/>
  <c r="V28" i="23"/>
  <c r="V29" i="23" s="1"/>
  <c r="W28" i="23"/>
  <c r="X28" i="23"/>
  <c r="Y28" i="23"/>
  <c r="Y29" i="23" s="1"/>
  <c r="Z28" i="23"/>
  <c r="AA28" i="23"/>
  <c r="AB28" i="23"/>
  <c r="AB28" i="24" s="1"/>
  <c r="AC28" i="23"/>
  <c r="AD28" i="23"/>
  <c r="AD29" i="23" s="1"/>
  <c r="AE28" i="23"/>
  <c r="AF28" i="23"/>
  <c r="AG28" i="23"/>
  <c r="AG29" i="23" s="1"/>
  <c r="AH28" i="23"/>
  <c r="AI28" i="23"/>
  <c r="AJ28" i="23"/>
  <c r="AK28" i="23"/>
  <c r="AL28" i="23"/>
  <c r="AL29" i="23" s="1"/>
  <c r="AM28" i="23"/>
  <c r="AN28" i="23"/>
  <c r="AO28" i="23"/>
  <c r="I29" i="23"/>
  <c r="K29" i="23"/>
  <c r="L29" i="23"/>
  <c r="O29" i="23"/>
  <c r="P29" i="23"/>
  <c r="Q29" i="23"/>
  <c r="W29" i="23"/>
  <c r="X29" i="23"/>
  <c r="AA29" i="23"/>
  <c r="AB29" i="23"/>
  <c r="AE29" i="23"/>
  <c r="AF29" i="23"/>
  <c r="AI29" i="23"/>
  <c r="AJ29" i="23"/>
  <c r="AN29" i="23"/>
  <c r="AO29" i="23"/>
  <c r="F32" i="23"/>
  <c r="G32" i="23"/>
  <c r="H32" i="23"/>
  <c r="I32" i="23"/>
  <c r="I36" i="23" s="1"/>
  <c r="J32" i="23"/>
  <c r="K32" i="23"/>
  <c r="L32" i="23"/>
  <c r="M32" i="23"/>
  <c r="N32" i="23"/>
  <c r="O32" i="23"/>
  <c r="P32" i="23"/>
  <c r="Q32" i="23"/>
  <c r="R32" i="23"/>
  <c r="S32" i="23"/>
  <c r="S36" i="23" s="1"/>
  <c r="T32" i="23"/>
  <c r="U32" i="23"/>
  <c r="V32" i="23"/>
  <c r="W32" i="23"/>
  <c r="X32" i="23"/>
  <c r="X32" i="24" s="1"/>
  <c r="Y32" i="23"/>
  <c r="Y36" i="23" s="1"/>
  <c r="Z32" i="23"/>
  <c r="AA32" i="23"/>
  <c r="AA36" i="23" s="1"/>
  <c r="AB32" i="23"/>
  <c r="AC32" i="23"/>
  <c r="AD32" i="23"/>
  <c r="AD36" i="23" s="1"/>
  <c r="AE32" i="23"/>
  <c r="AF32" i="23"/>
  <c r="AG32" i="23"/>
  <c r="AH32" i="23"/>
  <c r="AI32" i="23"/>
  <c r="AI36" i="23" s="1"/>
  <c r="AJ32" i="23"/>
  <c r="AK32" i="23"/>
  <c r="AL32" i="23"/>
  <c r="AL36" i="23" s="1"/>
  <c r="AM32" i="23"/>
  <c r="AN32" i="23"/>
  <c r="AO32" i="23"/>
  <c r="F33" i="23"/>
  <c r="G33" i="23"/>
  <c r="G36" i="23" s="1"/>
  <c r="H33" i="23"/>
  <c r="I33" i="23"/>
  <c r="J33" i="23"/>
  <c r="K33" i="23"/>
  <c r="L33" i="23"/>
  <c r="M33" i="23"/>
  <c r="N33" i="23"/>
  <c r="O33" i="23"/>
  <c r="O36" i="23" s="1"/>
  <c r="P33" i="23"/>
  <c r="Q33" i="23"/>
  <c r="R33" i="23"/>
  <c r="S33" i="23"/>
  <c r="T33" i="23"/>
  <c r="U33" i="23"/>
  <c r="V33" i="23"/>
  <c r="W33" i="23"/>
  <c r="W36" i="23" s="1"/>
  <c r="X33" i="23"/>
  <c r="Y33" i="23"/>
  <c r="Z33" i="23"/>
  <c r="AA33" i="23"/>
  <c r="AB33" i="23"/>
  <c r="AC33" i="23"/>
  <c r="AD33" i="23"/>
  <c r="AE33" i="23"/>
  <c r="AE36" i="23" s="1"/>
  <c r="AF33" i="23"/>
  <c r="AG33" i="23"/>
  <c r="AH33" i="23"/>
  <c r="AI33" i="23"/>
  <c r="AJ33" i="23"/>
  <c r="AK33" i="23"/>
  <c r="AL33" i="23"/>
  <c r="AM33" i="23"/>
  <c r="AM36" i="23" s="1"/>
  <c r="AN33" i="23"/>
  <c r="AO33" i="23"/>
  <c r="F34" i="23"/>
  <c r="G34" i="23"/>
  <c r="H34" i="23"/>
  <c r="I34" i="23"/>
  <c r="J34" i="23"/>
  <c r="J36" i="23" s="1"/>
  <c r="K34" i="23"/>
  <c r="L34" i="23"/>
  <c r="M34" i="23"/>
  <c r="E34" i="23" s="1"/>
  <c r="G34" i="35" s="1"/>
  <c r="I34" i="35" s="1"/>
  <c r="N34" i="23"/>
  <c r="O34" i="23"/>
  <c r="P34" i="23"/>
  <c r="Q34" i="23"/>
  <c r="R34" i="23"/>
  <c r="R36" i="23" s="1"/>
  <c r="S34" i="23"/>
  <c r="T34" i="23"/>
  <c r="U34" i="23"/>
  <c r="V34" i="23"/>
  <c r="W34" i="23"/>
  <c r="X34" i="23"/>
  <c r="Y34" i="23"/>
  <c r="Z34" i="23"/>
  <c r="AA34" i="23"/>
  <c r="AA34" i="24" s="1"/>
  <c r="AB34" i="23"/>
  <c r="AC34" i="23"/>
  <c r="AD34" i="23"/>
  <c r="AE34" i="23"/>
  <c r="AF34" i="23"/>
  <c r="AG34" i="23"/>
  <c r="AH34" i="23"/>
  <c r="AH36" i="23" s="1"/>
  <c r="AI34" i="23"/>
  <c r="AJ34" i="23"/>
  <c r="AK34" i="23"/>
  <c r="AL34" i="23"/>
  <c r="AM34" i="23"/>
  <c r="AN34" i="23"/>
  <c r="AO34" i="23"/>
  <c r="F35" i="23"/>
  <c r="G35" i="23"/>
  <c r="H35" i="23"/>
  <c r="D35" i="23" s="1"/>
  <c r="F35" i="35" s="1"/>
  <c r="I35" i="23"/>
  <c r="J35" i="23"/>
  <c r="K35" i="23"/>
  <c r="L35" i="23"/>
  <c r="M35" i="23"/>
  <c r="N35" i="23"/>
  <c r="N35" i="24" s="1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F36" i="23"/>
  <c r="N36" i="23"/>
  <c r="Q36" i="23"/>
  <c r="V36" i="23"/>
  <c r="AG36" i="23"/>
  <c r="AO36" i="23"/>
  <c r="F39" i="23"/>
  <c r="G39" i="23"/>
  <c r="H39" i="23"/>
  <c r="D39" i="23" s="1"/>
  <c r="F39" i="35" s="1"/>
  <c r="H39" i="35" s="1"/>
  <c r="I39" i="23"/>
  <c r="J39" i="23"/>
  <c r="K39" i="23"/>
  <c r="L39" i="23"/>
  <c r="M39" i="23"/>
  <c r="N39" i="23"/>
  <c r="O39" i="23"/>
  <c r="P39" i="23"/>
  <c r="Q39" i="23"/>
  <c r="R39" i="23"/>
  <c r="S39" i="23"/>
  <c r="S43" i="23" s="1"/>
  <c r="T39" i="23"/>
  <c r="T39" i="24" s="1"/>
  <c r="U39" i="23"/>
  <c r="V39" i="23"/>
  <c r="W39" i="23"/>
  <c r="X39" i="23"/>
  <c r="X43" i="23" s="1"/>
  <c r="Y39" i="23"/>
  <c r="Z39" i="23"/>
  <c r="AA39" i="23"/>
  <c r="AB39" i="23"/>
  <c r="AB39" i="24" s="1"/>
  <c r="AC39" i="23"/>
  <c r="AD39" i="23"/>
  <c r="AE39" i="23"/>
  <c r="AF39" i="23"/>
  <c r="AF43" i="23" s="1"/>
  <c r="AG39" i="23"/>
  <c r="AH39" i="23"/>
  <c r="AI39" i="23"/>
  <c r="AI43" i="23" s="1"/>
  <c r="AJ39" i="23"/>
  <c r="AK39" i="23"/>
  <c r="AL39" i="23"/>
  <c r="AM39" i="23"/>
  <c r="AN39" i="23"/>
  <c r="AN43" i="23" s="1"/>
  <c r="AO39" i="23"/>
  <c r="F40" i="23"/>
  <c r="G40" i="23"/>
  <c r="G42" i="23" s="1"/>
  <c r="G43" i="23" s="1"/>
  <c r="H40" i="23"/>
  <c r="I40" i="23"/>
  <c r="J40" i="23"/>
  <c r="K40" i="23"/>
  <c r="L40" i="23"/>
  <c r="M40" i="23"/>
  <c r="N40" i="23"/>
  <c r="N42" i="23" s="1"/>
  <c r="N43" i="23" s="1"/>
  <c r="O40" i="23"/>
  <c r="O42" i="23" s="1"/>
  <c r="O43" i="23" s="1"/>
  <c r="P40" i="23"/>
  <c r="Q40" i="23"/>
  <c r="R40" i="23"/>
  <c r="S40" i="23"/>
  <c r="T40" i="23"/>
  <c r="U40" i="23"/>
  <c r="V40" i="23"/>
  <c r="V42" i="23" s="1"/>
  <c r="V43" i="23" s="1"/>
  <c r="W40" i="23"/>
  <c r="W42" i="23" s="1"/>
  <c r="W43" i="23" s="1"/>
  <c r="X40" i="23"/>
  <c r="Y40" i="23"/>
  <c r="Z40" i="23"/>
  <c r="Z42" i="23" s="1"/>
  <c r="Z43" i="23" s="1"/>
  <c r="AA40" i="23"/>
  <c r="AA40" i="24" s="1"/>
  <c r="AB40" i="23"/>
  <c r="AC40" i="23"/>
  <c r="AD40" i="23"/>
  <c r="AD42" i="23" s="1"/>
  <c r="AD43" i="23" s="1"/>
  <c r="AE40" i="23"/>
  <c r="AE42" i="23" s="1"/>
  <c r="AF40" i="23"/>
  <c r="AG40" i="23"/>
  <c r="AH40" i="23"/>
  <c r="AI40" i="23"/>
  <c r="AJ40" i="23"/>
  <c r="AK40" i="23"/>
  <c r="AL40" i="23"/>
  <c r="AL42" i="23" s="1"/>
  <c r="AL43" i="23" s="1"/>
  <c r="AM40" i="23"/>
  <c r="AM42" i="23" s="1"/>
  <c r="AM43" i="23" s="1"/>
  <c r="AN40" i="23"/>
  <c r="AO40" i="23"/>
  <c r="F41" i="23"/>
  <c r="G41" i="23"/>
  <c r="H41" i="23"/>
  <c r="H42" i="23" s="1"/>
  <c r="I41" i="23"/>
  <c r="J41" i="23"/>
  <c r="K41" i="23"/>
  <c r="L41" i="23"/>
  <c r="D41" i="23" s="1"/>
  <c r="F41" i="35" s="1"/>
  <c r="M41" i="23"/>
  <c r="N41" i="23"/>
  <c r="O41" i="23"/>
  <c r="P41" i="23"/>
  <c r="P42" i="23" s="1"/>
  <c r="Q41" i="23"/>
  <c r="R41" i="23"/>
  <c r="S41" i="23"/>
  <c r="T41" i="23"/>
  <c r="U41" i="23"/>
  <c r="V41" i="23"/>
  <c r="W41" i="23"/>
  <c r="X41" i="23"/>
  <c r="X42" i="23" s="1"/>
  <c r="Y41" i="23"/>
  <c r="Z41" i="23"/>
  <c r="AA41" i="23"/>
  <c r="AA42" i="23" s="1"/>
  <c r="AA43" i="23" s="1"/>
  <c r="AB41" i="23"/>
  <c r="AC41" i="23"/>
  <c r="AD41" i="23"/>
  <c r="AE41" i="23"/>
  <c r="AF41" i="23"/>
  <c r="AF42" i="23" s="1"/>
  <c r="AG41" i="23"/>
  <c r="AH41" i="23"/>
  <c r="AI41" i="23"/>
  <c r="AJ41" i="23"/>
  <c r="AK41" i="23"/>
  <c r="AL41" i="23"/>
  <c r="AM41" i="23"/>
  <c r="AN41" i="23"/>
  <c r="AN42" i="23" s="1"/>
  <c r="AO41" i="23"/>
  <c r="I42" i="23"/>
  <c r="I43" i="23" s="1"/>
  <c r="J42" i="23"/>
  <c r="J43" i="23" s="1"/>
  <c r="K42" i="23"/>
  <c r="M42" i="23"/>
  <c r="Q42" i="23"/>
  <c r="Q43" i="23" s="1"/>
  <c r="R42" i="23"/>
  <c r="R43" i="23" s="1"/>
  <c r="S42" i="23"/>
  <c r="U42" i="23"/>
  <c r="U43" i="23" s="1"/>
  <c r="Y42" i="23"/>
  <c r="Y43" i="23" s="1"/>
  <c r="AC42" i="23"/>
  <c r="AC43" i="23" s="1"/>
  <c r="AH42" i="23"/>
  <c r="AH43" i="23" s="1"/>
  <c r="AI42" i="23"/>
  <c r="AK42" i="23"/>
  <c r="AK43" i="23" s="1"/>
  <c r="H43" i="23"/>
  <c r="M43" i="23"/>
  <c r="P43" i="23"/>
  <c r="AE43" i="23"/>
  <c r="F45" i="23"/>
  <c r="G45" i="23"/>
  <c r="H45" i="23"/>
  <c r="I45" i="23"/>
  <c r="J45" i="23"/>
  <c r="K45" i="23"/>
  <c r="L45" i="23"/>
  <c r="M45" i="23"/>
  <c r="E45" i="23" s="1"/>
  <c r="G45" i="35" s="1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F47" i="23"/>
  <c r="G47" i="23"/>
  <c r="H47" i="23"/>
  <c r="I47" i="23"/>
  <c r="J47" i="23"/>
  <c r="K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F49" i="23"/>
  <c r="G49" i="23"/>
  <c r="H49" i="23"/>
  <c r="I49" i="23"/>
  <c r="E49" i="23" s="1"/>
  <c r="G49" i="35" s="1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F51" i="23"/>
  <c r="G51" i="23"/>
  <c r="H51" i="23"/>
  <c r="D51" i="23" s="1"/>
  <c r="F51" i="35" s="1"/>
  <c r="I51" i="23"/>
  <c r="J51" i="23"/>
  <c r="K51" i="23"/>
  <c r="L51" i="23"/>
  <c r="M51" i="23"/>
  <c r="E51" i="23" s="1"/>
  <c r="G51" i="35" s="1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F54" i="23"/>
  <c r="G54" i="23"/>
  <c r="H54" i="23"/>
  <c r="I54" i="23"/>
  <c r="J54" i="23"/>
  <c r="K54" i="23"/>
  <c r="L54" i="23"/>
  <c r="M54" i="23"/>
  <c r="M56" i="23" s="1"/>
  <c r="N54" i="23"/>
  <c r="O54" i="23"/>
  <c r="P54" i="23"/>
  <c r="Q54" i="23"/>
  <c r="Q56" i="23" s="1"/>
  <c r="R54" i="23"/>
  <c r="R56" i="23" s="1"/>
  <c r="S54" i="23"/>
  <c r="T54" i="23"/>
  <c r="U54" i="23"/>
  <c r="U56" i="23" s="1"/>
  <c r="V54" i="23"/>
  <c r="V56" i="23" s="1"/>
  <c r="W54" i="23"/>
  <c r="X54" i="23"/>
  <c r="Y54" i="23"/>
  <c r="Z54" i="23"/>
  <c r="AA54" i="23"/>
  <c r="AB54" i="23"/>
  <c r="AC54" i="23"/>
  <c r="AC56" i="23" s="1"/>
  <c r="AD54" i="23"/>
  <c r="AD56" i="23" s="1"/>
  <c r="AE54" i="23"/>
  <c r="AF54" i="23"/>
  <c r="AG54" i="23"/>
  <c r="AH54" i="23"/>
  <c r="AI54" i="23"/>
  <c r="AJ54" i="23"/>
  <c r="AK54" i="23"/>
  <c r="AL54" i="23"/>
  <c r="AM54" i="23"/>
  <c r="AN54" i="23"/>
  <c r="AO54" i="23"/>
  <c r="F55" i="23"/>
  <c r="G55" i="23"/>
  <c r="H55" i="23"/>
  <c r="I55" i="23"/>
  <c r="J55" i="23"/>
  <c r="K55" i="23"/>
  <c r="K56" i="23" s="1"/>
  <c r="L55" i="23"/>
  <c r="M55" i="23"/>
  <c r="N55" i="23"/>
  <c r="O55" i="23"/>
  <c r="P55" i="23"/>
  <c r="P56" i="23" s="1"/>
  <c r="Q55" i="23"/>
  <c r="R55" i="23"/>
  <c r="S55" i="23"/>
  <c r="T55" i="23"/>
  <c r="U55" i="23"/>
  <c r="V55" i="23"/>
  <c r="W55" i="23"/>
  <c r="X55" i="23"/>
  <c r="X56" i="23" s="1"/>
  <c r="Y55" i="23"/>
  <c r="Z55" i="23"/>
  <c r="AA55" i="23"/>
  <c r="AB55" i="23"/>
  <c r="AC55" i="23"/>
  <c r="AD55" i="23"/>
  <c r="AE55" i="23"/>
  <c r="AF55" i="23"/>
  <c r="AF56" i="23" s="1"/>
  <c r="AG55" i="23"/>
  <c r="AH55" i="23"/>
  <c r="AI55" i="23"/>
  <c r="AI56" i="23" s="1"/>
  <c r="AJ55" i="23"/>
  <c r="AK55" i="23"/>
  <c r="AL55" i="23"/>
  <c r="AM55" i="23"/>
  <c r="AN55" i="23"/>
  <c r="AN56" i="23" s="1"/>
  <c r="AO55" i="23"/>
  <c r="F56" i="23"/>
  <c r="I56" i="23"/>
  <c r="J56" i="23"/>
  <c r="N56" i="23"/>
  <c r="S56" i="23"/>
  <c r="Y56" i="23"/>
  <c r="Z56" i="23"/>
  <c r="AA56" i="23"/>
  <c r="AG56" i="23"/>
  <c r="AH56" i="23"/>
  <c r="AK56" i="23"/>
  <c r="AL56" i="23"/>
  <c r="AO56" i="23"/>
  <c r="F59" i="23"/>
  <c r="G59" i="23"/>
  <c r="G61" i="23" s="1"/>
  <c r="H59" i="23"/>
  <c r="I59" i="23"/>
  <c r="J59" i="23"/>
  <c r="K59" i="23"/>
  <c r="K61" i="23" s="1"/>
  <c r="L59" i="23"/>
  <c r="D59" i="23" s="1"/>
  <c r="M59" i="23"/>
  <c r="N59" i="23"/>
  <c r="O59" i="23"/>
  <c r="O61" i="23" s="1"/>
  <c r="P59" i="23"/>
  <c r="Q59" i="23"/>
  <c r="R59" i="23"/>
  <c r="S59" i="23"/>
  <c r="S61" i="23" s="1"/>
  <c r="T59" i="23"/>
  <c r="U59" i="23"/>
  <c r="V59" i="23"/>
  <c r="W59" i="23"/>
  <c r="W61" i="23" s="1"/>
  <c r="X59" i="23"/>
  <c r="Y59" i="23"/>
  <c r="Z59" i="23"/>
  <c r="AA59" i="23"/>
  <c r="AA61" i="23" s="1"/>
  <c r="AB59" i="23"/>
  <c r="AC59" i="23"/>
  <c r="AD59" i="23"/>
  <c r="AE59" i="23"/>
  <c r="AF59" i="23"/>
  <c r="AG59" i="23"/>
  <c r="AH59" i="23"/>
  <c r="AI59" i="23"/>
  <c r="AI61" i="23" s="1"/>
  <c r="AJ59" i="23"/>
  <c r="AK59" i="23"/>
  <c r="AL59" i="23"/>
  <c r="AM59" i="23"/>
  <c r="AM61" i="23" s="1"/>
  <c r="AN59" i="23"/>
  <c r="AN61" i="23" s="1"/>
  <c r="AO59" i="23"/>
  <c r="F60" i="23"/>
  <c r="G60" i="23"/>
  <c r="H60" i="23"/>
  <c r="I60" i="23"/>
  <c r="J60" i="23"/>
  <c r="K60" i="23"/>
  <c r="L60" i="23"/>
  <c r="M60" i="23"/>
  <c r="N60" i="23"/>
  <c r="N61" i="23" s="1"/>
  <c r="O60" i="23"/>
  <c r="P60" i="23"/>
  <c r="Q60" i="23"/>
  <c r="Q61" i="23" s="1"/>
  <c r="R60" i="23"/>
  <c r="S60" i="23"/>
  <c r="T60" i="23"/>
  <c r="U60" i="23"/>
  <c r="V60" i="23"/>
  <c r="V61" i="23" s="1"/>
  <c r="W60" i="23"/>
  <c r="X60" i="23"/>
  <c r="Y60" i="23"/>
  <c r="Y61" i="23" s="1"/>
  <c r="Z60" i="23"/>
  <c r="AA60" i="23"/>
  <c r="AB60" i="23"/>
  <c r="AC60" i="23"/>
  <c r="AD60" i="23"/>
  <c r="AD61" i="23" s="1"/>
  <c r="AE60" i="23"/>
  <c r="AF60" i="23"/>
  <c r="AG60" i="23"/>
  <c r="AG61" i="23" s="1"/>
  <c r="AH60" i="23"/>
  <c r="AI60" i="23"/>
  <c r="AJ60" i="23"/>
  <c r="AK60" i="23"/>
  <c r="AL60" i="23"/>
  <c r="AL61" i="23" s="1"/>
  <c r="AM60" i="23"/>
  <c r="AN60" i="23"/>
  <c r="AO60" i="23"/>
  <c r="AO61" i="23" s="1"/>
  <c r="H61" i="23"/>
  <c r="L61" i="23"/>
  <c r="P61" i="23"/>
  <c r="T61" i="23"/>
  <c r="X61" i="23"/>
  <c r="AB61" i="23"/>
  <c r="AE61" i="23"/>
  <c r="AF61" i="23"/>
  <c r="AJ61" i="23"/>
  <c r="F64" i="23"/>
  <c r="G64" i="23"/>
  <c r="H64" i="23"/>
  <c r="H66" i="23" s="1"/>
  <c r="I64" i="23"/>
  <c r="J64" i="23"/>
  <c r="K64" i="23"/>
  <c r="L64" i="23"/>
  <c r="M64" i="23"/>
  <c r="N64" i="23"/>
  <c r="O64" i="23"/>
  <c r="P64" i="23"/>
  <c r="P66" i="23" s="1"/>
  <c r="Q64" i="23"/>
  <c r="Q66" i="23" s="1"/>
  <c r="R64" i="23"/>
  <c r="S64" i="23"/>
  <c r="T64" i="23"/>
  <c r="U64" i="23"/>
  <c r="U66" i="23" s="1"/>
  <c r="V64" i="23"/>
  <c r="V66" i="23" s="1"/>
  <c r="W64" i="23"/>
  <c r="X64" i="23"/>
  <c r="X66" i="23" s="1"/>
  <c r="Y64" i="23"/>
  <c r="Y66" i="23" s="1"/>
  <c r="Z64" i="23"/>
  <c r="Z66" i="23" s="1"/>
  <c r="AA64" i="23"/>
  <c r="AB64" i="23"/>
  <c r="AC64" i="23"/>
  <c r="AD64" i="23"/>
  <c r="AE64" i="23"/>
  <c r="AF64" i="23"/>
  <c r="AF66" i="23" s="1"/>
  <c r="AG64" i="23"/>
  <c r="AG66" i="23" s="1"/>
  <c r="AH64" i="23"/>
  <c r="AH66" i="23" s="1"/>
  <c r="AI64" i="23"/>
  <c r="AJ64" i="23"/>
  <c r="AK64" i="23"/>
  <c r="AL64" i="23"/>
  <c r="AM64" i="23"/>
  <c r="AN64" i="23"/>
  <c r="AN66" i="23" s="1"/>
  <c r="AO64" i="23"/>
  <c r="AO66" i="23" s="1"/>
  <c r="F65" i="23"/>
  <c r="G65" i="23"/>
  <c r="G66" i="23" s="1"/>
  <c r="H65" i="23"/>
  <c r="I65" i="23"/>
  <c r="J65" i="23"/>
  <c r="K65" i="23"/>
  <c r="L65" i="23"/>
  <c r="L66" i="23" s="1"/>
  <c r="M65" i="23"/>
  <c r="N65" i="23"/>
  <c r="O65" i="23"/>
  <c r="P65" i="23"/>
  <c r="Q65" i="23"/>
  <c r="R65" i="23"/>
  <c r="S65" i="23"/>
  <c r="T65" i="23"/>
  <c r="T66" i="23" s="1"/>
  <c r="U65" i="23"/>
  <c r="V65" i="23"/>
  <c r="W65" i="23"/>
  <c r="X65" i="23"/>
  <c r="Y65" i="23"/>
  <c r="Z65" i="23"/>
  <c r="AA65" i="23"/>
  <c r="AB65" i="23"/>
  <c r="AB66" i="23" s="1"/>
  <c r="AC65" i="23"/>
  <c r="AD65" i="23"/>
  <c r="AE65" i="23"/>
  <c r="AF65" i="23"/>
  <c r="AG65" i="23"/>
  <c r="AH65" i="23"/>
  <c r="AI65" i="23"/>
  <c r="AJ65" i="23"/>
  <c r="AJ66" i="23" s="1"/>
  <c r="AK65" i="23"/>
  <c r="AL65" i="23"/>
  <c r="AM65" i="23"/>
  <c r="AM66" i="23" s="1"/>
  <c r="AN65" i="23"/>
  <c r="AO65" i="23"/>
  <c r="F66" i="23"/>
  <c r="J66" i="23"/>
  <c r="M66" i="23"/>
  <c r="N66" i="23"/>
  <c r="O66" i="23"/>
  <c r="R66" i="23"/>
  <c r="W66" i="23"/>
  <c r="AC66" i="23"/>
  <c r="AD66" i="23"/>
  <c r="AE66" i="23"/>
  <c r="AK66" i="23"/>
  <c r="AL66" i="23"/>
  <c r="F70" i="23"/>
  <c r="F72" i="23" s="1"/>
  <c r="G70" i="23"/>
  <c r="H70" i="23"/>
  <c r="I70" i="23"/>
  <c r="I72" i="23" s="1"/>
  <c r="J70" i="23"/>
  <c r="K70" i="23"/>
  <c r="L70" i="23"/>
  <c r="M70" i="23"/>
  <c r="N70" i="23"/>
  <c r="N72" i="23" s="1"/>
  <c r="O70" i="23"/>
  <c r="P70" i="23"/>
  <c r="Q70" i="23"/>
  <c r="Q72" i="23" s="1"/>
  <c r="R70" i="23"/>
  <c r="S70" i="23"/>
  <c r="S72" i="23" s="1"/>
  <c r="T70" i="23"/>
  <c r="T72" i="23" s="1"/>
  <c r="U70" i="23"/>
  <c r="V70" i="23"/>
  <c r="V72" i="23" s="1"/>
  <c r="W70" i="23"/>
  <c r="W72" i="23" s="1"/>
  <c r="X70" i="23"/>
  <c r="Y70" i="23"/>
  <c r="Y72" i="23" s="1"/>
  <c r="Z70" i="23"/>
  <c r="AA70" i="23"/>
  <c r="AB70" i="23"/>
  <c r="AB72" i="23" s="1"/>
  <c r="AC70" i="23"/>
  <c r="AD70" i="23"/>
  <c r="AD72" i="23" s="1"/>
  <c r="AE70" i="23"/>
  <c r="AE72" i="23" s="1"/>
  <c r="AF70" i="23"/>
  <c r="AG70" i="23"/>
  <c r="AG72" i="23" s="1"/>
  <c r="AH70" i="23"/>
  <c r="AI70" i="23"/>
  <c r="AJ70" i="23"/>
  <c r="AJ72" i="23" s="1"/>
  <c r="AK70" i="23"/>
  <c r="AL70" i="23"/>
  <c r="AL72" i="23" s="1"/>
  <c r="AM70" i="23"/>
  <c r="AN70" i="23"/>
  <c r="AO70" i="23"/>
  <c r="AO72" i="23" s="1"/>
  <c r="F71" i="23"/>
  <c r="G71" i="23"/>
  <c r="H71" i="23"/>
  <c r="I71" i="23"/>
  <c r="E71" i="23" s="1"/>
  <c r="G71" i="35" s="1"/>
  <c r="J71" i="23"/>
  <c r="J72" i="23" s="1"/>
  <c r="K71" i="23"/>
  <c r="L71" i="23"/>
  <c r="M71" i="23"/>
  <c r="M72" i="23" s="1"/>
  <c r="N71" i="23"/>
  <c r="O71" i="23"/>
  <c r="P71" i="23"/>
  <c r="Q71" i="23"/>
  <c r="R71" i="23"/>
  <c r="R72" i="23" s="1"/>
  <c r="S71" i="23"/>
  <c r="T71" i="23"/>
  <c r="U71" i="23"/>
  <c r="V71" i="23"/>
  <c r="W71" i="23"/>
  <c r="X71" i="23"/>
  <c r="Y71" i="23"/>
  <c r="Z71" i="23"/>
  <c r="Z72" i="23" s="1"/>
  <c r="AA71" i="23"/>
  <c r="AB71" i="23"/>
  <c r="AC71" i="23"/>
  <c r="AC72" i="23" s="1"/>
  <c r="AD71" i="23"/>
  <c r="AE71" i="23"/>
  <c r="AF71" i="23"/>
  <c r="AG71" i="23"/>
  <c r="AH71" i="23"/>
  <c r="AH72" i="23" s="1"/>
  <c r="AI71" i="23"/>
  <c r="AJ71" i="23"/>
  <c r="AK71" i="23"/>
  <c r="AL71" i="23"/>
  <c r="AM71" i="23"/>
  <c r="AN71" i="23"/>
  <c r="AO71" i="23"/>
  <c r="G72" i="23"/>
  <c r="H72" i="23"/>
  <c r="K72" i="23"/>
  <c r="O72" i="23"/>
  <c r="P72" i="23"/>
  <c r="U72" i="23"/>
  <c r="X72" i="23"/>
  <c r="AA72" i="23"/>
  <c r="AF72" i="23"/>
  <c r="AI72" i="23"/>
  <c r="AK72" i="23"/>
  <c r="AM72" i="23"/>
  <c r="AN72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F74" i="35" s="1"/>
  <c r="F74" i="23"/>
  <c r="G74" i="23"/>
  <c r="H74" i="23"/>
  <c r="I74" i="23"/>
  <c r="J74" i="23"/>
  <c r="K74" i="23"/>
  <c r="L74" i="23"/>
  <c r="M74" i="23"/>
  <c r="M74" i="24" s="1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A74" i="24" s="1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F75" i="23"/>
  <c r="G75" i="23"/>
  <c r="H75" i="23"/>
  <c r="I75" i="23"/>
  <c r="J75" i="23"/>
  <c r="K75" i="23"/>
  <c r="L75" i="23"/>
  <c r="M75" i="23"/>
  <c r="E75" i="23" s="1"/>
  <c r="G75" i="35" s="1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F76" i="35" s="1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F78" i="23"/>
  <c r="G78" i="23"/>
  <c r="H78" i="23"/>
  <c r="D78" i="23" s="1"/>
  <c r="F78" i="35" s="1"/>
  <c r="I78" i="23"/>
  <c r="J78" i="23"/>
  <c r="K78" i="23"/>
  <c r="L78" i="23"/>
  <c r="M78" i="23"/>
  <c r="N78" i="23"/>
  <c r="O78" i="23"/>
  <c r="P78" i="23"/>
  <c r="Q78" i="23"/>
  <c r="R78" i="23"/>
  <c r="S78" i="23"/>
  <c r="S78" i="24" s="1"/>
  <c r="T78" i="23"/>
  <c r="U78" i="23"/>
  <c r="V78" i="23"/>
  <c r="W78" i="23"/>
  <c r="X78" i="23"/>
  <c r="Y78" i="23"/>
  <c r="Y78" i="24" s="1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F79" i="23"/>
  <c r="G79" i="23"/>
  <c r="H79" i="23"/>
  <c r="I79" i="23"/>
  <c r="J79" i="23"/>
  <c r="K79" i="23"/>
  <c r="K79" i="24" s="1"/>
  <c r="L79" i="23"/>
  <c r="M79" i="23"/>
  <c r="E79" i="23" s="1"/>
  <c r="G79" i="35" s="1"/>
  <c r="I79" i="35" s="1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F80" i="23"/>
  <c r="G80" i="23"/>
  <c r="E80" i="23" s="1"/>
  <c r="G80" i="35" s="1"/>
  <c r="I80" i="35" s="1"/>
  <c r="H80" i="23"/>
  <c r="D80" i="23" s="1"/>
  <c r="F80" i="35" s="1"/>
  <c r="I80" i="23"/>
  <c r="J80" i="23"/>
  <c r="K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F81" i="23"/>
  <c r="G81" i="23"/>
  <c r="H81" i="23"/>
  <c r="I81" i="23"/>
  <c r="J81" i="23"/>
  <c r="K81" i="23"/>
  <c r="L81" i="23"/>
  <c r="M81" i="23"/>
  <c r="E81" i="23" s="1"/>
  <c r="G81" i="35" s="1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A4" i="35"/>
  <c r="A5" i="35"/>
  <c r="D12" i="35"/>
  <c r="F12" i="35"/>
  <c r="H12" i="35" s="1"/>
  <c r="D13" i="35"/>
  <c r="G14" i="35"/>
  <c r="G15" i="35"/>
  <c r="D19" i="35"/>
  <c r="D20" i="35"/>
  <c r="E20" i="35"/>
  <c r="D21" i="35"/>
  <c r="D27" i="35"/>
  <c r="H27" i="35"/>
  <c r="E35" i="35"/>
  <c r="D39" i="35"/>
  <c r="D40" i="35"/>
  <c r="D47" i="35"/>
  <c r="D49" i="35"/>
  <c r="D55" i="35"/>
  <c r="E64" i="35"/>
  <c r="D65" i="35"/>
  <c r="D70" i="35"/>
  <c r="E71" i="35"/>
  <c r="I71" i="35" s="1"/>
  <c r="D72" i="35"/>
  <c r="E73" i="35"/>
  <c r="D74" i="35"/>
  <c r="D75" i="35"/>
  <c r="E77" i="35"/>
  <c r="D78" i="35"/>
  <c r="H78" i="35"/>
  <c r="A5" i="19"/>
  <c r="F11" i="19"/>
  <c r="G11" i="19"/>
  <c r="H11" i="19"/>
  <c r="I11" i="19"/>
  <c r="L11" i="19"/>
  <c r="M11" i="19"/>
  <c r="H12" i="19"/>
  <c r="F12" i="19" s="1"/>
  <c r="I12" i="19"/>
  <c r="L12" i="19"/>
  <c r="F13" i="19"/>
  <c r="G13" i="19"/>
  <c r="H13" i="19"/>
  <c r="I13" i="19"/>
  <c r="L13" i="19"/>
  <c r="M13" i="19"/>
  <c r="F14" i="19"/>
  <c r="H14" i="19"/>
  <c r="L14" i="19" s="1"/>
  <c r="I14" i="19"/>
  <c r="G15" i="19"/>
  <c r="H15" i="19"/>
  <c r="I15" i="19"/>
  <c r="M15" i="19"/>
  <c r="E15" i="43" s="1"/>
  <c r="J16" i="19"/>
  <c r="K16" i="19"/>
  <c r="H18" i="19"/>
  <c r="I18" i="19"/>
  <c r="F19" i="19"/>
  <c r="G19" i="19"/>
  <c r="H19" i="19"/>
  <c r="I19" i="19"/>
  <c r="L19" i="19"/>
  <c r="M19" i="19"/>
  <c r="H20" i="19"/>
  <c r="F20" i="19" s="1"/>
  <c r="I20" i="19"/>
  <c r="L20" i="19"/>
  <c r="F21" i="19"/>
  <c r="G21" i="19"/>
  <c r="H21" i="19"/>
  <c r="I21" i="19"/>
  <c r="L21" i="19"/>
  <c r="M21" i="19"/>
  <c r="F22" i="19"/>
  <c r="H22" i="19"/>
  <c r="L22" i="19" s="1"/>
  <c r="I22" i="19"/>
  <c r="G23" i="19"/>
  <c r="H23" i="19"/>
  <c r="I23" i="19"/>
  <c r="M23" i="19"/>
  <c r="E23" i="43" s="1"/>
  <c r="J24" i="19"/>
  <c r="K24" i="19"/>
  <c r="H27" i="19"/>
  <c r="F27" i="19" s="1"/>
  <c r="I27" i="19"/>
  <c r="L27" i="19"/>
  <c r="F28" i="19"/>
  <c r="F29" i="19" s="1"/>
  <c r="G28" i="19"/>
  <c r="H28" i="19"/>
  <c r="I28" i="19"/>
  <c r="L28" i="19"/>
  <c r="D28" i="43" s="1"/>
  <c r="D29" i="43" s="1"/>
  <c r="M28" i="19"/>
  <c r="E28" i="43" s="1"/>
  <c r="H29" i="19"/>
  <c r="I29" i="19"/>
  <c r="J29" i="19"/>
  <c r="K29" i="19"/>
  <c r="L29" i="19"/>
  <c r="H32" i="19"/>
  <c r="I32" i="19"/>
  <c r="I36" i="19" s="1"/>
  <c r="F33" i="19"/>
  <c r="G33" i="19"/>
  <c r="H33" i="19"/>
  <c r="I33" i="19"/>
  <c r="L33" i="19"/>
  <c r="D33" i="43" s="1"/>
  <c r="M33" i="19"/>
  <c r="H34" i="19"/>
  <c r="F34" i="19" s="1"/>
  <c r="I34" i="19"/>
  <c r="L34" i="19"/>
  <c r="F35" i="19"/>
  <c r="G35" i="19"/>
  <c r="H35" i="19"/>
  <c r="I35" i="19"/>
  <c r="L35" i="19"/>
  <c r="M35" i="19"/>
  <c r="E35" i="43" s="1"/>
  <c r="J36" i="19"/>
  <c r="K36" i="19"/>
  <c r="L37" i="19"/>
  <c r="M37" i="19"/>
  <c r="H38" i="19"/>
  <c r="I38" i="19"/>
  <c r="H39" i="19"/>
  <c r="F39" i="19" s="1"/>
  <c r="I39" i="19"/>
  <c r="L39" i="19"/>
  <c r="D39" i="43" s="1"/>
  <c r="F40" i="19"/>
  <c r="G40" i="19"/>
  <c r="H40" i="19"/>
  <c r="I40" i="19"/>
  <c r="I42" i="19" s="1"/>
  <c r="L40" i="19"/>
  <c r="M40" i="19"/>
  <c r="F41" i="19"/>
  <c r="H41" i="19"/>
  <c r="L41" i="19" s="1"/>
  <c r="D41" i="43" s="1"/>
  <c r="I41" i="19"/>
  <c r="F42" i="19"/>
  <c r="F43" i="19" s="1"/>
  <c r="H42" i="19"/>
  <c r="H43" i="19" s="1"/>
  <c r="J42" i="19"/>
  <c r="K42" i="19"/>
  <c r="J43" i="19"/>
  <c r="K43" i="19"/>
  <c r="F45" i="19"/>
  <c r="G45" i="19"/>
  <c r="H45" i="19"/>
  <c r="I45" i="19"/>
  <c r="L45" i="19"/>
  <c r="D45" i="43" s="1"/>
  <c r="M45" i="19"/>
  <c r="H47" i="19"/>
  <c r="F47" i="19" s="1"/>
  <c r="I47" i="19"/>
  <c r="L47" i="19"/>
  <c r="F49" i="19"/>
  <c r="G49" i="19"/>
  <c r="H49" i="19"/>
  <c r="I49" i="19"/>
  <c r="L49" i="19"/>
  <c r="M49" i="19"/>
  <c r="E49" i="43" s="1"/>
  <c r="H51" i="19"/>
  <c r="I51" i="19"/>
  <c r="G54" i="19"/>
  <c r="H54" i="19"/>
  <c r="I54" i="19"/>
  <c r="L54" i="19"/>
  <c r="M54" i="19"/>
  <c r="H55" i="19"/>
  <c r="I55" i="19"/>
  <c r="J56" i="19"/>
  <c r="K56" i="19"/>
  <c r="F59" i="19"/>
  <c r="G59" i="19"/>
  <c r="H59" i="19"/>
  <c r="I59" i="19"/>
  <c r="I61" i="19" s="1"/>
  <c r="L59" i="19"/>
  <c r="L61" i="19" s="1"/>
  <c r="M59" i="19"/>
  <c r="F60" i="19"/>
  <c r="H60" i="19"/>
  <c r="L60" i="19" s="1"/>
  <c r="I60" i="19"/>
  <c r="H61" i="19"/>
  <c r="J61" i="19"/>
  <c r="K61" i="19"/>
  <c r="G64" i="19"/>
  <c r="H64" i="19"/>
  <c r="I64" i="19"/>
  <c r="M64" i="19"/>
  <c r="H65" i="19"/>
  <c r="F65" i="19" s="1"/>
  <c r="I65" i="19"/>
  <c r="L65" i="19"/>
  <c r="J66" i="19"/>
  <c r="K66" i="19"/>
  <c r="L69" i="19"/>
  <c r="M69" i="19"/>
  <c r="H70" i="19"/>
  <c r="F70" i="19" s="1"/>
  <c r="F72" i="19" s="1"/>
  <c r="I70" i="19"/>
  <c r="I72" i="19" s="1"/>
  <c r="L70" i="19"/>
  <c r="F71" i="19"/>
  <c r="G71" i="19"/>
  <c r="H71" i="19"/>
  <c r="I71" i="19"/>
  <c r="L71" i="19"/>
  <c r="M71" i="19"/>
  <c r="E71" i="43" s="1"/>
  <c r="J72" i="19"/>
  <c r="K72" i="19"/>
  <c r="F73" i="19"/>
  <c r="H73" i="19"/>
  <c r="L73" i="19" s="1"/>
  <c r="I73" i="19"/>
  <c r="G74" i="19"/>
  <c r="H74" i="19"/>
  <c r="I74" i="19"/>
  <c r="M74" i="19"/>
  <c r="H75" i="19"/>
  <c r="F75" i="19" s="1"/>
  <c r="I75" i="19"/>
  <c r="F76" i="19"/>
  <c r="G76" i="19"/>
  <c r="H76" i="19"/>
  <c r="I76" i="19"/>
  <c r="L76" i="19"/>
  <c r="D76" i="43" s="1"/>
  <c r="M76" i="19"/>
  <c r="F77" i="19"/>
  <c r="H77" i="19"/>
  <c r="L77" i="19" s="1"/>
  <c r="D77" i="43" s="1"/>
  <c r="I77" i="19"/>
  <c r="F78" i="19"/>
  <c r="G78" i="19"/>
  <c r="H78" i="19"/>
  <c r="I78" i="19"/>
  <c r="L78" i="19"/>
  <c r="M78" i="19"/>
  <c r="H79" i="19"/>
  <c r="F79" i="19" s="1"/>
  <c r="I79" i="19"/>
  <c r="L79" i="19"/>
  <c r="D79" i="43" s="1"/>
  <c r="F80" i="19"/>
  <c r="G80" i="19"/>
  <c r="H80" i="19"/>
  <c r="I80" i="19"/>
  <c r="L80" i="19"/>
  <c r="D80" i="43" s="1"/>
  <c r="M80" i="19"/>
  <c r="H81" i="19"/>
  <c r="I81" i="19"/>
  <c r="D82" i="19"/>
  <c r="E82" i="19"/>
  <c r="E91" i="19" s="1"/>
  <c r="F86" i="19"/>
  <c r="F89" i="19" s="1"/>
  <c r="H86" i="19"/>
  <c r="L86" i="19" s="1"/>
  <c r="I86" i="19"/>
  <c r="F87" i="19"/>
  <c r="G87" i="19"/>
  <c r="H87" i="19"/>
  <c r="I87" i="19"/>
  <c r="L87" i="19"/>
  <c r="D87" i="43" s="1"/>
  <c r="M87" i="19"/>
  <c r="H88" i="19"/>
  <c r="F88" i="19" s="1"/>
  <c r="I88" i="19"/>
  <c r="L88" i="19"/>
  <c r="D89" i="19"/>
  <c r="E89" i="19"/>
  <c r="I89" i="19"/>
  <c r="J89" i="19"/>
  <c r="K89" i="19"/>
  <c r="L89" i="19"/>
  <c r="A5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F11" i="31"/>
  <c r="G11" i="31"/>
  <c r="H11" i="31"/>
  <c r="I11" i="31"/>
  <c r="J11" i="31"/>
  <c r="K11" i="31"/>
  <c r="L11" i="31"/>
  <c r="M11" i="31"/>
  <c r="N11" i="31"/>
  <c r="O11" i="31"/>
  <c r="O16" i="31" s="1"/>
  <c r="P11" i="31"/>
  <c r="Q11" i="31"/>
  <c r="R11" i="31"/>
  <c r="R16" i="31" s="1"/>
  <c r="S11" i="31"/>
  <c r="T11" i="31"/>
  <c r="U11" i="31"/>
  <c r="V11" i="31"/>
  <c r="W11" i="31"/>
  <c r="W16" i="31" s="1"/>
  <c r="X11" i="31"/>
  <c r="Y11" i="31"/>
  <c r="Z11" i="31"/>
  <c r="Z16" i="31" s="1"/>
  <c r="AA11" i="31"/>
  <c r="AB11" i="31"/>
  <c r="AC11" i="31"/>
  <c r="AD11" i="31"/>
  <c r="AE11" i="31"/>
  <c r="AE16" i="31" s="1"/>
  <c r="AF11" i="31"/>
  <c r="AG11" i="31"/>
  <c r="AH11" i="31"/>
  <c r="AI11" i="31"/>
  <c r="AJ11" i="31"/>
  <c r="AK11" i="31"/>
  <c r="AL11" i="31"/>
  <c r="AM11" i="31"/>
  <c r="AM16" i="31" s="1"/>
  <c r="AN11" i="31"/>
  <c r="AN16" i="31" s="1"/>
  <c r="AO11" i="31"/>
  <c r="F12" i="31"/>
  <c r="G12" i="31"/>
  <c r="H12" i="31"/>
  <c r="I12" i="31"/>
  <c r="I16" i="31" s="1"/>
  <c r="J12" i="31"/>
  <c r="K12" i="31"/>
  <c r="L12" i="31"/>
  <c r="L16" i="31" s="1"/>
  <c r="M12" i="31"/>
  <c r="N12" i="31"/>
  <c r="O12" i="31"/>
  <c r="P12" i="31"/>
  <c r="P16" i="31" s="1"/>
  <c r="Q12" i="31"/>
  <c r="R12" i="31"/>
  <c r="S12" i="31"/>
  <c r="T12" i="31"/>
  <c r="U12" i="31"/>
  <c r="V12" i="31"/>
  <c r="W12" i="31"/>
  <c r="X12" i="31"/>
  <c r="X16" i="31" s="1"/>
  <c r="Y12" i="31"/>
  <c r="Y16" i="31" s="1"/>
  <c r="Z12" i="31"/>
  <c r="AA12" i="31"/>
  <c r="AB12" i="31"/>
  <c r="AC12" i="31"/>
  <c r="AD12" i="31"/>
  <c r="AE12" i="31"/>
  <c r="AF12" i="31"/>
  <c r="AF16" i="31" s="1"/>
  <c r="AG12" i="31"/>
  <c r="AH12" i="31"/>
  <c r="AI12" i="31"/>
  <c r="AJ12" i="31"/>
  <c r="AK12" i="31"/>
  <c r="AL12" i="31"/>
  <c r="AM12" i="31"/>
  <c r="AN12" i="31"/>
  <c r="AO12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F14" i="31"/>
  <c r="D14" i="31" s="1"/>
  <c r="G14" i="31"/>
  <c r="H14" i="31"/>
  <c r="I14" i="31"/>
  <c r="J14" i="31"/>
  <c r="K14" i="31"/>
  <c r="L14" i="31"/>
  <c r="M14" i="31"/>
  <c r="E14" i="31" s="1"/>
  <c r="G14" i="43" s="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H16" i="31" s="1"/>
  <c r="AH82" i="31" s="1"/>
  <c r="AH91" i="31" s="1"/>
  <c r="AI15" i="31"/>
  <c r="AJ15" i="31"/>
  <c r="AK15" i="31"/>
  <c r="AL15" i="31"/>
  <c r="AM15" i="31"/>
  <c r="AN15" i="31"/>
  <c r="AO15" i="31"/>
  <c r="H16" i="31"/>
  <c r="J16" i="31"/>
  <c r="J82" i="31" s="1"/>
  <c r="Q16" i="31"/>
  <c r="T16" i="31"/>
  <c r="AB16" i="31"/>
  <c r="AG16" i="31"/>
  <c r="AJ16" i="31"/>
  <c r="AO16" i="31"/>
  <c r="F19" i="31"/>
  <c r="G19" i="31"/>
  <c r="H19" i="31"/>
  <c r="I19" i="31"/>
  <c r="J19" i="31"/>
  <c r="J24" i="31" s="1"/>
  <c r="K19" i="31"/>
  <c r="L19" i="31"/>
  <c r="M19" i="31"/>
  <c r="N19" i="31"/>
  <c r="O19" i="31"/>
  <c r="P19" i="31"/>
  <c r="Q19" i="31"/>
  <c r="R19" i="31"/>
  <c r="S19" i="31"/>
  <c r="T19" i="31"/>
  <c r="T24" i="31" s="1"/>
  <c r="U19" i="31"/>
  <c r="V19" i="31"/>
  <c r="W19" i="31"/>
  <c r="X19" i="31"/>
  <c r="Y19" i="31"/>
  <c r="Z19" i="31"/>
  <c r="AA19" i="31"/>
  <c r="AB19" i="31"/>
  <c r="AB24" i="31" s="1"/>
  <c r="AC19" i="31"/>
  <c r="AD19" i="31"/>
  <c r="AE19" i="31"/>
  <c r="AF19" i="31"/>
  <c r="AG19" i="31"/>
  <c r="AH19" i="31"/>
  <c r="AI19" i="31"/>
  <c r="AJ19" i="31"/>
  <c r="AJ24" i="31" s="1"/>
  <c r="AK19" i="31"/>
  <c r="AL19" i="31"/>
  <c r="AM19" i="31"/>
  <c r="AN19" i="31"/>
  <c r="AO19" i="31"/>
  <c r="F20" i="31"/>
  <c r="G20" i="31"/>
  <c r="H20" i="31"/>
  <c r="I20" i="31"/>
  <c r="J20" i="31"/>
  <c r="L20" i="31"/>
  <c r="M20" i="31"/>
  <c r="N20" i="31"/>
  <c r="O20" i="31"/>
  <c r="P20" i="31"/>
  <c r="Q20" i="31"/>
  <c r="R20" i="31"/>
  <c r="R24" i="31" s="1"/>
  <c r="S20" i="31"/>
  <c r="T20" i="31"/>
  <c r="U20" i="31"/>
  <c r="V20" i="31"/>
  <c r="W20" i="31"/>
  <c r="X20" i="31"/>
  <c r="Y20" i="31"/>
  <c r="Z20" i="31"/>
  <c r="Z24" i="31" s="1"/>
  <c r="AA20" i="31"/>
  <c r="AB20" i="31"/>
  <c r="AC20" i="31"/>
  <c r="AC24" i="31" s="1"/>
  <c r="AD20" i="31"/>
  <c r="AE20" i="31"/>
  <c r="AF20" i="31"/>
  <c r="AG20" i="31"/>
  <c r="AH20" i="31"/>
  <c r="AH24" i="31" s="1"/>
  <c r="AI20" i="31"/>
  <c r="AJ20" i="31"/>
  <c r="AK20" i="31"/>
  <c r="AK24" i="31" s="1"/>
  <c r="AL20" i="31"/>
  <c r="AM20" i="31"/>
  <c r="AN20" i="31"/>
  <c r="AO20" i="31"/>
  <c r="D21" i="31"/>
  <c r="F21" i="43" s="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F22" i="31"/>
  <c r="G22" i="31"/>
  <c r="H22" i="31"/>
  <c r="I22" i="31"/>
  <c r="J22" i="31"/>
  <c r="K22" i="31"/>
  <c r="L22" i="31"/>
  <c r="M22" i="31"/>
  <c r="E22" i="31" s="1"/>
  <c r="G22" i="43" s="1"/>
  <c r="N22" i="31"/>
  <c r="O22" i="31"/>
  <c r="P22" i="31"/>
  <c r="Q22" i="31"/>
  <c r="R22" i="31"/>
  <c r="S22" i="31"/>
  <c r="T22" i="31"/>
  <c r="U22" i="31"/>
  <c r="V22" i="31"/>
  <c r="V24" i="31" s="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AO24" i="31" s="1"/>
  <c r="F23" i="31"/>
  <c r="G23" i="31"/>
  <c r="H23" i="31"/>
  <c r="I23" i="31"/>
  <c r="J23" i="31"/>
  <c r="K23" i="31"/>
  <c r="L23" i="31"/>
  <c r="D23" i="31" s="1"/>
  <c r="F23" i="43" s="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G24" i="31"/>
  <c r="N24" i="31"/>
  <c r="Q24" i="31"/>
  <c r="U24" i="31"/>
  <c r="Y24" i="31"/>
  <c r="AD24" i="31"/>
  <c r="AG24" i="31"/>
  <c r="AL24" i="31"/>
  <c r="D27" i="31"/>
  <c r="F27" i="43" s="1"/>
  <c r="F27" i="31"/>
  <c r="G27" i="31"/>
  <c r="H27" i="31"/>
  <c r="I27" i="31"/>
  <c r="J27" i="31"/>
  <c r="K27" i="31"/>
  <c r="L27" i="31"/>
  <c r="M27" i="31"/>
  <c r="N27" i="31"/>
  <c r="O27" i="31"/>
  <c r="O29" i="31" s="1"/>
  <c r="P27" i="31"/>
  <c r="Q27" i="31"/>
  <c r="R27" i="31"/>
  <c r="S27" i="31"/>
  <c r="S29" i="31" s="1"/>
  <c r="T27" i="31"/>
  <c r="T29" i="31" s="1"/>
  <c r="U27" i="31"/>
  <c r="V27" i="31"/>
  <c r="W27" i="31"/>
  <c r="W29" i="31" s="1"/>
  <c r="X27" i="31"/>
  <c r="X29" i="31" s="1"/>
  <c r="Y27" i="31"/>
  <c r="Z27" i="31"/>
  <c r="AA27" i="31"/>
  <c r="AB27" i="31"/>
  <c r="AC27" i="31"/>
  <c r="AD27" i="31"/>
  <c r="AE27" i="31"/>
  <c r="AE29" i="31" s="1"/>
  <c r="AF27" i="31"/>
  <c r="AF29" i="31" s="1"/>
  <c r="AG27" i="31"/>
  <c r="AH27" i="31"/>
  <c r="AI27" i="31"/>
  <c r="AJ27" i="31"/>
  <c r="AK27" i="31"/>
  <c r="AL27" i="31"/>
  <c r="AM27" i="31"/>
  <c r="AN27" i="31"/>
  <c r="AO27" i="31"/>
  <c r="F28" i="31"/>
  <c r="G28" i="31"/>
  <c r="H28" i="31"/>
  <c r="I28" i="31"/>
  <c r="J28" i="31"/>
  <c r="J29" i="31" s="1"/>
  <c r="K28" i="31"/>
  <c r="L28" i="31"/>
  <c r="M28" i="31"/>
  <c r="E28" i="31" s="1"/>
  <c r="G28" i="43" s="1"/>
  <c r="I28" i="43" s="1"/>
  <c r="N28" i="31"/>
  <c r="O28" i="31"/>
  <c r="P28" i="31"/>
  <c r="Q28" i="31"/>
  <c r="R28" i="31"/>
  <c r="R29" i="31" s="1"/>
  <c r="S28" i="31"/>
  <c r="T28" i="31"/>
  <c r="U28" i="31"/>
  <c r="U29" i="31" s="1"/>
  <c r="V28" i="31"/>
  <c r="W28" i="31"/>
  <c r="X28" i="31"/>
  <c r="Y28" i="31"/>
  <c r="Z28" i="31"/>
  <c r="Z29" i="31" s="1"/>
  <c r="AA28" i="31"/>
  <c r="AB28" i="31"/>
  <c r="AC28" i="31"/>
  <c r="AC29" i="31" s="1"/>
  <c r="AD28" i="31"/>
  <c r="AE28" i="31"/>
  <c r="AF28" i="31"/>
  <c r="AG28" i="31"/>
  <c r="AH28" i="31"/>
  <c r="AH29" i="31" s="1"/>
  <c r="AI28" i="31"/>
  <c r="AJ28" i="31"/>
  <c r="AK28" i="31"/>
  <c r="AK29" i="31" s="1"/>
  <c r="AL28" i="31"/>
  <c r="AM28" i="31"/>
  <c r="AN28" i="31"/>
  <c r="AO28" i="31"/>
  <c r="H29" i="31"/>
  <c r="K29" i="31"/>
  <c r="L29" i="31"/>
  <c r="M29" i="31"/>
  <c r="P29" i="31"/>
  <c r="AA29" i="31"/>
  <c r="AB29" i="31"/>
  <c r="AI29" i="31"/>
  <c r="AJ29" i="31"/>
  <c r="AM29" i="31"/>
  <c r="AN29" i="31"/>
  <c r="F32" i="31"/>
  <c r="G32" i="31"/>
  <c r="H32" i="31"/>
  <c r="I32" i="31"/>
  <c r="E32" i="31" s="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F33" i="31"/>
  <c r="G33" i="31"/>
  <c r="H33" i="31"/>
  <c r="I33" i="31"/>
  <c r="J33" i="31"/>
  <c r="K33" i="31"/>
  <c r="L33" i="31"/>
  <c r="L36" i="31" s="1"/>
  <c r="M33" i="31"/>
  <c r="N33" i="31"/>
  <c r="O33" i="31"/>
  <c r="P33" i="31"/>
  <c r="P36" i="31" s="1"/>
  <c r="Q33" i="31"/>
  <c r="R33" i="31"/>
  <c r="S33" i="31"/>
  <c r="T33" i="31"/>
  <c r="T36" i="31" s="1"/>
  <c r="U33" i="31"/>
  <c r="V33" i="31"/>
  <c r="W33" i="31"/>
  <c r="W36" i="31" s="1"/>
  <c r="X33" i="31"/>
  <c r="X36" i="31" s="1"/>
  <c r="Y33" i="31"/>
  <c r="Z33" i="31"/>
  <c r="AA33" i="31"/>
  <c r="AB33" i="31"/>
  <c r="AB36" i="31" s="1"/>
  <c r="AC33" i="31"/>
  <c r="AD33" i="31"/>
  <c r="AE33" i="31"/>
  <c r="AF33" i="31"/>
  <c r="AF36" i="31" s="1"/>
  <c r="AG33" i="31"/>
  <c r="AH33" i="31"/>
  <c r="AI33" i="31"/>
  <c r="AJ33" i="31"/>
  <c r="AJ36" i="31" s="1"/>
  <c r="AK33" i="31"/>
  <c r="AL33" i="31"/>
  <c r="AM33" i="31"/>
  <c r="AN33" i="31"/>
  <c r="AN36" i="31" s="1"/>
  <c r="AO33" i="31"/>
  <c r="F34" i="31"/>
  <c r="G34" i="31"/>
  <c r="H34" i="31"/>
  <c r="I34" i="31"/>
  <c r="J34" i="31"/>
  <c r="J36" i="31" s="1"/>
  <c r="K34" i="31"/>
  <c r="L34" i="31"/>
  <c r="M34" i="31"/>
  <c r="N34" i="31"/>
  <c r="O34" i="31"/>
  <c r="P34" i="31"/>
  <c r="Q34" i="31"/>
  <c r="R34" i="31"/>
  <c r="S34" i="31"/>
  <c r="T34" i="31"/>
  <c r="U34" i="31"/>
  <c r="V34" i="31"/>
  <c r="V36" i="31" s="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F35" i="31"/>
  <c r="G35" i="31"/>
  <c r="H35" i="31"/>
  <c r="I35" i="31"/>
  <c r="J35" i="31"/>
  <c r="K35" i="31"/>
  <c r="L35" i="31"/>
  <c r="M35" i="31"/>
  <c r="E35" i="31" s="1"/>
  <c r="G35" i="43" s="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C36" i="31" s="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G36" i="31"/>
  <c r="I36" i="31"/>
  <c r="N36" i="31"/>
  <c r="O36" i="31"/>
  <c r="R36" i="31"/>
  <c r="Z36" i="31"/>
  <c r="AE36" i="31"/>
  <c r="AH36" i="31"/>
  <c r="AM36" i="31"/>
  <c r="AO36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T43" i="31" s="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F40" i="31"/>
  <c r="G40" i="31"/>
  <c r="H40" i="31"/>
  <c r="I40" i="31"/>
  <c r="J40" i="31"/>
  <c r="J42" i="31" s="1"/>
  <c r="J43" i="31" s="1"/>
  <c r="K40" i="31"/>
  <c r="L40" i="31"/>
  <c r="M40" i="31"/>
  <c r="N40" i="31"/>
  <c r="N42" i="31" s="1"/>
  <c r="N43" i="31" s="1"/>
  <c r="O40" i="31"/>
  <c r="P40" i="31"/>
  <c r="Q40" i="31"/>
  <c r="Q42" i="31" s="1"/>
  <c r="Q43" i="31" s="1"/>
  <c r="R40" i="31"/>
  <c r="S40" i="31"/>
  <c r="T40" i="31"/>
  <c r="U40" i="31"/>
  <c r="V40" i="31"/>
  <c r="W40" i="31"/>
  <c r="X40" i="31"/>
  <c r="Y40" i="31"/>
  <c r="Y42" i="31" s="1"/>
  <c r="Y43" i="31" s="1"/>
  <c r="Z40" i="31"/>
  <c r="AA40" i="31"/>
  <c r="AB40" i="31"/>
  <c r="AC40" i="31"/>
  <c r="AD40" i="31"/>
  <c r="AD42" i="31" s="1"/>
  <c r="AD43" i="31" s="1"/>
  <c r="AE40" i="31"/>
  <c r="AF40" i="31"/>
  <c r="AG40" i="31"/>
  <c r="AG42" i="31" s="1"/>
  <c r="AG43" i="31" s="1"/>
  <c r="AH40" i="31"/>
  <c r="AI40" i="31"/>
  <c r="AJ40" i="31"/>
  <c r="AK40" i="31"/>
  <c r="AL40" i="31"/>
  <c r="AL42" i="31" s="1"/>
  <c r="AL43" i="31" s="1"/>
  <c r="AM40" i="31"/>
  <c r="AN40" i="31"/>
  <c r="AO40" i="31"/>
  <c r="F41" i="31"/>
  <c r="G41" i="31"/>
  <c r="H41" i="31"/>
  <c r="I41" i="31"/>
  <c r="J41" i="31"/>
  <c r="K41" i="31"/>
  <c r="L41" i="31"/>
  <c r="L42" i="31" s="1"/>
  <c r="L43" i="31" s="1"/>
  <c r="M41" i="31"/>
  <c r="M42" i="31" s="1"/>
  <c r="M43" i="31" s="1"/>
  <c r="N41" i="31"/>
  <c r="O41" i="31"/>
  <c r="P41" i="31"/>
  <c r="Q41" i="31"/>
  <c r="R41" i="31"/>
  <c r="S41" i="31"/>
  <c r="T41" i="31"/>
  <c r="T42" i="31" s="1"/>
  <c r="U41" i="31"/>
  <c r="U42" i="31" s="1"/>
  <c r="U43" i="31" s="1"/>
  <c r="V41" i="31"/>
  <c r="W41" i="31"/>
  <c r="X41" i="31"/>
  <c r="Y41" i="31"/>
  <c r="Z41" i="31"/>
  <c r="AA41" i="31"/>
  <c r="AB41" i="31"/>
  <c r="AB42" i="31" s="1"/>
  <c r="AC41" i="31"/>
  <c r="AD41" i="31"/>
  <c r="AE41" i="31"/>
  <c r="AF41" i="31"/>
  <c r="AG41" i="31"/>
  <c r="AH41" i="31"/>
  <c r="AI41" i="31"/>
  <c r="AJ41" i="31"/>
  <c r="AJ42" i="31" s="1"/>
  <c r="AJ43" i="31" s="1"/>
  <c r="AK41" i="31"/>
  <c r="AK42" i="31" s="1"/>
  <c r="AK43" i="31" s="1"/>
  <c r="AL41" i="31"/>
  <c r="AM41" i="31"/>
  <c r="AN41" i="31"/>
  <c r="AO41" i="31"/>
  <c r="F42" i="31"/>
  <c r="F43" i="31" s="1"/>
  <c r="G42" i="31"/>
  <c r="O42" i="31"/>
  <c r="R42" i="31"/>
  <c r="R43" i="31" s="1"/>
  <c r="V42" i="31"/>
  <c r="V43" i="31" s="1"/>
  <c r="W42" i="31"/>
  <c r="Z42" i="31"/>
  <c r="Z43" i="31" s="1"/>
  <c r="AC42" i="31"/>
  <c r="AC43" i="31" s="1"/>
  <c r="AE42" i="31"/>
  <c r="AE43" i="31" s="1"/>
  <c r="AH42" i="31"/>
  <c r="AH43" i="31" s="1"/>
  <c r="AM42" i="31"/>
  <c r="AM43" i="31" s="1"/>
  <c r="AO42" i="31"/>
  <c r="AO43" i="31" s="1"/>
  <c r="G43" i="31"/>
  <c r="O43" i="31"/>
  <c r="W43" i="31"/>
  <c r="AB43" i="31"/>
  <c r="F45" i="31"/>
  <c r="G45" i="31"/>
  <c r="H45" i="31"/>
  <c r="I45" i="31"/>
  <c r="E45" i="31" s="1"/>
  <c r="G45" i="43" s="1"/>
  <c r="I45" i="43" s="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F47" i="31"/>
  <c r="G47" i="31"/>
  <c r="H47" i="31"/>
  <c r="I47" i="31"/>
  <c r="J47" i="31"/>
  <c r="K47" i="31"/>
  <c r="L47" i="31"/>
  <c r="M47" i="31"/>
  <c r="E47" i="31" s="1"/>
  <c r="G47" i="43" s="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F49" i="31"/>
  <c r="G49" i="31"/>
  <c r="H49" i="31"/>
  <c r="I49" i="31"/>
  <c r="E49" i="31" s="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F54" i="31"/>
  <c r="G54" i="31"/>
  <c r="H54" i="31"/>
  <c r="I54" i="31"/>
  <c r="J54" i="31"/>
  <c r="J56" i="31" s="1"/>
  <c r="K54" i="31"/>
  <c r="K56" i="31" s="1"/>
  <c r="L54" i="31"/>
  <c r="M54" i="31"/>
  <c r="N54" i="31"/>
  <c r="O54" i="31"/>
  <c r="P54" i="31"/>
  <c r="Q54" i="31"/>
  <c r="Q56" i="31" s="1"/>
  <c r="R54" i="31"/>
  <c r="S54" i="31"/>
  <c r="S56" i="31" s="1"/>
  <c r="T54" i="31"/>
  <c r="U54" i="31"/>
  <c r="V54" i="31"/>
  <c r="W54" i="31"/>
  <c r="X54" i="31"/>
  <c r="Y54" i="31"/>
  <c r="Y56" i="31" s="1"/>
  <c r="Z54" i="31"/>
  <c r="AA54" i="31"/>
  <c r="AA56" i="31" s="1"/>
  <c r="AB54" i="31"/>
  <c r="AC54" i="31"/>
  <c r="AD54" i="31"/>
  <c r="AD56" i="31" s="1"/>
  <c r="AE54" i="31"/>
  <c r="AF54" i="31"/>
  <c r="AG54" i="31"/>
  <c r="AG56" i="31" s="1"/>
  <c r="AH54" i="31"/>
  <c r="AI54" i="31"/>
  <c r="AI56" i="31" s="1"/>
  <c r="AJ54" i="31"/>
  <c r="AK54" i="31"/>
  <c r="AL54" i="31"/>
  <c r="AL56" i="31" s="1"/>
  <c r="AM54" i="31"/>
  <c r="AN54" i="31"/>
  <c r="AO54" i="31"/>
  <c r="F55" i="31"/>
  <c r="G55" i="31"/>
  <c r="H55" i="31"/>
  <c r="I55" i="31"/>
  <c r="J55" i="31"/>
  <c r="K55" i="31"/>
  <c r="L55" i="31"/>
  <c r="L56" i="31" s="1"/>
  <c r="M55" i="31"/>
  <c r="M56" i="31" s="1"/>
  <c r="N55" i="31"/>
  <c r="O55" i="31"/>
  <c r="P55" i="31"/>
  <c r="Q55" i="31"/>
  <c r="R55" i="31"/>
  <c r="S55" i="31"/>
  <c r="T55" i="31"/>
  <c r="T56" i="31" s="1"/>
  <c r="U55" i="31"/>
  <c r="U56" i="31" s="1"/>
  <c r="V55" i="31"/>
  <c r="W55" i="31"/>
  <c r="X55" i="31"/>
  <c r="Y55" i="31"/>
  <c r="Z55" i="31"/>
  <c r="AA55" i="31"/>
  <c r="AB55" i="31"/>
  <c r="AB56" i="31" s="1"/>
  <c r="AC55" i="31"/>
  <c r="AC56" i="31" s="1"/>
  <c r="AD55" i="31"/>
  <c r="AE55" i="31"/>
  <c r="AF55" i="31"/>
  <c r="AG55" i="31"/>
  <c r="AH55" i="31"/>
  <c r="AI55" i="31"/>
  <c r="AJ55" i="31"/>
  <c r="AJ56" i="31" s="1"/>
  <c r="AK55" i="31"/>
  <c r="AK56" i="31" s="1"/>
  <c r="AL55" i="31"/>
  <c r="AM55" i="31"/>
  <c r="AN55" i="31"/>
  <c r="AO55" i="31"/>
  <c r="F56" i="31"/>
  <c r="G56" i="31"/>
  <c r="I56" i="31"/>
  <c r="N56" i="31"/>
  <c r="O56" i="31"/>
  <c r="R56" i="31"/>
  <c r="V56" i="31"/>
  <c r="W56" i="31"/>
  <c r="Z56" i="31"/>
  <c r="AE56" i="31"/>
  <c r="AH56" i="31"/>
  <c r="AM56" i="31"/>
  <c r="AO56" i="31"/>
  <c r="F59" i="31"/>
  <c r="G59" i="31"/>
  <c r="G61" i="31" s="1"/>
  <c r="H59" i="31"/>
  <c r="I59" i="31"/>
  <c r="J59" i="31"/>
  <c r="K59" i="31"/>
  <c r="K61" i="31" s="1"/>
  <c r="L59" i="31"/>
  <c r="L61" i="31" s="1"/>
  <c r="M59" i="31"/>
  <c r="N59" i="31"/>
  <c r="O59" i="31"/>
  <c r="P59" i="31"/>
  <c r="P61" i="31" s="1"/>
  <c r="Q59" i="31"/>
  <c r="R59" i="31"/>
  <c r="S59" i="31"/>
  <c r="T59" i="31"/>
  <c r="T61" i="31" s="1"/>
  <c r="U59" i="31"/>
  <c r="V59" i="31"/>
  <c r="W59" i="31"/>
  <c r="X59" i="31"/>
  <c r="X61" i="31" s="1"/>
  <c r="Y59" i="31"/>
  <c r="Z59" i="31"/>
  <c r="AA59" i="31"/>
  <c r="AA61" i="31" s="1"/>
  <c r="AB59" i="31"/>
  <c r="AB61" i="31" s="1"/>
  <c r="AC59" i="31"/>
  <c r="AD59" i="31"/>
  <c r="AE59" i="31"/>
  <c r="AF59" i="31"/>
  <c r="AF61" i="31" s="1"/>
  <c r="AG59" i="31"/>
  <c r="AH59" i="31"/>
  <c r="AI59" i="31"/>
  <c r="AI61" i="31" s="1"/>
  <c r="AJ59" i="31"/>
  <c r="AJ61" i="31" s="1"/>
  <c r="AK59" i="31"/>
  <c r="AL59" i="31"/>
  <c r="AM59" i="31"/>
  <c r="AM61" i="31" s="1"/>
  <c r="AN59" i="31"/>
  <c r="AN61" i="31" s="1"/>
  <c r="AO59" i="31"/>
  <c r="F60" i="31"/>
  <c r="G60" i="31"/>
  <c r="H60" i="31"/>
  <c r="I60" i="31"/>
  <c r="J60" i="31"/>
  <c r="J61" i="31" s="1"/>
  <c r="K60" i="31"/>
  <c r="L60" i="31"/>
  <c r="M60" i="31"/>
  <c r="N60" i="31"/>
  <c r="O60" i="31"/>
  <c r="P60" i="31"/>
  <c r="Q60" i="31"/>
  <c r="R60" i="31"/>
  <c r="R61" i="31" s="1"/>
  <c r="S60" i="31"/>
  <c r="T60" i="31"/>
  <c r="U60" i="31"/>
  <c r="V60" i="31"/>
  <c r="W60" i="31"/>
  <c r="X60" i="31"/>
  <c r="Y60" i="31"/>
  <c r="Z60" i="31"/>
  <c r="Z61" i="31" s="1"/>
  <c r="AA60" i="31"/>
  <c r="AB60" i="31"/>
  <c r="AC60" i="31"/>
  <c r="AD60" i="31"/>
  <c r="AE60" i="31"/>
  <c r="AF60" i="31"/>
  <c r="AG60" i="31"/>
  <c r="AH60" i="31"/>
  <c r="AH61" i="31" s="1"/>
  <c r="AI60" i="31"/>
  <c r="AJ60" i="31"/>
  <c r="AK60" i="31"/>
  <c r="AL60" i="31"/>
  <c r="AM60" i="31"/>
  <c r="AN60" i="31"/>
  <c r="AO60" i="31"/>
  <c r="M61" i="31"/>
  <c r="O61" i="31"/>
  <c r="S61" i="31"/>
  <c r="U61" i="31"/>
  <c r="W61" i="31"/>
  <c r="AC61" i="31"/>
  <c r="AE61" i="31"/>
  <c r="AK61" i="31"/>
  <c r="F64" i="31"/>
  <c r="G64" i="31"/>
  <c r="H64" i="31"/>
  <c r="I64" i="31"/>
  <c r="J64" i="31"/>
  <c r="J66" i="31" s="1"/>
  <c r="K64" i="31"/>
  <c r="L64" i="31"/>
  <c r="M64" i="31"/>
  <c r="N64" i="31"/>
  <c r="N66" i="31" s="1"/>
  <c r="O64" i="31"/>
  <c r="P64" i="31"/>
  <c r="Q64" i="31"/>
  <c r="R64" i="31"/>
  <c r="R66" i="31" s="1"/>
  <c r="S64" i="31"/>
  <c r="T64" i="31"/>
  <c r="U64" i="31"/>
  <c r="U66" i="31" s="1"/>
  <c r="V64" i="31"/>
  <c r="V66" i="31" s="1"/>
  <c r="W64" i="31"/>
  <c r="X64" i="31"/>
  <c r="Y64" i="31"/>
  <c r="Z64" i="31"/>
  <c r="Z66" i="31" s="1"/>
  <c r="AA64" i="31"/>
  <c r="AB64" i="31"/>
  <c r="AC64" i="31"/>
  <c r="AD64" i="31"/>
  <c r="AD66" i="31" s="1"/>
  <c r="AE64" i="31"/>
  <c r="AF64" i="31"/>
  <c r="AG64" i="31"/>
  <c r="AH64" i="31"/>
  <c r="AH66" i="31" s="1"/>
  <c r="AI64" i="31"/>
  <c r="AJ64" i="31"/>
  <c r="AK64" i="31"/>
  <c r="AK66" i="31" s="1"/>
  <c r="AL64" i="31"/>
  <c r="AL66" i="31" s="1"/>
  <c r="AM64" i="31"/>
  <c r="AN64" i="31"/>
  <c r="AO64" i="31"/>
  <c r="F65" i="31"/>
  <c r="G65" i="31"/>
  <c r="G66" i="31" s="1"/>
  <c r="H65" i="31"/>
  <c r="H66" i="31" s="1"/>
  <c r="I65" i="31"/>
  <c r="J65" i="31"/>
  <c r="K65" i="31"/>
  <c r="L65" i="31"/>
  <c r="M65" i="31"/>
  <c r="M66" i="31" s="1"/>
  <c r="N65" i="31"/>
  <c r="O65" i="31"/>
  <c r="O66" i="31" s="1"/>
  <c r="P65" i="31"/>
  <c r="P66" i="31" s="1"/>
  <c r="Q65" i="31"/>
  <c r="R65" i="31"/>
  <c r="S65" i="31"/>
  <c r="T65" i="31"/>
  <c r="U65" i="31"/>
  <c r="V65" i="31"/>
  <c r="W65" i="31"/>
  <c r="W66" i="31" s="1"/>
  <c r="X65" i="31"/>
  <c r="X66" i="31" s="1"/>
  <c r="Y65" i="31"/>
  <c r="Y66" i="31" s="1"/>
  <c r="Z65" i="31"/>
  <c r="AA65" i="31"/>
  <c r="AB65" i="31"/>
  <c r="AC65" i="31"/>
  <c r="AC66" i="31" s="1"/>
  <c r="AD65" i="31"/>
  <c r="AE65" i="31"/>
  <c r="AF65" i="31"/>
  <c r="AF66" i="31" s="1"/>
  <c r="AG65" i="31"/>
  <c r="AH65" i="31"/>
  <c r="AI65" i="31"/>
  <c r="AJ65" i="31"/>
  <c r="AK65" i="31"/>
  <c r="AL65" i="31"/>
  <c r="AM65" i="31"/>
  <c r="AN65" i="31"/>
  <c r="AN66" i="31" s="1"/>
  <c r="AO65" i="31"/>
  <c r="K66" i="31"/>
  <c r="S66" i="31"/>
  <c r="AA66" i="31"/>
  <c r="AI66" i="31"/>
  <c r="AM66" i="31"/>
  <c r="AO66" i="31"/>
  <c r="F70" i="31"/>
  <c r="G70" i="31"/>
  <c r="G72" i="31" s="1"/>
  <c r="H70" i="31"/>
  <c r="D70" i="31" s="1"/>
  <c r="I70" i="31"/>
  <c r="J70" i="31"/>
  <c r="J72" i="31" s="1"/>
  <c r="K70" i="31"/>
  <c r="K72" i="31" s="1"/>
  <c r="L70" i="31"/>
  <c r="M70" i="31"/>
  <c r="M72" i="31" s="1"/>
  <c r="N70" i="31"/>
  <c r="O70" i="31"/>
  <c r="P70" i="31"/>
  <c r="Q70" i="31"/>
  <c r="R70" i="31"/>
  <c r="R72" i="31" s="1"/>
  <c r="S70" i="31"/>
  <c r="T70" i="31"/>
  <c r="U70" i="31"/>
  <c r="U72" i="31" s="1"/>
  <c r="V70" i="31"/>
  <c r="W70" i="31"/>
  <c r="X70" i="31"/>
  <c r="Y70" i="31"/>
  <c r="Z70" i="31"/>
  <c r="Z72" i="31" s="1"/>
  <c r="AA70" i="31"/>
  <c r="AA72" i="31" s="1"/>
  <c r="AB70" i="31"/>
  <c r="AB72" i="31" s="1"/>
  <c r="AC70" i="31"/>
  <c r="AC72" i="31" s="1"/>
  <c r="AD70" i="31"/>
  <c r="AE70" i="31"/>
  <c r="AF70" i="31"/>
  <c r="AF72" i="31" s="1"/>
  <c r="AG70" i="31"/>
  <c r="AH70" i="31"/>
  <c r="AH72" i="31" s="1"/>
  <c r="AI70" i="31"/>
  <c r="AI72" i="31" s="1"/>
  <c r="AJ70" i="31"/>
  <c r="AK70" i="31"/>
  <c r="AK72" i="31" s="1"/>
  <c r="AL70" i="31"/>
  <c r="AM70" i="31"/>
  <c r="AM72" i="31" s="1"/>
  <c r="AN70" i="31"/>
  <c r="AO70" i="31"/>
  <c r="F71" i="31"/>
  <c r="G71" i="31"/>
  <c r="H71" i="31"/>
  <c r="I71" i="31"/>
  <c r="J71" i="31"/>
  <c r="K71" i="31"/>
  <c r="L71" i="31"/>
  <c r="M71" i="31"/>
  <c r="E71" i="31" s="1"/>
  <c r="G71" i="43" s="1"/>
  <c r="I71" i="43" s="1"/>
  <c r="N71" i="31"/>
  <c r="N72" i="31" s="1"/>
  <c r="O71" i="31"/>
  <c r="P71" i="31"/>
  <c r="Q71" i="31"/>
  <c r="Q72" i="31" s="1"/>
  <c r="R71" i="31"/>
  <c r="S71" i="31"/>
  <c r="T71" i="31"/>
  <c r="U71" i="31"/>
  <c r="V71" i="31"/>
  <c r="V72" i="31" s="1"/>
  <c r="W71" i="31"/>
  <c r="X71" i="31"/>
  <c r="Y71" i="31"/>
  <c r="Z71" i="31"/>
  <c r="AA71" i="31"/>
  <c r="AB71" i="31"/>
  <c r="AC71" i="31"/>
  <c r="AD71" i="31"/>
  <c r="AD72" i="31" s="1"/>
  <c r="AE71" i="31"/>
  <c r="AF71" i="31"/>
  <c r="AG71" i="31"/>
  <c r="AH71" i="31"/>
  <c r="AI71" i="31"/>
  <c r="AJ71" i="31"/>
  <c r="AK71" i="31"/>
  <c r="AL71" i="31"/>
  <c r="AL72" i="31" s="1"/>
  <c r="AM71" i="31"/>
  <c r="AN71" i="31"/>
  <c r="AO71" i="31"/>
  <c r="H72" i="31"/>
  <c r="I72" i="31"/>
  <c r="L72" i="31"/>
  <c r="O72" i="31"/>
  <c r="P72" i="31"/>
  <c r="S72" i="31"/>
  <c r="T72" i="31"/>
  <c r="W72" i="31"/>
  <c r="X72" i="31"/>
  <c r="Y72" i="31"/>
  <c r="AE72" i="31"/>
  <c r="AG72" i="31"/>
  <c r="AJ72" i="31"/>
  <c r="AN72" i="31"/>
  <c r="AO72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F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F75" i="31"/>
  <c r="G75" i="31"/>
  <c r="H75" i="31"/>
  <c r="I75" i="31"/>
  <c r="J75" i="31"/>
  <c r="K75" i="31"/>
  <c r="L75" i="31"/>
  <c r="M75" i="31"/>
  <c r="E75" i="31" s="1"/>
  <c r="G75" i="43" s="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F76" i="31"/>
  <c r="G76" i="31"/>
  <c r="H76" i="31"/>
  <c r="D76" i="31" s="1"/>
  <c r="F76" i="43" s="1"/>
  <c r="I76" i="31"/>
  <c r="J76" i="31"/>
  <c r="K76" i="31"/>
  <c r="L76" i="31"/>
  <c r="M76" i="31"/>
  <c r="E76" i="31" s="1"/>
  <c r="G76" i="43" s="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F77" i="31"/>
  <c r="G77" i="31"/>
  <c r="H77" i="31"/>
  <c r="I77" i="31"/>
  <c r="J77" i="31"/>
  <c r="K77" i="31"/>
  <c r="L77" i="31"/>
  <c r="M77" i="31"/>
  <c r="E77" i="31" s="1"/>
  <c r="G77" i="43" s="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F78" i="31"/>
  <c r="G78" i="31"/>
  <c r="H78" i="31"/>
  <c r="D78" i="31" s="1"/>
  <c r="F78" i="43" s="1"/>
  <c r="H78" i="43" s="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F79" i="31"/>
  <c r="G79" i="31"/>
  <c r="H79" i="31"/>
  <c r="I79" i="31"/>
  <c r="J79" i="31"/>
  <c r="K79" i="31"/>
  <c r="L79" i="31"/>
  <c r="M79" i="31"/>
  <c r="E79" i="31" s="1"/>
  <c r="G79" i="43" s="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F80" i="31"/>
  <c r="G80" i="31"/>
  <c r="H80" i="31"/>
  <c r="I80" i="31"/>
  <c r="J80" i="31"/>
  <c r="K80" i="31"/>
  <c r="L80" i="31"/>
  <c r="D80" i="31" s="1"/>
  <c r="F80" i="43" s="1"/>
  <c r="H80" i="43" s="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AB82" i="31"/>
  <c r="Z651" i="44" s="1"/>
  <c r="E86" i="31"/>
  <c r="F86" i="31"/>
  <c r="G86" i="31"/>
  <c r="E87" i="31"/>
  <c r="F87" i="31"/>
  <c r="D87" i="31" s="1"/>
  <c r="F87" i="43" s="1"/>
  <c r="G87" i="31"/>
  <c r="F88" i="31"/>
  <c r="D88" i="31" s="1"/>
  <c r="G88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B91" i="31"/>
  <c r="A5" i="43"/>
  <c r="E11" i="43"/>
  <c r="D12" i="43"/>
  <c r="D13" i="43"/>
  <c r="E13" i="43"/>
  <c r="D14" i="43"/>
  <c r="F14" i="43"/>
  <c r="H14" i="43" s="1"/>
  <c r="E19" i="43"/>
  <c r="D20" i="43"/>
  <c r="D21" i="43"/>
  <c r="E21" i="43"/>
  <c r="D22" i="43"/>
  <c r="D27" i="43"/>
  <c r="H27" i="43"/>
  <c r="E33" i="43"/>
  <c r="D34" i="43"/>
  <c r="D35" i="43"/>
  <c r="D40" i="43"/>
  <c r="E45" i="43"/>
  <c r="D47" i="43"/>
  <c r="D49" i="43"/>
  <c r="G49" i="43"/>
  <c r="I49" i="43" s="1"/>
  <c r="D54" i="43"/>
  <c r="E54" i="43"/>
  <c r="D59" i="43"/>
  <c r="D61" i="43" s="1"/>
  <c r="E59" i="43"/>
  <c r="D60" i="43"/>
  <c r="D65" i="43"/>
  <c r="D71" i="43"/>
  <c r="D73" i="43"/>
  <c r="E74" i="43"/>
  <c r="E76" i="43"/>
  <c r="H76" i="43"/>
  <c r="D78" i="43"/>
  <c r="E78" i="43"/>
  <c r="E80" i="43"/>
  <c r="D86" i="43"/>
  <c r="G86" i="43"/>
  <c r="E87" i="43"/>
  <c r="D88" i="43"/>
  <c r="F88" i="43"/>
  <c r="A5" i="6"/>
  <c r="D11" i="6"/>
  <c r="I11" i="6"/>
  <c r="AG11" i="6"/>
  <c r="D12" i="6"/>
  <c r="D16" i="6" s="1"/>
  <c r="W12" i="6"/>
  <c r="E12" i="6" s="1"/>
  <c r="D13" i="6"/>
  <c r="E13" i="6"/>
  <c r="D14" i="6"/>
  <c r="E14" i="6"/>
  <c r="D15" i="6"/>
  <c r="I15" i="6"/>
  <c r="W15" i="6"/>
  <c r="W16" i="6" s="1"/>
  <c r="W82" i="6" s="1"/>
  <c r="AG15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S82" i="6" s="1"/>
  <c r="T16" i="6"/>
  <c r="U16" i="6"/>
  <c r="V16" i="6"/>
  <c r="X16" i="6"/>
  <c r="Y16" i="6"/>
  <c r="Z16" i="6"/>
  <c r="AA16" i="6"/>
  <c r="AB16" i="6"/>
  <c r="AC16" i="6"/>
  <c r="AD16" i="6"/>
  <c r="AE16" i="6"/>
  <c r="AF16" i="6"/>
  <c r="D19" i="6"/>
  <c r="D24" i="6" s="1"/>
  <c r="E19" i="6"/>
  <c r="E24" i="6" s="1"/>
  <c r="I19" i="6"/>
  <c r="I24" i="6" s="1"/>
  <c r="D20" i="6"/>
  <c r="E20" i="6"/>
  <c r="D21" i="6"/>
  <c r="E21" i="6"/>
  <c r="D22" i="6"/>
  <c r="E22" i="6"/>
  <c r="D23" i="6"/>
  <c r="E23" i="6"/>
  <c r="F24" i="6"/>
  <c r="G24" i="6"/>
  <c r="H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D27" i="6"/>
  <c r="D29" i="6" s="1"/>
  <c r="E27" i="6"/>
  <c r="E29" i="6" s="1"/>
  <c r="D28" i="6"/>
  <c r="E28" i="6"/>
  <c r="F29" i="6"/>
  <c r="G29" i="6"/>
  <c r="H29" i="6"/>
  <c r="H82" i="6" s="1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X82" i="6" s="1"/>
  <c r="Y29" i="6"/>
  <c r="Z29" i="6"/>
  <c r="AA29" i="6"/>
  <c r="AB29" i="6"/>
  <c r="AC29" i="6"/>
  <c r="AD29" i="6"/>
  <c r="AE29" i="6"/>
  <c r="AF29" i="6"/>
  <c r="AF82" i="6" s="1"/>
  <c r="AG29" i="6"/>
  <c r="D32" i="6"/>
  <c r="E32" i="6"/>
  <c r="D33" i="6"/>
  <c r="E33" i="6"/>
  <c r="D34" i="6"/>
  <c r="E34" i="6"/>
  <c r="D35" i="6"/>
  <c r="E35" i="6"/>
  <c r="I35" i="6"/>
  <c r="I36" i="6" s="1"/>
  <c r="E36" i="6"/>
  <c r="F36" i="6"/>
  <c r="G36" i="6"/>
  <c r="H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D39" i="6"/>
  <c r="E39" i="6"/>
  <c r="W39" i="6"/>
  <c r="D40" i="6"/>
  <c r="D42" i="6" s="1"/>
  <c r="AG40" i="6"/>
  <c r="D41" i="6"/>
  <c r="E41" i="6"/>
  <c r="F42" i="6"/>
  <c r="G42" i="6"/>
  <c r="G43" i="6" s="1"/>
  <c r="H42" i="6"/>
  <c r="H43" i="6" s="1"/>
  <c r="I42" i="6"/>
  <c r="I43" i="6" s="1"/>
  <c r="J42" i="6"/>
  <c r="K42" i="6"/>
  <c r="L42" i="6"/>
  <c r="M42" i="6"/>
  <c r="M43" i="6" s="1"/>
  <c r="N42" i="6"/>
  <c r="O42" i="6"/>
  <c r="P42" i="6"/>
  <c r="P43" i="6" s="1"/>
  <c r="Q42" i="6"/>
  <c r="Q43" i="6" s="1"/>
  <c r="R42" i="6"/>
  <c r="R43" i="6" s="1"/>
  <c r="S42" i="6"/>
  <c r="T42" i="6"/>
  <c r="T43" i="6" s="1"/>
  <c r="U42" i="6"/>
  <c r="U43" i="6" s="1"/>
  <c r="V42" i="6"/>
  <c r="W42" i="6"/>
  <c r="W43" i="6" s="1"/>
  <c r="X42" i="6"/>
  <c r="X43" i="6" s="1"/>
  <c r="Y42" i="6"/>
  <c r="Z42" i="6"/>
  <c r="AA42" i="6"/>
  <c r="AB42" i="6"/>
  <c r="AC42" i="6"/>
  <c r="AC43" i="6" s="1"/>
  <c r="AD42" i="6"/>
  <c r="AE42" i="6"/>
  <c r="AE43" i="6" s="1"/>
  <c r="AF42" i="6"/>
  <c r="AF43" i="6" s="1"/>
  <c r="F43" i="6"/>
  <c r="J43" i="6"/>
  <c r="K43" i="6"/>
  <c r="L43" i="6"/>
  <c r="N43" i="6"/>
  <c r="O43" i="6"/>
  <c r="S43" i="6"/>
  <c r="V43" i="6"/>
  <c r="Y43" i="6"/>
  <c r="Z43" i="6"/>
  <c r="AA43" i="6"/>
  <c r="AB43" i="6"/>
  <c r="AD43" i="6"/>
  <c r="AD82" i="6" s="1"/>
  <c r="D45" i="6"/>
  <c r="E45" i="6"/>
  <c r="D47" i="6"/>
  <c r="E47" i="6"/>
  <c r="D49" i="6"/>
  <c r="E49" i="6"/>
  <c r="D51" i="6"/>
  <c r="E51" i="6"/>
  <c r="D54" i="6"/>
  <c r="I54" i="6"/>
  <c r="AG54" i="6"/>
  <c r="D55" i="6"/>
  <c r="E55" i="6"/>
  <c r="I55" i="6"/>
  <c r="AG55" i="6"/>
  <c r="G55" i="29" s="1"/>
  <c r="E55" i="29" s="1"/>
  <c r="G55" i="41" s="1"/>
  <c r="I55" i="41" s="1"/>
  <c r="D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D59" i="6"/>
  <c r="E59" i="6"/>
  <c r="D60" i="6"/>
  <c r="D61" i="6" s="1"/>
  <c r="E60" i="6"/>
  <c r="E61" i="6" s="1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D64" i="6"/>
  <c r="D66" i="6" s="1"/>
  <c r="E64" i="6"/>
  <c r="D65" i="6"/>
  <c r="E65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U82" i="6" s="1"/>
  <c r="V66" i="6"/>
  <c r="W66" i="6"/>
  <c r="X66" i="6"/>
  <c r="Y66" i="6"/>
  <c r="Z66" i="6"/>
  <c r="AA66" i="6"/>
  <c r="AB66" i="6"/>
  <c r="AC66" i="6"/>
  <c r="AD66" i="6"/>
  <c r="AE66" i="6"/>
  <c r="AF66" i="6"/>
  <c r="AG66" i="6"/>
  <c r="D70" i="6"/>
  <c r="E70" i="6"/>
  <c r="D71" i="6"/>
  <c r="E71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D73" i="6"/>
  <c r="E73" i="6"/>
  <c r="D74" i="6"/>
  <c r="G74" i="6"/>
  <c r="G74" i="20" s="1"/>
  <c r="E74" i="20" s="1"/>
  <c r="G74" i="32" s="1"/>
  <c r="I74" i="6"/>
  <c r="W74" i="6"/>
  <c r="Y74" i="6"/>
  <c r="AA74" i="6"/>
  <c r="AC74" i="6"/>
  <c r="G74" i="48" s="1"/>
  <c r="E74" i="48" s="1"/>
  <c r="G74" i="50" s="1"/>
  <c r="I74" i="50" s="1"/>
  <c r="D75" i="6"/>
  <c r="E75" i="6"/>
  <c r="D76" i="6"/>
  <c r="E76" i="6"/>
  <c r="D77" i="6"/>
  <c r="W77" i="6"/>
  <c r="E77" i="6" s="1"/>
  <c r="D78" i="6"/>
  <c r="E78" i="6"/>
  <c r="D79" i="6"/>
  <c r="E79" i="6"/>
  <c r="D80" i="6"/>
  <c r="E80" i="6"/>
  <c r="D81" i="6"/>
  <c r="E81" i="6"/>
  <c r="I81" i="6"/>
  <c r="K82" i="6"/>
  <c r="N82" i="6"/>
  <c r="V82" i="6"/>
  <c r="A5" i="54"/>
  <c r="D11" i="54"/>
  <c r="F11" i="54"/>
  <c r="G11" i="54"/>
  <c r="H11" i="54"/>
  <c r="I11" i="54"/>
  <c r="J11" i="54"/>
  <c r="J16" i="54" s="1"/>
  <c r="K11" i="54"/>
  <c r="L11" i="54"/>
  <c r="M11" i="54"/>
  <c r="N11" i="54"/>
  <c r="O11" i="54"/>
  <c r="P11" i="54"/>
  <c r="Q11" i="54"/>
  <c r="R11" i="54"/>
  <c r="R16" i="54" s="1"/>
  <c r="S11" i="54"/>
  <c r="T11" i="54"/>
  <c r="U11" i="54"/>
  <c r="V11" i="54"/>
  <c r="W11" i="54"/>
  <c r="X11" i="54"/>
  <c r="Y11" i="54"/>
  <c r="Z11" i="54"/>
  <c r="Z16" i="54" s="1"/>
  <c r="AA11" i="54"/>
  <c r="AB11" i="54"/>
  <c r="AC11" i="54"/>
  <c r="AD11" i="54"/>
  <c r="AE11" i="54"/>
  <c r="AF11" i="54"/>
  <c r="AG11" i="54"/>
  <c r="AH11" i="54"/>
  <c r="AH16" i="54" s="1"/>
  <c r="AI11" i="54"/>
  <c r="AJ11" i="54"/>
  <c r="AK11" i="54"/>
  <c r="AL11" i="54"/>
  <c r="AM11" i="54"/>
  <c r="AN11" i="54"/>
  <c r="AO11" i="54"/>
  <c r="F12" i="54"/>
  <c r="G12" i="54"/>
  <c r="H12" i="54"/>
  <c r="I12" i="54"/>
  <c r="J12" i="54"/>
  <c r="L12" i="54"/>
  <c r="M12" i="54"/>
  <c r="N12" i="54"/>
  <c r="O12" i="54"/>
  <c r="P12" i="54"/>
  <c r="Q12" i="54"/>
  <c r="Q16" i="54" s="1"/>
  <c r="R12" i="54"/>
  <c r="S12" i="54"/>
  <c r="T12" i="54"/>
  <c r="U12" i="54"/>
  <c r="U16" i="54" s="1"/>
  <c r="V12" i="54"/>
  <c r="W12" i="54"/>
  <c r="X12" i="54"/>
  <c r="Y12" i="54"/>
  <c r="Y16" i="54" s="1"/>
  <c r="Z12" i="54"/>
  <c r="AA12" i="54"/>
  <c r="AA16" i="54" s="1"/>
  <c r="AB12" i="54"/>
  <c r="AC12" i="54"/>
  <c r="AD12" i="54"/>
  <c r="AE12" i="54"/>
  <c r="AF12" i="54"/>
  <c r="AG12" i="54"/>
  <c r="AG16" i="54" s="1"/>
  <c r="AH12" i="54"/>
  <c r="AI12" i="54"/>
  <c r="AJ12" i="54"/>
  <c r="AK12" i="54"/>
  <c r="AK16" i="54" s="1"/>
  <c r="AL12" i="54"/>
  <c r="AM12" i="54"/>
  <c r="AN12" i="54"/>
  <c r="AN16" i="54" s="1"/>
  <c r="AO12" i="54"/>
  <c r="AO16" i="54" s="1"/>
  <c r="F13" i="54"/>
  <c r="G13" i="54"/>
  <c r="H13" i="54"/>
  <c r="I13" i="54"/>
  <c r="J13" i="54"/>
  <c r="K13" i="54"/>
  <c r="L13" i="54"/>
  <c r="M13" i="54"/>
  <c r="M16" i="54" s="1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C16" i="54" s="1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F14" i="54"/>
  <c r="G14" i="54"/>
  <c r="H14" i="54"/>
  <c r="I14" i="54"/>
  <c r="J14" i="54"/>
  <c r="K14" i="54"/>
  <c r="L14" i="54"/>
  <c r="L16" i="54" s="1"/>
  <c r="M14" i="54"/>
  <c r="N14" i="54"/>
  <c r="O14" i="54"/>
  <c r="P14" i="54"/>
  <c r="Q14" i="54"/>
  <c r="R14" i="54"/>
  <c r="S14" i="54"/>
  <c r="T14" i="54"/>
  <c r="T16" i="54" s="1"/>
  <c r="U14" i="54"/>
  <c r="V14" i="54"/>
  <c r="W14" i="54"/>
  <c r="X14" i="54"/>
  <c r="Y14" i="54"/>
  <c r="Z14" i="54"/>
  <c r="AA14" i="54"/>
  <c r="AB14" i="54"/>
  <c r="AB16" i="54" s="1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F15" i="54"/>
  <c r="G15" i="54"/>
  <c r="H15" i="54"/>
  <c r="I15" i="54"/>
  <c r="I16" i="54" s="1"/>
  <c r="J15" i="54"/>
  <c r="K15" i="54"/>
  <c r="L15" i="54"/>
  <c r="M15" i="54"/>
  <c r="N15" i="54"/>
  <c r="O15" i="54"/>
  <c r="P15" i="54"/>
  <c r="Q15" i="54"/>
  <c r="R15" i="54"/>
  <c r="S15" i="54"/>
  <c r="S16" i="54" s="1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I16" i="54" s="1"/>
  <c r="AJ15" i="54"/>
  <c r="AK15" i="54"/>
  <c r="AL15" i="54"/>
  <c r="AM15" i="54"/>
  <c r="AN15" i="54"/>
  <c r="AO15" i="54"/>
  <c r="P16" i="54"/>
  <c r="X16" i="54"/>
  <c r="AF16" i="54"/>
  <c r="AJ16" i="54"/>
  <c r="F19" i="54"/>
  <c r="G19" i="54"/>
  <c r="H19" i="54"/>
  <c r="I19" i="54"/>
  <c r="J19" i="54"/>
  <c r="J24" i="54" s="1"/>
  <c r="K19" i="54"/>
  <c r="L19" i="54"/>
  <c r="M19" i="54"/>
  <c r="M24" i="54" s="1"/>
  <c r="N19" i="54"/>
  <c r="O19" i="54"/>
  <c r="P19" i="54"/>
  <c r="Q19" i="54"/>
  <c r="R19" i="54"/>
  <c r="R24" i="54" s="1"/>
  <c r="S19" i="54"/>
  <c r="T19" i="54"/>
  <c r="U19" i="54"/>
  <c r="U24" i="54" s="1"/>
  <c r="V19" i="54"/>
  <c r="W19" i="54"/>
  <c r="W24" i="54" s="1"/>
  <c r="X19" i="54"/>
  <c r="Y19" i="54"/>
  <c r="Z19" i="54"/>
  <c r="Z24" i="54" s="1"/>
  <c r="AA19" i="54"/>
  <c r="AB19" i="54"/>
  <c r="AC19" i="54"/>
  <c r="AC24" i="54" s="1"/>
  <c r="AD19" i="54"/>
  <c r="AE19" i="54"/>
  <c r="AF19" i="54"/>
  <c r="AG19" i="54"/>
  <c r="AH19" i="54"/>
  <c r="AH24" i="54" s="1"/>
  <c r="AI19" i="54"/>
  <c r="AJ19" i="54"/>
  <c r="AK19" i="54"/>
  <c r="AK24" i="54" s="1"/>
  <c r="AL19" i="54"/>
  <c r="AM19" i="54"/>
  <c r="AN19" i="54"/>
  <c r="AO19" i="54"/>
  <c r="D20" i="54"/>
  <c r="F20" i="52" s="1"/>
  <c r="H20" i="52" s="1"/>
  <c r="F20" i="54"/>
  <c r="G20" i="54"/>
  <c r="H20" i="54"/>
  <c r="I20" i="54"/>
  <c r="I24" i="54" s="1"/>
  <c r="J20" i="54"/>
  <c r="K20" i="54"/>
  <c r="L20" i="54"/>
  <c r="L24" i="54" s="1"/>
  <c r="M20" i="54"/>
  <c r="N20" i="54"/>
  <c r="O20" i="54"/>
  <c r="P20" i="54"/>
  <c r="P24" i="54" s="1"/>
  <c r="Q20" i="54"/>
  <c r="R20" i="54"/>
  <c r="S20" i="54"/>
  <c r="T20" i="54"/>
  <c r="T24" i="54" s="1"/>
  <c r="U20" i="54"/>
  <c r="V20" i="54"/>
  <c r="W20" i="54"/>
  <c r="X20" i="54"/>
  <c r="X24" i="54" s="1"/>
  <c r="Y20" i="54"/>
  <c r="Z20" i="54"/>
  <c r="AA20" i="54"/>
  <c r="AB20" i="54"/>
  <c r="AB24" i="54" s="1"/>
  <c r="AC20" i="54"/>
  <c r="AD20" i="54"/>
  <c r="AE20" i="54"/>
  <c r="AF20" i="54"/>
  <c r="AG20" i="54"/>
  <c r="AH20" i="54"/>
  <c r="AI20" i="54"/>
  <c r="AJ20" i="54"/>
  <c r="AJ24" i="54" s="1"/>
  <c r="AK20" i="54"/>
  <c r="AL20" i="54"/>
  <c r="AM20" i="54"/>
  <c r="AN20" i="54"/>
  <c r="AO20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F22" i="54"/>
  <c r="G22" i="54"/>
  <c r="H22" i="54"/>
  <c r="D22" i="54" s="1"/>
  <c r="F22" i="52" s="1"/>
  <c r="H22" i="52" s="1"/>
  <c r="I22" i="54"/>
  <c r="E22" i="54" s="1"/>
  <c r="G22" i="52" s="1"/>
  <c r="I22" i="52" s="1"/>
  <c r="J22" i="54"/>
  <c r="K22" i="54"/>
  <c r="L22" i="54"/>
  <c r="M22" i="54"/>
  <c r="N22" i="54"/>
  <c r="O22" i="54"/>
  <c r="P22" i="54"/>
  <c r="Q22" i="54"/>
  <c r="Q24" i="54" s="1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G24" i="54" s="1"/>
  <c r="AH22" i="54"/>
  <c r="AI22" i="54"/>
  <c r="AJ22" i="54"/>
  <c r="AK22" i="54"/>
  <c r="AL22" i="54"/>
  <c r="AM22" i="54"/>
  <c r="AN22" i="54"/>
  <c r="AO22" i="54"/>
  <c r="AO24" i="54" s="1"/>
  <c r="F23" i="54"/>
  <c r="G23" i="54"/>
  <c r="H23" i="54"/>
  <c r="I23" i="54"/>
  <c r="J23" i="54"/>
  <c r="K23" i="54"/>
  <c r="L23" i="54"/>
  <c r="M23" i="54"/>
  <c r="E23" i="54" s="1"/>
  <c r="G23" i="52" s="1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G24" i="54"/>
  <c r="H24" i="54"/>
  <c r="Y24" i="54"/>
  <c r="AF24" i="54"/>
  <c r="AM24" i="54"/>
  <c r="AN24" i="54"/>
  <c r="F27" i="54"/>
  <c r="F29" i="54" s="1"/>
  <c r="G27" i="54"/>
  <c r="H27" i="54"/>
  <c r="I27" i="54"/>
  <c r="J27" i="54"/>
  <c r="K27" i="54"/>
  <c r="K29" i="54" s="1"/>
  <c r="L27" i="54"/>
  <c r="L29" i="54" s="1"/>
  <c r="M27" i="54"/>
  <c r="N27" i="54"/>
  <c r="O27" i="54"/>
  <c r="O29" i="54" s="1"/>
  <c r="P27" i="54"/>
  <c r="Q27" i="54"/>
  <c r="R27" i="54"/>
  <c r="S27" i="54"/>
  <c r="S29" i="54" s="1"/>
  <c r="T27" i="54"/>
  <c r="T29" i="54" s="1"/>
  <c r="U27" i="54"/>
  <c r="V27" i="54"/>
  <c r="W27" i="54"/>
  <c r="W29" i="54" s="1"/>
  <c r="X27" i="54"/>
  <c r="Y27" i="54"/>
  <c r="Z27" i="54"/>
  <c r="AA27" i="54"/>
  <c r="AA29" i="54" s="1"/>
  <c r="AB27" i="54"/>
  <c r="AB29" i="54" s="1"/>
  <c r="AC27" i="54"/>
  <c r="AD27" i="54"/>
  <c r="AE27" i="54"/>
  <c r="AE29" i="54" s="1"/>
  <c r="AF27" i="54"/>
  <c r="AG27" i="54"/>
  <c r="AH27" i="54"/>
  <c r="AI27" i="54"/>
  <c r="AJ27" i="54"/>
  <c r="AK27" i="54"/>
  <c r="AL27" i="54"/>
  <c r="AL29" i="54" s="1"/>
  <c r="AM27" i="54"/>
  <c r="AM29" i="54" s="1"/>
  <c r="AN27" i="54"/>
  <c r="AO27" i="54"/>
  <c r="F28" i="54"/>
  <c r="G28" i="54"/>
  <c r="H28" i="54"/>
  <c r="H29" i="54" s="1"/>
  <c r="I28" i="54"/>
  <c r="E28" i="54" s="1"/>
  <c r="G28" i="52" s="1"/>
  <c r="J28" i="54"/>
  <c r="K28" i="54"/>
  <c r="L28" i="54"/>
  <c r="M28" i="54"/>
  <c r="M29" i="54" s="1"/>
  <c r="N28" i="54"/>
  <c r="O28" i="54"/>
  <c r="P28" i="54"/>
  <c r="P29" i="54" s="1"/>
  <c r="Q28" i="54"/>
  <c r="R28" i="54"/>
  <c r="S28" i="54"/>
  <c r="T28" i="54"/>
  <c r="U28" i="54"/>
  <c r="U29" i="54" s="1"/>
  <c r="V28" i="54"/>
  <c r="W28" i="54"/>
  <c r="X28" i="54"/>
  <c r="X29" i="54" s="1"/>
  <c r="Y28" i="54"/>
  <c r="Z28" i="54"/>
  <c r="AA28" i="54"/>
  <c r="AB28" i="54"/>
  <c r="AC28" i="54"/>
  <c r="AD28" i="54"/>
  <c r="AE28" i="54"/>
  <c r="AF28" i="54"/>
  <c r="AF29" i="54" s="1"/>
  <c r="AG28" i="54"/>
  <c r="AH28" i="54"/>
  <c r="AI28" i="54"/>
  <c r="AJ28" i="54"/>
  <c r="AJ29" i="54" s="1"/>
  <c r="AK28" i="54"/>
  <c r="AK29" i="54" s="1"/>
  <c r="AL28" i="54"/>
  <c r="AM28" i="54"/>
  <c r="AN28" i="54"/>
  <c r="AN29" i="54" s="1"/>
  <c r="AO28" i="54"/>
  <c r="J29" i="54"/>
  <c r="N29" i="54"/>
  <c r="R29" i="54"/>
  <c r="V29" i="54"/>
  <c r="Z29" i="54"/>
  <c r="AC29" i="54"/>
  <c r="AD29" i="54"/>
  <c r="AH29" i="54"/>
  <c r="AI29" i="54"/>
  <c r="F32" i="54"/>
  <c r="G32" i="54"/>
  <c r="H32" i="54"/>
  <c r="D32" i="54" s="1"/>
  <c r="I32" i="54"/>
  <c r="J32" i="54"/>
  <c r="K32" i="54"/>
  <c r="L32" i="54"/>
  <c r="L36" i="54" s="1"/>
  <c r="M32" i="54"/>
  <c r="N32" i="54"/>
  <c r="O32" i="54"/>
  <c r="P32" i="54"/>
  <c r="P36" i="54" s="1"/>
  <c r="Q32" i="54"/>
  <c r="Q36" i="54" s="1"/>
  <c r="R32" i="54"/>
  <c r="S32" i="54"/>
  <c r="T32" i="54"/>
  <c r="T36" i="54" s="1"/>
  <c r="U32" i="54"/>
  <c r="V32" i="54"/>
  <c r="W32" i="54"/>
  <c r="X32" i="54"/>
  <c r="X36" i="54" s="1"/>
  <c r="Y32" i="54"/>
  <c r="Y36" i="54" s="1"/>
  <c r="Z32" i="54"/>
  <c r="AA32" i="54"/>
  <c r="AB32" i="54"/>
  <c r="AC32" i="54"/>
  <c r="AD32" i="54"/>
  <c r="AE32" i="54"/>
  <c r="AF32" i="54"/>
  <c r="AF36" i="54" s="1"/>
  <c r="AG32" i="54"/>
  <c r="AH32" i="54"/>
  <c r="AI32" i="54"/>
  <c r="AJ32" i="54"/>
  <c r="AK32" i="54"/>
  <c r="AL32" i="54"/>
  <c r="AM32" i="54"/>
  <c r="AN32" i="54"/>
  <c r="AO32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E36" i="54" s="1"/>
  <c r="AF33" i="54"/>
  <c r="AG33" i="54"/>
  <c r="AH33" i="54"/>
  <c r="AI33" i="54"/>
  <c r="AJ33" i="54"/>
  <c r="AK33" i="54"/>
  <c r="AL33" i="54"/>
  <c r="AM33" i="54"/>
  <c r="AM36" i="54" s="1"/>
  <c r="AN33" i="54"/>
  <c r="AO33" i="54"/>
  <c r="AO36" i="54" s="1"/>
  <c r="F34" i="54"/>
  <c r="G34" i="54"/>
  <c r="H34" i="54"/>
  <c r="D34" i="54" s="1"/>
  <c r="F34" i="52" s="1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F35" i="54"/>
  <c r="G35" i="54"/>
  <c r="H35" i="54"/>
  <c r="I35" i="54"/>
  <c r="J35" i="54"/>
  <c r="K35" i="54"/>
  <c r="L35" i="54"/>
  <c r="M35" i="54"/>
  <c r="E35" i="54" s="1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G36" i="54"/>
  <c r="H36" i="54"/>
  <c r="I36" i="54"/>
  <c r="O36" i="54"/>
  <c r="U36" i="54"/>
  <c r="W36" i="54"/>
  <c r="AB36" i="54"/>
  <c r="AG36" i="54"/>
  <c r="AJ36" i="54"/>
  <c r="AN36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E43" i="54" s="1"/>
  <c r="AF39" i="54"/>
  <c r="AG39" i="54"/>
  <c r="AH39" i="54"/>
  <c r="AI39" i="54"/>
  <c r="AJ39" i="54"/>
  <c r="AK39" i="54"/>
  <c r="AL39" i="54"/>
  <c r="AM39" i="54"/>
  <c r="AN39" i="54"/>
  <c r="AO39" i="54"/>
  <c r="F40" i="54"/>
  <c r="G40" i="54"/>
  <c r="H40" i="54"/>
  <c r="D40" i="54" s="1"/>
  <c r="I40" i="54"/>
  <c r="E40" i="54" s="1"/>
  <c r="J40" i="54"/>
  <c r="K40" i="54"/>
  <c r="K42" i="54" s="1"/>
  <c r="K43" i="54" s="1"/>
  <c r="L40" i="54"/>
  <c r="M40" i="54"/>
  <c r="N40" i="54"/>
  <c r="O40" i="54"/>
  <c r="P40" i="54"/>
  <c r="Q40" i="54"/>
  <c r="Q42" i="54" s="1"/>
  <c r="Q43" i="54" s="1"/>
  <c r="R40" i="54"/>
  <c r="S40" i="54"/>
  <c r="S42" i="54" s="1"/>
  <c r="S43" i="54" s="1"/>
  <c r="T40" i="54"/>
  <c r="U40" i="54"/>
  <c r="V40" i="54"/>
  <c r="W40" i="54"/>
  <c r="X40" i="54"/>
  <c r="X42" i="54" s="1"/>
  <c r="X43" i="54" s="1"/>
  <c r="Y40" i="54"/>
  <c r="Y42" i="54" s="1"/>
  <c r="Y43" i="54" s="1"/>
  <c r="Z40" i="54"/>
  <c r="AA40" i="54"/>
  <c r="AA42" i="54" s="1"/>
  <c r="AB40" i="54"/>
  <c r="AC40" i="54"/>
  <c r="AD40" i="54"/>
  <c r="AE40" i="54"/>
  <c r="AF40" i="54"/>
  <c r="AG40" i="54"/>
  <c r="AH40" i="54"/>
  <c r="AI40" i="54"/>
  <c r="AI42" i="54" s="1"/>
  <c r="AI43" i="54" s="1"/>
  <c r="AJ40" i="54"/>
  <c r="AK40" i="54"/>
  <c r="AL40" i="54"/>
  <c r="AM40" i="54"/>
  <c r="AN40" i="54"/>
  <c r="AO40" i="54"/>
  <c r="AO42" i="54" s="1"/>
  <c r="AO43" i="54" s="1"/>
  <c r="F41" i="54"/>
  <c r="G41" i="54"/>
  <c r="H41" i="54"/>
  <c r="I41" i="54"/>
  <c r="J41" i="54"/>
  <c r="J42" i="54" s="1"/>
  <c r="K41" i="54"/>
  <c r="L41" i="54"/>
  <c r="M41" i="54"/>
  <c r="M42" i="54" s="1"/>
  <c r="M43" i="54" s="1"/>
  <c r="N41" i="54"/>
  <c r="N42" i="54" s="1"/>
  <c r="N43" i="54" s="1"/>
  <c r="O41" i="54"/>
  <c r="P41" i="54"/>
  <c r="Q41" i="54"/>
  <c r="R41" i="54"/>
  <c r="R42" i="54" s="1"/>
  <c r="R43" i="54" s="1"/>
  <c r="S41" i="54"/>
  <c r="T41" i="54"/>
  <c r="U41" i="54"/>
  <c r="U42" i="54" s="1"/>
  <c r="U43" i="54" s="1"/>
  <c r="V41" i="54"/>
  <c r="V42" i="54" s="1"/>
  <c r="W41" i="54"/>
  <c r="X41" i="54"/>
  <c r="Y41" i="54"/>
  <c r="Z41" i="54"/>
  <c r="Z42" i="54" s="1"/>
  <c r="Z43" i="54" s="1"/>
  <c r="AA41" i="54"/>
  <c r="AB41" i="54"/>
  <c r="AC41" i="54"/>
  <c r="AC42" i="54" s="1"/>
  <c r="AD41" i="54"/>
  <c r="AD42" i="54" s="1"/>
  <c r="AD43" i="54" s="1"/>
  <c r="AE41" i="54"/>
  <c r="AF41" i="54"/>
  <c r="AG41" i="54"/>
  <c r="AH41" i="54"/>
  <c r="AH42" i="54" s="1"/>
  <c r="AI41" i="54"/>
  <c r="AJ41" i="54"/>
  <c r="AK41" i="54"/>
  <c r="AK42" i="54" s="1"/>
  <c r="AK43" i="54" s="1"/>
  <c r="AL41" i="54"/>
  <c r="AL42" i="54" s="1"/>
  <c r="AL43" i="54" s="1"/>
  <c r="AM41" i="54"/>
  <c r="AM42" i="54" s="1"/>
  <c r="AM43" i="54" s="1"/>
  <c r="AN41" i="54"/>
  <c r="AO41" i="54"/>
  <c r="G42" i="54"/>
  <c r="H42" i="54"/>
  <c r="H43" i="54" s="1"/>
  <c r="I42" i="54"/>
  <c r="I43" i="54" s="1"/>
  <c r="L42" i="54"/>
  <c r="L43" i="54" s="1"/>
  <c r="O42" i="54"/>
  <c r="P42" i="54"/>
  <c r="P43" i="54" s="1"/>
  <c r="T42" i="54"/>
  <c r="T43" i="54" s="1"/>
  <c r="W42" i="54"/>
  <c r="W43" i="54" s="1"/>
  <c r="AB42" i="54"/>
  <c r="AE42" i="54"/>
  <c r="AF42" i="54"/>
  <c r="AF43" i="54" s="1"/>
  <c r="AG42" i="54"/>
  <c r="AG43" i="54" s="1"/>
  <c r="AJ42" i="54"/>
  <c r="AJ43" i="54" s="1"/>
  <c r="AN42" i="54"/>
  <c r="AN43" i="54" s="1"/>
  <c r="J43" i="54"/>
  <c r="O43" i="54"/>
  <c r="V43" i="54"/>
  <c r="AA43" i="54"/>
  <c r="AH43" i="54"/>
  <c r="F45" i="54"/>
  <c r="G45" i="54"/>
  <c r="H45" i="54"/>
  <c r="I45" i="54"/>
  <c r="J45" i="54"/>
  <c r="K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F49" i="52" s="1"/>
  <c r="F49" i="54"/>
  <c r="G49" i="54"/>
  <c r="H49" i="54"/>
  <c r="I49" i="54"/>
  <c r="J49" i="54"/>
  <c r="K49" i="54"/>
  <c r="L49" i="54"/>
  <c r="M49" i="54"/>
  <c r="E49" i="54" s="1"/>
  <c r="G49" i="52" s="1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F51" i="54"/>
  <c r="G51" i="54"/>
  <c r="H51" i="54"/>
  <c r="I51" i="54"/>
  <c r="J51" i="54"/>
  <c r="K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F54" i="54"/>
  <c r="G54" i="54"/>
  <c r="H54" i="54"/>
  <c r="D54" i="54" s="1"/>
  <c r="I54" i="54"/>
  <c r="E54" i="54" s="1"/>
  <c r="J54" i="54"/>
  <c r="K54" i="54"/>
  <c r="K56" i="54" s="1"/>
  <c r="L54" i="54"/>
  <c r="M54" i="54"/>
  <c r="N54" i="54"/>
  <c r="O54" i="54"/>
  <c r="P54" i="54"/>
  <c r="Q54" i="54"/>
  <c r="Q56" i="54" s="1"/>
  <c r="R54" i="54"/>
  <c r="S54" i="54"/>
  <c r="S56" i="54" s="1"/>
  <c r="T54" i="54"/>
  <c r="U54" i="54"/>
  <c r="V54" i="54"/>
  <c r="W54" i="54"/>
  <c r="X54" i="54"/>
  <c r="X56" i="54" s="1"/>
  <c r="Y54" i="54"/>
  <c r="Y56" i="54" s="1"/>
  <c r="Z54" i="54"/>
  <c r="AA54" i="54"/>
  <c r="AA56" i="54" s="1"/>
  <c r="AB54" i="54"/>
  <c r="AC54" i="54"/>
  <c r="AD54" i="54"/>
  <c r="AE54" i="54"/>
  <c r="AF54" i="54"/>
  <c r="AG54" i="54"/>
  <c r="AH54" i="54"/>
  <c r="AI54" i="54"/>
  <c r="AI56" i="54" s="1"/>
  <c r="AJ54" i="54"/>
  <c r="AK54" i="54"/>
  <c r="AL54" i="54"/>
  <c r="AM54" i="54"/>
  <c r="AN54" i="54"/>
  <c r="AO54" i="54"/>
  <c r="AO56" i="54" s="1"/>
  <c r="F55" i="54"/>
  <c r="G55" i="54"/>
  <c r="H55" i="54"/>
  <c r="I55" i="54"/>
  <c r="J55" i="54"/>
  <c r="J56" i="54" s="1"/>
  <c r="K55" i="54"/>
  <c r="L55" i="54"/>
  <c r="M55" i="54"/>
  <c r="M56" i="54" s="1"/>
  <c r="N55" i="54"/>
  <c r="N56" i="54" s="1"/>
  <c r="O55" i="54"/>
  <c r="P55" i="54"/>
  <c r="Q55" i="54"/>
  <c r="R55" i="54"/>
  <c r="R56" i="54" s="1"/>
  <c r="S55" i="54"/>
  <c r="T55" i="54"/>
  <c r="U55" i="54"/>
  <c r="V55" i="54"/>
  <c r="V56" i="54" s="1"/>
  <c r="W55" i="54"/>
  <c r="X55" i="54"/>
  <c r="Y55" i="54"/>
  <c r="Z55" i="54"/>
  <c r="Z56" i="54" s="1"/>
  <c r="AA55" i="54"/>
  <c r="AB55" i="54"/>
  <c r="AC55" i="54"/>
  <c r="AC56" i="54" s="1"/>
  <c r="AD55" i="54"/>
  <c r="AD56" i="54" s="1"/>
  <c r="AE55" i="54"/>
  <c r="AF55" i="54"/>
  <c r="AG55" i="54"/>
  <c r="AH55" i="54"/>
  <c r="AH56" i="54" s="1"/>
  <c r="AI55" i="54"/>
  <c r="AJ55" i="54"/>
  <c r="AK55" i="54"/>
  <c r="AK56" i="54" s="1"/>
  <c r="AL55" i="54"/>
  <c r="AL56" i="54" s="1"/>
  <c r="AM55" i="54"/>
  <c r="AM56" i="54" s="1"/>
  <c r="AN55" i="54"/>
  <c r="AO55" i="54"/>
  <c r="G56" i="54"/>
  <c r="H56" i="54"/>
  <c r="I56" i="54"/>
  <c r="L56" i="54"/>
  <c r="O56" i="54"/>
  <c r="P56" i="54"/>
  <c r="T56" i="54"/>
  <c r="U56" i="54"/>
  <c r="W56" i="54"/>
  <c r="AB56" i="54"/>
  <c r="AE56" i="54"/>
  <c r="AF56" i="54"/>
  <c r="AG56" i="54"/>
  <c r="AJ56" i="54"/>
  <c r="AN56" i="54"/>
  <c r="F59" i="54"/>
  <c r="G59" i="54"/>
  <c r="G61" i="54" s="1"/>
  <c r="H59" i="54"/>
  <c r="I59" i="54"/>
  <c r="I61" i="54" s="1"/>
  <c r="J59" i="54"/>
  <c r="J61" i="54" s="1"/>
  <c r="K59" i="54"/>
  <c r="L59" i="54"/>
  <c r="M59" i="54"/>
  <c r="N59" i="54"/>
  <c r="O59" i="54"/>
  <c r="P59" i="54"/>
  <c r="Q59" i="54"/>
  <c r="Q61" i="54" s="1"/>
  <c r="R59" i="54"/>
  <c r="S59" i="54"/>
  <c r="T59" i="54"/>
  <c r="U59" i="54"/>
  <c r="V59" i="54"/>
  <c r="V61" i="54" s="1"/>
  <c r="W59" i="54"/>
  <c r="X59" i="54"/>
  <c r="Y59" i="54"/>
  <c r="Y61" i="54" s="1"/>
  <c r="Z59" i="54"/>
  <c r="AA59" i="54"/>
  <c r="AB59" i="54"/>
  <c r="AC59" i="54"/>
  <c r="AD59" i="54"/>
  <c r="AE59" i="54"/>
  <c r="AF59" i="54"/>
  <c r="AG59" i="54"/>
  <c r="AG61" i="54" s="1"/>
  <c r="AH59" i="54"/>
  <c r="AI59" i="54"/>
  <c r="AJ59" i="54"/>
  <c r="AK59" i="54"/>
  <c r="AL59" i="54"/>
  <c r="AM59" i="54"/>
  <c r="AM61" i="54" s="1"/>
  <c r="AN59" i="54"/>
  <c r="AO59" i="54"/>
  <c r="AO61" i="54" s="1"/>
  <c r="F60" i="54"/>
  <c r="G60" i="54"/>
  <c r="H60" i="54"/>
  <c r="H61" i="54" s="1"/>
  <c r="I60" i="54"/>
  <c r="E60" i="54" s="1"/>
  <c r="G60" i="52" s="1"/>
  <c r="I60" i="52" s="1"/>
  <c r="J60" i="54"/>
  <c r="K60" i="54"/>
  <c r="L60" i="54"/>
  <c r="L61" i="54" s="1"/>
  <c r="M60" i="54"/>
  <c r="N60" i="54"/>
  <c r="O60" i="54"/>
  <c r="P60" i="54"/>
  <c r="P61" i="54" s="1"/>
  <c r="Q60" i="54"/>
  <c r="R60" i="54"/>
  <c r="S60" i="54"/>
  <c r="T60" i="54"/>
  <c r="T61" i="54" s="1"/>
  <c r="U60" i="54"/>
  <c r="V60" i="54"/>
  <c r="W60" i="54"/>
  <c r="X60" i="54"/>
  <c r="X61" i="54" s="1"/>
  <c r="Y60" i="54"/>
  <c r="Z60" i="54"/>
  <c r="AA60" i="54"/>
  <c r="AA61" i="54" s="1"/>
  <c r="AB60" i="54"/>
  <c r="AB61" i="54" s="1"/>
  <c r="AC60" i="54"/>
  <c r="AD60" i="54"/>
  <c r="AE60" i="54"/>
  <c r="AF60" i="54"/>
  <c r="AF61" i="54" s="1"/>
  <c r="AG60" i="54"/>
  <c r="AH60" i="54"/>
  <c r="AI60" i="54"/>
  <c r="AI61" i="54" s="1"/>
  <c r="AJ60" i="54"/>
  <c r="AJ61" i="54" s="1"/>
  <c r="AK60" i="54"/>
  <c r="AL60" i="54"/>
  <c r="AM60" i="54"/>
  <c r="AN60" i="54"/>
  <c r="AN61" i="54" s="1"/>
  <c r="AO60" i="54"/>
  <c r="F61" i="54"/>
  <c r="K61" i="54"/>
  <c r="M61" i="54"/>
  <c r="N61" i="54"/>
  <c r="O61" i="54"/>
  <c r="R61" i="54"/>
  <c r="S61" i="54"/>
  <c r="U61" i="54"/>
  <c r="W61" i="54"/>
  <c r="Z61" i="54"/>
  <c r="AC61" i="54"/>
  <c r="AD61" i="54"/>
  <c r="AE61" i="54"/>
  <c r="AH61" i="54"/>
  <c r="AK61" i="54"/>
  <c r="AL61" i="54"/>
  <c r="F64" i="54"/>
  <c r="G64" i="54"/>
  <c r="H64" i="54"/>
  <c r="I64" i="54"/>
  <c r="I66" i="54" s="1"/>
  <c r="J64" i="54"/>
  <c r="K64" i="54"/>
  <c r="L64" i="54"/>
  <c r="L66" i="54" s="1"/>
  <c r="M64" i="54"/>
  <c r="M66" i="54" s="1"/>
  <c r="N64" i="54"/>
  <c r="O64" i="54"/>
  <c r="P64" i="54"/>
  <c r="Q64" i="54"/>
  <c r="R64" i="54"/>
  <c r="S64" i="54"/>
  <c r="T64" i="54"/>
  <c r="T66" i="54" s="1"/>
  <c r="U64" i="54"/>
  <c r="V64" i="54"/>
  <c r="W64" i="54"/>
  <c r="X64" i="54"/>
  <c r="Y64" i="54"/>
  <c r="Z64" i="54"/>
  <c r="AA64" i="54"/>
  <c r="AB64" i="54"/>
  <c r="AC64" i="54"/>
  <c r="AC66" i="54" s="1"/>
  <c r="AD64" i="54"/>
  <c r="AE64" i="54"/>
  <c r="AF64" i="54"/>
  <c r="AG64" i="54"/>
  <c r="AH64" i="54"/>
  <c r="AI64" i="54"/>
  <c r="AJ64" i="54"/>
  <c r="AJ66" i="54" s="1"/>
  <c r="AK64" i="54"/>
  <c r="AK66" i="54" s="1"/>
  <c r="AL64" i="54"/>
  <c r="AM64" i="54"/>
  <c r="AN64" i="54"/>
  <c r="AO64" i="54"/>
  <c r="F65" i="54"/>
  <c r="G65" i="54"/>
  <c r="H65" i="54"/>
  <c r="I65" i="54"/>
  <c r="J65" i="54"/>
  <c r="J66" i="54" s="1"/>
  <c r="K65" i="54"/>
  <c r="L65" i="54"/>
  <c r="M65" i="54"/>
  <c r="N65" i="54"/>
  <c r="N66" i="54" s="1"/>
  <c r="O65" i="54"/>
  <c r="P65" i="54"/>
  <c r="Q65" i="54"/>
  <c r="R65" i="54"/>
  <c r="R66" i="54" s="1"/>
  <c r="S65" i="54"/>
  <c r="T65" i="54"/>
  <c r="U65" i="54"/>
  <c r="V65" i="54"/>
  <c r="V66" i="54" s="1"/>
  <c r="W65" i="54"/>
  <c r="X65" i="54"/>
  <c r="Y65" i="54"/>
  <c r="Z65" i="54"/>
  <c r="Z66" i="54" s="1"/>
  <c r="AA65" i="54"/>
  <c r="AB65" i="54"/>
  <c r="AC65" i="54"/>
  <c r="AD65" i="54"/>
  <c r="AD66" i="54" s="1"/>
  <c r="AE65" i="54"/>
  <c r="AF65" i="54"/>
  <c r="AG65" i="54"/>
  <c r="AH65" i="54"/>
  <c r="AH66" i="54" s="1"/>
  <c r="AI65" i="54"/>
  <c r="AJ65" i="54"/>
  <c r="AK65" i="54"/>
  <c r="AL65" i="54"/>
  <c r="AL66" i="54" s="1"/>
  <c r="AM65" i="54"/>
  <c r="AN65" i="54"/>
  <c r="AO65" i="54"/>
  <c r="H66" i="54"/>
  <c r="K66" i="54"/>
  <c r="P66" i="54"/>
  <c r="Q66" i="54"/>
  <c r="S66" i="54"/>
  <c r="U66" i="54"/>
  <c r="X66" i="54"/>
  <c r="AA66" i="54"/>
  <c r="AB66" i="54"/>
  <c r="AF66" i="54"/>
  <c r="AI66" i="54"/>
  <c r="AN66" i="54"/>
  <c r="AO66" i="54"/>
  <c r="F70" i="54"/>
  <c r="G70" i="54"/>
  <c r="H70" i="54"/>
  <c r="I70" i="54"/>
  <c r="J70" i="54"/>
  <c r="K70" i="54"/>
  <c r="L70" i="54"/>
  <c r="M70" i="54"/>
  <c r="M72" i="54" s="1"/>
  <c r="N70" i="54"/>
  <c r="O70" i="54"/>
  <c r="P70" i="54"/>
  <c r="Q70" i="54"/>
  <c r="R70" i="54"/>
  <c r="S70" i="54"/>
  <c r="S72" i="54" s="1"/>
  <c r="T70" i="54"/>
  <c r="U70" i="54"/>
  <c r="U72" i="54" s="1"/>
  <c r="V70" i="54"/>
  <c r="W70" i="54"/>
  <c r="X70" i="54"/>
  <c r="Y70" i="54"/>
  <c r="Z70" i="54"/>
  <c r="AA70" i="54"/>
  <c r="AA72" i="54" s="1"/>
  <c r="AB70" i="54"/>
  <c r="AC70" i="54"/>
  <c r="AC72" i="54" s="1"/>
  <c r="AD70" i="54"/>
  <c r="AD72" i="54" s="1"/>
  <c r="AE70" i="54"/>
  <c r="AF70" i="54"/>
  <c r="AG70" i="54"/>
  <c r="AH70" i="54"/>
  <c r="AI70" i="54"/>
  <c r="AJ70" i="54"/>
  <c r="AK70" i="54"/>
  <c r="AK72" i="54" s="1"/>
  <c r="AL70" i="54"/>
  <c r="AM70" i="54"/>
  <c r="AN70" i="54"/>
  <c r="AO70" i="54"/>
  <c r="F71" i="54"/>
  <c r="G71" i="54"/>
  <c r="H71" i="54"/>
  <c r="H72" i="54" s="1"/>
  <c r="I71" i="54"/>
  <c r="J71" i="54"/>
  <c r="K71" i="54"/>
  <c r="L71" i="54"/>
  <c r="L72" i="54" s="1"/>
  <c r="M71" i="54"/>
  <c r="N71" i="54"/>
  <c r="O71" i="54"/>
  <c r="O72" i="54" s="1"/>
  <c r="P71" i="54"/>
  <c r="P72" i="54" s="1"/>
  <c r="Q71" i="54"/>
  <c r="R71" i="54"/>
  <c r="S71" i="54"/>
  <c r="T71" i="54"/>
  <c r="T72" i="54" s="1"/>
  <c r="U71" i="54"/>
  <c r="V71" i="54"/>
  <c r="W71" i="54"/>
  <c r="W72" i="54" s="1"/>
  <c r="X71" i="54"/>
  <c r="X72" i="54" s="1"/>
  <c r="Y71" i="54"/>
  <c r="Z71" i="54"/>
  <c r="AA71" i="54"/>
  <c r="AB71" i="54"/>
  <c r="AB72" i="54" s="1"/>
  <c r="AC71" i="54"/>
  <c r="AD71" i="54"/>
  <c r="AE71" i="54"/>
  <c r="AE72" i="54" s="1"/>
  <c r="AF71" i="54"/>
  <c r="AF72" i="54" s="1"/>
  <c r="AG71" i="54"/>
  <c r="AH71" i="54"/>
  <c r="AI71" i="54"/>
  <c r="AJ71" i="54"/>
  <c r="AJ72" i="54" s="1"/>
  <c r="AK71" i="54"/>
  <c r="AL71" i="54"/>
  <c r="AM71" i="54"/>
  <c r="AN71" i="54"/>
  <c r="AN72" i="54" s="1"/>
  <c r="AO71" i="54"/>
  <c r="F72" i="54"/>
  <c r="I72" i="54"/>
  <c r="J72" i="54"/>
  <c r="K72" i="54"/>
  <c r="N72" i="54"/>
  <c r="Q72" i="54"/>
  <c r="R72" i="54"/>
  <c r="V72" i="54"/>
  <c r="Y72" i="54"/>
  <c r="Z72" i="54"/>
  <c r="AG72" i="54"/>
  <c r="AH72" i="54"/>
  <c r="AI72" i="54"/>
  <c r="AL72" i="54"/>
  <c r="AM72" i="54"/>
  <c r="AO72" i="54"/>
  <c r="F73" i="54"/>
  <c r="G73" i="54"/>
  <c r="H73" i="54"/>
  <c r="D73" i="54" s="1"/>
  <c r="F73" i="52" s="1"/>
  <c r="H73" i="52" s="1"/>
  <c r="I73" i="54"/>
  <c r="E73" i="54" s="1"/>
  <c r="G73" i="52" s="1"/>
  <c r="I73" i="52" s="1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F74" i="54"/>
  <c r="G74" i="54"/>
  <c r="H74" i="54"/>
  <c r="I74" i="54"/>
  <c r="J74" i="54"/>
  <c r="K74" i="54"/>
  <c r="L74" i="54"/>
  <c r="M74" i="54"/>
  <c r="E74" i="54" s="1"/>
  <c r="G74" i="52" s="1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F75" i="54"/>
  <c r="G75" i="54"/>
  <c r="H75" i="54"/>
  <c r="D75" i="54" s="1"/>
  <c r="F75" i="52" s="1"/>
  <c r="I75" i="54"/>
  <c r="J75" i="54"/>
  <c r="K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F77" i="54"/>
  <c r="G77" i="54"/>
  <c r="H77" i="54"/>
  <c r="I77" i="54"/>
  <c r="J77" i="54"/>
  <c r="K77" i="54"/>
  <c r="L77" i="54"/>
  <c r="D77" i="54" s="1"/>
  <c r="F77" i="52" s="1"/>
  <c r="H77" i="52" s="1"/>
  <c r="M77" i="54"/>
  <c r="E77" i="54" s="1"/>
  <c r="G77" i="52" s="1"/>
  <c r="I77" i="52" s="1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F78" i="54"/>
  <c r="G78" i="54"/>
  <c r="H78" i="54"/>
  <c r="I78" i="54"/>
  <c r="J78" i="54"/>
  <c r="K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F79" i="54"/>
  <c r="G79" i="54"/>
  <c r="H79" i="54"/>
  <c r="D79" i="54" s="1"/>
  <c r="F79" i="52" s="1"/>
  <c r="H79" i="52" s="1"/>
  <c r="I79" i="54"/>
  <c r="J79" i="54"/>
  <c r="K79" i="54"/>
  <c r="L79" i="54"/>
  <c r="M79" i="54"/>
  <c r="E79" i="54" s="1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F80" i="54"/>
  <c r="G80" i="54"/>
  <c r="H80" i="54"/>
  <c r="I80" i="54"/>
  <c r="J80" i="54"/>
  <c r="K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F81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A4" i="53"/>
  <c r="A5" i="53"/>
  <c r="G11" i="53"/>
  <c r="H11" i="53"/>
  <c r="I11" i="53"/>
  <c r="M11" i="53" s="1"/>
  <c r="F12" i="53"/>
  <c r="G12" i="53"/>
  <c r="H12" i="53"/>
  <c r="I12" i="53"/>
  <c r="L12" i="53"/>
  <c r="M12" i="53"/>
  <c r="E12" i="52" s="1"/>
  <c r="H13" i="53"/>
  <c r="I13" i="53"/>
  <c r="G13" i="53" s="1"/>
  <c r="M13" i="53"/>
  <c r="E13" i="52" s="1"/>
  <c r="F14" i="53"/>
  <c r="G14" i="53"/>
  <c r="H14" i="53"/>
  <c r="I14" i="53"/>
  <c r="L14" i="53"/>
  <c r="D14" i="52" s="1"/>
  <c r="M14" i="53"/>
  <c r="H15" i="53"/>
  <c r="I15" i="53"/>
  <c r="J16" i="53"/>
  <c r="K16" i="53"/>
  <c r="H18" i="53"/>
  <c r="I18" i="53"/>
  <c r="G19" i="53"/>
  <c r="H19" i="53"/>
  <c r="I19" i="53"/>
  <c r="M19" i="53" s="1"/>
  <c r="F20" i="53"/>
  <c r="G20" i="53"/>
  <c r="H20" i="53"/>
  <c r="I20" i="53"/>
  <c r="L20" i="53"/>
  <c r="D20" i="52" s="1"/>
  <c r="M20" i="53"/>
  <c r="H21" i="53"/>
  <c r="I21" i="53"/>
  <c r="G21" i="53" s="1"/>
  <c r="F22" i="53"/>
  <c r="G22" i="53"/>
  <c r="H22" i="53"/>
  <c r="I22" i="53"/>
  <c r="L22" i="53"/>
  <c r="D22" i="52" s="1"/>
  <c r="M22" i="53"/>
  <c r="E22" i="52" s="1"/>
  <c r="H23" i="53"/>
  <c r="I23" i="53"/>
  <c r="J24" i="53"/>
  <c r="K24" i="53"/>
  <c r="K82" i="53" s="1"/>
  <c r="F27" i="53"/>
  <c r="H27" i="53"/>
  <c r="I27" i="53"/>
  <c r="L27" i="53"/>
  <c r="D27" i="52" s="1"/>
  <c r="M27" i="53"/>
  <c r="E27" i="52" s="1"/>
  <c r="H28" i="53"/>
  <c r="I28" i="53"/>
  <c r="J29" i="53"/>
  <c r="K29" i="53"/>
  <c r="F32" i="53"/>
  <c r="G32" i="53"/>
  <c r="H32" i="53"/>
  <c r="I32" i="53"/>
  <c r="L32" i="53"/>
  <c r="M32" i="53"/>
  <c r="H33" i="53"/>
  <c r="I33" i="53"/>
  <c r="F34" i="53"/>
  <c r="H34" i="53"/>
  <c r="I34" i="53"/>
  <c r="L34" i="53"/>
  <c r="H35" i="53"/>
  <c r="I35" i="53"/>
  <c r="G35" i="53" s="1"/>
  <c r="M35" i="53"/>
  <c r="E35" i="52" s="1"/>
  <c r="J36" i="53"/>
  <c r="K36" i="53"/>
  <c r="L37" i="53"/>
  <c r="M37" i="53"/>
  <c r="H38" i="53"/>
  <c r="I38" i="53"/>
  <c r="F39" i="53"/>
  <c r="G39" i="53"/>
  <c r="H39" i="53"/>
  <c r="I39" i="53"/>
  <c r="L39" i="53"/>
  <c r="M39" i="53"/>
  <c r="H40" i="53"/>
  <c r="I40" i="53"/>
  <c r="G40" i="53" s="1"/>
  <c r="F41" i="53"/>
  <c r="G41" i="53"/>
  <c r="G42" i="53" s="1"/>
  <c r="H41" i="53"/>
  <c r="I41" i="53"/>
  <c r="L41" i="53"/>
  <c r="D41" i="52" s="1"/>
  <c r="M41" i="53"/>
  <c r="E41" i="52" s="1"/>
  <c r="I42" i="53"/>
  <c r="I43" i="53" s="1"/>
  <c r="J42" i="53"/>
  <c r="K42" i="53"/>
  <c r="G43" i="53"/>
  <c r="J43" i="53"/>
  <c r="K43" i="53"/>
  <c r="G45" i="53"/>
  <c r="H45" i="53"/>
  <c r="I45" i="53"/>
  <c r="M45" i="53" s="1"/>
  <c r="E45" i="52" s="1"/>
  <c r="F47" i="53"/>
  <c r="G47" i="53"/>
  <c r="H47" i="53"/>
  <c r="I47" i="53"/>
  <c r="L47" i="53"/>
  <c r="M47" i="53"/>
  <c r="H49" i="53"/>
  <c r="I49" i="53"/>
  <c r="G49" i="53" s="1"/>
  <c r="F51" i="53"/>
  <c r="G51" i="53"/>
  <c r="H51" i="53"/>
  <c r="I51" i="53"/>
  <c r="L51" i="53"/>
  <c r="D51" i="52" s="1"/>
  <c r="M51" i="53"/>
  <c r="E51" i="52" s="1"/>
  <c r="H54" i="53"/>
  <c r="I54" i="53"/>
  <c r="F55" i="53"/>
  <c r="H55" i="53"/>
  <c r="I55" i="53"/>
  <c r="L55" i="53"/>
  <c r="D55" i="52" s="1"/>
  <c r="H56" i="53"/>
  <c r="J56" i="53"/>
  <c r="K56" i="53"/>
  <c r="H59" i="53"/>
  <c r="I59" i="53"/>
  <c r="G59" i="53" s="1"/>
  <c r="F60" i="53"/>
  <c r="G60" i="53"/>
  <c r="G61" i="53" s="1"/>
  <c r="H60" i="53"/>
  <c r="I60" i="53"/>
  <c r="L60" i="53"/>
  <c r="M60" i="53"/>
  <c r="E60" i="52" s="1"/>
  <c r="I61" i="53"/>
  <c r="J61" i="53"/>
  <c r="K61" i="53"/>
  <c r="G64" i="53"/>
  <c r="H64" i="53"/>
  <c r="I64" i="53"/>
  <c r="M64" i="53" s="1"/>
  <c r="F65" i="53"/>
  <c r="H65" i="53"/>
  <c r="I65" i="53"/>
  <c r="I66" i="53" s="1"/>
  <c r="L65" i="53"/>
  <c r="D65" i="52" s="1"/>
  <c r="M65" i="53"/>
  <c r="H66" i="53"/>
  <c r="J66" i="53"/>
  <c r="K66" i="53"/>
  <c r="L69" i="53"/>
  <c r="M69" i="53"/>
  <c r="F70" i="53"/>
  <c r="H70" i="53"/>
  <c r="H72" i="53" s="1"/>
  <c r="I70" i="53"/>
  <c r="L70" i="53"/>
  <c r="M70" i="53"/>
  <c r="H71" i="53"/>
  <c r="I71" i="53"/>
  <c r="J72" i="53"/>
  <c r="K72" i="53"/>
  <c r="F73" i="53"/>
  <c r="G73" i="53"/>
  <c r="H73" i="53"/>
  <c r="I73" i="53"/>
  <c r="L73" i="53"/>
  <c r="D73" i="52" s="1"/>
  <c r="M73" i="53"/>
  <c r="H74" i="53"/>
  <c r="I74" i="53"/>
  <c r="F75" i="53"/>
  <c r="H75" i="53"/>
  <c r="I75" i="53"/>
  <c r="L75" i="53"/>
  <c r="D75" i="52" s="1"/>
  <c r="H76" i="53"/>
  <c r="I76" i="53"/>
  <c r="G76" i="53" s="1"/>
  <c r="M76" i="53"/>
  <c r="E76" i="52" s="1"/>
  <c r="F77" i="53"/>
  <c r="G77" i="53"/>
  <c r="H77" i="53"/>
  <c r="I77" i="53"/>
  <c r="L77" i="53"/>
  <c r="D77" i="52" s="1"/>
  <c r="M77" i="53"/>
  <c r="G78" i="53"/>
  <c r="H78" i="53"/>
  <c r="I78" i="53"/>
  <c r="M78" i="53" s="1"/>
  <c r="F79" i="53"/>
  <c r="G79" i="53"/>
  <c r="H79" i="53"/>
  <c r="I79" i="53"/>
  <c r="L79" i="53"/>
  <c r="D79" i="52" s="1"/>
  <c r="M79" i="53"/>
  <c r="E79" i="52" s="1"/>
  <c r="H80" i="53"/>
  <c r="I80" i="53"/>
  <c r="G80" i="53" s="1"/>
  <c r="F81" i="53"/>
  <c r="G81" i="53"/>
  <c r="H81" i="53"/>
  <c r="I81" i="53"/>
  <c r="L81" i="53"/>
  <c r="M81" i="53"/>
  <c r="E81" i="52" s="1"/>
  <c r="D82" i="53"/>
  <c r="E82" i="53"/>
  <c r="A5" i="52"/>
  <c r="D12" i="52"/>
  <c r="E14" i="52"/>
  <c r="E20" i="52"/>
  <c r="E32" i="52"/>
  <c r="F32" i="52"/>
  <c r="D34" i="52"/>
  <c r="G35" i="52"/>
  <c r="I35" i="52" s="1"/>
  <c r="D39" i="52"/>
  <c r="E39" i="52"/>
  <c r="G40" i="52"/>
  <c r="D47" i="52"/>
  <c r="E47" i="52"/>
  <c r="F54" i="52"/>
  <c r="D60" i="52"/>
  <c r="E64" i="52"/>
  <c r="D70" i="52"/>
  <c r="E70" i="52"/>
  <c r="E73" i="52"/>
  <c r="H75" i="52"/>
  <c r="E77" i="52"/>
  <c r="E78" i="52"/>
  <c r="G79" i="52"/>
  <c r="I79" i="52" s="1"/>
  <c r="D81" i="52"/>
  <c r="A5" i="18"/>
  <c r="F11" i="18"/>
  <c r="H11" i="18"/>
  <c r="I11" i="18"/>
  <c r="M11" i="18" s="1"/>
  <c r="L11" i="18"/>
  <c r="F12" i="18"/>
  <c r="H12" i="18"/>
  <c r="I12" i="18"/>
  <c r="L12" i="18"/>
  <c r="D12" i="42" s="1"/>
  <c r="F13" i="18"/>
  <c r="G13" i="18"/>
  <c r="H13" i="18"/>
  <c r="L13" i="18" s="1"/>
  <c r="I13" i="18"/>
  <c r="M13" i="18"/>
  <c r="H14" i="18"/>
  <c r="F14" i="18" s="1"/>
  <c r="I14" i="18"/>
  <c r="L14" i="18"/>
  <c r="D14" i="42" s="1"/>
  <c r="H15" i="18"/>
  <c r="I15" i="18"/>
  <c r="G15" i="18" s="1"/>
  <c r="M15" i="18"/>
  <c r="E15" i="42" s="1"/>
  <c r="H16" i="18"/>
  <c r="J16" i="18"/>
  <c r="K16" i="18"/>
  <c r="H18" i="18"/>
  <c r="I18" i="18"/>
  <c r="F19" i="18"/>
  <c r="H19" i="18"/>
  <c r="I19" i="18"/>
  <c r="I24" i="18" s="1"/>
  <c r="L19" i="18"/>
  <c r="H20" i="18"/>
  <c r="I20" i="18"/>
  <c r="F21" i="18"/>
  <c r="G21" i="18"/>
  <c r="H21" i="18"/>
  <c r="I21" i="18"/>
  <c r="L21" i="18"/>
  <c r="D21" i="42" s="1"/>
  <c r="M21" i="18"/>
  <c r="H22" i="18"/>
  <c r="I22" i="18"/>
  <c r="M22" i="18" s="1"/>
  <c r="E22" i="42" s="1"/>
  <c r="F23" i="18"/>
  <c r="G23" i="18"/>
  <c r="H23" i="18"/>
  <c r="L23" i="18" s="1"/>
  <c r="D23" i="42" s="1"/>
  <c r="I23" i="18"/>
  <c r="M23" i="18"/>
  <c r="E23" i="42" s="1"/>
  <c r="J24" i="18"/>
  <c r="K24" i="18"/>
  <c r="F27" i="18"/>
  <c r="F29" i="18" s="1"/>
  <c r="H27" i="18"/>
  <c r="I27" i="18"/>
  <c r="G27" i="18" s="1"/>
  <c r="L27" i="18"/>
  <c r="L29" i="18" s="1"/>
  <c r="M27" i="18"/>
  <c r="F28" i="18"/>
  <c r="G28" i="18"/>
  <c r="H28" i="18"/>
  <c r="I28" i="18"/>
  <c r="L28" i="18"/>
  <c r="D28" i="42" s="1"/>
  <c r="M28" i="18"/>
  <c r="G29" i="18"/>
  <c r="H29" i="18"/>
  <c r="I29" i="18"/>
  <c r="J29" i="18"/>
  <c r="K29" i="18"/>
  <c r="F32" i="18"/>
  <c r="G32" i="18"/>
  <c r="H32" i="18"/>
  <c r="L32" i="18" s="1"/>
  <c r="I32" i="18"/>
  <c r="M32" i="18" s="1"/>
  <c r="E32" i="42" s="1"/>
  <c r="F33" i="18"/>
  <c r="H33" i="18"/>
  <c r="I33" i="18"/>
  <c r="L33" i="18"/>
  <c r="D33" i="42" s="1"/>
  <c r="F34" i="18"/>
  <c r="H34" i="18"/>
  <c r="I34" i="18"/>
  <c r="L34" i="18"/>
  <c r="G35" i="18"/>
  <c r="H35" i="18"/>
  <c r="I35" i="18"/>
  <c r="M35" i="18"/>
  <c r="J36" i="18"/>
  <c r="K36" i="18"/>
  <c r="L37" i="18"/>
  <c r="M37" i="18"/>
  <c r="H38" i="18"/>
  <c r="I38" i="18"/>
  <c r="F39" i="18"/>
  <c r="H39" i="18"/>
  <c r="I39" i="18"/>
  <c r="G39" i="18" s="1"/>
  <c r="L39" i="18"/>
  <c r="D39" i="42" s="1"/>
  <c r="M39" i="18"/>
  <c r="E39" i="42" s="1"/>
  <c r="G40" i="18"/>
  <c r="H40" i="18"/>
  <c r="I40" i="18"/>
  <c r="M40" i="18"/>
  <c r="F41" i="18"/>
  <c r="H41" i="18"/>
  <c r="I41" i="18"/>
  <c r="L41" i="18"/>
  <c r="J42" i="18"/>
  <c r="J43" i="18" s="1"/>
  <c r="J82" i="18" s="1"/>
  <c r="K42" i="18"/>
  <c r="K43" i="18"/>
  <c r="F45" i="18"/>
  <c r="G45" i="18"/>
  <c r="H45" i="18"/>
  <c r="L45" i="18" s="1"/>
  <c r="I45" i="18"/>
  <c r="M45" i="18"/>
  <c r="E45" i="42" s="1"/>
  <c r="F47" i="18"/>
  <c r="H47" i="18"/>
  <c r="I47" i="18"/>
  <c r="G47" i="18" s="1"/>
  <c r="L47" i="18"/>
  <c r="D47" i="42" s="1"/>
  <c r="M47" i="18"/>
  <c r="E47" i="42" s="1"/>
  <c r="G49" i="18"/>
  <c r="H49" i="18"/>
  <c r="I49" i="18"/>
  <c r="M49" i="18"/>
  <c r="E49" i="42" s="1"/>
  <c r="F51" i="18"/>
  <c r="G51" i="18"/>
  <c r="H51" i="18"/>
  <c r="I51" i="18"/>
  <c r="M51" i="18" s="1"/>
  <c r="L51" i="18"/>
  <c r="H54" i="18"/>
  <c r="I54" i="18"/>
  <c r="H55" i="18"/>
  <c r="I55" i="18"/>
  <c r="G55" i="18" s="1"/>
  <c r="M55" i="18"/>
  <c r="J56" i="18"/>
  <c r="K56" i="18"/>
  <c r="G59" i="18"/>
  <c r="H59" i="18"/>
  <c r="I59" i="18"/>
  <c r="M59" i="18"/>
  <c r="H60" i="18"/>
  <c r="L60" i="18" s="1"/>
  <c r="D60" i="42" s="1"/>
  <c r="I60" i="18"/>
  <c r="I61" i="18"/>
  <c r="J61" i="18"/>
  <c r="K61" i="18"/>
  <c r="F64" i="18"/>
  <c r="H64" i="18"/>
  <c r="I64" i="18"/>
  <c r="L64" i="18"/>
  <c r="D64" i="42" s="1"/>
  <c r="F65" i="18"/>
  <c r="H65" i="18"/>
  <c r="I65" i="18"/>
  <c r="F66" i="18"/>
  <c r="J66" i="18"/>
  <c r="K66" i="18"/>
  <c r="L69" i="18"/>
  <c r="M69" i="18"/>
  <c r="F70" i="18"/>
  <c r="H70" i="18"/>
  <c r="I70" i="18"/>
  <c r="L70" i="18"/>
  <c r="G71" i="18"/>
  <c r="H71" i="18"/>
  <c r="I71" i="18"/>
  <c r="M71" i="18"/>
  <c r="E71" i="42" s="1"/>
  <c r="J72" i="18"/>
  <c r="K72" i="18"/>
  <c r="F73" i="18"/>
  <c r="G73" i="18"/>
  <c r="H73" i="18"/>
  <c r="I73" i="18"/>
  <c r="M73" i="18" s="1"/>
  <c r="L73" i="18"/>
  <c r="H74" i="18"/>
  <c r="F74" i="18" s="1"/>
  <c r="I74" i="18"/>
  <c r="L74" i="18"/>
  <c r="D74" i="42" s="1"/>
  <c r="H75" i="18"/>
  <c r="I75" i="18"/>
  <c r="G75" i="18" s="1"/>
  <c r="M75" i="18"/>
  <c r="E75" i="42" s="1"/>
  <c r="F76" i="18"/>
  <c r="G76" i="18"/>
  <c r="H76" i="18"/>
  <c r="I76" i="18"/>
  <c r="L76" i="18"/>
  <c r="D76" i="42" s="1"/>
  <c r="M76" i="18"/>
  <c r="E76" i="42" s="1"/>
  <c r="H77" i="18"/>
  <c r="I77" i="18"/>
  <c r="G78" i="18"/>
  <c r="H78" i="18"/>
  <c r="F78" i="18" s="1"/>
  <c r="I78" i="18"/>
  <c r="L78" i="18"/>
  <c r="D78" i="42" s="1"/>
  <c r="M78" i="18"/>
  <c r="F79" i="18"/>
  <c r="H79" i="18"/>
  <c r="I79" i="18"/>
  <c r="G79" i="18" s="1"/>
  <c r="L79" i="18"/>
  <c r="D79" i="42" s="1"/>
  <c r="M79" i="18"/>
  <c r="E79" i="42" s="1"/>
  <c r="G80" i="18"/>
  <c r="H80" i="18"/>
  <c r="I80" i="18"/>
  <c r="M80" i="18"/>
  <c r="F81" i="18"/>
  <c r="G81" i="18"/>
  <c r="H81" i="18"/>
  <c r="I81" i="18"/>
  <c r="M81" i="18" s="1"/>
  <c r="E81" i="42" s="1"/>
  <c r="L81" i="18"/>
  <c r="D82" i="18"/>
  <c r="E82" i="18"/>
  <c r="A5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D16" i="30" s="1"/>
  <c r="E11" i="30"/>
  <c r="G11" i="42" s="1"/>
  <c r="F11" i="30"/>
  <c r="F16" i="30" s="1"/>
  <c r="G11" i="30"/>
  <c r="D12" i="30"/>
  <c r="E12" i="30"/>
  <c r="G12" i="42" s="1"/>
  <c r="F12" i="30"/>
  <c r="G12" i="30"/>
  <c r="D13" i="30"/>
  <c r="F13" i="42" s="1"/>
  <c r="E13" i="30"/>
  <c r="G13" i="42" s="1"/>
  <c r="F13" i="30"/>
  <c r="G13" i="30"/>
  <c r="D14" i="30"/>
  <c r="E14" i="30"/>
  <c r="F14" i="30"/>
  <c r="G14" i="30"/>
  <c r="D15" i="30"/>
  <c r="F15" i="42" s="1"/>
  <c r="E15" i="30"/>
  <c r="G15" i="42" s="1"/>
  <c r="F15" i="30"/>
  <c r="G15" i="30"/>
  <c r="H16" i="30"/>
  <c r="I16" i="30"/>
  <c r="J16" i="30"/>
  <c r="J82" i="30" s="1"/>
  <c r="H650" i="44" s="1"/>
  <c r="K16" i="30"/>
  <c r="L16" i="30"/>
  <c r="M16" i="30"/>
  <c r="N16" i="30"/>
  <c r="O16" i="30"/>
  <c r="P16" i="30"/>
  <c r="Q16" i="30"/>
  <c r="Q82" i="30" s="1"/>
  <c r="O650" i="44" s="1"/>
  <c r="R16" i="30"/>
  <c r="S16" i="30"/>
  <c r="T16" i="30"/>
  <c r="U16" i="30"/>
  <c r="V16" i="30"/>
  <c r="W16" i="30"/>
  <c r="X16" i="30"/>
  <c r="Y16" i="30"/>
  <c r="Y82" i="30" s="1"/>
  <c r="W650" i="44" s="1"/>
  <c r="Z16" i="30"/>
  <c r="AA16" i="30"/>
  <c r="AB16" i="30"/>
  <c r="AC16" i="30"/>
  <c r="AC82" i="30" s="1"/>
  <c r="AA650" i="44" s="1"/>
  <c r="AD16" i="30"/>
  <c r="AE16" i="30"/>
  <c r="AF16" i="30"/>
  <c r="AG16" i="30"/>
  <c r="AG82" i="30" s="1"/>
  <c r="AH16" i="30"/>
  <c r="AI16" i="30"/>
  <c r="AJ16" i="30"/>
  <c r="AK16" i="30"/>
  <c r="AL16" i="30"/>
  <c r="AM16" i="30"/>
  <c r="AN16" i="30"/>
  <c r="AO16" i="30"/>
  <c r="AO82" i="30" s="1"/>
  <c r="D19" i="30"/>
  <c r="F19" i="30"/>
  <c r="G19" i="30"/>
  <c r="E19" i="30" s="1"/>
  <c r="G19" i="42" s="1"/>
  <c r="D20" i="30"/>
  <c r="F20" i="42" s="1"/>
  <c r="F20" i="30"/>
  <c r="G20" i="30"/>
  <c r="E20" i="30" s="1"/>
  <c r="D21" i="30"/>
  <c r="F21" i="42" s="1"/>
  <c r="E21" i="30"/>
  <c r="G21" i="42" s="1"/>
  <c r="I21" i="42" s="1"/>
  <c r="F21" i="30"/>
  <c r="G21" i="30"/>
  <c r="F22" i="30"/>
  <c r="G22" i="30"/>
  <c r="E22" i="30" s="1"/>
  <c r="E23" i="30"/>
  <c r="G23" i="42" s="1"/>
  <c r="F23" i="30"/>
  <c r="D23" i="30" s="1"/>
  <c r="F23" i="42" s="1"/>
  <c r="G23" i="30"/>
  <c r="G24" i="30"/>
  <c r="H24" i="30"/>
  <c r="I24" i="30"/>
  <c r="J24" i="30"/>
  <c r="K24" i="30"/>
  <c r="K82" i="30" s="1"/>
  <c r="I650" i="44" s="1"/>
  <c r="L24" i="30"/>
  <c r="M24" i="30"/>
  <c r="N24" i="30"/>
  <c r="O24" i="30"/>
  <c r="P24" i="30"/>
  <c r="Q24" i="30"/>
  <c r="R24" i="30"/>
  <c r="S24" i="30"/>
  <c r="S82" i="30" s="1"/>
  <c r="Q650" i="44" s="1"/>
  <c r="T24" i="30"/>
  <c r="U24" i="30"/>
  <c r="V24" i="30"/>
  <c r="W24" i="30"/>
  <c r="X24" i="30"/>
  <c r="Y24" i="30"/>
  <c r="Z24" i="30"/>
  <c r="AA24" i="30"/>
  <c r="AA82" i="30" s="1"/>
  <c r="Y650" i="44" s="1"/>
  <c r="AB24" i="30"/>
  <c r="AC24" i="30"/>
  <c r="AD24" i="30"/>
  <c r="AE24" i="30"/>
  <c r="AF24" i="30"/>
  <c r="AG24" i="30"/>
  <c r="AH24" i="30"/>
  <c r="AI24" i="30"/>
  <c r="AI82" i="30" s="1"/>
  <c r="AJ24" i="30"/>
  <c r="AK24" i="30"/>
  <c r="AL24" i="30"/>
  <c r="AM24" i="30"/>
  <c r="AN24" i="30"/>
  <c r="AO24" i="30"/>
  <c r="D27" i="30"/>
  <c r="E27" i="30"/>
  <c r="G27" i="42" s="1"/>
  <c r="F27" i="30"/>
  <c r="G27" i="30"/>
  <c r="D28" i="30"/>
  <c r="D29" i="30" s="1"/>
  <c r="E28" i="30"/>
  <c r="G28" i="42" s="1"/>
  <c r="F28" i="30"/>
  <c r="G28" i="30"/>
  <c r="G29" i="30" s="1"/>
  <c r="F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F32" i="30"/>
  <c r="G32" i="30"/>
  <c r="D33" i="30"/>
  <c r="F33" i="30"/>
  <c r="G33" i="30"/>
  <c r="E33" i="30" s="1"/>
  <c r="G33" i="42" s="1"/>
  <c r="D34" i="30"/>
  <c r="F34" i="30"/>
  <c r="G34" i="30"/>
  <c r="E34" i="30" s="1"/>
  <c r="G34" i="42" s="1"/>
  <c r="F35" i="30"/>
  <c r="D35" i="30" s="1"/>
  <c r="F35" i="42" s="1"/>
  <c r="G35" i="30"/>
  <c r="E35" i="30" s="1"/>
  <c r="H36" i="30"/>
  <c r="I36" i="30"/>
  <c r="J36" i="30"/>
  <c r="K36" i="30"/>
  <c r="L36" i="30"/>
  <c r="M36" i="30"/>
  <c r="N36" i="30"/>
  <c r="N82" i="30" s="1"/>
  <c r="L650" i="44" s="1"/>
  <c r="O36" i="30"/>
  <c r="P36" i="30"/>
  <c r="Q36" i="30"/>
  <c r="R36" i="30"/>
  <c r="R82" i="30" s="1"/>
  <c r="P650" i="44" s="1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H82" i="30" s="1"/>
  <c r="AI36" i="30"/>
  <c r="AJ36" i="30"/>
  <c r="AK36" i="30"/>
  <c r="AL36" i="30"/>
  <c r="AM36" i="30"/>
  <c r="AN36" i="30"/>
  <c r="AO36" i="30"/>
  <c r="D39" i="30"/>
  <c r="F39" i="30"/>
  <c r="G39" i="30"/>
  <c r="E39" i="30" s="1"/>
  <c r="G39" i="42" s="1"/>
  <c r="D40" i="30"/>
  <c r="E40" i="30"/>
  <c r="F40" i="30"/>
  <c r="G40" i="30"/>
  <c r="D41" i="30"/>
  <c r="F41" i="42" s="1"/>
  <c r="F41" i="30"/>
  <c r="G41" i="30"/>
  <c r="F42" i="30"/>
  <c r="F43" i="30" s="1"/>
  <c r="H42" i="30"/>
  <c r="H43" i="30" s="1"/>
  <c r="I42" i="30"/>
  <c r="I43" i="30" s="1"/>
  <c r="J42" i="30"/>
  <c r="K42" i="30"/>
  <c r="L42" i="30"/>
  <c r="L43" i="30" s="1"/>
  <c r="M42" i="30"/>
  <c r="M43" i="30" s="1"/>
  <c r="N42" i="30"/>
  <c r="N43" i="30" s="1"/>
  <c r="O42" i="30"/>
  <c r="P42" i="30"/>
  <c r="Q42" i="30"/>
  <c r="Q43" i="30" s="1"/>
  <c r="R42" i="30"/>
  <c r="R43" i="30" s="1"/>
  <c r="S42" i="30"/>
  <c r="T42" i="30"/>
  <c r="T43" i="30" s="1"/>
  <c r="T82" i="30" s="1"/>
  <c r="R650" i="44" s="1"/>
  <c r="U42" i="30"/>
  <c r="V42" i="30"/>
  <c r="W42" i="30"/>
  <c r="X42" i="30"/>
  <c r="X43" i="30" s="1"/>
  <c r="Y42" i="30"/>
  <c r="Y43" i="30" s="1"/>
  <c r="Z42" i="30"/>
  <c r="AA42" i="30"/>
  <c r="AB42" i="30"/>
  <c r="AB43" i="30" s="1"/>
  <c r="AC42" i="30"/>
  <c r="AD42" i="30"/>
  <c r="AE42" i="30"/>
  <c r="AF42" i="30"/>
  <c r="AF43" i="30" s="1"/>
  <c r="AG42" i="30"/>
  <c r="AG43" i="30" s="1"/>
  <c r="AH42" i="30"/>
  <c r="AI42" i="30"/>
  <c r="AJ42" i="30"/>
  <c r="AJ43" i="30" s="1"/>
  <c r="AJ82" i="30" s="1"/>
  <c r="AK42" i="30"/>
  <c r="AL42" i="30"/>
  <c r="AM42" i="30"/>
  <c r="AN42" i="30"/>
  <c r="AN43" i="30" s="1"/>
  <c r="AO42" i="30"/>
  <c r="AO43" i="30" s="1"/>
  <c r="J43" i="30"/>
  <c r="K43" i="30"/>
  <c r="O43" i="30"/>
  <c r="P43" i="30"/>
  <c r="P82" i="30" s="1"/>
  <c r="N650" i="44" s="1"/>
  <c r="S43" i="30"/>
  <c r="U43" i="30"/>
  <c r="V43" i="30"/>
  <c r="W43" i="30"/>
  <c r="Z43" i="30"/>
  <c r="AA43" i="30"/>
  <c r="AC43" i="30"/>
  <c r="AD43" i="30"/>
  <c r="AE43" i="30"/>
  <c r="AH43" i="30"/>
  <c r="AI43" i="30"/>
  <c r="AK43" i="30"/>
  <c r="AL43" i="30"/>
  <c r="AM43" i="30"/>
  <c r="E45" i="30"/>
  <c r="F45" i="30"/>
  <c r="D45" i="30" s="1"/>
  <c r="F45" i="42" s="1"/>
  <c r="H45" i="42" s="1"/>
  <c r="G45" i="30"/>
  <c r="E47" i="30"/>
  <c r="F47" i="30"/>
  <c r="D47" i="30" s="1"/>
  <c r="F47" i="42" s="1"/>
  <c r="G47" i="30"/>
  <c r="E49" i="30"/>
  <c r="G49" i="42" s="1"/>
  <c r="F49" i="30"/>
  <c r="D49" i="30" s="1"/>
  <c r="G49" i="30"/>
  <c r="D51" i="30"/>
  <c r="F51" i="42" s="1"/>
  <c r="E51" i="30"/>
  <c r="G51" i="42" s="1"/>
  <c r="F51" i="30"/>
  <c r="G51" i="30"/>
  <c r="E54" i="30"/>
  <c r="F54" i="30"/>
  <c r="D54" i="30" s="1"/>
  <c r="D56" i="30" s="1"/>
  <c r="G54" i="30"/>
  <c r="D55" i="30"/>
  <c r="F55" i="42" s="1"/>
  <c r="E55" i="30"/>
  <c r="G55" i="42" s="1"/>
  <c r="F55" i="30"/>
  <c r="G55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D61" i="30" s="1"/>
  <c r="F59" i="30"/>
  <c r="G59" i="30"/>
  <c r="E59" i="30" s="1"/>
  <c r="D60" i="30"/>
  <c r="E60" i="30"/>
  <c r="G60" i="42" s="1"/>
  <c r="F60" i="30"/>
  <c r="G60" i="30"/>
  <c r="G61" i="30" s="1"/>
  <c r="F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F65" i="30"/>
  <c r="G65" i="30"/>
  <c r="F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F70" i="30"/>
  <c r="G70" i="30"/>
  <c r="E70" i="30" s="1"/>
  <c r="E72" i="30" s="1"/>
  <c r="E84" i="30" s="1"/>
  <c r="F71" i="30"/>
  <c r="D71" i="30" s="1"/>
  <c r="F71" i="42" s="1"/>
  <c r="G71" i="30"/>
  <c r="E71" i="30" s="1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E73" i="30"/>
  <c r="F73" i="30"/>
  <c r="D73" i="30" s="1"/>
  <c r="F73" i="42" s="1"/>
  <c r="G73" i="30"/>
  <c r="E74" i="30"/>
  <c r="F74" i="30"/>
  <c r="D74" i="30" s="1"/>
  <c r="F74" i="42" s="1"/>
  <c r="G74" i="30"/>
  <c r="D75" i="30"/>
  <c r="E75" i="30"/>
  <c r="G75" i="42" s="1"/>
  <c r="F75" i="30"/>
  <c r="G75" i="30"/>
  <c r="E76" i="30"/>
  <c r="G76" i="42" s="1"/>
  <c r="F76" i="30"/>
  <c r="D76" i="30" s="1"/>
  <c r="G76" i="30"/>
  <c r="D77" i="30"/>
  <c r="E77" i="30"/>
  <c r="F77" i="30"/>
  <c r="G77" i="30"/>
  <c r="E78" i="30"/>
  <c r="G78" i="42" s="1"/>
  <c r="F78" i="30"/>
  <c r="D78" i="30" s="1"/>
  <c r="G78" i="30"/>
  <c r="D79" i="30"/>
  <c r="F79" i="42" s="1"/>
  <c r="E79" i="30"/>
  <c r="G79" i="42" s="1"/>
  <c r="I79" i="42" s="1"/>
  <c r="F79" i="30"/>
  <c r="G79" i="30"/>
  <c r="E80" i="30"/>
  <c r="G80" i="42" s="1"/>
  <c r="F80" i="30"/>
  <c r="D80" i="30" s="1"/>
  <c r="F80" i="42" s="1"/>
  <c r="G80" i="30"/>
  <c r="E81" i="30"/>
  <c r="G81" i="42" s="1"/>
  <c r="F81" i="30"/>
  <c r="D81" i="30" s="1"/>
  <c r="F81" i="42" s="1"/>
  <c r="G81" i="30"/>
  <c r="I82" i="30"/>
  <c r="G650" i="44" s="1"/>
  <c r="X82" i="30"/>
  <c r="V650" i="44" s="1"/>
  <c r="AB82" i="30"/>
  <c r="Z650" i="44" s="1"/>
  <c r="A5" i="42"/>
  <c r="F11" i="42"/>
  <c r="F12" i="42"/>
  <c r="D13" i="42"/>
  <c r="E13" i="42"/>
  <c r="H13" i="42"/>
  <c r="F14" i="42"/>
  <c r="G14" i="42"/>
  <c r="D19" i="42"/>
  <c r="F19" i="42"/>
  <c r="G20" i="42"/>
  <c r="E21" i="42"/>
  <c r="G22" i="42"/>
  <c r="D27" i="42"/>
  <c r="F27" i="42"/>
  <c r="E28" i="42"/>
  <c r="F28" i="42"/>
  <c r="D32" i="42"/>
  <c r="F33" i="42"/>
  <c r="H33" i="42"/>
  <c r="D34" i="42"/>
  <c r="F34" i="42"/>
  <c r="E35" i="42"/>
  <c r="G35" i="42"/>
  <c r="F39" i="42"/>
  <c r="E40" i="42"/>
  <c r="G40" i="42"/>
  <c r="D41" i="42"/>
  <c r="H41" i="42" s="1"/>
  <c r="D45" i="42"/>
  <c r="G45" i="42"/>
  <c r="G47" i="42"/>
  <c r="I47" i="42" s="1"/>
  <c r="F49" i="42"/>
  <c r="I49" i="42"/>
  <c r="D51" i="42"/>
  <c r="E51" i="42"/>
  <c r="H51" i="42"/>
  <c r="I51" i="42"/>
  <c r="F54" i="42"/>
  <c r="E55" i="42"/>
  <c r="I55" i="42"/>
  <c r="E59" i="42"/>
  <c r="F59" i="42"/>
  <c r="F60" i="42"/>
  <c r="G64" i="42"/>
  <c r="F65" i="42"/>
  <c r="D70" i="42"/>
  <c r="G70" i="42"/>
  <c r="G71" i="42"/>
  <c r="I71" i="42"/>
  <c r="D73" i="42"/>
  <c r="E73" i="42"/>
  <c r="G73" i="42"/>
  <c r="G74" i="42"/>
  <c r="F75" i="42"/>
  <c r="F76" i="42"/>
  <c r="I76" i="42"/>
  <c r="F77" i="42"/>
  <c r="G77" i="42"/>
  <c r="E78" i="42"/>
  <c r="F78" i="42"/>
  <c r="H79" i="42"/>
  <c r="E80" i="42"/>
  <c r="D81" i="42"/>
  <c r="A5" i="7"/>
  <c r="D11" i="7"/>
  <c r="E11" i="7"/>
  <c r="D12" i="7"/>
  <c r="E12" i="7"/>
  <c r="E94" i="7" s="1"/>
  <c r="E96" i="7" s="1"/>
  <c r="D13" i="7"/>
  <c r="E13" i="7"/>
  <c r="D14" i="7"/>
  <c r="E14" i="7"/>
  <c r="D15" i="7"/>
  <c r="E15" i="7"/>
  <c r="D16" i="7"/>
  <c r="F16" i="7"/>
  <c r="F82" i="7" s="1"/>
  <c r="F91" i="7" s="1"/>
  <c r="G16" i="7"/>
  <c r="H16" i="7"/>
  <c r="I16" i="7"/>
  <c r="J16" i="7"/>
  <c r="K16" i="7"/>
  <c r="L16" i="7"/>
  <c r="M16" i="7"/>
  <c r="N16" i="7"/>
  <c r="N82" i="7" s="1"/>
  <c r="N91" i="7" s="1"/>
  <c r="O16" i="7"/>
  <c r="P16" i="7"/>
  <c r="Q16" i="7"/>
  <c r="R16" i="7"/>
  <c r="S16" i="7"/>
  <c r="T16" i="7"/>
  <c r="U16" i="7"/>
  <c r="V16" i="7"/>
  <c r="V82" i="7" s="1"/>
  <c r="V91" i="7" s="1"/>
  <c r="W16" i="7"/>
  <c r="X16" i="7"/>
  <c r="Y16" i="7"/>
  <c r="Z16" i="7"/>
  <c r="AA16" i="7"/>
  <c r="AB16" i="7"/>
  <c r="AC16" i="7"/>
  <c r="AD16" i="7"/>
  <c r="AD82" i="7" s="1"/>
  <c r="AD91" i="7" s="1"/>
  <c r="AE16" i="7"/>
  <c r="AF16" i="7"/>
  <c r="AG16" i="7"/>
  <c r="D19" i="7"/>
  <c r="E19" i="7"/>
  <c r="D20" i="7"/>
  <c r="E20" i="7"/>
  <c r="D21" i="7"/>
  <c r="D24" i="7" s="1"/>
  <c r="E21" i="7"/>
  <c r="D22" i="7"/>
  <c r="E22" i="7"/>
  <c r="D23" i="7"/>
  <c r="E23" i="7"/>
  <c r="F24" i="7"/>
  <c r="G24" i="7"/>
  <c r="H24" i="7"/>
  <c r="I24" i="7"/>
  <c r="J24" i="7"/>
  <c r="K24" i="7"/>
  <c r="K82" i="7" s="1"/>
  <c r="L24" i="7"/>
  <c r="M24" i="7"/>
  <c r="N24" i="7"/>
  <c r="O24" i="7"/>
  <c r="P24" i="7"/>
  <c r="Q24" i="7"/>
  <c r="R24" i="7"/>
  <c r="S24" i="7"/>
  <c r="S82" i="7" s="1"/>
  <c r="S91" i="7" s="1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D27" i="7"/>
  <c r="E27" i="7"/>
  <c r="D28" i="7"/>
  <c r="E28" i="7"/>
  <c r="D29" i="7"/>
  <c r="E29" i="7"/>
  <c r="F29" i="7"/>
  <c r="G29" i="7"/>
  <c r="H29" i="7"/>
  <c r="I29" i="7"/>
  <c r="I82" i="7" s="1"/>
  <c r="I91" i="7" s="1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Y82" i="7" s="1"/>
  <c r="Y91" i="7" s="1"/>
  <c r="Z29" i="7"/>
  <c r="AA29" i="7"/>
  <c r="AB29" i="7"/>
  <c r="AC29" i="7"/>
  <c r="AD29" i="7"/>
  <c r="AE29" i="7"/>
  <c r="AF29" i="7"/>
  <c r="AG29" i="7"/>
  <c r="D32" i="7"/>
  <c r="E32" i="7"/>
  <c r="D33" i="7"/>
  <c r="D36" i="7" s="1"/>
  <c r="E33" i="7"/>
  <c r="E36" i="7" s="1"/>
  <c r="D34" i="7"/>
  <c r="E34" i="7"/>
  <c r="D35" i="7"/>
  <c r="E35" i="7"/>
  <c r="F36" i="7"/>
  <c r="G36" i="7"/>
  <c r="G82" i="7" s="1"/>
  <c r="G91" i="7" s="1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D39" i="7"/>
  <c r="E39" i="7"/>
  <c r="D40" i="7"/>
  <c r="E40" i="7"/>
  <c r="D41" i="7"/>
  <c r="E41" i="7"/>
  <c r="E42" i="7" s="1"/>
  <c r="E43" i="7" s="1"/>
  <c r="D42" i="7"/>
  <c r="D43" i="7" s="1"/>
  <c r="F42" i="7"/>
  <c r="G42" i="7"/>
  <c r="G43" i="7" s="1"/>
  <c r="H42" i="7"/>
  <c r="H43" i="7" s="1"/>
  <c r="I42" i="7"/>
  <c r="I43" i="7" s="1"/>
  <c r="J42" i="7"/>
  <c r="K42" i="7"/>
  <c r="L42" i="7"/>
  <c r="L43" i="7" s="1"/>
  <c r="M42" i="7"/>
  <c r="N42" i="7"/>
  <c r="O42" i="7"/>
  <c r="P42" i="7"/>
  <c r="P43" i="7" s="1"/>
  <c r="Q42" i="7"/>
  <c r="R42" i="7"/>
  <c r="R43" i="7" s="1"/>
  <c r="S42" i="7"/>
  <c r="T42" i="7"/>
  <c r="T43" i="7" s="1"/>
  <c r="U42" i="7"/>
  <c r="U43" i="7" s="1"/>
  <c r="V42" i="7"/>
  <c r="W42" i="7"/>
  <c r="X42" i="7"/>
  <c r="X43" i="7" s="1"/>
  <c r="Y42" i="7"/>
  <c r="Z42" i="7"/>
  <c r="Z43" i="7" s="1"/>
  <c r="AA42" i="7"/>
  <c r="AA43" i="7" s="1"/>
  <c r="AB42" i="7"/>
  <c r="AB43" i="7" s="1"/>
  <c r="AC42" i="7"/>
  <c r="AD42" i="7"/>
  <c r="AE42" i="7"/>
  <c r="AE43" i="7" s="1"/>
  <c r="AF42" i="7"/>
  <c r="AF43" i="7" s="1"/>
  <c r="AG42" i="7"/>
  <c r="F43" i="7"/>
  <c r="J43" i="7"/>
  <c r="J82" i="7" s="1"/>
  <c r="J91" i="7" s="1"/>
  <c r="K43" i="7"/>
  <c r="M43" i="7"/>
  <c r="N43" i="7"/>
  <c r="O43" i="7"/>
  <c r="Q43" i="7"/>
  <c r="S43" i="7"/>
  <c r="V43" i="7"/>
  <c r="W43" i="7"/>
  <c r="Y43" i="7"/>
  <c r="AC43" i="7"/>
  <c r="AD43" i="7"/>
  <c r="AG43" i="7"/>
  <c r="D45" i="7"/>
  <c r="E45" i="7"/>
  <c r="D47" i="7"/>
  <c r="E47" i="7"/>
  <c r="D49" i="7"/>
  <c r="E49" i="7"/>
  <c r="D51" i="7"/>
  <c r="E51" i="7"/>
  <c r="D54" i="7"/>
  <c r="E54" i="7"/>
  <c r="E56" i="7" s="1"/>
  <c r="D55" i="7"/>
  <c r="E55" i="7"/>
  <c r="D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D59" i="7"/>
  <c r="E59" i="7"/>
  <c r="E61" i="7" s="1"/>
  <c r="D60" i="7"/>
  <c r="E60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D64" i="7"/>
  <c r="D66" i="7" s="1"/>
  <c r="E64" i="7"/>
  <c r="D65" i="7"/>
  <c r="E65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D70" i="7"/>
  <c r="E70" i="7"/>
  <c r="D71" i="7"/>
  <c r="D72" i="7" s="1"/>
  <c r="E71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D73" i="7"/>
  <c r="E73" i="7"/>
  <c r="D74" i="7"/>
  <c r="E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Q82" i="7"/>
  <c r="Q91" i="7" s="1"/>
  <c r="U82" i="7"/>
  <c r="U91" i="7" s="1"/>
  <c r="Z82" i="7"/>
  <c r="D86" i="7"/>
  <c r="E86" i="7"/>
  <c r="E87" i="7"/>
  <c r="Z87" i="7"/>
  <c r="D88" i="7"/>
  <c r="E88" i="7"/>
  <c r="Z88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AA89" i="7"/>
  <c r="AB89" i="7"/>
  <c r="AC89" i="7"/>
  <c r="AD89" i="7"/>
  <c r="AE89" i="7"/>
  <c r="AF89" i="7"/>
  <c r="AG89" i="7"/>
  <c r="K91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5" i="5"/>
  <c r="A4" i="15"/>
  <c r="A5" i="15"/>
  <c r="D11" i="15"/>
  <c r="E11" i="15"/>
  <c r="J11" i="15"/>
  <c r="K11" i="15"/>
  <c r="D12" i="15"/>
  <c r="E12" i="15"/>
  <c r="J12" i="15"/>
  <c r="K12" i="15"/>
  <c r="K16" i="15" s="1"/>
  <c r="D13" i="15"/>
  <c r="E13" i="15"/>
  <c r="E16" i="15" s="1"/>
  <c r="J13" i="15"/>
  <c r="K13" i="15"/>
  <c r="D14" i="15"/>
  <c r="E14" i="15"/>
  <c r="J14" i="15"/>
  <c r="K14" i="15"/>
  <c r="D15" i="15"/>
  <c r="E15" i="15"/>
  <c r="J15" i="15"/>
  <c r="J16" i="15" s="1"/>
  <c r="K15" i="15"/>
  <c r="D19" i="15"/>
  <c r="D24" i="15" s="1"/>
  <c r="E19" i="15"/>
  <c r="J19" i="15"/>
  <c r="K19" i="15"/>
  <c r="D20" i="15"/>
  <c r="E20" i="15"/>
  <c r="J20" i="15"/>
  <c r="K20" i="15"/>
  <c r="D21" i="15"/>
  <c r="E21" i="15"/>
  <c r="J21" i="15"/>
  <c r="K21" i="15"/>
  <c r="D22" i="15"/>
  <c r="E22" i="15"/>
  <c r="H22" i="15"/>
  <c r="J22" i="15"/>
  <c r="K22" i="15"/>
  <c r="D23" i="15"/>
  <c r="E23" i="15"/>
  <c r="J23" i="15"/>
  <c r="K23" i="15"/>
  <c r="K24" i="15"/>
  <c r="D27" i="15"/>
  <c r="E27" i="15"/>
  <c r="J27" i="15"/>
  <c r="K27" i="15"/>
  <c r="D28" i="15"/>
  <c r="E28" i="15"/>
  <c r="E29" i="15" s="1"/>
  <c r="J28" i="15"/>
  <c r="K28" i="15"/>
  <c r="K29" i="15" s="1"/>
  <c r="D29" i="15"/>
  <c r="D32" i="15"/>
  <c r="E32" i="15"/>
  <c r="J32" i="15"/>
  <c r="K32" i="15"/>
  <c r="K36" i="15" s="1"/>
  <c r="D33" i="15"/>
  <c r="E33" i="15"/>
  <c r="E36" i="15" s="1"/>
  <c r="J33" i="15"/>
  <c r="J36" i="15" s="1"/>
  <c r="K33" i="15"/>
  <c r="D34" i="15"/>
  <c r="E34" i="15"/>
  <c r="J34" i="15"/>
  <c r="K34" i="15"/>
  <c r="D35" i="15"/>
  <c r="E35" i="15"/>
  <c r="J35" i="15"/>
  <c r="K35" i="15"/>
  <c r="L37" i="15"/>
  <c r="M37" i="15"/>
  <c r="D39" i="15"/>
  <c r="E39" i="15"/>
  <c r="J39" i="15"/>
  <c r="K39" i="15"/>
  <c r="D40" i="15"/>
  <c r="E40" i="15"/>
  <c r="J40" i="15"/>
  <c r="K40" i="15"/>
  <c r="K42" i="15" s="1"/>
  <c r="K43" i="15" s="1"/>
  <c r="D41" i="15"/>
  <c r="E41" i="15"/>
  <c r="J41" i="15"/>
  <c r="J42" i="15" s="1"/>
  <c r="J43" i="15" s="1"/>
  <c r="K41" i="15"/>
  <c r="D42" i="15"/>
  <c r="D43" i="15" s="1"/>
  <c r="E42" i="15"/>
  <c r="E43" i="15" s="1"/>
  <c r="D45" i="15"/>
  <c r="E45" i="15"/>
  <c r="J45" i="15"/>
  <c r="K45" i="15"/>
  <c r="D47" i="15"/>
  <c r="E47" i="15"/>
  <c r="J47" i="15"/>
  <c r="K47" i="15"/>
  <c r="D49" i="15"/>
  <c r="E49" i="15"/>
  <c r="J49" i="15"/>
  <c r="K49" i="15"/>
  <c r="D51" i="15"/>
  <c r="E51" i="15"/>
  <c r="J51" i="15"/>
  <c r="K51" i="15"/>
  <c r="D54" i="15"/>
  <c r="E54" i="15"/>
  <c r="J54" i="15"/>
  <c r="K54" i="15"/>
  <c r="K56" i="15" s="1"/>
  <c r="D55" i="15"/>
  <c r="E55" i="15"/>
  <c r="J55" i="15"/>
  <c r="K55" i="15"/>
  <c r="D56" i="15"/>
  <c r="E56" i="15"/>
  <c r="J56" i="15"/>
  <c r="D59" i="15"/>
  <c r="E59" i="15"/>
  <c r="J59" i="15"/>
  <c r="J61" i="15" s="1"/>
  <c r="K59" i="15"/>
  <c r="D60" i="15"/>
  <c r="E60" i="15"/>
  <c r="J60" i="15"/>
  <c r="K60" i="15"/>
  <c r="D61" i="15"/>
  <c r="K61" i="15"/>
  <c r="D64" i="15"/>
  <c r="E64" i="15"/>
  <c r="J64" i="15"/>
  <c r="K64" i="15"/>
  <c r="D65" i="15"/>
  <c r="E65" i="15"/>
  <c r="E66" i="15" s="1"/>
  <c r="J65" i="15"/>
  <c r="K65" i="15"/>
  <c r="D66" i="15"/>
  <c r="J66" i="15"/>
  <c r="K66" i="15"/>
  <c r="D70" i="15"/>
  <c r="D72" i="15" s="1"/>
  <c r="E70" i="15"/>
  <c r="J70" i="15"/>
  <c r="K70" i="15"/>
  <c r="D71" i="15"/>
  <c r="E71" i="15"/>
  <c r="J71" i="15"/>
  <c r="K71" i="15"/>
  <c r="E72" i="15"/>
  <c r="J72" i="15"/>
  <c r="D73" i="15"/>
  <c r="E73" i="15"/>
  <c r="J73" i="15"/>
  <c r="K73" i="15"/>
  <c r="D74" i="15"/>
  <c r="E74" i="15"/>
  <c r="J74" i="15"/>
  <c r="K74" i="15"/>
  <c r="D75" i="15"/>
  <c r="E75" i="15"/>
  <c r="J75" i="15"/>
  <c r="K75" i="15"/>
  <c r="D76" i="15"/>
  <c r="E76" i="15"/>
  <c r="J76" i="15"/>
  <c r="K76" i="15"/>
  <c r="D77" i="15"/>
  <c r="E77" i="15"/>
  <c r="J77" i="15"/>
  <c r="K77" i="15"/>
  <c r="D78" i="15"/>
  <c r="E78" i="15"/>
  <c r="J78" i="15"/>
  <c r="K78" i="15"/>
  <c r="D79" i="15"/>
  <c r="E79" i="15"/>
  <c r="J79" i="15"/>
  <c r="K79" i="15"/>
  <c r="D80" i="15"/>
  <c r="E80" i="15"/>
  <c r="J80" i="15"/>
  <c r="K80" i="15"/>
  <c r="D81" i="15"/>
  <c r="E81" i="15"/>
  <c r="J81" i="15"/>
  <c r="K81" i="15"/>
  <c r="D86" i="15"/>
  <c r="E86" i="15"/>
  <c r="H86" i="15"/>
  <c r="J86" i="15"/>
  <c r="K86" i="15"/>
  <c r="K89" i="15" s="1"/>
  <c r="D87" i="15"/>
  <c r="E87" i="15"/>
  <c r="J87" i="15"/>
  <c r="K87" i="15"/>
  <c r="D88" i="15"/>
  <c r="E88" i="15"/>
  <c r="J88" i="15"/>
  <c r="J89" i="15" s="1"/>
  <c r="K88" i="15"/>
  <c r="D89" i="15"/>
  <c r="A5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F11" i="27"/>
  <c r="G11" i="27"/>
  <c r="J11" i="27"/>
  <c r="AF11" i="27"/>
  <c r="AG11" i="27"/>
  <c r="AG16" i="27" s="1"/>
  <c r="AH11" i="27"/>
  <c r="AI11" i="27"/>
  <c r="AJ11" i="27"/>
  <c r="AK11" i="27"/>
  <c r="AK16" i="27" s="1"/>
  <c r="AL11" i="27"/>
  <c r="AM11" i="27"/>
  <c r="AN11" i="27"/>
  <c r="AO11" i="27"/>
  <c r="F12" i="27"/>
  <c r="G12" i="27"/>
  <c r="O12" i="27"/>
  <c r="Y12" i="27"/>
  <c r="AF12" i="27"/>
  <c r="AG12" i="27"/>
  <c r="AH12" i="27"/>
  <c r="AH16" i="27" s="1"/>
  <c r="AI12" i="27"/>
  <c r="AJ12" i="27"/>
  <c r="AK12" i="27"/>
  <c r="AL12" i="27"/>
  <c r="AL16" i="27" s="1"/>
  <c r="AM12" i="27"/>
  <c r="AN12" i="27"/>
  <c r="AO12" i="27"/>
  <c r="F13" i="27"/>
  <c r="G13" i="27"/>
  <c r="S13" i="27"/>
  <c r="AF13" i="27"/>
  <c r="AG13" i="27"/>
  <c r="AH13" i="27"/>
  <c r="AI13" i="27"/>
  <c r="AI16" i="27" s="1"/>
  <c r="AJ13" i="27"/>
  <c r="AK13" i="27"/>
  <c r="AL13" i="27"/>
  <c r="AM13" i="27"/>
  <c r="AN13" i="27"/>
  <c r="AO13" i="27"/>
  <c r="F14" i="27"/>
  <c r="G14" i="27"/>
  <c r="AF14" i="27"/>
  <c r="AG14" i="27"/>
  <c r="AH14" i="27"/>
  <c r="AI14" i="27"/>
  <c r="AJ14" i="27"/>
  <c r="AK14" i="27"/>
  <c r="AL14" i="27"/>
  <c r="AM14" i="27"/>
  <c r="AN14" i="27"/>
  <c r="AO14" i="27"/>
  <c r="F15" i="27"/>
  <c r="G15" i="27"/>
  <c r="AF15" i="27"/>
  <c r="AG15" i="27"/>
  <c r="AH15" i="27"/>
  <c r="AI15" i="27"/>
  <c r="AJ15" i="27"/>
  <c r="AK15" i="27"/>
  <c r="AL15" i="27"/>
  <c r="AM15" i="27"/>
  <c r="AN15" i="27"/>
  <c r="AO15" i="27"/>
  <c r="AO16" i="27"/>
  <c r="F19" i="27"/>
  <c r="G19" i="27"/>
  <c r="AF19" i="27"/>
  <c r="AG19" i="27"/>
  <c r="AH19" i="27"/>
  <c r="AI19" i="27"/>
  <c r="AI24" i="27" s="1"/>
  <c r="AJ19" i="27"/>
  <c r="AK19" i="27"/>
  <c r="AL19" i="27"/>
  <c r="AM19" i="27"/>
  <c r="AN19" i="27"/>
  <c r="AO19" i="27"/>
  <c r="F20" i="27"/>
  <c r="G20" i="27"/>
  <c r="AF20" i="27"/>
  <c r="AG20" i="27"/>
  <c r="AH20" i="27"/>
  <c r="AH24" i="27" s="1"/>
  <c r="AI20" i="27"/>
  <c r="AJ20" i="27"/>
  <c r="AK20" i="27"/>
  <c r="AK24" i="27" s="1"/>
  <c r="AL20" i="27"/>
  <c r="AL24" i="27" s="1"/>
  <c r="AM20" i="27"/>
  <c r="AN20" i="27"/>
  <c r="AO20" i="27"/>
  <c r="F21" i="27"/>
  <c r="G21" i="27"/>
  <c r="AF21" i="27"/>
  <c r="AG21" i="27"/>
  <c r="AH21" i="27"/>
  <c r="AI21" i="27"/>
  <c r="AJ21" i="27"/>
  <c r="AK21" i="27"/>
  <c r="AL21" i="27"/>
  <c r="AM21" i="27"/>
  <c r="AM24" i="27" s="1"/>
  <c r="AN21" i="27"/>
  <c r="AO21" i="27"/>
  <c r="F22" i="27"/>
  <c r="G22" i="27"/>
  <c r="AF22" i="27"/>
  <c r="AG22" i="27"/>
  <c r="AH22" i="27"/>
  <c r="AI22" i="27"/>
  <c r="AJ22" i="27"/>
  <c r="AK22" i="27"/>
  <c r="AL22" i="27"/>
  <c r="AM22" i="27"/>
  <c r="AN22" i="27"/>
  <c r="AO22" i="27"/>
  <c r="F23" i="27"/>
  <c r="G23" i="27"/>
  <c r="AF23" i="27"/>
  <c r="AG23" i="27"/>
  <c r="AH23" i="27"/>
  <c r="AI23" i="27"/>
  <c r="AJ23" i="27"/>
  <c r="AK23" i="27"/>
  <c r="AL23" i="27"/>
  <c r="AM23" i="27"/>
  <c r="AN23" i="27"/>
  <c r="AO23" i="27"/>
  <c r="F27" i="27"/>
  <c r="G27" i="27"/>
  <c r="AF27" i="27"/>
  <c r="AG27" i="27"/>
  <c r="AG29" i="27" s="1"/>
  <c r="AH27" i="27"/>
  <c r="AI27" i="27"/>
  <c r="AJ27" i="27"/>
  <c r="AJ29" i="27" s="1"/>
  <c r="AK27" i="27"/>
  <c r="AL27" i="27"/>
  <c r="AM27" i="27"/>
  <c r="AM29" i="27" s="1"/>
  <c r="AN27" i="27"/>
  <c r="AO27" i="27"/>
  <c r="AO29" i="27" s="1"/>
  <c r="F28" i="27"/>
  <c r="G28" i="27"/>
  <c r="R28" i="27"/>
  <c r="AF28" i="27"/>
  <c r="AG28" i="27"/>
  <c r="AH28" i="27"/>
  <c r="AI28" i="27"/>
  <c r="AJ28" i="27"/>
  <c r="AK28" i="27"/>
  <c r="AL28" i="27"/>
  <c r="AL29" i="27" s="1"/>
  <c r="AM28" i="27"/>
  <c r="AN28" i="27"/>
  <c r="AO28" i="27"/>
  <c r="AF29" i="27"/>
  <c r="AI29" i="27"/>
  <c r="AK29" i="27"/>
  <c r="AN29" i="27"/>
  <c r="F32" i="27"/>
  <c r="G32" i="27"/>
  <c r="AC32" i="27"/>
  <c r="AD32" i="27"/>
  <c r="AF32" i="27"/>
  <c r="AG32" i="27"/>
  <c r="AH32" i="27"/>
  <c r="AI32" i="27"/>
  <c r="AJ32" i="27"/>
  <c r="AK32" i="27"/>
  <c r="AL32" i="27"/>
  <c r="AL36" i="27" s="1"/>
  <c r="AM32" i="27"/>
  <c r="AN32" i="27"/>
  <c r="AO32" i="27"/>
  <c r="F33" i="27"/>
  <c r="G33" i="27"/>
  <c r="AF33" i="27"/>
  <c r="AF36" i="27" s="1"/>
  <c r="AG33" i="27"/>
  <c r="AG36" i="27" s="1"/>
  <c r="AH33" i="27"/>
  <c r="AI33" i="27"/>
  <c r="AJ33" i="27"/>
  <c r="AJ36" i="27" s="1"/>
  <c r="AK33" i="27"/>
  <c r="AL33" i="27"/>
  <c r="AM33" i="27"/>
  <c r="AM36" i="27" s="1"/>
  <c r="AN33" i="27"/>
  <c r="AN36" i="27" s="1"/>
  <c r="AO33" i="27"/>
  <c r="AO36" i="27" s="1"/>
  <c r="F34" i="27"/>
  <c r="G34" i="27"/>
  <c r="AF34" i="27"/>
  <c r="AG34" i="27"/>
  <c r="AH34" i="27"/>
  <c r="AI34" i="27"/>
  <c r="AJ34" i="27"/>
  <c r="AK34" i="27"/>
  <c r="AL34" i="27"/>
  <c r="AM34" i="27"/>
  <c r="AN34" i="27"/>
  <c r="AO34" i="27"/>
  <c r="F35" i="27"/>
  <c r="G35" i="27"/>
  <c r="AF35" i="27"/>
  <c r="AG35" i="27"/>
  <c r="AH35" i="27"/>
  <c r="AI35" i="27"/>
  <c r="AJ35" i="27"/>
  <c r="AK35" i="27"/>
  <c r="AL35" i="27"/>
  <c r="AM35" i="27"/>
  <c r="AN35" i="27"/>
  <c r="AO35" i="27"/>
  <c r="AH36" i="27"/>
  <c r="AK36" i="27"/>
  <c r="F39" i="27"/>
  <c r="G39" i="27"/>
  <c r="AF39" i="27"/>
  <c r="AG39" i="27"/>
  <c r="AH39" i="27"/>
  <c r="AI39" i="27"/>
  <c r="AJ39" i="27"/>
  <c r="AK39" i="27"/>
  <c r="AL39" i="27"/>
  <c r="AM39" i="27"/>
  <c r="AN39" i="27"/>
  <c r="AN43" i="27" s="1"/>
  <c r="AO39" i="27"/>
  <c r="F40" i="27"/>
  <c r="G40" i="27"/>
  <c r="V40" i="27"/>
  <c r="AF40" i="27"/>
  <c r="AG40" i="27"/>
  <c r="AG42" i="27" s="1"/>
  <c r="AG43" i="27" s="1"/>
  <c r="AH40" i="27"/>
  <c r="AI40" i="27"/>
  <c r="AJ40" i="27"/>
  <c r="AJ42" i="27" s="1"/>
  <c r="AJ43" i="27" s="1"/>
  <c r="AK40" i="27"/>
  <c r="AL40" i="27"/>
  <c r="AM40" i="27"/>
  <c r="AN40" i="27"/>
  <c r="AO40" i="27"/>
  <c r="AO42" i="27" s="1"/>
  <c r="AO43" i="27" s="1"/>
  <c r="F41" i="27"/>
  <c r="G41" i="27"/>
  <c r="AF41" i="27"/>
  <c r="AF42" i="27" s="1"/>
  <c r="AG41" i="27"/>
  <c r="AH41" i="27"/>
  <c r="AI41" i="27"/>
  <c r="AJ41" i="27"/>
  <c r="AK41" i="27"/>
  <c r="AL41" i="27"/>
  <c r="AM41" i="27"/>
  <c r="AN41" i="27"/>
  <c r="AN42" i="27" s="1"/>
  <c r="AO41" i="27"/>
  <c r="G42" i="27"/>
  <c r="AH42" i="27"/>
  <c r="AH43" i="27" s="1"/>
  <c r="AK42" i="27"/>
  <c r="AK43" i="27" s="1"/>
  <c r="AL42" i="27"/>
  <c r="AL43" i="27" s="1"/>
  <c r="AM42" i="27"/>
  <c r="AF43" i="27"/>
  <c r="AM43" i="27"/>
  <c r="F45" i="27"/>
  <c r="G45" i="27"/>
  <c r="I45" i="27"/>
  <c r="R45" i="27"/>
  <c r="AF45" i="27"/>
  <c r="AG45" i="27"/>
  <c r="AH45" i="27"/>
  <c r="AI45" i="27"/>
  <c r="AJ45" i="27"/>
  <c r="AK45" i="27"/>
  <c r="AL45" i="27"/>
  <c r="AM45" i="27"/>
  <c r="AN45" i="27"/>
  <c r="AO45" i="27"/>
  <c r="F47" i="27"/>
  <c r="G47" i="27"/>
  <c r="L47" i="27"/>
  <c r="T47" i="27"/>
  <c r="AF47" i="27"/>
  <c r="AG47" i="27"/>
  <c r="AH47" i="27"/>
  <c r="AI47" i="27"/>
  <c r="AJ47" i="27"/>
  <c r="AK47" i="27"/>
  <c r="AL47" i="27"/>
  <c r="AM47" i="27"/>
  <c r="AN47" i="27"/>
  <c r="AO47" i="27"/>
  <c r="F49" i="27"/>
  <c r="G49" i="27"/>
  <c r="AC49" i="27"/>
  <c r="AF49" i="27"/>
  <c r="AG49" i="27"/>
  <c r="AH49" i="27"/>
  <c r="AI49" i="27"/>
  <c r="AJ49" i="27"/>
  <c r="AK49" i="27"/>
  <c r="AL49" i="27"/>
  <c r="AM49" i="27"/>
  <c r="AN49" i="27"/>
  <c r="AO49" i="27"/>
  <c r="F51" i="27"/>
  <c r="G51" i="27"/>
  <c r="L51" i="27"/>
  <c r="AF51" i="27"/>
  <c r="AG51" i="27"/>
  <c r="AH51" i="27"/>
  <c r="AI51" i="27"/>
  <c r="AJ51" i="27"/>
  <c r="AK51" i="27"/>
  <c r="AL51" i="27"/>
  <c r="AM51" i="27"/>
  <c r="AN51" i="27"/>
  <c r="AO51" i="27"/>
  <c r="F54" i="27"/>
  <c r="G54" i="27"/>
  <c r="AF54" i="27"/>
  <c r="AG54" i="27"/>
  <c r="AG56" i="27" s="1"/>
  <c r="AH54" i="27"/>
  <c r="AH56" i="27" s="1"/>
  <c r="AI54" i="27"/>
  <c r="AJ54" i="27"/>
  <c r="AK54" i="27"/>
  <c r="AL54" i="27"/>
  <c r="AM54" i="27"/>
  <c r="AN54" i="27"/>
  <c r="AO54" i="27"/>
  <c r="AO56" i="27" s="1"/>
  <c r="F55" i="27"/>
  <c r="G55" i="27"/>
  <c r="AD55" i="27"/>
  <c r="AF55" i="27"/>
  <c r="AG55" i="27"/>
  <c r="AH55" i="27"/>
  <c r="AI55" i="27"/>
  <c r="AJ55" i="27"/>
  <c r="AK55" i="27"/>
  <c r="AL55" i="27"/>
  <c r="AM55" i="27"/>
  <c r="AN55" i="27"/>
  <c r="AO55" i="27"/>
  <c r="F56" i="27"/>
  <c r="G56" i="27"/>
  <c r="AF56" i="27"/>
  <c r="AK56" i="27"/>
  <c r="AL56" i="27"/>
  <c r="AM56" i="27"/>
  <c r="AN56" i="27"/>
  <c r="F59" i="27"/>
  <c r="G59" i="27"/>
  <c r="J59" i="27"/>
  <c r="AF59" i="27"/>
  <c r="AG59" i="27"/>
  <c r="AG61" i="27" s="1"/>
  <c r="AH59" i="27"/>
  <c r="AH61" i="27" s="1"/>
  <c r="AI59" i="27"/>
  <c r="AJ59" i="27"/>
  <c r="AK59" i="27"/>
  <c r="AL59" i="27"/>
  <c r="AM59" i="27"/>
  <c r="AM61" i="27" s="1"/>
  <c r="AN59" i="27"/>
  <c r="AN61" i="27" s="1"/>
  <c r="AO59" i="27"/>
  <c r="AO61" i="27" s="1"/>
  <c r="F60" i="27"/>
  <c r="G60" i="27"/>
  <c r="Y60" i="27"/>
  <c r="AF60" i="27"/>
  <c r="AG60" i="27"/>
  <c r="AH60" i="27"/>
  <c r="AI60" i="27"/>
  <c r="AI61" i="27" s="1"/>
  <c r="AJ60" i="27"/>
  <c r="AK60" i="27"/>
  <c r="AL60" i="27"/>
  <c r="AL61" i="27" s="1"/>
  <c r="AM60" i="27"/>
  <c r="AN60" i="27"/>
  <c r="AO60" i="27"/>
  <c r="AF61" i="27"/>
  <c r="AJ61" i="27"/>
  <c r="AK61" i="27"/>
  <c r="F64" i="27"/>
  <c r="G64" i="27"/>
  <c r="G66" i="27" s="1"/>
  <c r="R64" i="27"/>
  <c r="AF64" i="27"/>
  <c r="AF66" i="27" s="1"/>
  <c r="AG64" i="27"/>
  <c r="AH64" i="27"/>
  <c r="AH66" i="27" s="1"/>
  <c r="AI64" i="27"/>
  <c r="AJ64" i="27"/>
  <c r="AK64" i="27"/>
  <c r="AK66" i="27" s="1"/>
  <c r="AL64" i="27"/>
  <c r="AM64" i="27"/>
  <c r="AN64" i="27"/>
  <c r="AN66" i="27" s="1"/>
  <c r="AO64" i="27"/>
  <c r="F65" i="27"/>
  <c r="G65" i="27"/>
  <c r="AB65" i="27"/>
  <c r="AF65" i="27"/>
  <c r="AG65" i="27"/>
  <c r="AH65" i="27"/>
  <c r="AI65" i="27"/>
  <c r="AJ65" i="27"/>
  <c r="AK65" i="27"/>
  <c r="AL65" i="27"/>
  <c r="AM65" i="27"/>
  <c r="AN65" i="27"/>
  <c r="AO65" i="27"/>
  <c r="AO66" i="27" s="1"/>
  <c r="F66" i="27"/>
  <c r="AG66" i="27"/>
  <c r="AI66" i="27"/>
  <c r="AJ66" i="27"/>
  <c r="AL66" i="27"/>
  <c r="F70" i="27"/>
  <c r="G70" i="27"/>
  <c r="K70" i="27"/>
  <c r="AD70" i="27"/>
  <c r="AF70" i="27"/>
  <c r="AG70" i="27"/>
  <c r="AH70" i="27"/>
  <c r="AI70" i="27"/>
  <c r="AI72" i="27" s="1"/>
  <c r="AJ70" i="27"/>
  <c r="AK70" i="27"/>
  <c r="AL70" i="27"/>
  <c r="AM70" i="27"/>
  <c r="AN70" i="27"/>
  <c r="AN72" i="27" s="1"/>
  <c r="AO70" i="27"/>
  <c r="F71" i="27"/>
  <c r="G71" i="27"/>
  <c r="P71" i="27"/>
  <c r="R71" i="27"/>
  <c r="AF71" i="27"/>
  <c r="AG71" i="27"/>
  <c r="AH71" i="27"/>
  <c r="AH72" i="27" s="1"/>
  <c r="AI71" i="27"/>
  <c r="AJ71" i="27"/>
  <c r="AK71" i="27"/>
  <c r="AL71" i="27"/>
  <c r="AM71" i="27"/>
  <c r="AM72" i="27" s="1"/>
  <c r="AN71" i="27"/>
  <c r="AO71" i="27"/>
  <c r="G72" i="27"/>
  <c r="AF72" i="27"/>
  <c r="AG72" i="27"/>
  <c r="AJ72" i="27"/>
  <c r="AO72" i="27"/>
  <c r="F73" i="27"/>
  <c r="G73" i="27"/>
  <c r="V73" i="27"/>
  <c r="Y73" i="27"/>
  <c r="AF73" i="27"/>
  <c r="AG73" i="27"/>
  <c r="AH73" i="27"/>
  <c r="AI73" i="27"/>
  <c r="AJ73" i="27"/>
  <c r="AK73" i="27"/>
  <c r="AL73" i="27"/>
  <c r="AM73" i="27"/>
  <c r="AN73" i="27"/>
  <c r="AO73" i="27"/>
  <c r="F74" i="27"/>
  <c r="G74" i="27"/>
  <c r="N74" i="27"/>
  <c r="AF74" i="27"/>
  <c r="AG74" i="27"/>
  <c r="AH74" i="27"/>
  <c r="AI74" i="27"/>
  <c r="AJ74" i="27"/>
  <c r="AK74" i="27"/>
  <c r="AL74" i="27"/>
  <c r="AM74" i="27"/>
  <c r="AN74" i="27"/>
  <c r="AO74" i="27"/>
  <c r="F75" i="27"/>
  <c r="G75" i="27"/>
  <c r="J75" i="27"/>
  <c r="AF75" i="27"/>
  <c r="AG75" i="27"/>
  <c r="AH75" i="27"/>
  <c r="AI75" i="27"/>
  <c r="AJ75" i="27"/>
  <c r="AK75" i="27"/>
  <c r="AL75" i="27"/>
  <c r="AM75" i="27"/>
  <c r="AN75" i="27"/>
  <c r="AO75" i="27"/>
  <c r="F76" i="27"/>
  <c r="G76" i="27"/>
  <c r="W76" i="27"/>
  <c r="AF76" i="27"/>
  <c r="AG76" i="27"/>
  <c r="AH76" i="27"/>
  <c r="AI76" i="27"/>
  <c r="AJ76" i="27"/>
  <c r="AK76" i="27"/>
  <c r="AL76" i="27"/>
  <c r="AM76" i="27"/>
  <c r="AN76" i="27"/>
  <c r="AO76" i="27"/>
  <c r="F77" i="27"/>
  <c r="G77" i="27"/>
  <c r="AF77" i="27"/>
  <c r="AG77" i="27"/>
  <c r="AH77" i="27"/>
  <c r="AI77" i="27"/>
  <c r="AJ77" i="27"/>
  <c r="AK77" i="27"/>
  <c r="AL77" i="27"/>
  <c r="AM77" i="27"/>
  <c r="AN77" i="27"/>
  <c r="AO77" i="27"/>
  <c r="F78" i="27"/>
  <c r="G78" i="27"/>
  <c r="AF78" i="27"/>
  <c r="AG78" i="27"/>
  <c r="AH78" i="27"/>
  <c r="AI78" i="27"/>
  <c r="AJ78" i="27"/>
  <c r="AK78" i="27"/>
  <c r="AL78" i="27"/>
  <c r="AM78" i="27"/>
  <c r="AN78" i="27"/>
  <c r="AO78" i="27"/>
  <c r="F79" i="27"/>
  <c r="G79" i="27"/>
  <c r="O79" i="27"/>
  <c r="AF79" i="27"/>
  <c r="AG79" i="27"/>
  <c r="AH79" i="27"/>
  <c r="AI79" i="27"/>
  <c r="AJ79" i="27"/>
  <c r="AK79" i="27"/>
  <c r="AL79" i="27"/>
  <c r="AM79" i="27"/>
  <c r="AN79" i="27"/>
  <c r="AO79" i="27"/>
  <c r="F80" i="27"/>
  <c r="G80" i="27"/>
  <c r="AF80" i="27"/>
  <c r="AG80" i="27"/>
  <c r="AH80" i="27"/>
  <c r="AI80" i="27"/>
  <c r="AJ80" i="27"/>
  <c r="AK80" i="27"/>
  <c r="AL80" i="27"/>
  <c r="AM80" i="27"/>
  <c r="AN80" i="27"/>
  <c r="AO80" i="27"/>
  <c r="F81" i="27"/>
  <c r="G81" i="27"/>
  <c r="T81" i="27"/>
  <c r="AF81" i="27"/>
  <c r="AG81" i="27"/>
  <c r="AH81" i="27"/>
  <c r="AI81" i="27"/>
  <c r="AJ81" i="27"/>
  <c r="AK81" i="27"/>
  <c r="AL81" i="27"/>
  <c r="AM81" i="27"/>
  <c r="AN81" i="27"/>
  <c r="AO81" i="27"/>
  <c r="F86" i="27"/>
  <c r="G86" i="27"/>
  <c r="H86" i="27"/>
  <c r="I86" i="27"/>
  <c r="J86" i="27"/>
  <c r="K86" i="27"/>
  <c r="L86" i="27"/>
  <c r="M86" i="27"/>
  <c r="M89" i="27" s="1"/>
  <c r="N86" i="27"/>
  <c r="N89" i="27" s="1"/>
  <c r="O86" i="27"/>
  <c r="O89" i="27" s="1"/>
  <c r="P86" i="27"/>
  <c r="Q86" i="27"/>
  <c r="R86" i="27"/>
  <c r="S86" i="27"/>
  <c r="T86" i="27"/>
  <c r="U86" i="27"/>
  <c r="V86" i="27"/>
  <c r="W86" i="27"/>
  <c r="W89" i="27" s="1"/>
  <c r="X86" i="27"/>
  <c r="Y86" i="27"/>
  <c r="Z86" i="27"/>
  <c r="AA86" i="27"/>
  <c r="AB86" i="27"/>
  <c r="AC86" i="27"/>
  <c r="AC89" i="27" s="1"/>
  <c r="AD86" i="27"/>
  <c r="AD89" i="27" s="1"/>
  <c r="AE86" i="27"/>
  <c r="AE89" i="27" s="1"/>
  <c r="AF86" i="27"/>
  <c r="AG86" i="27"/>
  <c r="AH86" i="27"/>
  <c r="AI86" i="27"/>
  <c r="AJ86" i="27"/>
  <c r="AK86" i="27"/>
  <c r="AL86" i="27"/>
  <c r="AM86" i="27"/>
  <c r="AM89" i="27" s="1"/>
  <c r="AN86" i="27"/>
  <c r="AO86" i="27"/>
  <c r="F87" i="27"/>
  <c r="G87" i="27"/>
  <c r="H87" i="27"/>
  <c r="H89" i="27" s="1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N89" i="27" s="1"/>
  <c r="AO87" i="27"/>
  <c r="F88" i="27"/>
  <c r="G88" i="27"/>
  <c r="H88" i="27"/>
  <c r="I88" i="27"/>
  <c r="J88" i="27"/>
  <c r="K88" i="27"/>
  <c r="K89" i="27" s="1"/>
  <c r="L88" i="27"/>
  <c r="M88" i="27"/>
  <c r="N88" i="27"/>
  <c r="O88" i="27"/>
  <c r="P88" i="27"/>
  <c r="Q88" i="27"/>
  <c r="R88" i="27"/>
  <c r="S88" i="27"/>
  <c r="S89" i="27" s="1"/>
  <c r="T88" i="27"/>
  <c r="T89" i="27" s="1"/>
  <c r="U88" i="27"/>
  <c r="V88" i="27"/>
  <c r="W88" i="27"/>
  <c r="X88" i="27"/>
  <c r="Y88" i="27"/>
  <c r="Z88" i="27"/>
  <c r="AA88" i="27"/>
  <c r="AB88" i="27"/>
  <c r="AB89" i="27" s="1"/>
  <c r="AC88" i="27"/>
  <c r="AD88" i="27"/>
  <c r="AE88" i="27"/>
  <c r="AF88" i="27"/>
  <c r="AG88" i="27"/>
  <c r="AH88" i="27"/>
  <c r="AI88" i="27"/>
  <c r="AI89" i="27" s="1"/>
  <c r="AJ88" i="27"/>
  <c r="AJ89" i="27" s="1"/>
  <c r="AK88" i="27"/>
  <c r="AL88" i="27"/>
  <c r="AM88" i="27"/>
  <c r="AN88" i="27"/>
  <c r="AO88" i="27"/>
  <c r="F89" i="27"/>
  <c r="L89" i="27"/>
  <c r="P89" i="27"/>
  <c r="U89" i="27"/>
  <c r="V89" i="27"/>
  <c r="X89" i="27"/>
  <c r="AA89" i="27"/>
  <c r="AF89" i="27"/>
  <c r="AK89" i="27"/>
  <c r="AL89" i="27"/>
  <c r="A4" i="39"/>
  <c r="A5" i="39"/>
  <c r="A4" i="13"/>
  <c r="A5" i="13"/>
  <c r="F11" i="13"/>
  <c r="H11" i="13"/>
  <c r="I11" i="13"/>
  <c r="L11" i="13"/>
  <c r="D11" i="37" s="1"/>
  <c r="H12" i="13"/>
  <c r="I12" i="13"/>
  <c r="F13" i="13"/>
  <c r="H13" i="13"/>
  <c r="I13" i="13"/>
  <c r="L13" i="13"/>
  <c r="F14" i="13"/>
  <c r="G14" i="13"/>
  <c r="H14" i="13"/>
  <c r="I14" i="13"/>
  <c r="M14" i="13"/>
  <c r="F15" i="13"/>
  <c r="H15" i="13"/>
  <c r="I15" i="13"/>
  <c r="L15" i="13"/>
  <c r="D15" i="37" s="1"/>
  <c r="I16" i="13"/>
  <c r="J16" i="13"/>
  <c r="K16" i="13"/>
  <c r="H18" i="13"/>
  <c r="I18" i="13"/>
  <c r="H19" i="13"/>
  <c r="I19" i="13"/>
  <c r="G20" i="13"/>
  <c r="H20" i="13"/>
  <c r="I20" i="13"/>
  <c r="F21" i="13"/>
  <c r="H21" i="13"/>
  <c r="I21" i="13"/>
  <c r="L21" i="13"/>
  <c r="D21" i="37" s="1"/>
  <c r="M21" i="13"/>
  <c r="E21" i="37" s="1"/>
  <c r="F22" i="13"/>
  <c r="G22" i="13"/>
  <c r="H22" i="13"/>
  <c r="L22" i="13" s="1"/>
  <c r="I22" i="13"/>
  <c r="M22" i="13"/>
  <c r="E22" i="37" s="1"/>
  <c r="H23" i="13"/>
  <c r="I23" i="13"/>
  <c r="H24" i="13"/>
  <c r="J24" i="13"/>
  <c r="K24" i="13"/>
  <c r="G27" i="13"/>
  <c r="H27" i="13"/>
  <c r="I27" i="13"/>
  <c r="L27" i="13"/>
  <c r="M27" i="13"/>
  <c r="F28" i="13"/>
  <c r="H28" i="13"/>
  <c r="I28" i="13"/>
  <c r="L28" i="13"/>
  <c r="H29" i="13"/>
  <c r="J29" i="13"/>
  <c r="K29" i="13"/>
  <c r="G32" i="13"/>
  <c r="H32" i="13"/>
  <c r="I32" i="13"/>
  <c r="M32" i="13"/>
  <c r="F33" i="13"/>
  <c r="G33" i="13"/>
  <c r="H33" i="13"/>
  <c r="I33" i="13"/>
  <c r="G34" i="13"/>
  <c r="H34" i="13"/>
  <c r="I34" i="13"/>
  <c r="L34" i="13"/>
  <c r="M34" i="13"/>
  <c r="E34" i="37" s="1"/>
  <c r="F35" i="13"/>
  <c r="H35" i="13"/>
  <c r="I35" i="13"/>
  <c r="L35" i="13"/>
  <c r="M35" i="13"/>
  <c r="H36" i="13"/>
  <c r="J36" i="13"/>
  <c r="K36" i="13"/>
  <c r="L37" i="13"/>
  <c r="M37" i="13"/>
  <c r="H38" i="13"/>
  <c r="I38" i="13"/>
  <c r="G39" i="13"/>
  <c r="H39" i="13"/>
  <c r="I39" i="13"/>
  <c r="L39" i="13"/>
  <c r="D39" i="37" s="1"/>
  <c r="M39" i="13"/>
  <c r="F40" i="13"/>
  <c r="H40" i="13"/>
  <c r="I40" i="13"/>
  <c r="L40" i="13"/>
  <c r="G41" i="13"/>
  <c r="H41" i="13"/>
  <c r="I41" i="13"/>
  <c r="M41" i="13"/>
  <c r="J42" i="13"/>
  <c r="J43" i="13" s="1"/>
  <c r="K42" i="13"/>
  <c r="K43" i="13"/>
  <c r="H45" i="13"/>
  <c r="I45" i="13"/>
  <c r="H47" i="13"/>
  <c r="I47" i="13"/>
  <c r="F49" i="13"/>
  <c r="H49" i="13"/>
  <c r="I49" i="13"/>
  <c r="G49" i="13" s="1"/>
  <c r="L49" i="13"/>
  <c r="M49" i="13"/>
  <c r="F51" i="13"/>
  <c r="G51" i="13"/>
  <c r="H51" i="13"/>
  <c r="L51" i="13" s="1"/>
  <c r="D51" i="37" s="1"/>
  <c r="I51" i="13"/>
  <c r="M51" i="13"/>
  <c r="E51" i="37" s="1"/>
  <c r="H54" i="13"/>
  <c r="I54" i="13"/>
  <c r="L54" i="13"/>
  <c r="D54" i="37" s="1"/>
  <c r="G55" i="13"/>
  <c r="H55" i="13"/>
  <c r="I55" i="13"/>
  <c r="I56" i="13"/>
  <c r="J56" i="13"/>
  <c r="K56" i="13"/>
  <c r="F59" i="13"/>
  <c r="H59" i="13"/>
  <c r="I59" i="13"/>
  <c r="L59" i="13"/>
  <c r="M59" i="13"/>
  <c r="M61" i="13" s="1"/>
  <c r="G60" i="13"/>
  <c r="H60" i="13"/>
  <c r="I60" i="13"/>
  <c r="M60" i="13"/>
  <c r="I61" i="13"/>
  <c r="J61" i="13"/>
  <c r="K61" i="13"/>
  <c r="G64" i="13"/>
  <c r="G66" i="13" s="1"/>
  <c r="H64" i="13"/>
  <c r="I64" i="13"/>
  <c r="L64" i="13"/>
  <c r="G65" i="13"/>
  <c r="H65" i="13"/>
  <c r="I65" i="13"/>
  <c r="M65" i="13"/>
  <c r="J66" i="13"/>
  <c r="K66" i="13"/>
  <c r="L69" i="13"/>
  <c r="M69" i="13"/>
  <c r="G70" i="13"/>
  <c r="H70" i="13"/>
  <c r="I70" i="13"/>
  <c r="M70" i="13"/>
  <c r="E70" i="37" s="1"/>
  <c r="F71" i="13"/>
  <c r="H71" i="13"/>
  <c r="I71" i="13"/>
  <c r="L71" i="13"/>
  <c r="J72" i="13"/>
  <c r="K72" i="13"/>
  <c r="F73" i="13"/>
  <c r="G73" i="13"/>
  <c r="H73" i="13"/>
  <c r="I73" i="13"/>
  <c r="M73" i="13"/>
  <c r="H74" i="13"/>
  <c r="I74" i="13"/>
  <c r="G75" i="13"/>
  <c r="H75" i="13"/>
  <c r="I75" i="13"/>
  <c r="M75" i="13"/>
  <c r="F76" i="13"/>
  <c r="H76" i="13"/>
  <c r="I76" i="13"/>
  <c r="L76" i="13"/>
  <c r="D76" i="37" s="1"/>
  <c r="G77" i="13"/>
  <c r="H77" i="13"/>
  <c r="I77" i="13"/>
  <c r="M77" i="13"/>
  <c r="F78" i="13"/>
  <c r="G78" i="13"/>
  <c r="H78" i="13"/>
  <c r="I78" i="13"/>
  <c r="H79" i="13"/>
  <c r="I79" i="13"/>
  <c r="G79" i="13" s="1"/>
  <c r="M79" i="13"/>
  <c r="E79" i="37" s="1"/>
  <c r="F80" i="13"/>
  <c r="H80" i="13"/>
  <c r="I80" i="13"/>
  <c r="G80" i="13" s="1"/>
  <c r="L80" i="13"/>
  <c r="M80" i="13"/>
  <c r="G81" i="13"/>
  <c r="H81" i="13"/>
  <c r="I81" i="13"/>
  <c r="M81" i="13"/>
  <c r="D82" i="13"/>
  <c r="E82" i="13"/>
  <c r="J82" i="13"/>
  <c r="J91" i="13" s="1"/>
  <c r="F86" i="13"/>
  <c r="F86" i="15" s="1"/>
  <c r="H86" i="13"/>
  <c r="I86" i="13"/>
  <c r="G86" i="13" s="1"/>
  <c r="L86" i="13"/>
  <c r="G87" i="13"/>
  <c r="G87" i="15" s="1"/>
  <c r="H87" i="13"/>
  <c r="I87" i="13"/>
  <c r="I87" i="15" s="1"/>
  <c r="M87" i="13"/>
  <c r="M87" i="15" s="1"/>
  <c r="E87" i="39" s="1"/>
  <c r="F88" i="13"/>
  <c r="F88" i="15" s="1"/>
  <c r="H88" i="13"/>
  <c r="H88" i="15" s="1"/>
  <c r="I88" i="13"/>
  <c r="L88" i="13"/>
  <c r="L88" i="15" s="1"/>
  <c r="D88" i="39" s="1"/>
  <c r="M88" i="13"/>
  <c r="D89" i="13"/>
  <c r="E89" i="13"/>
  <c r="I89" i="13"/>
  <c r="J89" i="13"/>
  <c r="K89" i="13"/>
  <c r="D91" i="13"/>
  <c r="E91" i="13"/>
  <c r="A5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F11" i="25"/>
  <c r="G11" i="25"/>
  <c r="H11" i="25"/>
  <c r="I11" i="25"/>
  <c r="J11" i="25"/>
  <c r="K11" i="25"/>
  <c r="L11" i="25"/>
  <c r="M11" i="25"/>
  <c r="N11" i="25"/>
  <c r="O11" i="25"/>
  <c r="O11" i="27" s="1"/>
  <c r="P11" i="25"/>
  <c r="Q11" i="25"/>
  <c r="R11" i="25"/>
  <c r="S11" i="25"/>
  <c r="T11" i="25"/>
  <c r="U11" i="25"/>
  <c r="V11" i="25"/>
  <c r="W11" i="25"/>
  <c r="X11" i="25"/>
  <c r="Y11" i="25"/>
  <c r="Z11" i="25"/>
  <c r="AA11" i="25"/>
  <c r="AA11" i="27" s="1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F12" i="25"/>
  <c r="G12" i="25"/>
  <c r="H12" i="25"/>
  <c r="I12" i="25"/>
  <c r="J12" i="25"/>
  <c r="K12" i="25"/>
  <c r="L12" i="25"/>
  <c r="M12" i="25"/>
  <c r="N12" i="25"/>
  <c r="N12" i="27" s="1"/>
  <c r="O12" i="25"/>
  <c r="P12" i="25"/>
  <c r="Q12" i="25"/>
  <c r="Q16" i="25" s="1"/>
  <c r="R12" i="25"/>
  <c r="S12" i="25"/>
  <c r="T12" i="25"/>
  <c r="U12" i="25"/>
  <c r="V12" i="25"/>
  <c r="V12" i="27" s="1"/>
  <c r="W12" i="25"/>
  <c r="X12" i="25"/>
  <c r="Y12" i="25"/>
  <c r="Z12" i="25"/>
  <c r="AA12" i="25"/>
  <c r="AB12" i="25"/>
  <c r="AC12" i="25"/>
  <c r="AD12" i="25"/>
  <c r="AD12" i="27" s="1"/>
  <c r="AE12" i="25"/>
  <c r="AF12" i="25"/>
  <c r="AF16" i="25" s="1"/>
  <c r="AG12" i="25"/>
  <c r="AH12" i="25"/>
  <c r="AI12" i="25"/>
  <c r="AJ12" i="25"/>
  <c r="AK12" i="25"/>
  <c r="AL12" i="25"/>
  <c r="AM12" i="25"/>
  <c r="AN12" i="25"/>
  <c r="AN16" i="25" s="1"/>
  <c r="AO12" i="25"/>
  <c r="F13" i="25"/>
  <c r="G13" i="25"/>
  <c r="H13" i="25"/>
  <c r="I13" i="25"/>
  <c r="J13" i="25"/>
  <c r="K13" i="25"/>
  <c r="L13" i="25"/>
  <c r="M13" i="25"/>
  <c r="N13" i="25"/>
  <c r="N13" i="27" s="1"/>
  <c r="O13" i="25"/>
  <c r="O13" i="27" s="1"/>
  <c r="P13" i="25"/>
  <c r="Q13" i="25"/>
  <c r="R13" i="25"/>
  <c r="S13" i="25"/>
  <c r="T13" i="25"/>
  <c r="U13" i="25"/>
  <c r="V13" i="25"/>
  <c r="V13" i="27" s="1"/>
  <c r="W13" i="25"/>
  <c r="W13" i="27" s="1"/>
  <c r="X13" i="25"/>
  <c r="Y13" i="25"/>
  <c r="Z13" i="25"/>
  <c r="AA13" i="25"/>
  <c r="AB13" i="25"/>
  <c r="AC13" i="25"/>
  <c r="AD13" i="25"/>
  <c r="AD13" i="27" s="1"/>
  <c r="AE13" i="25"/>
  <c r="AE13" i="27" s="1"/>
  <c r="AF13" i="25"/>
  <c r="AG13" i="25"/>
  <c r="AH13" i="25"/>
  <c r="AI13" i="25"/>
  <c r="AJ13" i="25"/>
  <c r="AK13" i="25"/>
  <c r="AL13" i="25"/>
  <c r="AM13" i="25"/>
  <c r="AN13" i="25"/>
  <c r="AO13" i="25"/>
  <c r="D14" i="25"/>
  <c r="F14" i="37" s="1"/>
  <c r="F14" i="25"/>
  <c r="G14" i="25"/>
  <c r="H14" i="25"/>
  <c r="H14" i="27" s="1"/>
  <c r="I14" i="25"/>
  <c r="J14" i="25"/>
  <c r="K14" i="25"/>
  <c r="L14" i="25"/>
  <c r="M14" i="25"/>
  <c r="N14" i="25"/>
  <c r="O14" i="25"/>
  <c r="P14" i="25"/>
  <c r="P14" i="27" s="1"/>
  <c r="Q14" i="25"/>
  <c r="Q14" i="27" s="1"/>
  <c r="R14" i="25"/>
  <c r="S14" i="25"/>
  <c r="T14" i="25"/>
  <c r="U14" i="25"/>
  <c r="V14" i="25"/>
  <c r="W14" i="25"/>
  <c r="X14" i="25"/>
  <c r="X14" i="27" s="1"/>
  <c r="Y14" i="25"/>
  <c r="Y14" i="27" s="1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F15" i="25"/>
  <c r="G15" i="25"/>
  <c r="E15" i="25" s="1"/>
  <c r="G15" i="37" s="1"/>
  <c r="H15" i="25"/>
  <c r="I15" i="25"/>
  <c r="J15" i="25"/>
  <c r="J15" i="27" s="1"/>
  <c r="K15" i="25"/>
  <c r="K15" i="27" s="1"/>
  <c r="L15" i="25"/>
  <c r="M15" i="25"/>
  <c r="N15" i="25"/>
  <c r="O15" i="25"/>
  <c r="P15" i="25"/>
  <c r="Q15" i="25"/>
  <c r="R15" i="25"/>
  <c r="R15" i="27" s="1"/>
  <c r="S15" i="25"/>
  <c r="S15" i="27" s="1"/>
  <c r="T15" i="25"/>
  <c r="U15" i="25"/>
  <c r="V15" i="25"/>
  <c r="W15" i="25"/>
  <c r="X15" i="25"/>
  <c r="Y15" i="25"/>
  <c r="Z15" i="25"/>
  <c r="Z15" i="27" s="1"/>
  <c r="AA15" i="25"/>
  <c r="AA15" i="27" s="1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H16" i="25"/>
  <c r="I16" i="25"/>
  <c r="P16" i="25"/>
  <c r="W16" i="25"/>
  <c r="X16" i="25"/>
  <c r="AC16" i="25"/>
  <c r="AH16" i="25"/>
  <c r="AK16" i="25"/>
  <c r="AO16" i="25"/>
  <c r="F19" i="25"/>
  <c r="G19" i="25"/>
  <c r="H19" i="25"/>
  <c r="I19" i="25"/>
  <c r="J19" i="25"/>
  <c r="K19" i="25"/>
  <c r="K19" i="27" s="1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J24" i="25" s="1"/>
  <c r="AK19" i="25"/>
  <c r="AL19" i="25"/>
  <c r="AM19" i="25"/>
  <c r="AM24" i="25" s="1"/>
  <c r="AN19" i="25"/>
  <c r="AO19" i="25"/>
  <c r="F20" i="25"/>
  <c r="G20" i="25"/>
  <c r="E20" i="25" s="1"/>
  <c r="G20" i="37" s="1"/>
  <c r="H20" i="25"/>
  <c r="I20" i="25"/>
  <c r="J20" i="25"/>
  <c r="L20" i="25"/>
  <c r="M20" i="25"/>
  <c r="N20" i="25"/>
  <c r="O20" i="25"/>
  <c r="P20" i="25"/>
  <c r="P20" i="27" s="1"/>
  <c r="Q20" i="25"/>
  <c r="R20" i="25"/>
  <c r="R20" i="27" s="1"/>
  <c r="S20" i="25"/>
  <c r="S20" i="27" s="1"/>
  <c r="T20" i="25"/>
  <c r="U20" i="25"/>
  <c r="V20" i="25"/>
  <c r="W20" i="25"/>
  <c r="X20" i="25"/>
  <c r="X20" i="27" s="1"/>
  <c r="Y20" i="25"/>
  <c r="Z20" i="25"/>
  <c r="AA20" i="25"/>
  <c r="AA20" i="27" s="1"/>
  <c r="AB20" i="25"/>
  <c r="AC20" i="25"/>
  <c r="AD20" i="25"/>
  <c r="AE20" i="25"/>
  <c r="AF20" i="25"/>
  <c r="AG20" i="25"/>
  <c r="AH20" i="25"/>
  <c r="AI20" i="25"/>
  <c r="AJ20" i="25"/>
  <c r="AK20" i="25"/>
  <c r="AL20" i="25"/>
  <c r="AL24" i="25" s="1"/>
  <c r="AM20" i="25"/>
  <c r="AN20" i="25"/>
  <c r="AN24" i="25" s="1"/>
  <c r="AO20" i="25"/>
  <c r="F21" i="25"/>
  <c r="G21" i="25"/>
  <c r="H21" i="25"/>
  <c r="I21" i="25"/>
  <c r="J21" i="25"/>
  <c r="J21" i="27" s="1"/>
  <c r="K21" i="25"/>
  <c r="L21" i="25"/>
  <c r="M21" i="25"/>
  <c r="M21" i="27" s="1"/>
  <c r="N21" i="25"/>
  <c r="O21" i="25"/>
  <c r="P21" i="25"/>
  <c r="P21" i="27" s="1"/>
  <c r="Q21" i="25"/>
  <c r="R21" i="25"/>
  <c r="S21" i="25"/>
  <c r="T21" i="25"/>
  <c r="U21" i="25"/>
  <c r="V21" i="25"/>
  <c r="W21" i="25"/>
  <c r="X21" i="25"/>
  <c r="X21" i="27" s="1"/>
  <c r="Y21" i="25"/>
  <c r="Z21" i="25"/>
  <c r="Z21" i="27" s="1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F22" i="25"/>
  <c r="G22" i="25"/>
  <c r="H22" i="25"/>
  <c r="H22" i="27" s="1"/>
  <c r="I22" i="25"/>
  <c r="J22" i="25"/>
  <c r="K22" i="25"/>
  <c r="L22" i="25"/>
  <c r="L22" i="27" s="1"/>
  <c r="M22" i="25"/>
  <c r="M22" i="27" s="1"/>
  <c r="N22" i="25"/>
  <c r="O22" i="25"/>
  <c r="P22" i="25"/>
  <c r="P22" i="27" s="1"/>
  <c r="Q22" i="25"/>
  <c r="R22" i="25"/>
  <c r="S22" i="25"/>
  <c r="T22" i="25"/>
  <c r="T22" i="27" s="1"/>
  <c r="U22" i="25"/>
  <c r="U22" i="27" s="1"/>
  <c r="V22" i="25"/>
  <c r="W22" i="25"/>
  <c r="X22" i="25"/>
  <c r="X22" i="27" s="1"/>
  <c r="Y22" i="25"/>
  <c r="Z22" i="25"/>
  <c r="AA22" i="25"/>
  <c r="AB22" i="25"/>
  <c r="AB22" i="27" s="1"/>
  <c r="AC22" i="25"/>
  <c r="AC22" i="27" s="1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F23" i="25"/>
  <c r="G23" i="25"/>
  <c r="H23" i="25"/>
  <c r="H23" i="27" s="1"/>
  <c r="I23" i="25"/>
  <c r="J23" i="25"/>
  <c r="K23" i="25"/>
  <c r="L23" i="25"/>
  <c r="M23" i="25"/>
  <c r="N23" i="25"/>
  <c r="N23" i="27" s="1"/>
  <c r="O23" i="25"/>
  <c r="O23" i="27" s="1"/>
  <c r="P23" i="25"/>
  <c r="P23" i="27" s="1"/>
  <c r="Q23" i="25"/>
  <c r="R23" i="25"/>
  <c r="S23" i="25"/>
  <c r="T23" i="25"/>
  <c r="U23" i="25"/>
  <c r="V23" i="25"/>
  <c r="V23" i="27" s="1"/>
  <c r="W23" i="25"/>
  <c r="W23" i="27" s="1"/>
  <c r="X23" i="25"/>
  <c r="X23" i="27" s="1"/>
  <c r="Y23" i="25"/>
  <c r="Z23" i="25"/>
  <c r="AA23" i="25"/>
  <c r="AB23" i="25"/>
  <c r="AC23" i="25"/>
  <c r="AD23" i="25"/>
  <c r="AD23" i="27" s="1"/>
  <c r="AE23" i="25"/>
  <c r="AE23" i="27" s="1"/>
  <c r="AF23" i="25"/>
  <c r="AG23" i="25"/>
  <c r="AH23" i="25"/>
  <c r="AI23" i="25"/>
  <c r="AJ23" i="25"/>
  <c r="AK23" i="25"/>
  <c r="AL23" i="25"/>
  <c r="AM23" i="25"/>
  <c r="AN23" i="25"/>
  <c r="AO23" i="25"/>
  <c r="V24" i="25"/>
  <c r="Z24" i="25"/>
  <c r="AD24" i="25"/>
  <c r="AK24" i="25"/>
  <c r="F27" i="25"/>
  <c r="G27" i="25"/>
  <c r="H27" i="25"/>
  <c r="I27" i="25"/>
  <c r="J27" i="25"/>
  <c r="K27" i="25"/>
  <c r="K27" i="27" s="1"/>
  <c r="L27" i="25"/>
  <c r="M27" i="25"/>
  <c r="N27" i="25"/>
  <c r="N29" i="25" s="1"/>
  <c r="O27" i="25"/>
  <c r="O29" i="25" s="1"/>
  <c r="P27" i="25"/>
  <c r="Q27" i="25"/>
  <c r="R27" i="25"/>
  <c r="S27" i="25"/>
  <c r="S27" i="27" s="1"/>
  <c r="T27" i="25"/>
  <c r="U27" i="25"/>
  <c r="V27" i="25"/>
  <c r="W27" i="25"/>
  <c r="X27" i="25"/>
  <c r="Y27" i="25"/>
  <c r="Z27" i="25"/>
  <c r="Z27" i="27" s="1"/>
  <c r="AA27" i="25"/>
  <c r="AA27" i="27" s="1"/>
  <c r="AB27" i="25"/>
  <c r="AC27" i="25"/>
  <c r="AD27" i="25"/>
  <c r="AD29" i="25" s="1"/>
  <c r="AE27" i="25"/>
  <c r="AF27" i="25"/>
  <c r="AG27" i="25"/>
  <c r="AH27" i="25"/>
  <c r="AH29" i="25" s="1"/>
  <c r="AI27" i="25"/>
  <c r="AJ27" i="25"/>
  <c r="AK27" i="25"/>
  <c r="AK29" i="25" s="1"/>
  <c r="AL27" i="25"/>
  <c r="AL29" i="25" s="1"/>
  <c r="AM27" i="25"/>
  <c r="AM29" i="25" s="1"/>
  <c r="AN27" i="25"/>
  <c r="AN29" i="25" s="1"/>
  <c r="AO27" i="25"/>
  <c r="D28" i="25"/>
  <c r="F28" i="37" s="1"/>
  <c r="H28" i="37" s="1"/>
  <c r="F28" i="25"/>
  <c r="G28" i="25"/>
  <c r="H28" i="25"/>
  <c r="I28" i="25"/>
  <c r="I29" i="25" s="1"/>
  <c r="J28" i="25"/>
  <c r="K28" i="25"/>
  <c r="L28" i="25"/>
  <c r="M28" i="25"/>
  <c r="M28" i="27" s="1"/>
  <c r="N28" i="25"/>
  <c r="O28" i="25"/>
  <c r="P28" i="25"/>
  <c r="Q28" i="25"/>
  <c r="R28" i="25"/>
  <c r="S28" i="25"/>
  <c r="T28" i="25"/>
  <c r="U28" i="25"/>
  <c r="U28" i="27" s="1"/>
  <c r="V28" i="25"/>
  <c r="V28" i="27" s="1"/>
  <c r="W28" i="25"/>
  <c r="X28" i="25"/>
  <c r="Y28" i="25"/>
  <c r="Z28" i="25"/>
  <c r="AA28" i="25"/>
  <c r="AB28" i="25"/>
  <c r="AC28" i="25"/>
  <c r="AC28" i="27" s="1"/>
  <c r="AD28" i="25"/>
  <c r="AE28" i="25"/>
  <c r="AF28" i="25"/>
  <c r="AG28" i="25"/>
  <c r="AG29" i="25" s="1"/>
  <c r="AH28" i="25"/>
  <c r="AI28" i="25"/>
  <c r="AI29" i="25" s="1"/>
  <c r="AJ28" i="25"/>
  <c r="AK28" i="25"/>
  <c r="AL28" i="25"/>
  <c r="AM28" i="25"/>
  <c r="AN28" i="25"/>
  <c r="AO28" i="25"/>
  <c r="F29" i="25"/>
  <c r="H29" i="25"/>
  <c r="M29" i="25"/>
  <c r="U29" i="25"/>
  <c r="V29" i="25"/>
  <c r="Z29" i="25"/>
  <c r="AC29" i="25"/>
  <c r="AF29" i="25"/>
  <c r="AJ29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U32" i="27" s="1"/>
  <c r="V32" i="25"/>
  <c r="W32" i="25"/>
  <c r="X32" i="25"/>
  <c r="Y32" i="25"/>
  <c r="Z32" i="25"/>
  <c r="AA32" i="25"/>
  <c r="AB32" i="25"/>
  <c r="AC32" i="25"/>
  <c r="AD32" i="25"/>
  <c r="AD36" i="25" s="1"/>
  <c r="AE32" i="25"/>
  <c r="AF32" i="25"/>
  <c r="AG32" i="25"/>
  <c r="AH32" i="25"/>
  <c r="AI32" i="25"/>
  <c r="AJ32" i="25"/>
  <c r="AK32" i="25"/>
  <c r="AL32" i="25"/>
  <c r="AL36" i="25" s="1"/>
  <c r="AM32" i="25"/>
  <c r="AN32" i="25"/>
  <c r="AO32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X36" i="25" s="1"/>
  <c r="Y33" i="25"/>
  <c r="Z33" i="25"/>
  <c r="AA33" i="25"/>
  <c r="AB33" i="25"/>
  <c r="AC33" i="25"/>
  <c r="AD33" i="25"/>
  <c r="AE33" i="25"/>
  <c r="AE33" i="27" s="1"/>
  <c r="AF33" i="25"/>
  <c r="AG33" i="25"/>
  <c r="AH33" i="25"/>
  <c r="AI33" i="25"/>
  <c r="AJ33" i="25"/>
  <c r="AK33" i="25"/>
  <c r="AL33" i="25"/>
  <c r="AM33" i="25"/>
  <c r="AN33" i="25"/>
  <c r="AN36" i="25" s="1"/>
  <c r="AO33" i="25"/>
  <c r="F34" i="25"/>
  <c r="G34" i="25"/>
  <c r="H34" i="25"/>
  <c r="I34" i="25"/>
  <c r="J34" i="25"/>
  <c r="K34" i="25"/>
  <c r="K34" i="27" s="1"/>
  <c r="L34" i="25"/>
  <c r="L34" i="27" s="1"/>
  <c r="M34" i="25"/>
  <c r="N34" i="25"/>
  <c r="O34" i="25"/>
  <c r="O34" i="27" s="1"/>
  <c r="P34" i="25"/>
  <c r="Q34" i="25"/>
  <c r="R34" i="25"/>
  <c r="S34" i="25"/>
  <c r="S34" i="27" s="1"/>
  <c r="T34" i="25"/>
  <c r="T34" i="27" s="1"/>
  <c r="U34" i="25"/>
  <c r="V34" i="25"/>
  <c r="W34" i="25"/>
  <c r="W34" i="27" s="1"/>
  <c r="X34" i="25"/>
  <c r="Y34" i="25"/>
  <c r="Z34" i="25"/>
  <c r="AA34" i="25"/>
  <c r="AA34" i="27" s="1"/>
  <c r="AB34" i="25"/>
  <c r="AB34" i="27" s="1"/>
  <c r="AC34" i="25"/>
  <c r="AD34" i="25"/>
  <c r="AE34" i="25"/>
  <c r="AE34" i="27" s="1"/>
  <c r="AF34" i="25"/>
  <c r="AG34" i="25"/>
  <c r="AH34" i="25"/>
  <c r="AI34" i="25"/>
  <c r="AJ34" i="25"/>
  <c r="AK34" i="25"/>
  <c r="AL34" i="25"/>
  <c r="AM34" i="25"/>
  <c r="AM36" i="25" s="1"/>
  <c r="AN34" i="25"/>
  <c r="AO34" i="25"/>
  <c r="F35" i="25"/>
  <c r="D35" i="25" s="1"/>
  <c r="F35" i="37" s="1"/>
  <c r="H35" i="37" s="1"/>
  <c r="G35" i="25"/>
  <c r="H35" i="25"/>
  <c r="I35" i="25"/>
  <c r="J35" i="25"/>
  <c r="K35" i="25"/>
  <c r="L35" i="25"/>
  <c r="M35" i="25"/>
  <c r="M35" i="27" s="1"/>
  <c r="N35" i="25"/>
  <c r="N35" i="27" s="1"/>
  <c r="O35" i="25"/>
  <c r="P35" i="25"/>
  <c r="Q35" i="25"/>
  <c r="Q35" i="27" s="1"/>
  <c r="R35" i="25"/>
  <c r="S35" i="25"/>
  <c r="T35" i="25"/>
  <c r="U35" i="25"/>
  <c r="U35" i="27" s="1"/>
  <c r="V35" i="25"/>
  <c r="V35" i="27" s="1"/>
  <c r="W35" i="25"/>
  <c r="X35" i="25"/>
  <c r="Y35" i="25"/>
  <c r="Y35" i="27" s="1"/>
  <c r="Z35" i="25"/>
  <c r="AA35" i="25"/>
  <c r="AA35" i="27" s="1"/>
  <c r="AB35" i="25"/>
  <c r="AC35" i="25"/>
  <c r="AC35" i="27" s="1"/>
  <c r="AD35" i="25"/>
  <c r="AD35" i="27" s="1"/>
  <c r="AE35" i="25"/>
  <c r="AF35" i="25"/>
  <c r="AG35" i="25"/>
  <c r="AH35" i="25"/>
  <c r="AI35" i="25"/>
  <c r="AJ35" i="25"/>
  <c r="AK35" i="25"/>
  <c r="AL35" i="25"/>
  <c r="AM35" i="25"/>
  <c r="AN35" i="25"/>
  <c r="AO35" i="25"/>
  <c r="H36" i="25"/>
  <c r="R36" i="25"/>
  <c r="V36" i="25"/>
  <c r="Z36" i="25"/>
  <c r="AF36" i="25"/>
  <c r="AH36" i="25"/>
  <c r="F39" i="25"/>
  <c r="G39" i="25"/>
  <c r="H39" i="25"/>
  <c r="I39" i="25"/>
  <c r="J39" i="25"/>
  <c r="J39" i="27" s="1"/>
  <c r="K39" i="25"/>
  <c r="L39" i="25"/>
  <c r="M39" i="25"/>
  <c r="M39" i="27" s="1"/>
  <c r="N39" i="25"/>
  <c r="O39" i="25"/>
  <c r="O39" i="27" s="1"/>
  <c r="P39" i="25"/>
  <c r="Q39" i="25"/>
  <c r="R39" i="25"/>
  <c r="R39" i="27" s="1"/>
  <c r="S39" i="25"/>
  <c r="T39" i="25"/>
  <c r="U39" i="25"/>
  <c r="U39" i="27" s="1"/>
  <c r="V39" i="25"/>
  <c r="W39" i="25"/>
  <c r="W39" i="27" s="1"/>
  <c r="X39" i="25"/>
  <c r="Y39" i="25"/>
  <c r="Z39" i="25"/>
  <c r="Z39" i="27" s="1"/>
  <c r="AA39" i="25"/>
  <c r="AB39" i="25"/>
  <c r="AB39" i="27" s="1"/>
  <c r="AC39" i="25"/>
  <c r="AC39" i="27" s="1"/>
  <c r="AD39" i="25"/>
  <c r="AE39" i="25"/>
  <c r="AE39" i="27" s="1"/>
  <c r="AF39" i="25"/>
  <c r="AG39" i="25"/>
  <c r="AH39" i="25"/>
  <c r="AI39" i="25"/>
  <c r="AJ39" i="25"/>
  <c r="AK39" i="25"/>
  <c r="AL39" i="25"/>
  <c r="AM39" i="25"/>
  <c r="AN39" i="25"/>
  <c r="AO39" i="25"/>
  <c r="D40" i="25"/>
  <c r="F40" i="25"/>
  <c r="G40" i="25"/>
  <c r="H40" i="25"/>
  <c r="I40" i="25"/>
  <c r="J40" i="25"/>
  <c r="K40" i="25"/>
  <c r="L40" i="25"/>
  <c r="M40" i="25"/>
  <c r="M40" i="27" s="1"/>
  <c r="N40" i="25"/>
  <c r="O40" i="25"/>
  <c r="P40" i="25"/>
  <c r="Q40" i="25"/>
  <c r="R40" i="25"/>
  <c r="S40" i="25"/>
  <c r="T40" i="25"/>
  <c r="U40" i="25"/>
  <c r="U40" i="27" s="1"/>
  <c r="V40" i="25"/>
  <c r="V42" i="25" s="1"/>
  <c r="W40" i="25"/>
  <c r="W42" i="25" s="1"/>
  <c r="X40" i="25"/>
  <c r="Y40" i="25"/>
  <c r="Z40" i="25"/>
  <c r="AA40" i="25"/>
  <c r="AB40" i="25"/>
  <c r="AC40" i="25"/>
  <c r="AC40" i="27" s="1"/>
  <c r="AD40" i="25"/>
  <c r="AE40" i="25"/>
  <c r="AF40" i="25"/>
  <c r="AG40" i="25"/>
  <c r="AG42" i="25" s="1"/>
  <c r="AG43" i="25" s="1"/>
  <c r="AH40" i="25"/>
  <c r="AH42" i="25" s="1"/>
  <c r="AI40" i="25"/>
  <c r="AJ40" i="25"/>
  <c r="AK40" i="25"/>
  <c r="AL40" i="25"/>
  <c r="AM40" i="25"/>
  <c r="AM42" i="25" s="1"/>
  <c r="AN40" i="25"/>
  <c r="AO40" i="25"/>
  <c r="AO42" i="25" s="1"/>
  <c r="AO43" i="25" s="1"/>
  <c r="F41" i="25"/>
  <c r="G41" i="25"/>
  <c r="H41" i="25"/>
  <c r="H41" i="27" s="1"/>
  <c r="I41" i="25"/>
  <c r="J41" i="25"/>
  <c r="K41" i="25"/>
  <c r="L41" i="25"/>
  <c r="M41" i="25"/>
  <c r="N41" i="25"/>
  <c r="O41" i="25"/>
  <c r="P41" i="25"/>
  <c r="P41" i="27" s="1"/>
  <c r="Q41" i="25"/>
  <c r="R41" i="25"/>
  <c r="S41" i="25"/>
  <c r="T41" i="25"/>
  <c r="T42" i="25" s="1"/>
  <c r="U41" i="25"/>
  <c r="V41" i="25"/>
  <c r="W41" i="25"/>
  <c r="X41" i="25"/>
  <c r="Y41" i="25"/>
  <c r="Z41" i="25"/>
  <c r="AA41" i="25"/>
  <c r="AA42" i="25" s="1"/>
  <c r="AA43" i="25" s="1"/>
  <c r="AB41" i="25"/>
  <c r="AC41" i="25"/>
  <c r="AD41" i="25"/>
  <c r="AE41" i="25"/>
  <c r="AF41" i="25"/>
  <c r="AG41" i="25"/>
  <c r="AH41" i="25"/>
  <c r="AI41" i="25"/>
  <c r="AI42" i="25" s="1"/>
  <c r="AI43" i="25" s="1"/>
  <c r="AJ41" i="25"/>
  <c r="AJ42" i="25" s="1"/>
  <c r="AJ43" i="25" s="1"/>
  <c r="AK41" i="25"/>
  <c r="AL41" i="25"/>
  <c r="AM41" i="25"/>
  <c r="AN41" i="25"/>
  <c r="AO41" i="25"/>
  <c r="F42" i="25"/>
  <c r="M42" i="25"/>
  <c r="M43" i="25" s="1"/>
  <c r="N42" i="25"/>
  <c r="O42" i="25"/>
  <c r="S42" i="25"/>
  <c r="S43" i="25" s="1"/>
  <c r="U42" i="25"/>
  <c r="U43" i="25" s="1"/>
  <c r="AC42" i="25"/>
  <c r="AD42" i="25"/>
  <c r="AD43" i="25" s="1"/>
  <c r="AE42" i="25"/>
  <c r="AK42" i="25"/>
  <c r="AL42" i="25"/>
  <c r="T43" i="25"/>
  <c r="AC43" i="25"/>
  <c r="AK43" i="25"/>
  <c r="F45" i="25"/>
  <c r="G45" i="25"/>
  <c r="H45" i="25"/>
  <c r="I45" i="25"/>
  <c r="J45" i="25"/>
  <c r="K45" i="25"/>
  <c r="L45" i="25"/>
  <c r="L45" i="27" s="1"/>
  <c r="M45" i="25"/>
  <c r="N45" i="25"/>
  <c r="O45" i="25"/>
  <c r="P45" i="25"/>
  <c r="Q45" i="25"/>
  <c r="Q45" i="27" s="1"/>
  <c r="R45" i="25"/>
  <c r="S45" i="25"/>
  <c r="T45" i="25"/>
  <c r="T45" i="27" s="1"/>
  <c r="U45" i="25"/>
  <c r="V45" i="25"/>
  <c r="W45" i="25"/>
  <c r="X45" i="25"/>
  <c r="Y45" i="25"/>
  <c r="Z45" i="25"/>
  <c r="AA45" i="25"/>
  <c r="AB45" i="25"/>
  <c r="AB45" i="27" s="1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F47" i="25"/>
  <c r="G47" i="25"/>
  <c r="H47" i="25"/>
  <c r="H47" i="27" s="1"/>
  <c r="I47" i="25"/>
  <c r="J47" i="25"/>
  <c r="K47" i="25"/>
  <c r="L47" i="25"/>
  <c r="M47" i="25"/>
  <c r="N47" i="25"/>
  <c r="N47" i="27" s="1"/>
  <c r="O47" i="25"/>
  <c r="P47" i="25"/>
  <c r="P47" i="27" s="1"/>
  <c r="Q47" i="25"/>
  <c r="R47" i="25"/>
  <c r="S47" i="25"/>
  <c r="T47" i="25"/>
  <c r="U47" i="25"/>
  <c r="V47" i="25"/>
  <c r="V47" i="27" s="1"/>
  <c r="W47" i="25"/>
  <c r="X47" i="25"/>
  <c r="Y47" i="25"/>
  <c r="Z47" i="25"/>
  <c r="AA47" i="25"/>
  <c r="AB47" i="25"/>
  <c r="AC47" i="25"/>
  <c r="AD47" i="25"/>
  <c r="AD47" i="27" s="1"/>
  <c r="AE47" i="25"/>
  <c r="AF47" i="25"/>
  <c r="AG47" i="25"/>
  <c r="AH47" i="25"/>
  <c r="AI47" i="25"/>
  <c r="AJ47" i="25"/>
  <c r="AK47" i="25"/>
  <c r="AL47" i="25"/>
  <c r="AM47" i="25"/>
  <c r="AN47" i="25"/>
  <c r="AO47" i="25"/>
  <c r="F49" i="25"/>
  <c r="G49" i="25"/>
  <c r="H49" i="25"/>
  <c r="H49" i="27" s="1"/>
  <c r="I49" i="25"/>
  <c r="J49" i="25"/>
  <c r="K49" i="25"/>
  <c r="L49" i="25"/>
  <c r="M49" i="25"/>
  <c r="M49" i="27" s="1"/>
  <c r="N49" i="25"/>
  <c r="O49" i="25"/>
  <c r="P49" i="25"/>
  <c r="P49" i="27" s="1"/>
  <c r="Q49" i="25"/>
  <c r="R49" i="25"/>
  <c r="S49" i="25"/>
  <c r="T49" i="25"/>
  <c r="U49" i="25"/>
  <c r="U49" i="27" s="1"/>
  <c r="V49" i="25"/>
  <c r="W49" i="25"/>
  <c r="X49" i="25"/>
  <c r="X49" i="27" s="1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F51" i="25"/>
  <c r="G51" i="25"/>
  <c r="H51" i="25"/>
  <c r="H51" i="27" s="1"/>
  <c r="I51" i="25"/>
  <c r="J51" i="25"/>
  <c r="K51" i="25"/>
  <c r="L51" i="25"/>
  <c r="M51" i="25"/>
  <c r="M51" i="27" s="1"/>
  <c r="N51" i="25"/>
  <c r="O51" i="25"/>
  <c r="P51" i="25"/>
  <c r="P51" i="27" s="1"/>
  <c r="Q51" i="25"/>
  <c r="R51" i="25"/>
  <c r="S51" i="25"/>
  <c r="T51" i="25"/>
  <c r="U51" i="25"/>
  <c r="U51" i="27" s="1"/>
  <c r="V51" i="25"/>
  <c r="W51" i="25"/>
  <c r="X51" i="25"/>
  <c r="X51" i="27" s="1"/>
  <c r="Y51" i="25"/>
  <c r="Z51" i="25"/>
  <c r="AA51" i="25"/>
  <c r="AB51" i="25"/>
  <c r="AC51" i="25"/>
  <c r="AC51" i="27" s="1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F54" i="25"/>
  <c r="G54" i="25"/>
  <c r="H54" i="25"/>
  <c r="I54" i="25"/>
  <c r="J54" i="25"/>
  <c r="J54" i="27" s="1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B56" i="25" s="1"/>
  <c r="AC54" i="25"/>
  <c r="AD54" i="25"/>
  <c r="AE54" i="25"/>
  <c r="AF54" i="25"/>
  <c r="AF56" i="25" s="1"/>
  <c r="AG54" i="25"/>
  <c r="AG56" i="25" s="1"/>
  <c r="AH54" i="25"/>
  <c r="AI54" i="25"/>
  <c r="AI56" i="25" s="1"/>
  <c r="AJ54" i="25"/>
  <c r="AK54" i="25"/>
  <c r="AL54" i="25"/>
  <c r="AM54" i="25"/>
  <c r="AN54" i="25"/>
  <c r="AN56" i="25" s="1"/>
  <c r="AO54" i="25"/>
  <c r="AO56" i="25" s="1"/>
  <c r="F55" i="25"/>
  <c r="G55" i="25"/>
  <c r="H55" i="25"/>
  <c r="I55" i="25"/>
  <c r="J55" i="25"/>
  <c r="K55" i="25"/>
  <c r="L55" i="25"/>
  <c r="M55" i="25"/>
  <c r="M55" i="27" s="1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D56" i="25" s="1"/>
  <c r="AE55" i="25"/>
  <c r="AF55" i="25"/>
  <c r="AG55" i="25"/>
  <c r="AH55" i="25"/>
  <c r="AH56" i="25" s="1"/>
  <c r="AI55" i="25"/>
  <c r="AJ55" i="25"/>
  <c r="AK55" i="25"/>
  <c r="AK56" i="25" s="1"/>
  <c r="AL55" i="25"/>
  <c r="AL56" i="25" s="1"/>
  <c r="AM55" i="25"/>
  <c r="AN55" i="25"/>
  <c r="AO55" i="25"/>
  <c r="G56" i="25"/>
  <c r="N56" i="25"/>
  <c r="O56" i="25"/>
  <c r="S56" i="25"/>
  <c r="V56" i="25"/>
  <c r="W56" i="25"/>
  <c r="Z56" i="25"/>
  <c r="AA56" i="25"/>
  <c r="AE56" i="25"/>
  <c r="AJ56" i="25"/>
  <c r="AM56" i="25"/>
  <c r="F59" i="25"/>
  <c r="G59" i="25"/>
  <c r="G61" i="25" s="1"/>
  <c r="H59" i="25"/>
  <c r="I59" i="25"/>
  <c r="J59" i="25"/>
  <c r="K59" i="25"/>
  <c r="L59" i="25"/>
  <c r="M59" i="25"/>
  <c r="N59" i="25"/>
  <c r="O59" i="25"/>
  <c r="P59" i="25"/>
  <c r="Q59" i="25"/>
  <c r="R59" i="25"/>
  <c r="R59" i="27" s="1"/>
  <c r="S59" i="25"/>
  <c r="T59" i="25"/>
  <c r="U59" i="25"/>
  <c r="V59" i="25"/>
  <c r="W59" i="25"/>
  <c r="W61" i="25" s="1"/>
  <c r="X59" i="25"/>
  <c r="Y59" i="25"/>
  <c r="Z59" i="25"/>
  <c r="Z59" i="27" s="1"/>
  <c r="AA59" i="25"/>
  <c r="AB59" i="25"/>
  <c r="AC59" i="25"/>
  <c r="AD59" i="25"/>
  <c r="AE59" i="25"/>
  <c r="AE61" i="25" s="1"/>
  <c r="AF59" i="25"/>
  <c r="AF61" i="25" s="1"/>
  <c r="AG59" i="25"/>
  <c r="AH59" i="25"/>
  <c r="AH61" i="25" s="1"/>
  <c r="AI59" i="25"/>
  <c r="AJ59" i="25"/>
  <c r="AK59" i="25"/>
  <c r="AK61" i="25" s="1"/>
  <c r="AL59" i="25"/>
  <c r="AM59" i="25"/>
  <c r="AN59" i="25"/>
  <c r="AN61" i="25" s="1"/>
  <c r="AO59" i="25"/>
  <c r="F60" i="25"/>
  <c r="G60" i="25"/>
  <c r="H60" i="25"/>
  <c r="I60" i="25"/>
  <c r="J60" i="25"/>
  <c r="K60" i="25"/>
  <c r="L60" i="25"/>
  <c r="L60" i="27" s="1"/>
  <c r="M60" i="25"/>
  <c r="N60" i="25"/>
  <c r="O60" i="25"/>
  <c r="P60" i="25"/>
  <c r="Q60" i="25"/>
  <c r="R60" i="25"/>
  <c r="S60" i="25"/>
  <c r="T60" i="25"/>
  <c r="T60" i="27" s="1"/>
  <c r="U60" i="25"/>
  <c r="V60" i="25"/>
  <c r="W60" i="25"/>
  <c r="X60" i="25"/>
  <c r="Y60" i="25"/>
  <c r="Y61" i="25" s="1"/>
  <c r="Z60" i="25"/>
  <c r="AA60" i="25"/>
  <c r="AA61" i="25" s="1"/>
  <c r="AB60" i="25"/>
  <c r="AC60" i="25"/>
  <c r="AD60" i="25"/>
  <c r="AE60" i="25"/>
  <c r="AF60" i="25"/>
  <c r="AG60" i="25"/>
  <c r="AG61" i="25" s="1"/>
  <c r="AH60" i="25"/>
  <c r="AI60" i="25"/>
  <c r="AI61" i="25" s="1"/>
  <c r="AJ60" i="25"/>
  <c r="AK60" i="25"/>
  <c r="AL60" i="25"/>
  <c r="AM60" i="25"/>
  <c r="AN60" i="25"/>
  <c r="AO60" i="25"/>
  <c r="AO61" i="25" s="1"/>
  <c r="I61" i="25"/>
  <c r="J61" i="25"/>
  <c r="K61" i="25"/>
  <c r="R61" i="25"/>
  <c r="S61" i="25"/>
  <c r="T61" i="25"/>
  <c r="U61" i="25"/>
  <c r="AB61" i="25"/>
  <c r="AJ61" i="25"/>
  <c r="AM61" i="25"/>
  <c r="F64" i="25"/>
  <c r="G64" i="25"/>
  <c r="H64" i="25"/>
  <c r="I64" i="25"/>
  <c r="J64" i="25"/>
  <c r="J64" i="27" s="1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X66" i="25" s="1"/>
  <c r="Y64" i="25"/>
  <c r="Z64" i="25"/>
  <c r="AA64" i="25"/>
  <c r="AB64" i="25"/>
  <c r="AC64" i="25"/>
  <c r="AD64" i="25"/>
  <c r="AE64" i="25"/>
  <c r="AF64" i="25"/>
  <c r="AF66" i="25" s="1"/>
  <c r="AG64" i="25"/>
  <c r="AH64" i="25"/>
  <c r="AI64" i="25"/>
  <c r="AJ64" i="25"/>
  <c r="AK64" i="25"/>
  <c r="AL64" i="25"/>
  <c r="AL66" i="25" s="1"/>
  <c r="AM64" i="25"/>
  <c r="AN64" i="25"/>
  <c r="AN66" i="25" s="1"/>
  <c r="AO64" i="25"/>
  <c r="F65" i="25"/>
  <c r="G65" i="25"/>
  <c r="H65" i="25"/>
  <c r="I65" i="25"/>
  <c r="J65" i="25"/>
  <c r="J66" i="25" s="1"/>
  <c r="K65" i="25"/>
  <c r="L65" i="25"/>
  <c r="M65" i="25"/>
  <c r="M65" i="27" s="1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Z65" i="27" s="1"/>
  <c r="AA65" i="25"/>
  <c r="AB65" i="25"/>
  <c r="AC65" i="25"/>
  <c r="AC65" i="27" s="1"/>
  <c r="AD65" i="25"/>
  <c r="AE65" i="25"/>
  <c r="AF65" i="25"/>
  <c r="AG65" i="25"/>
  <c r="AH65" i="25"/>
  <c r="AH66" i="25" s="1"/>
  <c r="AI65" i="25"/>
  <c r="AJ65" i="25"/>
  <c r="AK65" i="25"/>
  <c r="AK66" i="25" s="1"/>
  <c r="AL65" i="25"/>
  <c r="AM65" i="25"/>
  <c r="AN65" i="25"/>
  <c r="AO65" i="25"/>
  <c r="G66" i="25"/>
  <c r="L66" i="25"/>
  <c r="S66" i="25"/>
  <c r="T66" i="25"/>
  <c r="V66" i="25"/>
  <c r="W66" i="25"/>
  <c r="Z66" i="25"/>
  <c r="AB66" i="25"/>
  <c r="AI66" i="25"/>
  <c r="AJ66" i="25"/>
  <c r="AM66" i="25"/>
  <c r="F70" i="25"/>
  <c r="G70" i="25"/>
  <c r="H70" i="25"/>
  <c r="H70" i="27" s="1"/>
  <c r="I70" i="25"/>
  <c r="J70" i="25"/>
  <c r="K70" i="25"/>
  <c r="L70" i="25"/>
  <c r="M70" i="25"/>
  <c r="N70" i="25"/>
  <c r="O70" i="25"/>
  <c r="P70" i="25"/>
  <c r="Q70" i="25"/>
  <c r="R70" i="25"/>
  <c r="S70" i="25"/>
  <c r="T70" i="25"/>
  <c r="U70" i="25"/>
  <c r="V70" i="25"/>
  <c r="V72" i="25" s="1"/>
  <c r="W70" i="25"/>
  <c r="X70" i="25"/>
  <c r="Y70" i="25"/>
  <c r="Z70" i="25"/>
  <c r="AA70" i="25"/>
  <c r="AA70" i="27" s="1"/>
  <c r="AB70" i="25"/>
  <c r="AC70" i="25"/>
  <c r="AC72" i="25" s="1"/>
  <c r="AD70" i="25"/>
  <c r="AD72" i="25" s="1"/>
  <c r="AE70" i="25"/>
  <c r="AF70" i="25"/>
  <c r="AF72" i="25" s="1"/>
  <c r="AG70" i="25"/>
  <c r="AH70" i="25"/>
  <c r="AI70" i="25"/>
  <c r="AJ70" i="25"/>
  <c r="AK70" i="25"/>
  <c r="AL70" i="25"/>
  <c r="AL72" i="25" s="1"/>
  <c r="AM70" i="25"/>
  <c r="AN70" i="25"/>
  <c r="AO70" i="25"/>
  <c r="F71" i="25"/>
  <c r="G71" i="25"/>
  <c r="E71" i="25" s="1"/>
  <c r="G71" i="37" s="1"/>
  <c r="H71" i="25"/>
  <c r="I71" i="25"/>
  <c r="I72" i="25" s="1"/>
  <c r="J71" i="25"/>
  <c r="K71" i="25"/>
  <c r="L71" i="25"/>
  <c r="M71" i="25"/>
  <c r="N71" i="25"/>
  <c r="O71" i="25"/>
  <c r="O71" i="27" s="1"/>
  <c r="P71" i="25"/>
  <c r="Q71" i="25"/>
  <c r="R71" i="25"/>
  <c r="S71" i="25"/>
  <c r="T71" i="25"/>
  <c r="U71" i="25"/>
  <c r="V71" i="25"/>
  <c r="W71" i="25"/>
  <c r="W71" i="27" s="1"/>
  <c r="X71" i="25"/>
  <c r="X71" i="27" s="1"/>
  <c r="Y71" i="25"/>
  <c r="Z71" i="25"/>
  <c r="Z72" i="25" s="1"/>
  <c r="AA71" i="25"/>
  <c r="AB71" i="25"/>
  <c r="AC71" i="25"/>
  <c r="AD71" i="25"/>
  <c r="AE71" i="25"/>
  <c r="AE71" i="27" s="1"/>
  <c r="AF71" i="25"/>
  <c r="AG71" i="25"/>
  <c r="AH71" i="25"/>
  <c r="AH72" i="25" s="1"/>
  <c r="AI71" i="25"/>
  <c r="AI72" i="25" s="1"/>
  <c r="AJ71" i="25"/>
  <c r="AK71" i="25"/>
  <c r="AL71" i="25"/>
  <c r="AM71" i="25"/>
  <c r="AN71" i="25"/>
  <c r="AO71" i="25"/>
  <c r="AO72" i="25" s="1"/>
  <c r="H72" i="25"/>
  <c r="K72" i="25"/>
  <c r="L72" i="25"/>
  <c r="M72" i="25"/>
  <c r="Q72" i="25"/>
  <c r="R72" i="25"/>
  <c r="T72" i="25"/>
  <c r="U72" i="25"/>
  <c r="Y72" i="25"/>
  <c r="AA72" i="25"/>
  <c r="AB72" i="25"/>
  <c r="AG72" i="25"/>
  <c r="AJ72" i="25"/>
  <c r="AK72" i="25"/>
  <c r="AN72" i="25"/>
  <c r="F73" i="25"/>
  <c r="G73" i="25"/>
  <c r="H73" i="25"/>
  <c r="I73" i="25"/>
  <c r="J73" i="25"/>
  <c r="J73" i="27" s="1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F74" i="25"/>
  <c r="G74" i="25"/>
  <c r="E74" i="25" s="1"/>
  <c r="G74" i="37" s="1"/>
  <c r="H74" i="25"/>
  <c r="I74" i="25"/>
  <c r="J74" i="25"/>
  <c r="K74" i="25"/>
  <c r="L74" i="25"/>
  <c r="L74" i="27" s="1"/>
  <c r="M74" i="25"/>
  <c r="N74" i="25"/>
  <c r="P74" i="25"/>
  <c r="P74" i="27" s="1"/>
  <c r="Q74" i="25"/>
  <c r="R74" i="25"/>
  <c r="S74" i="25"/>
  <c r="T74" i="25"/>
  <c r="U74" i="25"/>
  <c r="V74" i="25"/>
  <c r="V74" i="27" s="1"/>
  <c r="W74" i="25"/>
  <c r="X74" i="25"/>
  <c r="X74" i="27" s="1"/>
  <c r="Y74" i="25"/>
  <c r="Z74" i="25"/>
  <c r="AA74" i="25"/>
  <c r="AB74" i="25"/>
  <c r="AB74" i="27" s="1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F75" i="25"/>
  <c r="G75" i="25"/>
  <c r="H75" i="25"/>
  <c r="H75" i="27" s="1"/>
  <c r="I75" i="25"/>
  <c r="J75" i="25"/>
  <c r="K75" i="25"/>
  <c r="L75" i="25"/>
  <c r="M75" i="25"/>
  <c r="N75" i="25"/>
  <c r="O75" i="25"/>
  <c r="O75" i="27" s="1"/>
  <c r="P75" i="25"/>
  <c r="P75" i="27" s="1"/>
  <c r="Q75" i="25"/>
  <c r="R75" i="25"/>
  <c r="S75" i="25"/>
  <c r="T75" i="25"/>
  <c r="U75" i="25"/>
  <c r="V75" i="25"/>
  <c r="W75" i="25"/>
  <c r="W75" i="27" s="1"/>
  <c r="X75" i="25"/>
  <c r="X75" i="27" s="1"/>
  <c r="Y75" i="25"/>
  <c r="Z75" i="25"/>
  <c r="AA75" i="25"/>
  <c r="AB75" i="25"/>
  <c r="AC75" i="25"/>
  <c r="AD75" i="25"/>
  <c r="AD75" i="27" s="1"/>
  <c r="AE75" i="25"/>
  <c r="AE75" i="27" s="1"/>
  <c r="AF75" i="25"/>
  <c r="AG75" i="25"/>
  <c r="AH75" i="25"/>
  <c r="AI75" i="25"/>
  <c r="AJ75" i="25"/>
  <c r="AK75" i="25"/>
  <c r="AL75" i="25"/>
  <c r="AM75" i="25"/>
  <c r="AN75" i="25"/>
  <c r="AO75" i="25"/>
  <c r="F76" i="25"/>
  <c r="G76" i="25"/>
  <c r="H76" i="25"/>
  <c r="I76" i="25"/>
  <c r="J76" i="25"/>
  <c r="J76" i="27" s="1"/>
  <c r="K76" i="25"/>
  <c r="L76" i="25"/>
  <c r="M76" i="25"/>
  <c r="N76" i="25"/>
  <c r="O76" i="25"/>
  <c r="P76" i="25"/>
  <c r="P76" i="27" s="1"/>
  <c r="Q76" i="25"/>
  <c r="R76" i="25"/>
  <c r="R76" i="27" s="1"/>
  <c r="S76" i="25"/>
  <c r="T76" i="25"/>
  <c r="U76" i="25"/>
  <c r="V76" i="25"/>
  <c r="W76" i="25"/>
  <c r="X76" i="25"/>
  <c r="X76" i="27" s="1"/>
  <c r="Y76" i="25"/>
  <c r="Z76" i="25"/>
  <c r="Z76" i="27" s="1"/>
  <c r="AA76" i="25"/>
  <c r="AB76" i="25"/>
  <c r="AB76" i="27" s="1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F77" i="25"/>
  <c r="G77" i="25"/>
  <c r="H77" i="25"/>
  <c r="I77" i="25"/>
  <c r="J77" i="25"/>
  <c r="J77" i="27" s="1"/>
  <c r="K77" i="25"/>
  <c r="K77" i="27" s="1"/>
  <c r="L77" i="25"/>
  <c r="L77" i="27" s="1"/>
  <c r="M77" i="25"/>
  <c r="N77" i="25"/>
  <c r="O77" i="25"/>
  <c r="O77" i="27" s="1"/>
  <c r="P77" i="25"/>
  <c r="Q77" i="25"/>
  <c r="R77" i="25"/>
  <c r="R77" i="27" s="1"/>
  <c r="S77" i="25"/>
  <c r="S77" i="27" s="1"/>
  <c r="T77" i="25"/>
  <c r="T77" i="27" s="1"/>
  <c r="U77" i="25"/>
  <c r="V77" i="25"/>
  <c r="W77" i="25"/>
  <c r="W77" i="27" s="1"/>
  <c r="X77" i="25"/>
  <c r="Y77" i="25"/>
  <c r="Z77" i="25"/>
  <c r="Z77" i="27" s="1"/>
  <c r="AA77" i="25"/>
  <c r="AA77" i="27" s="1"/>
  <c r="AB77" i="25"/>
  <c r="AB77" i="27" s="1"/>
  <c r="AC77" i="25"/>
  <c r="AD77" i="25"/>
  <c r="AE77" i="25"/>
  <c r="AE77" i="27" s="1"/>
  <c r="AF77" i="25"/>
  <c r="AG77" i="25"/>
  <c r="AH77" i="25"/>
  <c r="AI77" i="25"/>
  <c r="AJ77" i="25"/>
  <c r="AK77" i="25"/>
  <c r="AL77" i="25"/>
  <c r="AM77" i="25"/>
  <c r="AN77" i="25"/>
  <c r="AO77" i="25"/>
  <c r="F78" i="25"/>
  <c r="G78" i="25"/>
  <c r="H78" i="25"/>
  <c r="I78" i="25"/>
  <c r="I78" i="27" s="1"/>
  <c r="J78" i="25"/>
  <c r="K78" i="25"/>
  <c r="L78" i="25"/>
  <c r="L78" i="27" s="1"/>
  <c r="M78" i="25"/>
  <c r="M78" i="27" s="1"/>
  <c r="N78" i="25"/>
  <c r="N78" i="27" s="1"/>
  <c r="O78" i="25"/>
  <c r="P78" i="25"/>
  <c r="Q78" i="25"/>
  <c r="Q78" i="27" s="1"/>
  <c r="R78" i="25"/>
  <c r="S78" i="25"/>
  <c r="T78" i="25"/>
  <c r="T78" i="27" s="1"/>
  <c r="U78" i="25"/>
  <c r="U78" i="27" s="1"/>
  <c r="V78" i="25"/>
  <c r="V78" i="27" s="1"/>
  <c r="W78" i="25"/>
  <c r="X78" i="25"/>
  <c r="Y78" i="25"/>
  <c r="Y78" i="27" s="1"/>
  <c r="Z78" i="25"/>
  <c r="AA78" i="25"/>
  <c r="AB78" i="25"/>
  <c r="AB78" i="27" s="1"/>
  <c r="AC78" i="25"/>
  <c r="AC78" i="27" s="1"/>
  <c r="AD78" i="25"/>
  <c r="AD78" i="27" s="1"/>
  <c r="AE78" i="25"/>
  <c r="AF78" i="25"/>
  <c r="AG78" i="25"/>
  <c r="AH78" i="25"/>
  <c r="AI78" i="25"/>
  <c r="AJ78" i="25"/>
  <c r="AK78" i="25"/>
  <c r="AL78" i="25"/>
  <c r="AM78" i="25"/>
  <c r="AN78" i="25"/>
  <c r="AO78" i="25"/>
  <c r="F79" i="25"/>
  <c r="G79" i="25"/>
  <c r="H79" i="25"/>
  <c r="H79" i="27" s="1"/>
  <c r="I79" i="25"/>
  <c r="I79" i="27" s="1"/>
  <c r="J79" i="25"/>
  <c r="K79" i="25"/>
  <c r="L79" i="25"/>
  <c r="M79" i="25"/>
  <c r="N79" i="25"/>
  <c r="O79" i="25"/>
  <c r="P79" i="25"/>
  <c r="P79" i="27" s="1"/>
  <c r="Q79" i="25"/>
  <c r="Q79" i="27" s="1"/>
  <c r="R79" i="25"/>
  <c r="S79" i="25"/>
  <c r="T79" i="25"/>
  <c r="U79" i="25"/>
  <c r="V79" i="25"/>
  <c r="W79" i="25"/>
  <c r="X79" i="25"/>
  <c r="X79" i="27" s="1"/>
  <c r="Y79" i="25"/>
  <c r="Y79" i="27" s="1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F80" i="25"/>
  <c r="G80" i="25"/>
  <c r="H80" i="25"/>
  <c r="I80" i="25"/>
  <c r="J80" i="25"/>
  <c r="J80" i="27" s="1"/>
  <c r="K80" i="25"/>
  <c r="L80" i="25"/>
  <c r="M80" i="25"/>
  <c r="N80" i="25"/>
  <c r="O80" i="25"/>
  <c r="P80" i="25"/>
  <c r="Q80" i="25"/>
  <c r="Q80" i="27" s="1"/>
  <c r="R80" i="25"/>
  <c r="R80" i="27" s="1"/>
  <c r="S80" i="25"/>
  <c r="T80" i="25"/>
  <c r="U80" i="25"/>
  <c r="V80" i="25"/>
  <c r="W80" i="25"/>
  <c r="X80" i="25"/>
  <c r="Y80" i="25"/>
  <c r="Y80" i="27" s="1"/>
  <c r="Z80" i="25"/>
  <c r="Z80" i="27" s="1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F81" i="25"/>
  <c r="G81" i="25"/>
  <c r="H81" i="25"/>
  <c r="I81" i="25"/>
  <c r="J81" i="25"/>
  <c r="K81" i="25"/>
  <c r="L81" i="25"/>
  <c r="L81" i="27" s="1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B81" i="27" s="1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6" i="25"/>
  <c r="F86" i="25"/>
  <c r="G86" i="25"/>
  <c r="E86" i="25" s="1"/>
  <c r="D87" i="25"/>
  <c r="E87" i="25"/>
  <c r="F87" i="25"/>
  <c r="G87" i="25"/>
  <c r="G89" i="25" s="1"/>
  <c r="F88" i="25"/>
  <c r="F89" i="25" s="1"/>
  <c r="G88" i="25"/>
  <c r="E88" i="25" s="1"/>
  <c r="G88" i="37" s="1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A5" i="37"/>
  <c r="D13" i="37"/>
  <c r="E14" i="37"/>
  <c r="D22" i="37"/>
  <c r="D28" i="37"/>
  <c r="E32" i="37"/>
  <c r="D34" i="37"/>
  <c r="D35" i="37"/>
  <c r="E35" i="37"/>
  <c r="E39" i="37"/>
  <c r="E41" i="37"/>
  <c r="D49" i="37"/>
  <c r="E49" i="37"/>
  <c r="E59" i="37"/>
  <c r="E60" i="37"/>
  <c r="E61" i="37" s="1"/>
  <c r="E65" i="37"/>
  <c r="D71" i="37"/>
  <c r="E73" i="37"/>
  <c r="E75" i="37"/>
  <c r="E77" i="37"/>
  <c r="D80" i="37"/>
  <c r="E80" i="37"/>
  <c r="E81" i="37"/>
  <c r="D86" i="37"/>
  <c r="G86" i="37"/>
  <c r="E87" i="37"/>
  <c r="F87" i="37"/>
  <c r="D88" i="37"/>
  <c r="A4" i="45"/>
  <c r="A5" i="45"/>
  <c r="H11" i="45"/>
  <c r="I11" i="45"/>
  <c r="L11" i="45"/>
  <c r="F12" i="45"/>
  <c r="G12" i="45"/>
  <c r="H12" i="45"/>
  <c r="I12" i="45"/>
  <c r="L12" i="45"/>
  <c r="D12" i="47" s="1"/>
  <c r="M12" i="45"/>
  <c r="E12" i="47" s="1"/>
  <c r="F13" i="45"/>
  <c r="H13" i="45"/>
  <c r="L13" i="45" s="1"/>
  <c r="I13" i="45"/>
  <c r="F14" i="45"/>
  <c r="G14" i="45"/>
  <c r="H14" i="45"/>
  <c r="L14" i="45" s="1"/>
  <c r="I14" i="45"/>
  <c r="M14" i="45"/>
  <c r="H15" i="45"/>
  <c r="F15" i="45" s="1"/>
  <c r="I15" i="45"/>
  <c r="J16" i="45"/>
  <c r="J82" i="45" s="1"/>
  <c r="K16" i="45"/>
  <c r="H18" i="45"/>
  <c r="I18" i="45"/>
  <c r="H19" i="45"/>
  <c r="I19" i="45"/>
  <c r="L19" i="45"/>
  <c r="F20" i="45"/>
  <c r="G20" i="45"/>
  <c r="H20" i="45"/>
  <c r="I20" i="45"/>
  <c r="L20" i="45"/>
  <c r="D20" i="47" s="1"/>
  <c r="M20" i="45"/>
  <c r="F21" i="45"/>
  <c r="H21" i="45"/>
  <c r="L21" i="45" s="1"/>
  <c r="D21" i="47" s="1"/>
  <c r="I21" i="45"/>
  <c r="G22" i="45"/>
  <c r="H22" i="45"/>
  <c r="L22" i="45" s="1"/>
  <c r="D22" i="47" s="1"/>
  <c r="I22" i="45"/>
  <c r="M22" i="45"/>
  <c r="E22" i="47" s="1"/>
  <c r="H23" i="45"/>
  <c r="F23" i="45" s="1"/>
  <c r="I23" i="45"/>
  <c r="L23" i="45"/>
  <c r="D23" i="47" s="1"/>
  <c r="J24" i="45"/>
  <c r="K24" i="45"/>
  <c r="F27" i="45"/>
  <c r="G27" i="45"/>
  <c r="H27" i="45"/>
  <c r="I27" i="45"/>
  <c r="I29" i="45" s="1"/>
  <c r="L27" i="45"/>
  <c r="M27" i="45"/>
  <c r="F28" i="45"/>
  <c r="H28" i="45"/>
  <c r="L28" i="45" s="1"/>
  <c r="D28" i="47" s="1"/>
  <c r="I28" i="45"/>
  <c r="F29" i="45"/>
  <c r="H29" i="45"/>
  <c r="J29" i="45"/>
  <c r="K29" i="45"/>
  <c r="G32" i="45"/>
  <c r="H32" i="45"/>
  <c r="L32" i="45" s="1"/>
  <c r="I32" i="45"/>
  <c r="M32" i="45"/>
  <c r="H33" i="45"/>
  <c r="I33" i="45"/>
  <c r="F34" i="45"/>
  <c r="G34" i="45"/>
  <c r="H34" i="45"/>
  <c r="I34" i="45"/>
  <c r="L34" i="45"/>
  <c r="D34" i="47" s="1"/>
  <c r="M34" i="45"/>
  <c r="E34" i="47" s="1"/>
  <c r="F35" i="45"/>
  <c r="H35" i="45"/>
  <c r="L35" i="45" s="1"/>
  <c r="I35" i="45"/>
  <c r="J36" i="45"/>
  <c r="K36" i="45"/>
  <c r="L37" i="45"/>
  <c r="M37" i="45"/>
  <c r="H38" i="45"/>
  <c r="I38" i="45"/>
  <c r="F39" i="45"/>
  <c r="G39" i="45"/>
  <c r="H39" i="45"/>
  <c r="I39" i="45"/>
  <c r="L39" i="45"/>
  <c r="M39" i="45"/>
  <c r="E39" i="47" s="1"/>
  <c r="F40" i="45"/>
  <c r="H40" i="45"/>
  <c r="L40" i="45" s="1"/>
  <c r="I40" i="45"/>
  <c r="G41" i="45"/>
  <c r="H41" i="45"/>
  <c r="I41" i="45"/>
  <c r="M41" i="45"/>
  <c r="E41" i="47" s="1"/>
  <c r="I42" i="45"/>
  <c r="I43" i="45" s="1"/>
  <c r="J42" i="45"/>
  <c r="K42" i="45"/>
  <c r="J43" i="45"/>
  <c r="K43" i="45"/>
  <c r="H45" i="45"/>
  <c r="F45" i="45" s="1"/>
  <c r="I45" i="45"/>
  <c r="L45" i="45"/>
  <c r="D45" i="47" s="1"/>
  <c r="H45" i="47" s="1"/>
  <c r="F47" i="45"/>
  <c r="G47" i="45"/>
  <c r="H47" i="45"/>
  <c r="I47" i="45"/>
  <c r="L47" i="45"/>
  <c r="M47" i="45"/>
  <c r="F49" i="45"/>
  <c r="H49" i="45"/>
  <c r="L49" i="45" s="1"/>
  <c r="D49" i="47" s="1"/>
  <c r="I49" i="45"/>
  <c r="G51" i="45"/>
  <c r="H51" i="45"/>
  <c r="L51" i="45" s="1"/>
  <c r="I51" i="45"/>
  <c r="M51" i="45"/>
  <c r="E51" i="47" s="1"/>
  <c r="H54" i="45"/>
  <c r="I54" i="45"/>
  <c r="L54" i="45"/>
  <c r="F55" i="45"/>
  <c r="G55" i="45"/>
  <c r="H55" i="45"/>
  <c r="I55" i="45"/>
  <c r="L55" i="45"/>
  <c r="M55" i="45"/>
  <c r="I56" i="45"/>
  <c r="J56" i="45"/>
  <c r="K56" i="45"/>
  <c r="F59" i="45"/>
  <c r="H59" i="45"/>
  <c r="L59" i="45" s="1"/>
  <c r="I59" i="45"/>
  <c r="G60" i="45"/>
  <c r="H60" i="45"/>
  <c r="I60" i="45"/>
  <c r="M60" i="45"/>
  <c r="E60" i="47" s="1"/>
  <c r="J61" i="45"/>
  <c r="K61" i="45"/>
  <c r="H64" i="45"/>
  <c r="I64" i="45"/>
  <c r="F65" i="45"/>
  <c r="G65" i="45"/>
  <c r="H65" i="45"/>
  <c r="I65" i="45"/>
  <c r="L65" i="45"/>
  <c r="M65" i="45"/>
  <c r="E65" i="47" s="1"/>
  <c r="I66" i="45"/>
  <c r="J66" i="45"/>
  <c r="K66" i="45"/>
  <c r="F70" i="45"/>
  <c r="H70" i="45"/>
  <c r="L70" i="45" s="1"/>
  <c r="I70" i="45"/>
  <c r="F71" i="45"/>
  <c r="G71" i="45"/>
  <c r="H71" i="45"/>
  <c r="L71" i="45" s="1"/>
  <c r="I71" i="45"/>
  <c r="M71" i="45"/>
  <c r="E71" i="47" s="1"/>
  <c r="I72" i="45"/>
  <c r="J72" i="45"/>
  <c r="K72" i="45"/>
  <c r="H73" i="45"/>
  <c r="F73" i="45" s="1"/>
  <c r="I73" i="45"/>
  <c r="L73" i="45"/>
  <c r="D73" i="47" s="1"/>
  <c r="F74" i="45"/>
  <c r="G74" i="45"/>
  <c r="H74" i="45"/>
  <c r="I74" i="45"/>
  <c r="L74" i="45"/>
  <c r="M74" i="45"/>
  <c r="E74" i="47" s="1"/>
  <c r="F75" i="45"/>
  <c r="H75" i="45"/>
  <c r="L75" i="45" s="1"/>
  <c r="D75" i="47" s="1"/>
  <c r="I75" i="45"/>
  <c r="F76" i="45"/>
  <c r="G76" i="45"/>
  <c r="H76" i="45"/>
  <c r="L76" i="45" s="1"/>
  <c r="D76" i="47" s="1"/>
  <c r="I76" i="45"/>
  <c r="M76" i="45"/>
  <c r="E76" i="47" s="1"/>
  <c r="H77" i="45"/>
  <c r="I77" i="45"/>
  <c r="F78" i="45"/>
  <c r="G78" i="45"/>
  <c r="H78" i="45"/>
  <c r="I78" i="45"/>
  <c r="L78" i="45"/>
  <c r="D78" i="47" s="1"/>
  <c r="H78" i="47" s="1"/>
  <c r="M78" i="45"/>
  <c r="E78" i="47" s="1"/>
  <c r="F79" i="45"/>
  <c r="H79" i="45"/>
  <c r="L79" i="45" s="1"/>
  <c r="I79" i="45"/>
  <c r="G80" i="45"/>
  <c r="H80" i="45"/>
  <c r="L80" i="45" s="1"/>
  <c r="I80" i="45"/>
  <c r="M80" i="45"/>
  <c r="E80" i="47" s="1"/>
  <c r="H81" i="45"/>
  <c r="F81" i="45" s="1"/>
  <c r="I81" i="45"/>
  <c r="L81" i="45"/>
  <c r="D81" i="47" s="1"/>
  <c r="D82" i="45"/>
  <c r="E82" i="45"/>
  <c r="A5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G16" i="46" s="1"/>
  <c r="E12" i="46"/>
  <c r="G12" i="47" s="1"/>
  <c r="F12" i="46"/>
  <c r="D12" i="46" s="1"/>
  <c r="D16" i="46" s="1"/>
  <c r="G12" i="46"/>
  <c r="D13" i="46"/>
  <c r="F13" i="47" s="1"/>
  <c r="H13" i="47" s="1"/>
  <c r="E13" i="46"/>
  <c r="G13" i="47" s="1"/>
  <c r="F13" i="46"/>
  <c r="G13" i="46"/>
  <c r="E14" i="46"/>
  <c r="G14" i="47" s="1"/>
  <c r="F14" i="46"/>
  <c r="D14" i="46" s="1"/>
  <c r="F14" i="47" s="1"/>
  <c r="H14" i="47" s="1"/>
  <c r="G14" i="46"/>
  <c r="D15" i="46"/>
  <c r="E15" i="46"/>
  <c r="G15" i="47" s="1"/>
  <c r="F15" i="46"/>
  <c r="G15" i="46"/>
  <c r="F16" i="46"/>
  <c r="H16" i="46"/>
  <c r="I16" i="46"/>
  <c r="J16" i="46"/>
  <c r="K16" i="46"/>
  <c r="L16" i="46"/>
  <c r="L82" i="46" s="1"/>
  <c r="M16" i="46"/>
  <c r="N16" i="46"/>
  <c r="O16" i="46"/>
  <c r="P16" i="46"/>
  <c r="Q16" i="46"/>
  <c r="R16" i="46"/>
  <c r="S16" i="46"/>
  <c r="T16" i="46"/>
  <c r="T82" i="46" s="1"/>
  <c r="R646" i="44" s="1"/>
  <c r="U16" i="46"/>
  <c r="V16" i="46"/>
  <c r="W16" i="46"/>
  <c r="X16" i="46"/>
  <c r="Y16" i="46"/>
  <c r="Z16" i="46"/>
  <c r="AA16" i="46"/>
  <c r="AB16" i="46"/>
  <c r="AB82" i="46" s="1"/>
  <c r="Z646" i="44" s="1"/>
  <c r="AC16" i="46"/>
  <c r="AD16" i="46"/>
  <c r="AE16" i="46"/>
  <c r="AF16" i="46"/>
  <c r="AG16" i="46"/>
  <c r="AH16" i="46"/>
  <c r="AI16" i="46"/>
  <c r="AJ16" i="46"/>
  <c r="AJ82" i="46" s="1"/>
  <c r="AK16" i="46"/>
  <c r="AL16" i="46"/>
  <c r="AM16" i="46"/>
  <c r="AN16" i="46"/>
  <c r="AO16" i="46"/>
  <c r="F19" i="46"/>
  <c r="G19" i="46"/>
  <c r="E19" i="46" s="1"/>
  <c r="D20" i="46"/>
  <c r="F20" i="46"/>
  <c r="G20" i="46"/>
  <c r="E20" i="46" s="1"/>
  <c r="F21" i="46"/>
  <c r="D21" i="46" s="1"/>
  <c r="G21" i="46"/>
  <c r="E21" i="46" s="1"/>
  <c r="G21" i="47" s="1"/>
  <c r="D22" i="46"/>
  <c r="F22" i="47" s="1"/>
  <c r="F22" i="46"/>
  <c r="G22" i="46"/>
  <c r="E22" i="46" s="1"/>
  <c r="G22" i="47" s="1"/>
  <c r="F23" i="46"/>
  <c r="D23" i="46" s="1"/>
  <c r="F23" i="47" s="1"/>
  <c r="H23" i="47" s="1"/>
  <c r="G23" i="46"/>
  <c r="E23" i="46" s="1"/>
  <c r="G23" i="47" s="1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F27" i="46"/>
  <c r="D27" i="46" s="1"/>
  <c r="G27" i="46"/>
  <c r="H27" i="46"/>
  <c r="H29" i="46" s="1"/>
  <c r="I27" i="46"/>
  <c r="I29" i="46" s="1"/>
  <c r="J27" i="46"/>
  <c r="K27" i="46"/>
  <c r="K29" i="46" s="1"/>
  <c r="L27" i="46"/>
  <c r="L29" i="46" s="1"/>
  <c r="M27" i="46"/>
  <c r="D28" i="46"/>
  <c r="F28" i="47" s="1"/>
  <c r="H28" i="47" s="1"/>
  <c r="F28" i="46"/>
  <c r="G28" i="46"/>
  <c r="E28" i="46" s="1"/>
  <c r="G28" i="47" s="1"/>
  <c r="O28" i="46"/>
  <c r="G29" i="46"/>
  <c r="J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F32" i="46"/>
  <c r="G32" i="46"/>
  <c r="E32" i="46" s="1"/>
  <c r="D33" i="46"/>
  <c r="E33" i="46"/>
  <c r="G33" i="47" s="1"/>
  <c r="F33" i="46"/>
  <c r="G33" i="46"/>
  <c r="D34" i="46"/>
  <c r="F34" i="46"/>
  <c r="G34" i="46"/>
  <c r="E34" i="46" s="1"/>
  <c r="G34" i="47" s="1"/>
  <c r="D35" i="46"/>
  <c r="F35" i="47" s="1"/>
  <c r="E35" i="46"/>
  <c r="G35" i="47" s="1"/>
  <c r="F35" i="46"/>
  <c r="G35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W82" i="46" s="1"/>
  <c r="U646" i="44" s="1"/>
  <c r="X36" i="46"/>
  <c r="X82" i="46" s="1"/>
  <c r="V646" i="44" s="1"/>
  <c r="Y36" i="46"/>
  <c r="Z36" i="46"/>
  <c r="AA36" i="46"/>
  <c r="AB36" i="46"/>
  <c r="AC36" i="46"/>
  <c r="AD36" i="46"/>
  <c r="AE36" i="46"/>
  <c r="AF36" i="46"/>
  <c r="AF82" i="46" s="1"/>
  <c r="AG36" i="46"/>
  <c r="AH36" i="46"/>
  <c r="AI36" i="46"/>
  <c r="AJ36" i="46"/>
  <c r="AK36" i="46"/>
  <c r="AL36" i="46"/>
  <c r="AM36" i="46"/>
  <c r="AM82" i="46" s="1"/>
  <c r="AN36" i="46"/>
  <c r="AN82" i="46" s="1"/>
  <c r="AO36" i="46"/>
  <c r="E39" i="46"/>
  <c r="F39" i="46"/>
  <c r="D39" i="46" s="1"/>
  <c r="G39" i="46"/>
  <c r="F40" i="46"/>
  <c r="D40" i="46" s="1"/>
  <c r="D42" i="46" s="1"/>
  <c r="G40" i="46"/>
  <c r="E41" i="46"/>
  <c r="F41" i="46"/>
  <c r="D41" i="46" s="1"/>
  <c r="F41" i="47" s="1"/>
  <c r="G41" i="46"/>
  <c r="F42" i="46"/>
  <c r="F43" i="46" s="1"/>
  <c r="H42" i="46"/>
  <c r="I42" i="46"/>
  <c r="J42" i="46"/>
  <c r="J43" i="46" s="1"/>
  <c r="K42" i="46"/>
  <c r="L42" i="46"/>
  <c r="M42" i="46"/>
  <c r="M43" i="46" s="1"/>
  <c r="N42" i="46"/>
  <c r="N43" i="46" s="1"/>
  <c r="O42" i="46"/>
  <c r="P42" i="46"/>
  <c r="Q42" i="46"/>
  <c r="R42" i="46"/>
  <c r="R43" i="46" s="1"/>
  <c r="S42" i="46"/>
  <c r="T42" i="46"/>
  <c r="U42" i="46"/>
  <c r="U43" i="46" s="1"/>
  <c r="V42" i="46"/>
  <c r="V43" i="46" s="1"/>
  <c r="W42" i="46"/>
  <c r="W43" i="46" s="1"/>
  <c r="X42" i="46"/>
  <c r="Y42" i="46"/>
  <c r="Z42" i="46"/>
  <c r="Z43" i="46" s="1"/>
  <c r="Z82" i="46" s="1"/>
  <c r="X646" i="44" s="1"/>
  <c r="AA42" i="46"/>
  <c r="AB42" i="46"/>
  <c r="AC42" i="46"/>
  <c r="AC43" i="46" s="1"/>
  <c r="AD42" i="46"/>
  <c r="AD43" i="46" s="1"/>
  <c r="AE42" i="46"/>
  <c r="AF42" i="46"/>
  <c r="AG42" i="46"/>
  <c r="AH42" i="46"/>
  <c r="AH43" i="46" s="1"/>
  <c r="AH82" i="46" s="1"/>
  <c r="AI42" i="46"/>
  <c r="AJ42" i="46"/>
  <c r="AK42" i="46"/>
  <c r="AK43" i="46" s="1"/>
  <c r="AL42" i="46"/>
  <c r="AL43" i="46" s="1"/>
  <c r="AM42" i="46"/>
  <c r="AN42" i="46"/>
  <c r="AO42" i="46"/>
  <c r="D43" i="46"/>
  <c r="H43" i="46"/>
  <c r="I43" i="46"/>
  <c r="K43" i="46"/>
  <c r="L43" i="46"/>
  <c r="O43" i="46"/>
  <c r="P43" i="46"/>
  <c r="Q43" i="46"/>
  <c r="S43" i="46"/>
  <c r="T43" i="46"/>
  <c r="X43" i="46"/>
  <c r="Y43" i="46"/>
  <c r="AA43" i="46"/>
  <c r="AB43" i="46"/>
  <c r="AE43" i="46"/>
  <c r="AF43" i="46"/>
  <c r="AG43" i="46"/>
  <c r="AI43" i="46"/>
  <c r="AJ43" i="46"/>
  <c r="AM43" i="46"/>
  <c r="AN43" i="46"/>
  <c r="AO43" i="46"/>
  <c r="E45" i="46"/>
  <c r="F45" i="46"/>
  <c r="D45" i="46" s="1"/>
  <c r="G45" i="46"/>
  <c r="F47" i="46"/>
  <c r="D47" i="46" s="1"/>
  <c r="F47" i="47" s="1"/>
  <c r="H47" i="47" s="1"/>
  <c r="G47" i="46"/>
  <c r="E47" i="46" s="1"/>
  <c r="G47" i="47" s="1"/>
  <c r="I47" i="47" s="1"/>
  <c r="E49" i="46"/>
  <c r="F49" i="46"/>
  <c r="D49" i="46" s="1"/>
  <c r="F49" i="47" s="1"/>
  <c r="G49" i="46"/>
  <c r="F51" i="46"/>
  <c r="D51" i="46" s="1"/>
  <c r="G51" i="46"/>
  <c r="E51" i="46" s="1"/>
  <c r="E54" i="46"/>
  <c r="F54" i="46"/>
  <c r="D54" i="46" s="1"/>
  <c r="F54" i="47" s="1"/>
  <c r="G54" i="46"/>
  <c r="E55" i="46"/>
  <c r="F55" i="46"/>
  <c r="D55" i="46" s="1"/>
  <c r="F55" i="47" s="1"/>
  <c r="G55" i="46"/>
  <c r="G56" i="46" s="1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A82" i="46" s="1"/>
  <c r="Y646" i="44" s="1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G61" i="46" s="1"/>
  <c r="F60" i="46"/>
  <c r="G60" i="46"/>
  <c r="I60" i="46"/>
  <c r="O60" i="46"/>
  <c r="O61" i="46" s="1"/>
  <c r="H61" i="46"/>
  <c r="I61" i="46"/>
  <c r="I82" i="46" s="1"/>
  <c r="J61" i="46"/>
  <c r="K61" i="46"/>
  <c r="L61" i="46"/>
  <c r="M61" i="46"/>
  <c r="N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F64" i="47" s="1"/>
  <c r="E64" i="46"/>
  <c r="F64" i="46"/>
  <c r="G64" i="46"/>
  <c r="D65" i="46"/>
  <c r="F65" i="47" s="1"/>
  <c r="F65" i="46"/>
  <c r="F66" i="46" s="1"/>
  <c r="G65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S82" i="46" s="1"/>
  <c r="Q646" i="44" s="1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E70" i="46"/>
  <c r="G70" i="47" s="1"/>
  <c r="F70" i="46"/>
  <c r="D70" i="46" s="1"/>
  <c r="F70" i="47" s="1"/>
  <c r="G70" i="46"/>
  <c r="G72" i="46" s="1"/>
  <c r="E71" i="46"/>
  <c r="F71" i="46"/>
  <c r="G71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F73" i="47" s="1"/>
  <c r="F73" i="46"/>
  <c r="G73" i="46"/>
  <c r="E73" i="46" s="1"/>
  <c r="G73" i="47" s="1"/>
  <c r="D74" i="46"/>
  <c r="F74" i="47" s="1"/>
  <c r="F74" i="46"/>
  <c r="G74" i="46"/>
  <c r="O74" i="46"/>
  <c r="E74" i="46" s="1"/>
  <c r="G74" i="47" s="1"/>
  <c r="I74" i="47" s="1"/>
  <c r="F75" i="46"/>
  <c r="D75" i="46" s="1"/>
  <c r="G75" i="46"/>
  <c r="E75" i="46" s="1"/>
  <c r="G75" i="47" s="1"/>
  <c r="D76" i="46"/>
  <c r="F76" i="46"/>
  <c r="G76" i="46"/>
  <c r="E76" i="46" s="1"/>
  <c r="F77" i="46"/>
  <c r="D77" i="46" s="1"/>
  <c r="G77" i="46"/>
  <c r="E77" i="46" s="1"/>
  <c r="G77" i="47" s="1"/>
  <c r="D78" i="46"/>
  <c r="F78" i="47" s="1"/>
  <c r="F78" i="46"/>
  <c r="G78" i="46"/>
  <c r="E78" i="46" s="1"/>
  <c r="G78" i="47" s="1"/>
  <c r="E79" i="46"/>
  <c r="G79" i="47" s="1"/>
  <c r="F79" i="46"/>
  <c r="D79" i="46" s="1"/>
  <c r="G79" i="46"/>
  <c r="D80" i="46"/>
  <c r="F80" i="47" s="1"/>
  <c r="F80" i="46"/>
  <c r="G80" i="46"/>
  <c r="E80" i="46" s="1"/>
  <c r="E81" i="46"/>
  <c r="G81" i="47" s="1"/>
  <c r="F81" i="46"/>
  <c r="D81" i="46" s="1"/>
  <c r="G81" i="46"/>
  <c r="J82" i="46"/>
  <c r="AI82" i="46"/>
  <c r="D86" i="46"/>
  <c r="E86" i="46"/>
  <c r="F86" i="46"/>
  <c r="F89" i="46" s="1"/>
  <c r="G86" i="46"/>
  <c r="M86" i="46"/>
  <c r="M89" i="46" s="1"/>
  <c r="F87" i="46"/>
  <c r="D87" i="46" s="1"/>
  <c r="F87" i="47" s="1"/>
  <c r="H87" i="47" s="1"/>
  <c r="G87" i="46"/>
  <c r="E87" i="46" s="1"/>
  <c r="D88" i="46"/>
  <c r="F88" i="47" s="1"/>
  <c r="H88" i="47" s="1"/>
  <c r="E88" i="46"/>
  <c r="G88" i="47" s="1"/>
  <c r="I88" i="47" s="1"/>
  <c r="F88" i="46"/>
  <c r="G88" i="46"/>
  <c r="G89" i="46"/>
  <c r="H89" i="46"/>
  <c r="I89" i="46"/>
  <c r="J89" i="46"/>
  <c r="K89" i="46"/>
  <c r="L89" i="46"/>
  <c r="N89" i="46"/>
  <c r="O89" i="46"/>
  <c r="A4" i="47"/>
  <c r="A5" i="47"/>
  <c r="D11" i="47"/>
  <c r="F11" i="47"/>
  <c r="H11" i="47" s="1"/>
  <c r="I12" i="47"/>
  <c r="D13" i="47"/>
  <c r="D14" i="47"/>
  <c r="E14" i="47"/>
  <c r="F15" i="47"/>
  <c r="D19" i="47"/>
  <c r="E20" i="47"/>
  <c r="F20" i="47"/>
  <c r="H20" i="47" s="1"/>
  <c r="G20" i="47"/>
  <c r="I20" i="47" s="1"/>
  <c r="F21" i="47"/>
  <c r="H21" i="47" s="1"/>
  <c r="H22" i="47"/>
  <c r="I22" i="47"/>
  <c r="D27" i="47"/>
  <c r="D29" i="47" s="1"/>
  <c r="D32" i="47"/>
  <c r="G32" i="47"/>
  <c r="F33" i="47"/>
  <c r="F34" i="47"/>
  <c r="D35" i="47"/>
  <c r="H35" i="47" s="1"/>
  <c r="D39" i="47"/>
  <c r="F39" i="47"/>
  <c r="H39" i="47" s="1"/>
  <c r="G39" i="47"/>
  <c r="I39" i="47"/>
  <c r="G41" i="47"/>
  <c r="F45" i="47"/>
  <c r="G45" i="47"/>
  <c r="D47" i="47"/>
  <c r="E47" i="47"/>
  <c r="G49" i="47"/>
  <c r="D51" i="47"/>
  <c r="F51" i="47"/>
  <c r="H51" i="47" s="1"/>
  <c r="G51" i="47"/>
  <c r="I51" i="47"/>
  <c r="G54" i="47"/>
  <c r="D55" i="47"/>
  <c r="E55" i="47"/>
  <c r="D59" i="47"/>
  <c r="F59" i="47"/>
  <c r="G59" i="47"/>
  <c r="G64" i="47"/>
  <c r="D65" i="47"/>
  <c r="H65" i="47"/>
  <c r="F66" i="47"/>
  <c r="D71" i="47"/>
  <c r="G71" i="47"/>
  <c r="H73" i="47"/>
  <c r="D74" i="47"/>
  <c r="H74" i="47" s="1"/>
  <c r="F75" i="47"/>
  <c r="F76" i="47"/>
  <c r="G76" i="47"/>
  <c r="I76" i="47"/>
  <c r="F77" i="47"/>
  <c r="D79" i="47"/>
  <c r="F79" i="47"/>
  <c r="H79" i="47" s="1"/>
  <c r="D80" i="47"/>
  <c r="G80" i="47"/>
  <c r="I80" i="47" s="1"/>
  <c r="F81" i="47"/>
  <c r="H81" i="47"/>
  <c r="D86" i="47"/>
  <c r="E86" i="47"/>
  <c r="E89" i="47" s="1"/>
  <c r="F86" i="47"/>
  <c r="G86" i="47"/>
  <c r="D87" i="47"/>
  <c r="E87" i="47"/>
  <c r="G87" i="47"/>
  <c r="I87" i="47" s="1"/>
  <c r="D88" i="47"/>
  <c r="E88" i="47"/>
  <c r="D89" i="47"/>
  <c r="A4" i="14"/>
  <c r="A5" i="14"/>
  <c r="H11" i="14"/>
  <c r="I11" i="14"/>
  <c r="H12" i="14"/>
  <c r="I12" i="14"/>
  <c r="G12" i="14" s="1"/>
  <c r="M12" i="14"/>
  <c r="G13" i="14"/>
  <c r="H13" i="14"/>
  <c r="I13" i="14"/>
  <c r="M13" i="14"/>
  <c r="E13" i="38" s="1"/>
  <c r="F14" i="14"/>
  <c r="G14" i="14"/>
  <c r="H14" i="14"/>
  <c r="I14" i="14"/>
  <c r="I14" i="15" s="1"/>
  <c r="L14" i="14"/>
  <c r="D14" i="38" s="1"/>
  <c r="F15" i="14"/>
  <c r="H15" i="14"/>
  <c r="L15" i="14" s="1"/>
  <c r="D15" i="38" s="1"/>
  <c r="I15" i="14"/>
  <c r="M15" i="14" s="1"/>
  <c r="J16" i="14"/>
  <c r="J82" i="14" s="1"/>
  <c r="K16" i="14"/>
  <c r="H18" i="14"/>
  <c r="I18" i="14"/>
  <c r="G19" i="14"/>
  <c r="H19" i="14"/>
  <c r="L19" i="14" s="1"/>
  <c r="I19" i="14"/>
  <c r="M19" i="14" s="1"/>
  <c r="F20" i="14"/>
  <c r="H20" i="14"/>
  <c r="I20" i="14"/>
  <c r="G20" i="14" s="1"/>
  <c r="L20" i="14"/>
  <c r="D20" i="38" s="1"/>
  <c r="M20" i="14"/>
  <c r="G21" i="14"/>
  <c r="H21" i="14"/>
  <c r="F21" i="14" s="1"/>
  <c r="I21" i="14"/>
  <c r="L21" i="14"/>
  <c r="M21" i="14"/>
  <c r="E21" i="38" s="1"/>
  <c r="F22" i="14"/>
  <c r="G22" i="14"/>
  <c r="H22" i="14"/>
  <c r="I22" i="14"/>
  <c r="M22" i="14" s="1"/>
  <c r="E22" i="38" s="1"/>
  <c r="E24" i="38" s="1"/>
  <c r="L22" i="14"/>
  <c r="G23" i="14"/>
  <c r="H23" i="14"/>
  <c r="I23" i="14"/>
  <c r="M23" i="14" s="1"/>
  <c r="I24" i="14"/>
  <c r="J24" i="14"/>
  <c r="K24" i="14"/>
  <c r="F27" i="14"/>
  <c r="H27" i="14"/>
  <c r="H29" i="14" s="1"/>
  <c r="I27" i="14"/>
  <c r="L27" i="14"/>
  <c r="M27" i="14"/>
  <c r="G28" i="14"/>
  <c r="H28" i="14"/>
  <c r="I28" i="14"/>
  <c r="L28" i="14"/>
  <c r="D28" i="38" s="1"/>
  <c r="M28" i="14"/>
  <c r="J29" i="14"/>
  <c r="K29" i="14"/>
  <c r="F32" i="14"/>
  <c r="G32" i="14"/>
  <c r="H32" i="14"/>
  <c r="I32" i="14"/>
  <c r="M32" i="14" s="1"/>
  <c r="E32" i="38" s="1"/>
  <c r="L32" i="14"/>
  <c r="D32" i="38" s="1"/>
  <c r="F33" i="14"/>
  <c r="H33" i="14"/>
  <c r="I33" i="14"/>
  <c r="F34" i="14"/>
  <c r="H34" i="14"/>
  <c r="I34" i="14"/>
  <c r="L34" i="14"/>
  <c r="G35" i="14"/>
  <c r="H35" i="14"/>
  <c r="F35" i="14" s="1"/>
  <c r="I35" i="14"/>
  <c r="L35" i="14"/>
  <c r="M35" i="14"/>
  <c r="F36" i="14"/>
  <c r="J36" i="14"/>
  <c r="K36" i="14"/>
  <c r="L37" i="14"/>
  <c r="M37" i="14"/>
  <c r="H38" i="14"/>
  <c r="I38" i="14"/>
  <c r="F39" i="14"/>
  <c r="H39" i="14"/>
  <c r="I39" i="14"/>
  <c r="G39" i="14" s="1"/>
  <c r="L39" i="14"/>
  <c r="M39" i="14"/>
  <c r="G40" i="14"/>
  <c r="H40" i="14"/>
  <c r="I40" i="14"/>
  <c r="M40" i="14"/>
  <c r="M42" i="14" s="1"/>
  <c r="F41" i="14"/>
  <c r="G41" i="14"/>
  <c r="G42" i="14" s="1"/>
  <c r="G43" i="14" s="1"/>
  <c r="H41" i="14"/>
  <c r="I41" i="14"/>
  <c r="M41" i="14" s="1"/>
  <c r="L41" i="14"/>
  <c r="D41" i="38" s="1"/>
  <c r="I42" i="14"/>
  <c r="I43" i="14" s="1"/>
  <c r="J42" i="14"/>
  <c r="K42" i="14"/>
  <c r="J43" i="14"/>
  <c r="K43" i="14"/>
  <c r="G45" i="14"/>
  <c r="H45" i="14"/>
  <c r="L45" i="14" s="1"/>
  <c r="I45" i="14"/>
  <c r="M45" i="14" s="1"/>
  <c r="H47" i="14"/>
  <c r="F47" i="14" s="1"/>
  <c r="I47" i="14"/>
  <c r="L47" i="14"/>
  <c r="D47" i="38" s="1"/>
  <c r="G49" i="14"/>
  <c r="H49" i="14"/>
  <c r="F49" i="14" s="1"/>
  <c r="I49" i="14"/>
  <c r="L49" i="14"/>
  <c r="D49" i="38" s="1"/>
  <c r="M49" i="14"/>
  <c r="F51" i="14"/>
  <c r="G51" i="14"/>
  <c r="H51" i="14"/>
  <c r="I51" i="14"/>
  <c r="M51" i="14" s="1"/>
  <c r="L51" i="14"/>
  <c r="F54" i="14"/>
  <c r="H54" i="14"/>
  <c r="L54" i="14" s="1"/>
  <c r="I54" i="14"/>
  <c r="F55" i="14"/>
  <c r="H55" i="14"/>
  <c r="I55" i="14"/>
  <c r="L55" i="14"/>
  <c r="J56" i="14"/>
  <c r="K56" i="14"/>
  <c r="L56" i="14"/>
  <c r="G59" i="14"/>
  <c r="H59" i="14"/>
  <c r="F59" i="14" s="1"/>
  <c r="I59" i="14"/>
  <c r="L59" i="14"/>
  <c r="M59" i="14"/>
  <c r="F60" i="14"/>
  <c r="F61" i="14" s="1"/>
  <c r="G60" i="14"/>
  <c r="G61" i="14" s="1"/>
  <c r="H60" i="14"/>
  <c r="I60" i="14"/>
  <c r="M60" i="14" s="1"/>
  <c r="L60" i="14"/>
  <c r="H61" i="14"/>
  <c r="I61" i="14"/>
  <c r="J61" i="14"/>
  <c r="K61" i="14"/>
  <c r="L61" i="14"/>
  <c r="G64" i="14"/>
  <c r="G66" i="14" s="1"/>
  <c r="H64" i="14"/>
  <c r="L64" i="14" s="1"/>
  <c r="D64" i="38" s="1"/>
  <c r="I64" i="14"/>
  <c r="H65" i="14"/>
  <c r="H66" i="14" s="1"/>
  <c r="I65" i="14"/>
  <c r="G65" i="14" s="1"/>
  <c r="M65" i="14"/>
  <c r="J66" i="14"/>
  <c r="K66" i="14"/>
  <c r="G70" i="14"/>
  <c r="H70" i="14"/>
  <c r="I70" i="14"/>
  <c r="M70" i="14"/>
  <c r="M72" i="14" s="1"/>
  <c r="F71" i="14"/>
  <c r="G71" i="14"/>
  <c r="G72" i="14" s="1"/>
  <c r="H71" i="14"/>
  <c r="I71" i="14"/>
  <c r="M71" i="14" s="1"/>
  <c r="L71" i="14"/>
  <c r="D71" i="38" s="1"/>
  <c r="I72" i="14"/>
  <c r="J72" i="14"/>
  <c r="K72" i="14"/>
  <c r="F73" i="14"/>
  <c r="H73" i="14"/>
  <c r="L73" i="14" s="1"/>
  <c r="D73" i="38" s="1"/>
  <c r="I73" i="14"/>
  <c r="M73" i="14" s="1"/>
  <c r="H74" i="14"/>
  <c r="I74" i="14"/>
  <c r="G74" i="14" s="1"/>
  <c r="G75" i="14"/>
  <c r="H75" i="14"/>
  <c r="F75" i="14" s="1"/>
  <c r="I75" i="14"/>
  <c r="M75" i="14"/>
  <c r="F76" i="14"/>
  <c r="G76" i="14"/>
  <c r="H76" i="14"/>
  <c r="I76" i="14"/>
  <c r="M76" i="14" s="1"/>
  <c r="L76" i="14"/>
  <c r="D76" i="38" s="1"/>
  <c r="H77" i="14"/>
  <c r="I77" i="14"/>
  <c r="H78" i="14"/>
  <c r="I78" i="14"/>
  <c r="G78" i="14" s="1"/>
  <c r="M78" i="14"/>
  <c r="G79" i="14"/>
  <c r="H79" i="14"/>
  <c r="I79" i="14"/>
  <c r="M79" i="14"/>
  <c r="E79" i="38" s="1"/>
  <c r="F80" i="14"/>
  <c r="G80" i="14"/>
  <c r="H80" i="14"/>
  <c r="I80" i="14"/>
  <c r="M80" i="14" s="1"/>
  <c r="L80" i="14"/>
  <c r="D80" i="38" s="1"/>
  <c r="H81" i="14"/>
  <c r="L81" i="14" s="1"/>
  <c r="I81" i="14"/>
  <c r="M81" i="14" s="1"/>
  <c r="D82" i="14"/>
  <c r="E82" i="14"/>
  <c r="E85" i="15" s="1"/>
  <c r="A5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F11" i="26"/>
  <c r="G11" i="26"/>
  <c r="H11" i="26"/>
  <c r="I11" i="26"/>
  <c r="J11" i="26"/>
  <c r="K11" i="26"/>
  <c r="L11" i="26"/>
  <c r="M11" i="26"/>
  <c r="N11" i="26"/>
  <c r="N16" i="26" s="1"/>
  <c r="O11" i="26"/>
  <c r="P11" i="26"/>
  <c r="Q11" i="26"/>
  <c r="R11" i="26"/>
  <c r="R11" i="27" s="1"/>
  <c r="S11" i="26"/>
  <c r="T11" i="26"/>
  <c r="U11" i="26"/>
  <c r="V11" i="26"/>
  <c r="V16" i="26" s="1"/>
  <c r="W11" i="26"/>
  <c r="X11" i="26"/>
  <c r="X11" i="27" s="1"/>
  <c r="Y11" i="26"/>
  <c r="Z11" i="26"/>
  <c r="AA11" i="26"/>
  <c r="AB11" i="26"/>
  <c r="AC11" i="26"/>
  <c r="AD11" i="26"/>
  <c r="AD16" i="26" s="1"/>
  <c r="AE11" i="26"/>
  <c r="AF11" i="26"/>
  <c r="AG11" i="26"/>
  <c r="AH11" i="26"/>
  <c r="AI11" i="26"/>
  <c r="AJ11" i="26"/>
  <c r="AK11" i="26"/>
  <c r="AL11" i="26"/>
  <c r="AL16" i="26" s="1"/>
  <c r="AM11" i="26"/>
  <c r="AN11" i="26"/>
  <c r="AO11" i="26"/>
  <c r="AO16" i="26" s="1"/>
  <c r="F12" i="26"/>
  <c r="G12" i="26"/>
  <c r="H12" i="26"/>
  <c r="H16" i="26" s="1"/>
  <c r="I12" i="26"/>
  <c r="J12" i="26"/>
  <c r="J16" i="26" s="1"/>
  <c r="K12" i="26"/>
  <c r="K12" i="27" s="1"/>
  <c r="L12" i="26"/>
  <c r="M12" i="26"/>
  <c r="N12" i="26"/>
  <c r="O12" i="26"/>
  <c r="P12" i="26"/>
  <c r="Q12" i="26"/>
  <c r="R12" i="26"/>
  <c r="R16" i="26" s="1"/>
  <c r="S12" i="26"/>
  <c r="T12" i="26"/>
  <c r="T12" i="27" s="1"/>
  <c r="U12" i="26"/>
  <c r="V12" i="26"/>
  <c r="W12" i="26"/>
  <c r="X12" i="26"/>
  <c r="Y12" i="26"/>
  <c r="Z12" i="26"/>
  <c r="Z16" i="26" s="1"/>
  <c r="AA12" i="26"/>
  <c r="AA16" i="26" s="1"/>
  <c r="AB12" i="26"/>
  <c r="AC12" i="26"/>
  <c r="AD12" i="26"/>
  <c r="AE12" i="26"/>
  <c r="AF12" i="26"/>
  <c r="AG12" i="26"/>
  <c r="AH12" i="26"/>
  <c r="AH16" i="26" s="1"/>
  <c r="AI12" i="26"/>
  <c r="AJ12" i="26"/>
  <c r="AK12" i="26"/>
  <c r="AL12" i="26"/>
  <c r="AM12" i="26"/>
  <c r="AN12" i="26"/>
  <c r="AO12" i="26"/>
  <c r="D13" i="26"/>
  <c r="F13" i="26"/>
  <c r="G13" i="26"/>
  <c r="H13" i="26"/>
  <c r="I13" i="26"/>
  <c r="J13" i="26"/>
  <c r="K13" i="26"/>
  <c r="K13" i="27" s="1"/>
  <c r="L13" i="26"/>
  <c r="M13" i="26"/>
  <c r="M16" i="26" s="1"/>
  <c r="N13" i="26"/>
  <c r="O13" i="26"/>
  <c r="P13" i="26"/>
  <c r="Q13" i="26"/>
  <c r="R13" i="26"/>
  <c r="S13" i="26"/>
  <c r="T13" i="26"/>
  <c r="T13" i="27" s="1"/>
  <c r="U13" i="26"/>
  <c r="U16" i="26" s="1"/>
  <c r="V13" i="26"/>
  <c r="W13" i="26"/>
  <c r="X13" i="26"/>
  <c r="Y13" i="26"/>
  <c r="Z13" i="26"/>
  <c r="AA13" i="26"/>
  <c r="AB13" i="26"/>
  <c r="AB13" i="27" s="1"/>
  <c r="AC13" i="26"/>
  <c r="AC16" i="26" s="1"/>
  <c r="AD13" i="26"/>
  <c r="AE13" i="26"/>
  <c r="AF13" i="26"/>
  <c r="AG13" i="26"/>
  <c r="AH13" i="26"/>
  <c r="AI13" i="26"/>
  <c r="AJ13" i="26"/>
  <c r="AK13" i="26"/>
  <c r="AK16" i="26" s="1"/>
  <c r="AL13" i="26"/>
  <c r="AM13" i="26"/>
  <c r="AN13" i="26"/>
  <c r="AO13" i="26"/>
  <c r="F14" i="26"/>
  <c r="D14" i="26" s="1"/>
  <c r="F14" i="38" s="1"/>
  <c r="H14" i="38" s="1"/>
  <c r="G14" i="26"/>
  <c r="E14" i="26" s="1"/>
  <c r="G14" i="38" s="1"/>
  <c r="H14" i="26"/>
  <c r="I14" i="26"/>
  <c r="J14" i="26"/>
  <c r="K14" i="26"/>
  <c r="L14" i="26"/>
  <c r="M14" i="26"/>
  <c r="N14" i="26"/>
  <c r="N14" i="27" s="1"/>
  <c r="O14" i="26"/>
  <c r="P14" i="26"/>
  <c r="Q14" i="26"/>
  <c r="R14" i="26"/>
  <c r="R14" i="27" s="1"/>
  <c r="S14" i="26"/>
  <c r="T14" i="26"/>
  <c r="U14" i="26"/>
  <c r="V14" i="26"/>
  <c r="V14" i="27" s="1"/>
  <c r="W14" i="26"/>
  <c r="X14" i="26"/>
  <c r="Y14" i="26"/>
  <c r="Z14" i="26"/>
  <c r="Z14" i="27" s="1"/>
  <c r="AA14" i="26"/>
  <c r="AB14" i="26"/>
  <c r="AC14" i="26"/>
  <c r="AC14" i="27" s="1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F15" i="26"/>
  <c r="G15" i="26"/>
  <c r="H15" i="26"/>
  <c r="H15" i="27" s="1"/>
  <c r="I15" i="26"/>
  <c r="I16" i="26" s="1"/>
  <c r="J15" i="26"/>
  <c r="K15" i="26"/>
  <c r="L15" i="26"/>
  <c r="L15" i="27" s="1"/>
  <c r="M15" i="26"/>
  <c r="N15" i="26"/>
  <c r="O15" i="26"/>
  <c r="P15" i="26"/>
  <c r="Q15" i="26"/>
  <c r="R15" i="26"/>
  <c r="S15" i="26"/>
  <c r="T15" i="26"/>
  <c r="U15" i="26"/>
  <c r="V15" i="26"/>
  <c r="W15" i="26"/>
  <c r="W15" i="27" s="1"/>
  <c r="X15" i="26"/>
  <c r="Y15" i="26"/>
  <c r="Y16" i="26" s="1"/>
  <c r="Z15" i="26"/>
  <c r="AA15" i="26"/>
  <c r="AB15" i="26"/>
  <c r="AC15" i="26"/>
  <c r="AD15" i="26"/>
  <c r="AE15" i="26"/>
  <c r="AE15" i="27" s="1"/>
  <c r="AF15" i="26"/>
  <c r="AG15" i="26"/>
  <c r="AG16" i="26" s="1"/>
  <c r="AH15" i="26"/>
  <c r="AI15" i="26"/>
  <c r="AJ15" i="26"/>
  <c r="AK15" i="26"/>
  <c r="AL15" i="26"/>
  <c r="AM15" i="26"/>
  <c r="AN15" i="26"/>
  <c r="AO15" i="26"/>
  <c r="K16" i="26"/>
  <c r="Q16" i="26"/>
  <c r="S16" i="26"/>
  <c r="AI16" i="26"/>
  <c r="AN16" i="26"/>
  <c r="D19" i="26"/>
  <c r="F19" i="26"/>
  <c r="G19" i="26"/>
  <c r="H19" i="26"/>
  <c r="H24" i="26" s="1"/>
  <c r="I19" i="26"/>
  <c r="J19" i="26"/>
  <c r="J24" i="26" s="1"/>
  <c r="K19" i="26"/>
  <c r="L19" i="26"/>
  <c r="L24" i="26" s="1"/>
  <c r="M19" i="26"/>
  <c r="E19" i="26" s="1"/>
  <c r="G19" i="38" s="1"/>
  <c r="N19" i="26"/>
  <c r="O19" i="26"/>
  <c r="P19" i="26"/>
  <c r="P24" i="26" s="1"/>
  <c r="Q19" i="26"/>
  <c r="R19" i="26"/>
  <c r="R24" i="26" s="1"/>
  <c r="S19" i="26"/>
  <c r="T19" i="26"/>
  <c r="T24" i="26" s="1"/>
  <c r="U19" i="26"/>
  <c r="V19" i="26"/>
  <c r="W19" i="26"/>
  <c r="X19" i="26"/>
  <c r="X24" i="26" s="1"/>
  <c r="Y19" i="26"/>
  <c r="Z19" i="26"/>
  <c r="Z24" i="26" s="1"/>
  <c r="AA19" i="26"/>
  <c r="AB19" i="26"/>
  <c r="AB24" i="26" s="1"/>
  <c r="AC19" i="26"/>
  <c r="AD19" i="26"/>
  <c r="AE19" i="26"/>
  <c r="AF19" i="26"/>
  <c r="AF24" i="26" s="1"/>
  <c r="AG19" i="26"/>
  <c r="AH19" i="26"/>
  <c r="AI19" i="26"/>
  <c r="AJ19" i="26"/>
  <c r="AJ24" i="26" s="1"/>
  <c r="AK19" i="26"/>
  <c r="AL19" i="26"/>
  <c r="AM19" i="26"/>
  <c r="AN19" i="26"/>
  <c r="AN24" i="26" s="1"/>
  <c r="AO19" i="26"/>
  <c r="F20" i="26"/>
  <c r="D20" i="26" s="1"/>
  <c r="F20" i="38" s="1"/>
  <c r="H20" i="38" s="1"/>
  <c r="G20" i="26"/>
  <c r="E20" i="26" s="1"/>
  <c r="G20" i="38" s="1"/>
  <c r="I20" i="38" s="1"/>
  <c r="H20" i="26"/>
  <c r="I20" i="26"/>
  <c r="J20" i="26"/>
  <c r="K20" i="26"/>
  <c r="K20" i="27" s="1"/>
  <c r="L20" i="26"/>
  <c r="M20" i="26"/>
  <c r="N20" i="26"/>
  <c r="N24" i="26" s="1"/>
  <c r="O20" i="26"/>
  <c r="P20" i="26"/>
  <c r="Q20" i="26"/>
  <c r="R20" i="26"/>
  <c r="S20" i="26"/>
  <c r="T20" i="26"/>
  <c r="U20" i="26"/>
  <c r="V20" i="26"/>
  <c r="V24" i="26" s="1"/>
  <c r="W20" i="26"/>
  <c r="X20" i="26"/>
  <c r="Y20" i="26"/>
  <c r="Z20" i="26"/>
  <c r="Z20" i="27" s="1"/>
  <c r="AA20" i="26"/>
  <c r="AB20" i="26"/>
  <c r="AC20" i="26"/>
  <c r="AC20" i="27" s="1"/>
  <c r="AD20" i="26"/>
  <c r="AD24" i="26" s="1"/>
  <c r="AE20" i="26"/>
  <c r="AF20" i="26"/>
  <c r="AG20" i="26"/>
  <c r="AH20" i="26"/>
  <c r="AI20" i="26"/>
  <c r="AJ20" i="26"/>
  <c r="AK20" i="26"/>
  <c r="AL20" i="26"/>
  <c r="AL24" i="26" s="1"/>
  <c r="AM20" i="26"/>
  <c r="AN20" i="26"/>
  <c r="AO20" i="26"/>
  <c r="F21" i="26"/>
  <c r="G21" i="26"/>
  <c r="H21" i="26"/>
  <c r="I21" i="26"/>
  <c r="I24" i="26" s="1"/>
  <c r="J21" i="26"/>
  <c r="K21" i="26"/>
  <c r="L21" i="26"/>
  <c r="L21" i="27" s="1"/>
  <c r="M21" i="26"/>
  <c r="N21" i="26"/>
  <c r="O21" i="26"/>
  <c r="O24" i="26" s="1"/>
  <c r="P21" i="26"/>
  <c r="Q21" i="26"/>
  <c r="Q24" i="26" s="1"/>
  <c r="R21" i="26"/>
  <c r="S21" i="26"/>
  <c r="T21" i="26"/>
  <c r="U21" i="26"/>
  <c r="V21" i="26"/>
  <c r="W21" i="26"/>
  <c r="W21" i="27" s="1"/>
  <c r="X21" i="26"/>
  <c r="Y21" i="26"/>
  <c r="Y24" i="26" s="1"/>
  <c r="Z21" i="26"/>
  <c r="AA21" i="26"/>
  <c r="AB21" i="26"/>
  <c r="AC21" i="26"/>
  <c r="AD21" i="26"/>
  <c r="AE21" i="26"/>
  <c r="AE21" i="27" s="1"/>
  <c r="AF21" i="26"/>
  <c r="AG21" i="26"/>
  <c r="AG24" i="26" s="1"/>
  <c r="AH21" i="26"/>
  <c r="AI21" i="26"/>
  <c r="AJ21" i="26"/>
  <c r="AK21" i="26"/>
  <c r="AL21" i="26"/>
  <c r="AM21" i="26"/>
  <c r="AM24" i="26" s="1"/>
  <c r="AN21" i="26"/>
  <c r="AO21" i="26"/>
  <c r="AO24" i="26" s="1"/>
  <c r="F22" i="26"/>
  <c r="G22" i="26"/>
  <c r="H22" i="26"/>
  <c r="I22" i="26"/>
  <c r="J22" i="26"/>
  <c r="K22" i="26"/>
  <c r="L22" i="26"/>
  <c r="M22" i="26"/>
  <c r="N22" i="26"/>
  <c r="O22" i="26"/>
  <c r="P22" i="26"/>
  <c r="Q22" i="26"/>
  <c r="Q22" i="27" s="1"/>
  <c r="R22" i="26"/>
  <c r="R22" i="27" s="1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D22" i="27" s="1"/>
  <c r="AE22" i="26"/>
  <c r="AF22" i="26"/>
  <c r="AG22" i="26"/>
  <c r="AH22" i="26"/>
  <c r="AI22" i="26"/>
  <c r="AJ22" i="26"/>
  <c r="AK22" i="26"/>
  <c r="AL22" i="26"/>
  <c r="AM22" i="26"/>
  <c r="AN22" i="26"/>
  <c r="AO22" i="26"/>
  <c r="F23" i="26"/>
  <c r="G23" i="26"/>
  <c r="H23" i="26"/>
  <c r="I23" i="26"/>
  <c r="J23" i="26"/>
  <c r="K23" i="26"/>
  <c r="K23" i="27" s="1"/>
  <c r="L23" i="26"/>
  <c r="L23" i="27" s="1"/>
  <c r="M23" i="26"/>
  <c r="M24" i="26" s="1"/>
  <c r="N23" i="26"/>
  <c r="O23" i="26"/>
  <c r="P23" i="26"/>
  <c r="Q23" i="26"/>
  <c r="R23" i="26"/>
  <c r="S23" i="26"/>
  <c r="T23" i="26"/>
  <c r="T23" i="27" s="1"/>
  <c r="U23" i="26"/>
  <c r="U24" i="26" s="1"/>
  <c r="U82" i="26" s="1"/>
  <c r="S645" i="44" s="1"/>
  <c r="V23" i="26"/>
  <c r="W23" i="26"/>
  <c r="X23" i="26"/>
  <c r="Y23" i="26"/>
  <c r="Z23" i="26"/>
  <c r="AA23" i="26"/>
  <c r="AB23" i="26"/>
  <c r="AC23" i="26"/>
  <c r="AC24" i="26" s="1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F24" i="26"/>
  <c r="G24" i="26"/>
  <c r="AH24" i="26"/>
  <c r="AK24" i="26"/>
  <c r="F27" i="26"/>
  <c r="G27" i="26"/>
  <c r="H27" i="26"/>
  <c r="H29" i="26" s="1"/>
  <c r="I27" i="26"/>
  <c r="J27" i="26"/>
  <c r="K27" i="26"/>
  <c r="L27" i="26"/>
  <c r="L27" i="27" s="1"/>
  <c r="M27" i="26"/>
  <c r="N27" i="26"/>
  <c r="O27" i="26"/>
  <c r="P27" i="26"/>
  <c r="P29" i="26" s="1"/>
  <c r="Q27" i="26"/>
  <c r="R27" i="26"/>
  <c r="S27" i="26"/>
  <c r="T27" i="26"/>
  <c r="U27" i="26"/>
  <c r="V27" i="26"/>
  <c r="W27" i="26"/>
  <c r="W29" i="26" s="1"/>
  <c r="X27" i="26"/>
  <c r="Y27" i="26"/>
  <c r="Z27" i="26"/>
  <c r="AA27" i="26"/>
  <c r="AB27" i="26"/>
  <c r="AB29" i="26" s="1"/>
  <c r="AC27" i="26"/>
  <c r="AD27" i="26"/>
  <c r="AE27" i="26"/>
  <c r="AE29" i="26" s="1"/>
  <c r="AF27" i="26"/>
  <c r="AG27" i="26"/>
  <c r="AH27" i="26"/>
  <c r="AI27" i="26"/>
  <c r="AJ27" i="26"/>
  <c r="AK27" i="26"/>
  <c r="AL27" i="26"/>
  <c r="AM27" i="26"/>
  <c r="AM29" i="26" s="1"/>
  <c r="AN27" i="26"/>
  <c r="AN29" i="26" s="1"/>
  <c r="AO27" i="26"/>
  <c r="F28" i="26"/>
  <c r="G28" i="26"/>
  <c r="H28" i="26"/>
  <c r="I28" i="26"/>
  <c r="J28" i="26"/>
  <c r="J28" i="27" s="1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Z29" i="26" s="1"/>
  <c r="AA28" i="26"/>
  <c r="AA29" i="26" s="1"/>
  <c r="AB28" i="26"/>
  <c r="AC28" i="26"/>
  <c r="AD28" i="26"/>
  <c r="AE28" i="26"/>
  <c r="AF28" i="26"/>
  <c r="AG28" i="26"/>
  <c r="AH28" i="26"/>
  <c r="AI28" i="26"/>
  <c r="AI29" i="26" s="1"/>
  <c r="AJ28" i="26"/>
  <c r="AK28" i="26"/>
  <c r="AL28" i="26"/>
  <c r="AM28" i="26"/>
  <c r="AN28" i="26"/>
  <c r="AO28" i="26"/>
  <c r="K29" i="26"/>
  <c r="M29" i="26"/>
  <c r="R29" i="26"/>
  <c r="S29" i="26"/>
  <c r="T29" i="26"/>
  <c r="U29" i="26"/>
  <c r="X29" i="26"/>
  <c r="AC29" i="26"/>
  <c r="AF29" i="26"/>
  <c r="AH29" i="26"/>
  <c r="AJ29" i="26"/>
  <c r="AK29" i="26"/>
  <c r="F32" i="26"/>
  <c r="G32" i="26"/>
  <c r="H32" i="26"/>
  <c r="I32" i="26"/>
  <c r="J32" i="26"/>
  <c r="K32" i="26"/>
  <c r="L32" i="26"/>
  <c r="M32" i="26"/>
  <c r="N32" i="26"/>
  <c r="N36" i="26" s="1"/>
  <c r="O32" i="26"/>
  <c r="O36" i="26" s="1"/>
  <c r="P32" i="26"/>
  <c r="Q32" i="26"/>
  <c r="R32" i="26"/>
  <c r="S32" i="26"/>
  <c r="T32" i="26"/>
  <c r="U32" i="26"/>
  <c r="V32" i="26"/>
  <c r="V36" i="26" s="1"/>
  <c r="W32" i="26"/>
  <c r="W36" i="26" s="1"/>
  <c r="X32" i="26"/>
  <c r="Y32" i="26"/>
  <c r="Z32" i="26"/>
  <c r="AA32" i="26"/>
  <c r="AB32" i="26"/>
  <c r="AC32" i="26"/>
  <c r="AD32" i="26"/>
  <c r="AE32" i="26"/>
  <c r="AE36" i="26" s="1"/>
  <c r="AF32" i="26"/>
  <c r="AG32" i="26"/>
  <c r="AH32" i="26"/>
  <c r="AI32" i="26"/>
  <c r="AJ32" i="26"/>
  <c r="AK32" i="26"/>
  <c r="AL32" i="26"/>
  <c r="AM32" i="26"/>
  <c r="AM36" i="26" s="1"/>
  <c r="AN32" i="26"/>
  <c r="AO32" i="26"/>
  <c r="F33" i="26"/>
  <c r="G33" i="26"/>
  <c r="H33" i="26"/>
  <c r="I33" i="26"/>
  <c r="I36" i="26" s="1"/>
  <c r="J33" i="26"/>
  <c r="K33" i="26"/>
  <c r="L33" i="26"/>
  <c r="M33" i="26"/>
  <c r="N33" i="26"/>
  <c r="O33" i="26"/>
  <c r="P33" i="26"/>
  <c r="Q33" i="26"/>
  <c r="Q36" i="26" s="1"/>
  <c r="R33" i="26"/>
  <c r="S33" i="26"/>
  <c r="T33" i="26"/>
  <c r="T36" i="26" s="1"/>
  <c r="U33" i="26"/>
  <c r="V33" i="26"/>
  <c r="W33" i="26"/>
  <c r="X33" i="26"/>
  <c r="Y33" i="26"/>
  <c r="Y36" i="26" s="1"/>
  <c r="Z33" i="26"/>
  <c r="AA33" i="26"/>
  <c r="AB33" i="26"/>
  <c r="AB36" i="26" s="1"/>
  <c r="AC33" i="26"/>
  <c r="AD33" i="26"/>
  <c r="AE33" i="26"/>
  <c r="AF33" i="26"/>
  <c r="AG33" i="26"/>
  <c r="AH33" i="26"/>
  <c r="AI33" i="26"/>
  <c r="AJ33" i="26"/>
  <c r="AJ36" i="26" s="1"/>
  <c r="AK33" i="26"/>
  <c r="AL33" i="26"/>
  <c r="AM33" i="26"/>
  <c r="AN33" i="26"/>
  <c r="AO33" i="26"/>
  <c r="AO36" i="26" s="1"/>
  <c r="F34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V34" i="27" s="1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F35" i="26"/>
  <c r="G35" i="26"/>
  <c r="H35" i="26"/>
  <c r="I35" i="26"/>
  <c r="J35" i="26"/>
  <c r="K35" i="26"/>
  <c r="L35" i="26"/>
  <c r="M35" i="26"/>
  <c r="N35" i="26"/>
  <c r="O35" i="26"/>
  <c r="P35" i="26"/>
  <c r="P35" i="27" s="1"/>
  <c r="Q35" i="26"/>
  <c r="R35" i="26"/>
  <c r="S35" i="26"/>
  <c r="T35" i="26"/>
  <c r="U35" i="26"/>
  <c r="V35" i="26"/>
  <c r="W35" i="26"/>
  <c r="X35" i="26"/>
  <c r="X35" i="27" s="1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J36" i="26"/>
  <c r="L36" i="26"/>
  <c r="U36" i="26"/>
  <c r="AG36" i="26"/>
  <c r="D39" i="26"/>
  <c r="F39" i="38" s="1"/>
  <c r="H39" i="38" s="1"/>
  <c r="F39" i="26"/>
  <c r="G39" i="26"/>
  <c r="H39" i="26"/>
  <c r="I39" i="26"/>
  <c r="J39" i="26"/>
  <c r="K39" i="26"/>
  <c r="L39" i="26"/>
  <c r="M39" i="26"/>
  <c r="N39" i="26"/>
  <c r="O39" i="26"/>
  <c r="P39" i="26"/>
  <c r="P39" i="27" s="1"/>
  <c r="Q39" i="26"/>
  <c r="R39" i="26"/>
  <c r="S39" i="26"/>
  <c r="T39" i="26"/>
  <c r="U39" i="26"/>
  <c r="V39" i="26"/>
  <c r="W39" i="26"/>
  <c r="X39" i="26"/>
  <c r="X39" i="27" s="1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F40" i="26"/>
  <c r="F42" i="26" s="1"/>
  <c r="F43" i="26" s="1"/>
  <c r="G40" i="26"/>
  <c r="H40" i="26"/>
  <c r="H42" i="26" s="1"/>
  <c r="I40" i="26"/>
  <c r="J40" i="26"/>
  <c r="K40" i="26"/>
  <c r="L40" i="26"/>
  <c r="M40" i="26"/>
  <c r="M42" i="26" s="1"/>
  <c r="M43" i="26" s="1"/>
  <c r="N40" i="26"/>
  <c r="N40" i="27" s="1"/>
  <c r="O40" i="26"/>
  <c r="P40" i="26"/>
  <c r="P42" i="26" s="1"/>
  <c r="P43" i="26" s="1"/>
  <c r="Q40" i="26"/>
  <c r="Q42" i="26" s="1"/>
  <c r="Q43" i="26" s="1"/>
  <c r="R40" i="26"/>
  <c r="S40" i="26"/>
  <c r="T40" i="26"/>
  <c r="U40" i="26"/>
  <c r="V40" i="26"/>
  <c r="W40" i="26"/>
  <c r="X40" i="26"/>
  <c r="X42" i="26" s="1"/>
  <c r="X43" i="26" s="1"/>
  <c r="Y40" i="26"/>
  <c r="Y42" i="26" s="1"/>
  <c r="Y43" i="26" s="1"/>
  <c r="Z40" i="26"/>
  <c r="AA40" i="26"/>
  <c r="AB40" i="26"/>
  <c r="AC40" i="26"/>
  <c r="AD40" i="26"/>
  <c r="AD42" i="26" s="1"/>
  <c r="AE40" i="26"/>
  <c r="AF40" i="26"/>
  <c r="AF42" i="26" s="1"/>
  <c r="AF43" i="26" s="1"/>
  <c r="AG40" i="26"/>
  <c r="AG42" i="26" s="1"/>
  <c r="AH40" i="26"/>
  <c r="AI40" i="26"/>
  <c r="AJ40" i="26"/>
  <c r="AK40" i="26"/>
  <c r="AL40" i="26"/>
  <c r="AL42" i="26" s="1"/>
  <c r="AL43" i="26" s="1"/>
  <c r="AM40" i="26"/>
  <c r="AN40" i="26"/>
  <c r="AN42" i="26" s="1"/>
  <c r="AN43" i="26" s="1"/>
  <c r="AO40" i="26"/>
  <c r="AO42" i="26" s="1"/>
  <c r="AO43" i="26" s="1"/>
  <c r="F41" i="26"/>
  <c r="G41" i="26"/>
  <c r="H41" i="26"/>
  <c r="I41" i="26"/>
  <c r="J41" i="26"/>
  <c r="J42" i="26" s="1"/>
  <c r="J43" i="26" s="1"/>
  <c r="K41" i="26"/>
  <c r="E41" i="26" s="1"/>
  <c r="G41" i="38" s="1"/>
  <c r="I41" i="38" s="1"/>
  <c r="L41" i="26"/>
  <c r="M41" i="26"/>
  <c r="N41" i="26"/>
  <c r="O41" i="26"/>
  <c r="P41" i="26"/>
  <c r="Q41" i="26"/>
  <c r="R41" i="26"/>
  <c r="R42" i="26" s="1"/>
  <c r="R43" i="26" s="1"/>
  <c r="S41" i="26"/>
  <c r="T41" i="26"/>
  <c r="U41" i="26"/>
  <c r="U42" i="26" s="1"/>
  <c r="U43" i="26" s="1"/>
  <c r="V41" i="26"/>
  <c r="W41" i="26"/>
  <c r="W42" i="26" s="1"/>
  <c r="W43" i="26" s="1"/>
  <c r="X41" i="26"/>
  <c r="Y41" i="26"/>
  <c r="Z41" i="26"/>
  <c r="AA41" i="26"/>
  <c r="AB41" i="26"/>
  <c r="AC41" i="26"/>
  <c r="AD41" i="26"/>
  <c r="AE41" i="26"/>
  <c r="AF41" i="26"/>
  <c r="AG41" i="26"/>
  <c r="AH41" i="26"/>
  <c r="AH42" i="26" s="1"/>
  <c r="AH43" i="26" s="1"/>
  <c r="AI41" i="26"/>
  <c r="AJ41" i="26"/>
  <c r="AK41" i="26"/>
  <c r="AL41" i="26"/>
  <c r="AM41" i="26"/>
  <c r="AN41" i="26"/>
  <c r="AO41" i="26"/>
  <c r="G42" i="26"/>
  <c r="G43" i="26" s="1"/>
  <c r="L42" i="26"/>
  <c r="N42" i="26"/>
  <c r="N43" i="26" s="1"/>
  <c r="O42" i="26"/>
  <c r="O43" i="26" s="1"/>
  <c r="T42" i="26"/>
  <c r="V42" i="26"/>
  <c r="V43" i="26" s="1"/>
  <c r="Z42" i="26"/>
  <c r="Z43" i="26" s="1"/>
  <c r="AB42" i="26"/>
  <c r="AC42" i="26"/>
  <c r="AC43" i="26" s="1"/>
  <c r="AE42" i="26"/>
  <c r="AJ42" i="26"/>
  <c r="AJ43" i="26" s="1"/>
  <c r="AK42" i="26"/>
  <c r="AK43" i="26" s="1"/>
  <c r="AM42" i="26"/>
  <c r="AM43" i="26" s="1"/>
  <c r="H43" i="26"/>
  <c r="L43" i="26"/>
  <c r="T43" i="26"/>
  <c r="AB43" i="26"/>
  <c r="AD43" i="26"/>
  <c r="AE43" i="26"/>
  <c r="AG43" i="26"/>
  <c r="F45" i="26"/>
  <c r="G45" i="26"/>
  <c r="H45" i="26"/>
  <c r="I45" i="26"/>
  <c r="J45" i="26"/>
  <c r="K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D45" i="27" s="1"/>
  <c r="AE45" i="26"/>
  <c r="AF45" i="26"/>
  <c r="AG45" i="26"/>
  <c r="AH45" i="26"/>
  <c r="AI45" i="26"/>
  <c r="AJ45" i="26"/>
  <c r="AK45" i="26"/>
  <c r="AL45" i="26"/>
  <c r="AM45" i="26"/>
  <c r="AN45" i="26"/>
  <c r="AO45" i="26"/>
  <c r="E47" i="26"/>
  <c r="G47" i="38" s="1"/>
  <c r="F47" i="26"/>
  <c r="G47" i="26"/>
  <c r="H47" i="26"/>
  <c r="I47" i="26"/>
  <c r="J47" i="26"/>
  <c r="K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X47" i="27" s="1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F49" i="26"/>
  <c r="G49" i="26"/>
  <c r="H49" i="26"/>
  <c r="I49" i="26"/>
  <c r="J49" i="26"/>
  <c r="K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F51" i="38" s="1"/>
  <c r="H51" i="38" s="1"/>
  <c r="F51" i="26"/>
  <c r="G51" i="26"/>
  <c r="H51" i="26"/>
  <c r="I51" i="26"/>
  <c r="J51" i="26"/>
  <c r="K51" i="26"/>
  <c r="L51" i="26"/>
  <c r="M51" i="26"/>
  <c r="N51" i="26"/>
  <c r="O51" i="26"/>
  <c r="O51" i="27" s="1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F54" i="26"/>
  <c r="G54" i="26"/>
  <c r="H54" i="26"/>
  <c r="H56" i="26" s="1"/>
  <c r="I54" i="26"/>
  <c r="J54" i="26"/>
  <c r="K54" i="26"/>
  <c r="K56" i="26" s="1"/>
  <c r="L54" i="26"/>
  <c r="M54" i="26"/>
  <c r="M56" i="26" s="1"/>
  <c r="N54" i="26"/>
  <c r="N56" i="26" s="1"/>
  <c r="O54" i="26"/>
  <c r="P54" i="26"/>
  <c r="P56" i="26" s="1"/>
  <c r="Q54" i="26"/>
  <c r="R54" i="26"/>
  <c r="S54" i="26"/>
  <c r="S56" i="26" s="1"/>
  <c r="T54" i="26"/>
  <c r="U54" i="26"/>
  <c r="U56" i="26" s="1"/>
  <c r="V54" i="26"/>
  <c r="V54" i="27" s="1"/>
  <c r="W54" i="26"/>
  <c r="X54" i="26"/>
  <c r="X56" i="26" s="1"/>
  <c r="Y54" i="26"/>
  <c r="Z54" i="26"/>
  <c r="AA54" i="26"/>
  <c r="AB54" i="26"/>
  <c r="AC54" i="26"/>
  <c r="AC56" i="26" s="1"/>
  <c r="AD54" i="26"/>
  <c r="AD54" i="27" s="1"/>
  <c r="AD56" i="27" s="1"/>
  <c r="AE54" i="26"/>
  <c r="AF54" i="26"/>
  <c r="AF56" i="26" s="1"/>
  <c r="AG54" i="26"/>
  <c r="AG56" i="26" s="1"/>
  <c r="AH54" i="26"/>
  <c r="AI54" i="26"/>
  <c r="AI56" i="26" s="1"/>
  <c r="AJ54" i="26"/>
  <c r="AK54" i="26"/>
  <c r="AK56" i="26" s="1"/>
  <c r="AL54" i="26"/>
  <c r="AL56" i="26" s="1"/>
  <c r="AM54" i="26"/>
  <c r="AN54" i="26"/>
  <c r="AN56" i="26" s="1"/>
  <c r="AO54" i="26"/>
  <c r="F55" i="26"/>
  <c r="G55" i="26"/>
  <c r="H55" i="26"/>
  <c r="I55" i="26"/>
  <c r="J55" i="26"/>
  <c r="K55" i="26"/>
  <c r="L55" i="26"/>
  <c r="L55" i="27" s="1"/>
  <c r="M55" i="26"/>
  <c r="N55" i="26"/>
  <c r="O55" i="26"/>
  <c r="O56" i="26" s="1"/>
  <c r="P55" i="26"/>
  <c r="P55" i="27" s="1"/>
  <c r="Q55" i="26"/>
  <c r="R55" i="26"/>
  <c r="S55" i="26"/>
  <c r="S55" i="27" s="1"/>
  <c r="T55" i="26"/>
  <c r="T56" i="26" s="1"/>
  <c r="U55" i="26"/>
  <c r="V55" i="26"/>
  <c r="W55" i="26"/>
  <c r="W56" i="26" s="1"/>
  <c r="X55" i="26"/>
  <c r="X55" i="27" s="1"/>
  <c r="Y55" i="26"/>
  <c r="Z55" i="26"/>
  <c r="AA55" i="26"/>
  <c r="AB55" i="26"/>
  <c r="AB56" i="26" s="1"/>
  <c r="AC55" i="26"/>
  <c r="AD55" i="26"/>
  <c r="AE55" i="26"/>
  <c r="AE56" i="26" s="1"/>
  <c r="AF55" i="26"/>
  <c r="AG55" i="26"/>
  <c r="AH55" i="26"/>
  <c r="AH56" i="26" s="1"/>
  <c r="AI55" i="26"/>
  <c r="AJ55" i="26"/>
  <c r="AK55" i="26"/>
  <c r="AL55" i="26"/>
  <c r="AM55" i="26"/>
  <c r="AM56" i="26" s="1"/>
  <c r="AN55" i="26"/>
  <c r="AO55" i="26"/>
  <c r="I56" i="26"/>
  <c r="J56" i="26"/>
  <c r="L56" i="26"/>
  <c r="Q56" i="26"/>
  <c r="Y56" i="26"/>
  <c r="AA56" i="26"/>
  <c r="AD56" i="26"/>
  <c r="AJ56" i="26"/>
  <c r="AO56" i="26"/>
  <c r="F59" i="26"/>
  <c r="G59" i="26"/>
  <c r="G61" i="26" s="1"/>
  <c r="H59" i="26"/>
  <c r="I59" i="26"/>
  <c r="I59" i="27" s="1"/>
  <c r="J59" i="26"/>
  <c r="K59" i="26"/>
  <c r="L59" i="26"/>
  <c r="M59" i="26"/>
  <c r="M61" i="26" s="1"/>
  <c r="N59" i="26"/>
  <c r="O59" i="26"/>
  <c r="O61" i="26" s="1"/>
  <c r="P59" i="26"/>
  <c r="Q59" i="26"/>
  <c r="Q59" i="27" s="1"/>
  <c r="R59" i="26"/>
  <c r="S59" i="26"/>
  <c r="S61" i="26" s="1"/>
  <c r="T59" i="26"/>
  <c r="U59" i="26"/>
  <c r="U61" i="26" s="1"/>
  <c r="V59" i="26"/>
  <c r="W59" i="26"/>
  <c r="W59" i="27" s="1"/>
  <c r="X59" i="26"/>
  <c r="Y59" i="26"/>
  <c r="Z59" i="26"/>
  <c r="AA59" i="26"/>
  <c r="AB59" i="26"/>
  <c r="AC59" i="26"/>
  <c r="AC61" i="26" s="1"/>
  <c r="AD59" i="26"/>
  <c r="AE59" i="26"/>
  <c r="AE61" i="26" s="1"/>
  <c r="AF59" i="26"/>
  <c r="AG59" i="26"/>
  <c r="AG61" i="26" s="1"/>
  <c r="AH59" i="26"/>
  <c r="AI59" i="26"/>
  <c r="AJ59" i="26"/>
  <c r="AK59" i="26"/>
  <c r="AK61" i="26" s="1"/>
  <c r="AL59" i="26"/>
  <c r="AM59" i="26"/>
  <c r="AN59" i="26"/>
  <c r="AO59" i="26"/>
  <c r="F60" i="26"/>
  <c r="G60" i="26"/>
  <c r="H60" i="26"/>
  <c r="I60" i="26"/>
  <c r="J60" i="26"/>
  <c r="J61" i="26" s="1"/>
  <c r="K60" i="26"/>
  <c r="K60" i="27" s="1"/>
  <c r="L60" i="26"/>
  <c r="M60" i="26"/>
  <c r="E60" i="26" s="1"/>
  <c r="G60" i="38" s="1"/>
  <c r="I60" i="38" s="1"/>
  <c r="N60" i="26"/>
  <c r="O60" i="26"/>
  <c r="P60" i="26"/>
  <c r="P61" i="26" s="1"/>
  <c r="Q60" i="26"/>
  <c r="R60" i="26"/>
  <c r="S60" i="26"/>
  <c r="T60" i="26"/>
  <c r="U60" i="26"/>
  <c r="V60" i="26"/>
  <c r="W60" i="26"/>
  <c r="X60" i="26"/>
  <c r="X61" i="26" s="1"/>
  <c r="Y60" i="26"/>
  <c r="Z60" i="26"/>
  <c r="AA60" i="26"/>
  <c r="AB60" i="26"/>
  <c r="AB60" i="27" s="1"/>
  <c r="AC60" i="26"/>
  <c r="AD60" i="26"/>
  <c r="AE60" i="26"/>
  <c r="AF60" i="26"/>
  <c r="AF61" i="26" s="1"/>
  <c r="AG60" i="26"/>
  <c r="AH60" i="26"/>
  <c r="AH61" i="26" s="1"/>
  <c r="AI60" i="26"/>
  <c r="AJ60" i="26"/>
  <c r="AK60" i="26"/>
  <c r="AL60" i="26"/>
  <c r="AM60" i="26"/>
  <c r="AN60" i="26"/>
  <c r="AO60" i="26"/>
  <c r="H61" i="26"/>
  <c r="I61" i="26"/>
  <c r="K61" i="26"/>
  <c r="L61" i="26"/>
  <c r="Q61" i="26"/>
  <c r="R61" i="26"/>
  <c r="T61" i="26"/>
  <c r="W61" i="26"/>
  <c r="Y61" i="26"/>
  <c r="Z61" i="26"/>
  <c r="AA61" i="26"/>
  <c r="AB61" i="26"/>
  <c r="AI61" i="26"/>
  <c r="AJ61" i="26"/>
  <c r="AM61" i="26"/>
  <c r="AO61" i="26"/>
  <c r="F64" i="26"/>
  <c r="G64" i="26"/>
  <c r="H64" i="26"/>
  <c r="I64" i="26"/>
  <c r="J64" i="26"/>
  <c r="K64" i="26"/>
  <c r="L64" i="26"/>
  <c r="L66" i="26" s="1"/>
  <c r="M64" i="26"/>
  <c r="M64" i="27" s="1"/>
  <c r="N64" i="26"/>
  <c r="N66" i="26" s="1"/>
  <c r="O64" i="26"/>
  <c r="P64" i="26"/>
  <c r="Q64" i="26"/>
  <c r="R64" i="26"/>
  <c r="S64" i="26"/>
  <c r="S66" i="26" s="1"/>
  <c r="T64" i="26"/>
  <c r="T66" i="26" s="1"/>
  <c r="U64" i="26"/>
  <c r="V64" i="26"/>
  <c r="W64" i="26"/>
  <c r="W66" i="26" s="1"/>
  <c r="X64" i="26"/>
  <c r="Y64" i="26"/>
  <c r="Z64" i="26"/>
  <c r="AA64" i="26"/>
  <c r="AA66" i="26" s="1"/>
  <c r="AB64" i="26"/>
  <c r="AB66" i="26" s="1"/>
  <c r="AC64" i="26"/>
  <c r="AD64" i="26"/>
  <c r="AE64" i="26"/>
  <c r="AF64" i="26"/>
  <c r="AG64" i="26"/>
  <c r="AH64" i="26"/>
  <c r="AI64" i="26"/>
  <c r="AJ64" i="26"/>
  <c r="AJ66" i="26" s="1"/>
  <c r="AK64" i="26"/>
  <c r="AK66" i="26" s="1"/>
  <c r="AL64" i="26"/>
  <c r="AL66" i="26" s="1"/>
  <c r="AM64" i="26"/>
  <c r="AN64" i="26"/>
  <c r="AO64" i="26"/>
  <c r="F65" i="26"/>
  <c r="G65" i="26"/>
  <c r="H65" i="26"/>
  <c r="H66" i="26" s="1"/>
  <c r="I65" i="26"/>
  <c r="E65" i="26" s="1"/>
  <c r="G65" i="38" s="1"/>
  <c r="J65" i="26"/>
  <c r="K65" i="26"/>
  <c r="K66" i="26" s="1"/>
  <c r="L65" i="26"/>
  <c r="M65" i="26"/>
  <c r="N65" i="26"/>
  <c r="O65" i="26"/>
  <c r="P65" i="26"/>
  <c r="P66" i="26" s="1"/>
  <c r="Q65" i="26"/>
  <c r="Q66" i="26" s="1"/>
  <c r="R65" i="26"/>
  <c r="S65" i="26"/>
  <c r="T65" i="26"/>
  <c r="U65" i="26"/>
  <c r="V65" i="26"/>
  <c r="W65" i="26"/>
  <c r="X65" i="26"/>
  <c r="X66" i="26" s="1"/>
  <c r="Y65" i="26"/>
  <c r="Z65" i="26"/>
  <c r="AA65" i="26"/>
  <c r="AB65" i="26"/>
  <c r="AC65" i="26"/>
  <c r="AC66" i="26" s="1"/>
  <c r="AD65" i="26"/>
  <c r="AE65" i="26"/>
  <c r="AE65" i="27" s="1"/>
  <c r="AF65" i="26"/>
  <c r="AF66" i="26" s="1"/>
  <c r="AG65" i="26"/>
  <c r="AG66" i="26" s="1"/>
  <c r="AH65" i="26"/>
  <c r="AI65" i="26"/>
  <c r="AI66" i="26" s="1"/>
  <c r="AJ65" i="26"/>
  <c r="AK65" i="26"/>
  <c r="AL65" i="26"/>
  <c r="AM65" i="26"/>
  <c r="AN65" i="26"/>
  <c r="AN66" i="26" s="1"/>
  <c r="AO65" i="26"/>
  <c r="F66" i="26"/>
  <c r="J66" i="26"/>
  <c r="M66" i="26"/>
  <c r="O66" i="26"/>
  <c r="R66" i="26"/>
  <c r="U66" i="26"/>
  <c r="V66" i="26"/>
  <c r="Z66" i="26"/>
  <c r="AD66" i="26"/>
  <c r="AE66" i="26"/>
  <c r="AH66" i="26"/>
  <c r="AM66" i="26"/>
  <c r="F70" i="26"/>
  <c r="G70" i="26"/>
  <c r="G72" i="26" s="1"/>
  <c r="H70" i="26"/>
  <c r="I70" i="26"/>
  <c r="I72" i="26" s="1"/>
  <c r="J70" i="26"/>
  <c r="J72" i="26" s="1"/>
  <c r="K70" i="26"/>
  <c r="L70" i="26"/>
  <c r="D70" i="26" s="1"/>
  <c r="M70" i="26"/>
  <c r="N70" i="26"/>
  <c r="O70" i="26"/>
  <c r="P70" i="26"/>
  <c r="P72" i="26" s="1"/>
  <c r="Q70" i="26"/>
  <c r="Q72" i="26" s="1"/>
  <c r="R70" i="26"/>
  <c r="R72" i="26" s="1"/>
  <c r="S70" i="26"/>
  <c r="S70" i="27" s="1"/>
  <c r="T70" i="26"/>
  <c r="U70" i="26"/>
  <c r="V70" i="26"/>
  <c r="W70" i="26"/>
  <c r="X70" i="26"/>
  <c r="Y70" i="26"/>
  <c r="Y72" i="26" s="1"/>
  <c r="Z70" i="26"/>
  <c r="Z72" i="26" s="1"/>
  <c r="AA70" i="26"/>
  <c r="AB70" i="26"/>
  <c r="AC70" i="26"/>
  <c r="AD70" i="26"/>
  <c r="AE70" i="26"/>
  <c r="AF70" i="26"/>
  <c r="AG70" i="26"/>
  <c r="AG72" i="26" s="1"/>
  <c r="AH70" i="26"/>
  <c r="AH72" i="26" s="1"/>
  <c r="AI70" i="26"/>
  <c r="AJ70" i="26"/>
  <c r="AK70" i="26"/>
  <c r="AL70" i="26"/>
  <c r="AM70" i="26"/>
  <c r="AN70" i="26"/>
  <c r="AO70" i="26"/>
  <c r="AO72" i="26" s="1"/>
  <c r="F71" i="26"/>
  <c r="D71" i="26" s="1"/>
  <c r="F71" i="38" s="1"/>
  <c r="H71" i="38" s="1"/>
  <c r="G71" i="26"/>
  <c r="H71" i="26"/>
  <c r="I71" i="26"/>
  <c r="J71" i="26"/>
  <c r="K71" i="26"/>
  <c r="K72" i="26" s="1"/>
  <c r="L71" i="26"/>
  <c r="M71" i="26"/>
  <c r="M71" i="27" s="1"/>
  <c r="N71" i="26"/>
  <c r="N72" i="26" s="1"/>
  <c r="O71" i="26"/>
  <c r="P71" i="26"/>
  <c r="Q71" i="26"/>
  <c r="R71" i="26"/>
  <c r="S71" i="26"/>
  <c r="S72" i="26" s="1"/>
  <c r="T71" i="26"/>
  <c r="T72" i="26" s="1"/>
  <c r="U71" i="26"/>
  <c r="V71" i="26"/>
  <c r="V72" i="26" s="1"/>
  <c r="W71" i="26"/>
  <c r="X71" i="26"/>
  <c r="Y71" i="26"/>
  <c r="Z71" i="26"/>
  <c r="AA71" i="26"/>
  <c r="AA72" i="26" s="1"/>
  <c r="AB71" i="26"/>
  <c r="AC71" i="26"/>
  <c r="AD71" i="26"/>
  <c r="AD72" i="26" s="1"/>
  <c r="AE71" i="26"/>
  <c r="AF71" i="26"/>
  <c r="AG71" i="26"/>
  <c r="AH71" i="26"/>
  <c r="AI71" i="26"/>
  <c r="AI72" i="26" s="1"/>
  <c r="AJ71" i="26"/>
  <c r="AJ72" i="26" s="1"/>
  <c r="AK71" i="26"/>
  <c r="AL71" i="26"/>
  <c r="AL72" i="26" s="1"/>
  <c r="AM71" i="26"/>
  <c r="AN71" i="26"/>
  <c r="AO71" i="26"/>
  <c r="F72" i="26"/>
  <c r="H72" i="26"/>
  <c r="M72" i="26"/>
  <c r="O72" i="26"/>
  <c r="U72" i="26"/>
  <c r="W72" i="26"/>
  <c r="X72" i="26"/>
  <c r="AC72" i="26"/>
  <c r="AE72" i="26"/>
  <c r="AF72" i="26"/>
  <c r="AK72" i="26"/>
  <c r="AM72" i="26"/>
  <c r="AN72" i="26"/>
  <c r="F73" i="26"/>
  <c r="G73" i="26"/>
  <c r="E73" i="26" s="1"/>
  <c r="G73" i="38" s="1"/>
  <c r="I73" i="38" s="1"/>
  <c r="H73" i="26"/>
  <c r="I73" i="26"/>
  <c r="J73" i="26"/>
  <c r="K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D73" i="27" s="1"/>
  <c r="AE73" i="26"/>
  <c r="AF73" i="26"/>
  <c r="AG73" i="26"/>
  <c r="AH73" i="26"/>
  <c r="AI73" i="26"/>
  <c r="AJ73" i="26"/>
  <c r="AK73" i="26"/>
  <c r="AL73" i="26"/>
  <c r="AM73" i="26"/>
  <c r="AN73" i="26"/>
  <c r="AO73" i="26"/>
  <c r="F74" i="26"/>
  <c r="G74" i="26"/>
  <c r="H74" i="26"/>
  <c r="I74" i="26"/>
  <c r="J74" i="26"/>
  <c r="K74" i="26"/>
  <c r="K74" i="27" s="1"/>
  <c r="L74" i="26"/>
  <c r="D74" i="26" s="1"/>
  <c r="F74" i="38" s="1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E75" i="26"/>
  <c r="G75" i="38" s="1"/>
  <c r="I75" i="38" s="1"/>
  <c r="F75" i="26"/>
  <c r="D75" i="26" s="1"/>
  <c r="F75" i="38" s="1"/>
  <c r="G75" i="26"/>
  <c r="H75" i="26"/>
  <c r="I75" i="26"/>
  <c r="J75" i="26"/>
  <c r="K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C75" i="27" s="1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F76" i="26"/>
  <c r="D76" i="26" s="1"/>
  <c r="F76" i="38" s="1"/>
  <c r="H76" i="38" s="1"/>
  <c r="G76" i="26"/>
  <c r="E76" i="26" s="1"/>
  <c r="G76" i="38" s="1"/>
  <c r="I76" i="38" s="1"/>
  <c r="H76" i="26"/>
  <c r="I76" i="26"/>
  <c r="J76" i="26"/>
  <c r="K76" i="26"/>
  <c r="L76" i="26"/>
  <c r="M76" i="26"/>
  <c r="N76" i="26"/>
  <c r="O76" i="26"/>
  <c r="O76" i="27" s="1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F77" i="26"/>
  <c r="G77" i="26"/>
  <c r="H77" i="26"/>
  <c r="I77" i="26"/>
  <c r="I77" i="27" s="1"/>
  <c r="J77" i="26"/>
  <c r="K77" i="26"/>
  <c r="L77" i="26"/>
  <c r="M77" i="26"/>
  <c r="N77" i="26"/>
  <c r="O77" i="26"/>
  <c r="P77" i="26"/>
  <c r="Q77" i="26"/>
  <c r="Q77" i="27" s="1"/>
  <c r="R77" i="26"/>
  <c r="S77" i="26"/>
  <c r="T77" i="26"/>
  <c r="U77" i="26"/>
  <c r="V77" i="26"/>
  <c r="W77" i="26"/>
  <c r="X77" i="26"/>
  <c r="Y77" i="26"/>
  <c r="Z77" i="26"/>
  <c r="AA77" i="26"/>
  <c r="AB77" i="26"/>
  <c r="AC77" i="26"/>
  <c r="E77" i="26" s="1"/>
  <c r="G77" i="38" s="1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F78" i="26"/>
  <c r="G78" i="26"/>
  <c r="E78" i="26" s="1"/>
  <c r="G78" i="38" s="1"/>
  <c r="I78" i="38" s="1"/>
  <c r="H78" i="26"/>
  <c r="H78" i="27" s="1"/>
  <c r="I78" i="26"/>
  <c r="J78" i="26"/>
  <c r="K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A78" i="27" s="1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F79" i="26"/>
  <c r="G79" i="26"/>
  <c r="H79" i="26"/>
  <c r="I79" i="26"/>
  <c r="J79" i="26"/>
  <c r="D79" i="26" s="1"/>
  <c r="F79" i="38" s="1"/>
  <c r="K79" i="26"/>
  <c r="L79" i="26"/>
  <c r="M79" i="26"/>
  <c r="N79" i="26"/>
  <c r="O79" i="26"/>
  <c r="P79" i="26"/>
  <c r="Q79" i="26"/>
  <c r="R79" i="26"/>
  <c r="S79" i="26"/>
  <c r="T79" i="26"/>
  <c r="U79" i="26"/>
  <c r="U79" i="27" s="1"/>
  <c r="V79" i="26"/>
  <c r="V79" i="27" s="1"/>
  <c r="W79" i="26"/>
  <c r="X79" i="26"/>
  <c r="Y79" i="26"/>
  <c r="Z79" i="26"/>
  <c r="AA79" i="26"/>
  <c r="AB79" i="26"/>
  <c r="AC79" i="26"/>
  <c r="AC79" i="27" s="1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F80" i="26"/>
  <c r="D80" i="26" s="1"/>
  <c r="F80" i="38" s="1"/>
  <c r="H80" i="38" s="1"/>
  <c r="G80" i="26"/>
  <c r="H80" i="26"/>
  <c r="H80" i="27" s="1"/>
  <c r="I80" i="26"/>
  <c r="J80" i="26"/>
  <c r="K80" i="26"/>
  <c r="L80" i="26"/>
  <c r="L80" i="27" s="1"/>
  <c r="M80" i="26"/>
  <c r="N80" i="26"/>
  <c r="O80" i="26"/>
  <c r="O80" i="27" s="1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F81" i="26"/>
  <c r="G81" i="26"/>
  <c r="H81" i="26"/>
  <c r="I81" i="26"/>
  <c r="I81" i="27" s="1"/>
  <c r="J81" i="26"/>
  <c r="K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A4" i="38"/>
  <c r="A5" i="38"/>
  <c r="E12" i="38"/>
  <c r="F13" i="38"/>
  <c r="E15" i="38"/>
  <c r="D19" i="38"/>
  <c r="E19" i="38"/>
  <c r="E20" i="38"/>
  <c r="D21" i="38"/>
  <c r="D22" i="38"/>
  <c r="E23" i="38"/>
  <c r="E27" i="38"/>
  <c r="D34" i="38"/>
  <c r="D35" i="38"/>
  <c r="E35" i="38"/>
  <c r="D39" i="38"/>
  <c r="E39" i="38"/>
  <c r="E40" i="38"/>
  <c r="E41" i="38"/>
  <c r="E42" i="38"/>
  <c r="E43" i="38" s="1"/>
  <c r="D45" i="38"/>
  <c r="E45" i="38"/>
  <c r="E49" i="38"/>
  <c r="D51" i="38"/>
  <c r="E51" i="38"/>
  <c r="D54" i="38"/>
  <c r="D56" i="38" s="1"/>
  <c r="D55" i="38"/>
  <c r="D59" i="38"/>
  <c r="E59" i="38"/>
  <c r="D60" i="38"/>
  <c r="E60" i="38"/>
  <c r="D61" i="38"/>
  <c r="E65" i="38"/>
  <c r="I65" i="38"/>
  <c r="E70" i="38"/>
  <c r="E72" i="38" s="1"/>
  <c r="E71" i="38"/>
  <c r="E73" i="38"/>
  <c r="E75" i="38"/>
  <c r="E76" i="38"/>
  <c r="E78" i="38"/>
  <c r="E80" i="38"/>
  <c r="D81" i="38"/>
  <c r="E81" i="38"/>
  <c r="A4" i="16"/>
  <c r="A5" i="16"/>
  <c r="F11" i="16"/>
  <c r="H11" i="16"/>
  <c r="H16" i="16" s="1"/>
  <c r="I11" i="16"/>
  <c r="I16" i="16" s="1"/>
  <c r="L11" i="16"/>
  <c r="H12" i="16"/>
  <c r="F12" i="16" s="1"/>
  <c r="I12" i="16"/>
  <c r="M12" i="16" s="1"/>
  <c r="E12" i="40" s="1"/>
  <c r="L12" i="16"/>
  <c r="F13" i="16"/>
  <c r="H13" i="16"/>
  <c r="I13" i="16"/>
  <c r="G13" i="16" s="1"/>
  <c r="L13" i="16"/>
  <c r="H14" i="16"/>
  <c r="I14" i="16"/>
  <c r="H15" i="16"/>
  <c r="L15" i="16" s="1"/>
  <c r="I15" i="16"/>
  <c r="G15" i="16" s="1"/>
  <c r="M15" i="16"/>
  <c r="E15" i="40" s="1"/>
  <c r="J16" i="16"/>
  <c r="K16" i="16"/>
  <c r="H18" i="16"/>
  <c r="I18" i="16"/>
  <c r="G19" i="16"/>
  <c r="H19" i="16"/>
  <c r="F19" i="16" s="1"/>
  <c r="I19" i="16"/>
  <c r="M19" i="16" s="1"/>
  <c r="L19" i="16"/>
  <c r="G20" i="16"/>
  <c r="H20" i="16"/>
  <c r="I20" i="16"/>
  <c r="L20" i="16"/>
  <c r="L24" i="16" s="1"/>
  <c r="M20" i="16"/>
  <c r="F21" i="16"/>
  <c r="H21" i="16"/>
  <c r="I21" i="16"/>
  <c r="L21" i="16"/>
  <c r="H22" i="16"/>
  <c r="L22" i="16" s="1"/>
  <c r="I22" i="16"/>
  <c r="G22" i="16" s="1"/>
  <c r="M22" i="16"/>
  <c r="E22" i="40" s="1"/>
  <c r="F23" i="16"/>
  <c r="H23" i="16"/>
  <c r="I23" i="16"/>
  <c r="G23" i="16" s="1"/>
  <c r="L23" i="16"/>
  <c r="M23" i="16"/>
  <c r="I24" i="16"/>
  <c r="J24" i="16"/>
  <c r="J82" i="16" s="1"/>
  <c r="J91" i="16" s="1"/>
  <c r="K24" i="16"/>
  <c r="G27" i="16"/>
  <c r="G29" i="16" s="1"/>
  <c r="H27" i="16"/>
  <c r="F27" i="16" s="1"/>
  <c r="I27" i="16"/>
  <c r="L27" i="16"/>
  <c r="L29" i="16" s="1"/>
  <c r="M27" i="16"/>
  <c r="F28" i="16"/>
  <c r="G28" i="16"/>
  <c r="H28" i="16"/>
  <c r="I28" i="16"/>
  <c r="M28" i="16" s="1"/>
  <c r="E28" i="40" s="1"/>
  <c r="L28" i="16"/>
  <c r="F29" i="16"/>
  <c r="I29" i="16"/>
  <c r="J29" i="16"/>
  <c r="K29" i="16"/>
  <c r="F32" i="16"/>
  <c r="G32" i="16"/>
  <c r="H32" i="16"/>
  <c r="L32" i="16" s="1"/>
  <c r="I32" i="16"/>
  <c r="M32" i="16" s="1"/>
  <c r="E32" i="40" s="1"/>
  <c r="F33" i="16"/>
  <c r="H33" i="16"/>
  <c r="I33" i="16"/>
  <c r="L33" i="16"/>
  <c r="L36" i="16" s="1"/>
  <c r="H34" i="16"/>
  <c r="F34" i="16" s="1"/>
  <c r="I34" i="16"/>
  <c r="M34" i="16" s="1"/>
  <c r="E34" i="40" s="1"/>
  <c r="L34" i="16"/>
  <c r="F35" i="16"/>
  <c r="H35" i="16"/>
  <c r="I35" i="16"/>
  <c r="G35" i="16" s="1"/>
  <c r="L35" i="16"/>
  <c r="H36" i="16"/>
  <c r="J36" i="16"/>
  <c r="K36" i="16"/>
  <c r="L37" i="16"/>
  <c r="M37" i="16"/>
  <c r="H38" i="16"/>
  <c r="I38" i="16"/>
  <c r="H39" i="16"/>
  <c r="F39" i="16" s="1"/>
  <c r="I39" i="16"/>
  <c r="G39" i="16" s="1"/>
  <c r="L39" i="16"/>
  <c r="D39" i="40" s="1"/>
  <c r="M39" i="16"/>
  <c r="F40" i="16"/>
  <c r="F42" i="16" s="1"/>
  <c r="F43" i="16" s="1"/>
  <c r="G40" i="16"/>
  <c r="H40" i="16"/>
  <c r="I40" i="16"/>
  <c r="L40" i="16"/>
  <c r="L42" i="16" s="1"/>
  <c r="M40" i="16"/>
  <c r="F41" i="16"/>
  <c r="H41" i="16"/>
  <c r="L41" i="16" s="1"/>
  <c r="I41" i="16"/>
  <c r="G41" i="16" s="1"/>
  <c r="G42" i="16" s="1"/>
  <c r="G43" i="16" s="1"/>
  <c r="J42" i="16"/>
  <c r="K42" i="16"/>
  <c r="K43" i="16" s="1"/>
  <c r="J43" i="16"/>
  <c r="F45" i="16"/>
  <c r="H45" i="16"/>
  <c r="I45" i="16"/>
  <c r="G45" i="16" s="1"/>
  <c r="L45" i="16"/>
  <c r="M45" i="16"/>
  <c r="E45" i="40" s="1"/>
  <c r="H47" i="16"/>
  <c r="F47" i="16" s="1"/>
  <c r="I47" i="16"/>
  <c r="L47" i="16"/>
  <c r="D47" i="40" s="1"/>
  <c r="F49" i="16"/>
  <c r="H49" i="16"/>
  <c r="I49" i="16"/>
  <c r="G49" i="16" s="1"/>
  <c r="L49" i="16"/>
  <c r="M49" i="16"/>
  <c r="E49" i="40" s="1"/>
  <c r="F51" i="16"/>
  <c r="H51" i="16"/>
  <c r="L51" i="16" s="1"/>
  <c r="I51" i="16"/>
  <c r="G51" i="16" s="1"/>
  <c r="M51" i="16"/>
  <c r="E51" i="40" s="1"/>
  <c r="H54" i="16"/>
  <c r="I54" i="16"/>
  <c r="G54" i="16" s="1"/>
  <c r="M54" i="16"/>
  <c r="H55" i="16"/>
  <c r="I55" i="16"/>
  <c r="G55" i="16" s="1"/>
  <c r="M55" i="16"/>
  <c r="J56" i="16"/>
  <c r="K56" i="16"/>
  <c r="F59" i="16"/>
  <c r="G59" i="16"/>
  <c r="H59" i="16"/>
  <c r="I59" i="16"/>
  <c r="L59" i="16"/>
  <c r="M59" i="16"/>
  <c r="E59" i="40" s="1"/>
  <c r="H60" i="16"/>
  <c r="I60" i="16"/>
  <c r="H61" i="16"/>
  <c r="J61" i="16"/>
  <c r="K61" i="16"/>
  <c r="H64" i="16"/>
  <c r="I64" i="16"/>
  <c r="L64" i="16"/>
  <c r="G65" i="16"/>
  <c r="H65" i="16"/>
  <c r="F65" i="16" s="1"/>
  <c r="I65" i="16"/>
  <c r="M65" i="16"/>
  <c r="J66" i="16"/>
  <c r="K66" i="16"/>
  <c r="F70" i="16"/>
  <c r="G70" i="16"/>
  <c r="H70" i="16"/>
  <c r="I70" i="16"/>
  <c r="L70" i="16"/>
  <c r="L72" i="16" s="1"/>
  <c r="M70" i="16"/>
  <c r="H71" i="16"/>
  <c r="L71" i="16" s="1"/>
  <c r="I71" i="16"/>
  <c r="M71" i="16" s="1"/>
  <c r="E71" i="40" s="1"/>
  <c r="H72" i="16"/>
  <c r="J72" i="16"/>
  <c r="K72" i="16"/>
  <c r="H73" i="16"/>
  <c r="I73" i="16"/>
  <c r="G73" i="16" s="1"/>
  <c r="M73" i="16"/>
  <c r="E73" i="40" s="1"/>
  <c r="H74" i="16"/>
  <c r="I74" i="16"/>
  <c r="G74" i="16" s="1"/>
  <c r="M74" i="16"/>
  <c r="F75" i="16"/>
  <c r="H75" i="16"/>
  <c r="I75" i="16"/>
  <c r="G75" i="16" s="1"/>
  <c r="L75" i="16"/>
  <c r="D75" i="40" s="1"/>
  <c r="H75" i="40" s="1"/>
  <c r="M75" i="16"/>
  <c r="G76" i="16"/>
  <c r="H76" i="16"/>
  <c r="I76" i="16"/>
  <c r="M76" i="16"/>
  <c r="E76" i="40" s="1"/>
  <c r="G77" i="16"/>
  <c r="H77" i="16"/>
  <c r="F77" i="16" s="1"/>
  <c r="I77" i="16"/>
  <c r="L77" i="16"/>
  <c r="D77" i="40" s="1"/>
  <c r="M77" i="16"/>
  <c r="E77" i="40" s="1"/>
  <c r="H78" i="16"/>
  <c r="F78" i="16" s="1"/>
  <c r="I78" i="16"/>
  <c r="G78" i="16" s="1"/>
  <c r="M78" i="16"/>
  <c r="F79" i="16"/>
  <c r="G79" i="16"/>
  <c r="H79" i="16"/>
  <c r="I79" i="16"/>
  <c r="L79" i="16"/>
  <c r="D79" i="40" s="1"/>
  <c r="M79" i="16"/>
  <c r="F80" i="16"/>
  <c r="H80" i="16"/>
  <c r="L80" i="16" s="1"/>
  <c r="I80" i="16"/>
  <c r="G80" i="16" s="1"/>
  <c r="M80" i="16"/>
  <c r="E80" i="40" s="1"/>
  <c r="G81" i="16"/>
  <c r="H81" i="16"/>
  <c r="F81" i="16" s="1"/>
  <c r="I81" i="16"/>
  <c r="M81" i="16" s="1"/>
  <c r="E81" i="40" s="1"/>
  <c r="L81" i="16"/>
  <c r="D82" i="16"/>
  <c r="E82" i="16"/>
  <c r="E91" i="16" s="1"/>
  <c r="D89" i="16"/>
  <c r="E89" i="16"/>
  <c r="F89" i="16"/>
  <c r="G89" i="16"/>
  <c r="H89" i="16"/>
  <c r="I89" i="16"/>
  <c r="J89" i="16"/>
  <c r="K89" i="16"/>
  <c r="L89" i="16"/>
  <c r="M89" i="16"/>
  <c r="D91" i="16"/>
  <c r="A5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F11" i="28"/>
  <c r="D11" i="28" s="1"/>
  <c r="G11" i="28"/>
  <c r="G16" i="28" s="1"/>
  <c r="H11" i="28"/>
  <c r="I11" i="28"/>
  <c r="J11" i="28"/>
  <c r="K11" i="28"/>
  <c r="L11" i="28"/>
  <c r="M11" i="28"/>
  <c r="M16" i="28" s="1"/>
  <c r="N11" i="28"/>
  <c r="O11" i="28"/>
  <c r="O16" i="28" s="1"/>
  <c r="P11" i="28"/>
  <c r="Q11" i="28"/>
  <c r="R11" i="28"/>
  <c r="S11" i="28"/>
  <c r="T11" i="28"/>
  <c r="U11" i="28"/>
  <c r="V11" i="28"/>
  <c r="W11" i="28"/>
  <c r="W16" i="28" s="1"/>
  <c r="W82" i="28" s="1"/>
  <c r="U648" i="44" s="1"/>
  <c r="X11" i="28"/>
  <c r="Y11" i="28"/>
  <c r="Z11" i="28"/>
  <c r="AA11" i="28"/>
  <c r="AB11" i="28"/>
  <c r="AC11" i="28"/>
  <c r="AC16" i="28" s="1"/>
  <c r="AD11" i="28"/>
  <c r="AE11" i="28"/>
  <c r="AE16" i="28" s="1"/>
  <c r="AF11" i="28"/>
  <c r="AG11" i="28"/>
  <c r="AH11" i="28"/>
  <c r="AI11" i="28"/>
  <c r="AJ11" i="28"/>
  <c r="AK11" i="28"/>
  <c r="AL11" i="28"/>
  <c r="AM11" i="28"/>
  <c r="AM16" i="28" s="1"/>
  <c r="AM82" i="28" s="1"/>
  <c r="AN11" i="28"/>
  <c r="AO11" i="28"/>
  <c r="F12" i="28"/>
  <c r="G12" i="28"/>
  <c r="E12" i="28" s="1"/>
  <c r="G12" i="40" s="1"/>
  <c r="I12" i="40" s="1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F13" i="28"/>
  <c r="G13" i="28"/>
  <c r="H13" i="28"/>
  <c r="H16" i="28" s="1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X16" i="28" s="1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N16" i="28" s="1"/>
  <c r="AO13" i="28"/>
  <c r="F14" i="28"/>
  <c r="G14" i="28"/>
  <c r="E14" i="28" s="1"/>
  <c r="G14" i="40" s="1"/>
  <c r="H14" i="28"/>
  <c r="I14" i="28"/>
  <c r="J14" i="28"/>
  <c r="D14" i="28" s="1"/>
  <c r="F14" i="40" s="1"/>
  <c r="K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F16" i="28"/>
  <c r="J16" i="28"/>
  <c r="N16" i="28"/>
  <c r="P16" i="28"/>
  <c r="R16" i="28"/>
  <c r="U16" i="28"/>
  <c r="V16" i="28"/>
  <c r="V82" i="28" s="1"/>
  <c r="T648" i="44" s="1"/>
  <c r="Z16" i="28"/>
  <c r="AD16" i="28"/>
  <c r="AF16" i="28"/>
  <c r="AH16" i="28"/>
  <c r="AK16" i="28"/>
  <c r="AL16" i="28"/>
  <c r="AL82" i="28" s="1"/>
  <c r="F19" i="28"/>
  <c r="G19" i="28"/>
  <c r="H19" i="28"/>
  <c r="I19" i="28"/>
  <c r="J19" i="28"/>
  <c r="J24" i="28" s="1"/>
  <c r="K19" i="28"/>
  <c r="L19" i="28"/>
  <c r="M19" i="28"/>
  <c r="N19" i="28"/>
  <c r="N24" i="28" s="1"/>
  <c r="O19" i="28"/>
  <c r="P19" i="28"/>
  <c r="Q19" i="28"/>
  <c r="R19" i="28"/>
  <c r="S19" i="28"/>
  <c r="T19" i="28"/>
  <c r="U19" i="28"/>
  <c r="V19" i="28"/>
  <c r="V24" i="28" s="1"/>
  <c r="W19" i="28"/>
  <c r="X19" i="28"/>
  <c r="Y19" i="28"/>
  <c r="Z19" i="28"/>
  <c r="Z24" i="28" s="1"/>
  <c r="AA19" i="28"/>
  <c r="AB19" i="28"/>
  <c r="AC19" i="28"/>
  <c r="AD19" i="28"/>
  <c r="AD24" i="28" s="1"/>
  <c r="AE19" i="28"/>
  <c r="AF19" i="28"/>
  <c r="AG19" i="28"/>
  <c r="AH19" i="28"/>
  <c r="AI19" i="28"/>
  <c r="AJ19" i="28"/>
  <c r="AK19" i="28"/>
  <c r="AL19" i="28"/>
  <c r="AL24" i="28" s="1"/>
  <c r="AM19" i="28"/>
  <c r="AN19" i="28"/>
  <c r="AO19" i="28"/>
  <c r="F20" i="28"/>
  <c r="D20" i="28" s="1"/>
  <c r="F20" i="40" s="1"/>
  <c r="G20" i="28"/>
  <c r="H20" i="28"/>
  <c r="I20" i="28"/>
  <c r="J20" i="28"/>
  <c r="L20" i="28"/>
  <c r="M20" i="28"/>
  <c r="N20" i="28"/>
  <c r="O20" i="28"/>
  <c r="O24" i="28" s="1"/>
  <c r="P20" i="28"/>
  <c r="Q20" i="28"/>
  <c r="R20" i="28"/>
  <c r="S20" i="28"/>
  <c r="S24" i="28" s="1"/>
  <c r="T20" i="28"/>
  <c r="U20" i="28"/>
  <c r="U24" i="28" s="1"/>
  <c r="V20" i="28"/>
  <c r="W20" i="28"/>
  <c r="W24" i="28" s="1"/>
  <c r="X20" i="28"/>
  <c r="Y20" i="28"/>
  <c r="Z20" i="28"/>
  <c r="AA20" i="28"/>
  <c r="AB20" i="28"/>
  <c r="AC20" i="28"/>
  <c r="AD20" i="28"/>
  <c r="AE20" i="28"/>
  <c r="AE24" i="28" s="1"/>
  <c r="AF20" i="28"/>
  <c r="AG20" i="28"/>
  <c r="AH20" i="28"/>
  <c r="AI20" i="28"/>
  <c r="AI24" i="28" s="1"/>
  <c r="AJ20" i="28"/>
  <c r="AK20" i="28"/>
  <c r="AK24" i="28" s="1"/>
  <c r="AL20" i="28"/>
  <c r="AM20" i="28"/>
  <c r="AM24" i="28" s="1"/>
  <c r="AN20" i="28"/>
  <c r="AO20" i="28"/>
  <c r="F21" i="28"/>
  <c r="G21" i="28"/>
  <c r="G24" i="28" s="1"/>
  <c r="H21" i="28"/>
  <c r="I21" i="28"/>
  <c r="J21" i="28"/>
  <c r="K21" i="28"/>
  <c r="L21" i="28"/>
  <c r="D21" i="28" s="1"/>
  <c r="F21" i="40" s="1"/>
  <c r="H21" i="40" s="1"/>
  <c r="M21" i="28"/>
  <c r="N21" i="28"/>
  <c r="O21" i="28"/>
  <c r="P21" i="28"/>
  <c r="Q21" i="28"/>
  <c r="Q24" i="28" s="1"/>
  <c r="R21" i="28"/>
  <c r="S21" i="28"/>
  <c r="T21" i="28"/>
  <c r="U21" i="28"/>
  <c r="V21" i="28"/>
  <c r="W21" i="28"/>
  <c r="X21" i="28"/>
  <c r="Y21" i="28"/>
  <c r="Y24" i="28" s="1"/>
  <c r="Z21" i="28"/>
  <c r="AA21" i="28"/>
  <c r="AB21" i="28"/>
  <c r="AC21" i="28"/>
  <c r="AD21" i="28"/>
  <c r="AE21" i="28"/>
  <c r="AF21" i="28"/>
  <c r="AG21" i="28"/>
  <c r="AG24" i="28" s="1"/>
  <c r="AH21" i="28"/>
  <c r="AI21" i="28"/>
  <c r="AJ21" i="28"/>
  <c r="AK21" i="28"/>
  <c r="AL21" i="28"/>
  <c r="AM21" i="28"/>
  <c r="AN21" i="28"/>
  <c r="AO21" i="28"/>
  <c r="AO24" i="28" s="1"/>
  <c r="F22" i="28"/>
  <c r="G22" i="28"/>
  <c r="H22" i="28"/>
  <c r="I22" i="28"/>
  <c r="J22" i="28"/>
  <c r="K22" i="28"/>
  <c r="K24" i="28" s="1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A24" i="28" s="1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F23" i="28"/>
  <c r="G23" i="28"/>
  <c r="H23" i="28"/>
  <c r="I23" i="28"/>
  <c r="J23" i="28"/>
  <c r="K23" i="28"/>
  <c r="L23" i="28"/>
  <c r="M23" i="28"/>
  <c r="E23" i="28" s="1"/>
  <c r="G23" i="40" s="1"/>
  <c r="I23" i="40" s="1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M24" i="28"/>
  <c r="R24" i="28"/>
  <c r="AC24" i="28"/>
  <c r="AH24" i="28"/>
  <c r="F27" i="28"/>
  <c r="G27" i="28"/>
  <c r="G29" i="28" s="1"/>
  <c r="H27" i="28"/>
  <c r="I27" i="28"/>
  <c r="J27" i="28"/>
  <c r="J29" i="28" s="1"/>
  <c r="K27" i="28"/>
  <c r="L27" i="28"/>
  <c r="L29" i="28" s="1"/>
  <c r="M27" i="28"/>
  <c r="N27" i="28"/>
  <c r="O27" i="28"/>
  <c r="O29" i="28" s="1"/>
  <c r="P27" i="28"/>
  <c r="Q27" i="28"/>
  <c r="R27" i="28"/>
  <c r="R29" i="28" s="1"/>
  <c r="S27" i="28"/>
  <c r="T27" i="28"/>
  <c r="T29" i="28" s="1"/>
  <c r="U27" i="28"/>
  <c r="V27" i="28"/>
  <c r="W27" i="28"/>
  <c r="W29" i="28" s="1"/>
  <c r="X27" i="28"/>
  <c r="Y27" i="28"/>
  <c r="Z27" i="28"/>
  <c r="Z29" i="28" s="1"/>
  <c r="AA27" i="28"/>
  <c r="AB27" i="28"/>
  <c r="AB29" i="28" s="1"/>
  <c r="AC27" i="28"/>
  <c r="AD27" i="28"/>
  <c r="AE27" i="28"/>
  <c r="AE29" i="28" s="1"/>
  <c r="AF27" i="28"/>
  <c r="AG27" i="28"/>
  <c r="AH27" i="28"/>
  <c r="AH29" i="28" s="1"/>
  <c r="AI27" i="28"/>
  <c r="AJ27" i="28"/>
  <c r="AJ29" i="28" s="1"/>
  <c r="AK27" i="28"/>
  <c r="AL27" i="28"/>
  <c r="AM27" i="28"/>
  <c r="AM29" i="28" s="1"/>
  <c r="AN27" i="28"/>
  <c r="AO27" i="28"/>
  <c r="F28" i="28"/>
  <c r="G28" i="28"/>
  <c r="H28" i="28"/>
  <c r="I28" i="28"/>
  <c r="J28" i="28"/>
  <c r="K28" i="28"/>
  <c r="K29" i="28" s="1"/>
  <c r="L28" i="28"/>
  <c r="M28" i="28"/>
  <c r="N28" i="28"/>
  <c r="N29" i="28" s="1"/>
  <c r="O28" i="28"/>
  <c r="P28" i="28"/>
  <c r="Q28" i="28"/>
  <c r="Q29" i="28" s="1"/>
  <c r="R28" i="28"/>
  <c r="S28" i="28"/>
  <c r="S29" i="28" s="1"/>
  <c r="T28" i="28"/>
  <c r="U28" i="28"/>
  <c r="V28" i="28"/>
  <c r="V29" i="28" s="1"/>
  <c r="W28" i="28"/>
  <c r="X28" i="28"/>
  <c r="Y28" i="28"/>
  <c r="Z28" i="28"/>
  <c r="AA28" i="28"/>
  <c r="AA29" i="28" s="1"/>
  <c r="AB28" i="28"/>
  <c r="AC28" i="28"/>
  <c r="AD28" i="28"/>
  <c r="AD29" i="28" s="1"/>
  <c r="AE28" i="28"/>
  <c r="AF28" i="28"/>
  <c r="AG28" i="28"/>
  <c r="AG29" i="28" s="1"/>
  <c r="AH28" i="28"/>
  <c r="AI28" i="28"/>
  <c r="AI29" i="28" s="1"/>
  <c r="AJ28" i="28"/>
  <c r="AK28" i="28"/>
  <c r="AL28" i="28"/>
  <c r="AL29" i="28" s="1"/>
  <c r="AM28" i="28"/>
  <c r="AN28" i="28"/>
  <c r="AO28" i="28"/>
  <c r="H29" i="28"/>
  <c r="I29" i="28"/>
  <c r="M29" i="28"/>
  <c r="P29" i="28"/>
  <c r="U29" i="28"/>
  <c r="X29" i="28"/>
  <c r="Y29" i="28"/>
  <c r="AC29" i="28"/>
  <c r="AF29" i="28"/>
  <c r="AK29" i="28"/>
  <c r="AN29" i="28"/>
  <c r="AO29" i="28"/>
  <c r="F32" i="28"/>
  <c r="G32" i="28"/>
  <c r="E32" i="28" s="1"/>
  <c r="H32" i="28"/>
  <c r="I32" i="28"/>
  <c r="J32" i="28"/>
  <c r="K32" i="28"/>
  <c r="L32" i="28"/>
  <c r="M32" i="28"/>
  <c r="N32" i="28"/>
  <c r="O32" i="28"/>
  <c r="P32" i="28"/>
  <c r="Q32" i="28"/>
  <c r="R32" i="28"/>
  <c r="R36" i="28" s="1"/>
  <c r="S32" i="28"/>
  <c r="S36" i="28" s="1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H36" i="28" s="1"/>
  <c r="AI32" i="28"/>
  <c r="AI36" i="28" s="1"/>
  <c r="AJ32" i="28"/>
  <c r="AK32" i="28"/>
  <c r="AL32" i="28"/>
  <c r="AM32" i="28"/>
  <c r="AN32" i="28"/>
  <c r="AO32" i="28"/>
  <c r="D33" i="28"/>
  <c r="F33" i="40" s="1"/>
  <c r="E33" i="28"/>
  <c r="G33" i="40" s="1"/>
  <c r="F33" i="28"/>
  <c r="G33" i="28"/>
  <c r="H33" i="28"/>
  <c r="I33" i="28"/>
  <c r="J33" i="28"/>
  <c r="K33" i="28"/>
  <c r="L33" i="28"/>
  <c r="L36" i="28" s="1"/>
  <c r="M33" i="28"/>
  <c r="M36" i="28" s="1"/>
  <c r="N33" i="28"/>
  <c r="O33" i="28"/>
  <c r="P33" i="28"/>
  <c r="Q33" i="28"/>
  <c r="R33" i="28"/>
  <c r="S33" i="28"/>
  <c r="T33" i="28"/>
  <c r="T36" i="28" s="1"/>
  <c r="U33" i="28"/>
  <c r="U36" i="28" s="1"/>
  <c r="V33" i="28"/>
  <c r="W33" i="28"/>
  <c r="X33" i="28"/>
  <c r="Y33" i="28"/>
  <c r="Z33" i="28"/>
  <c r="AA33" i="28"/>
  <c r="AB33" i="28"/>
  <c r="AB36" i="28" s="1"/>
  <c r="AC33" i="28"/>
  <c r="AC36" i="28" s="1"/>
  <c r="AD33" i="28"/>
  <c r="AE33" i="28"/>
  <c r="AF33" i="28"/>
  <c r="AG33" i="28"/>
  <c r="AH33" i="28"/>
  <c r="AI33" i="28"/>
  <c r="AJ33" i="28"/>
  <c r="AJ36" i="28" s="1"/>
  <c r="AK33" i="28"/>
  <c r="AK36" i="28" s="1"/>
  <c r="AL33" i="28"/>
  <c r="AM33" i="28"/>
  <c r="AN33" i="28"/>
  <c r="AO33" i="28"/>
  <c r="F34" i="28"/>
  <c r="G34" i="28"/>
  <c r="H34" i="28"/>
  <c r="I34" i="28"/>
  <c r="J34" i="28"/>
  <c r="K34" i="28"/>
  <c r="L34" i="28"/>
  <c r="M34" i="28"/>
  <c r="N34" i="28"/>
  <c r="N36" i="28" s="1"/>
  <c r="O34" i="28"/>
  <c r="P34" i="28"/>
  <c r="Q34" i="28"/>
  <c r="R34" i="28"/>
  <c r="S34" i="28"/>
  <c r="T34" i="28"/>
  <c r="U34" i="28"/>
  <c r="V34" i="28"/>
  <c r="V36" i="28" s="1"/>
  <c r="W34" i="28"/>
  <c r="X34" i="28"/>
  <c r="Y34" i="28"/>
  <c r="Z34" i="28"/>
  <c r="AA34" i="28"/>
  <c r="AB34" i="28"/>
  <c r="AC34" i="28"/>
  <c r="AD34" i="28"/>
  <c r="AD36" i="28" s="1"/>
  <c r="AE34" i="28"/>
  <c r="AF34" i="28"/>
  <c r="AG34" i="28"/>
  <c r="AH34" i="28"/>
  <c r="AI34" i="28"/>
  <c r="AJ34" i="28"/>
  <c r="AK34" i="28"/>
  <c r="AL34" i="28"/>
  <c r="AL36" i="28" s="1"/>
  <c r="AM34" i="28"/>
  <c r="AN34" i="28"/>
  <c r="AO34" i="28"/>
  <c r="F35" i="28"/>
  <c r="G35" i="28"/>
  <c r="H35" i="28"/>
  <c r="H36" i="28" s="1"/>
  <c r="I35" i="28"/>
  <c r="J35" i="28"/>
  <c r="K35" i="28"/>
  <c r="L35" i="28"/>
  <c r="M35" i="28"/>
  <c r="N35" i="28"/>
  <c r="O35" i="28"/>
  <c r="P35" i="28"/>
  <c r="P36" i="28" s="1"/>
  <c r="Q35" i="28"/>
  <c r="R35" i="28"/>
  <c r="S35" i="28"/>
  <c r="T35" i="28"/>
  <c r="U35" i="28"/>
  <c r="E35" i="28" s="1"/>
  <c r="G35" i="40" s="1"/>
  <c r="V35" i="28"/>
  <c r="W35" i="28"/>
  <c r="X35" i="28"/>
  <c r="X36" i="28" s="1"/>
  <c r="Y35" i="28"/>
  <c r="Z35" i="28"/>
  <c r="AA35" i="28"/>
  <c r="AB35" i="28"/>
  <c r="AC35" i="28"/>
  <c r="AD35" i="28"/>
  <c r="AE35" i="28"/>
  <c r="AF35" i="28"/>
  <c r="AF36" i="28" s="1"/>
  <c r="AG35" i="28"/>
  <c r="AH35" i="28"/>
  <c r="AI35" i="28"/>
  <c r="AJ35" i="28"/>
  <c r="AK35" i="28"/>
  <c r="AL35" i="28"/>
  <c r="AM35" i="28"/>
  <c r="AN35" i="28"/>
  <c r="AN36" i="28" s="1"/>
  <c r="AO35" i="28"/>
  <c r="G36" i="28"/>
  <c r="J36" i="28"/>
  <c r="K36" i="28"/>
  <c r="O36" i="28"/>
  <c r="W36" i="28"/>
  <c r="Z36" i="28"/>
  <c r="AA36" i="28"/>
  <c r="AE36" i="28"/>
  <c r="AM36" i="28"/>
  <c r="D39" i="28"/>
  <c r="F39" i="40" s="1"/>
  <c r="E39" i="28"/>
  <c r="G39" i="40" s="1"/>
  <c r="I39" i="40" s="1"/>
  <c r="F39" i="28"/>
  <c r="G39" i="28"/>
  <c r="H39" i="28"/>
  <c r="I39" i="28"/>
  <c r="J39" i="28"/>
  <c r="K39" i="28"/>
  <c r="L39" i="28"/>
  <c r="L43" i="28" s="1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B43" i="28" s="1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F40" i="28"/>
  <c r="G40" i="28"/>
  <c r="H40" i="28"/>
  <c r="I40" i="28"/>
  <c r="I42" i="28" s="1"/>
  <c r="I43" i="28" s="1"/>
  <c r="J40" i="28"/>
  <c r="K40" i="28"/>
  <c r="K42" i="28" s="1"/>
  <c r="K43" i="28" s="1"/>
  <c r="L40" i="28"/>
  <c r="L42" i="28" s="1"/>
  <c r="M40" i="28"/>
  <c r="N40" i="28"/>
  <c r="N42" i="28" s="1"/>
  <c r="N43" i="28" s="1"/>
  <c r="O40" i="28"/>
  <c r="O42" i="28" s="1"/>
  <c r="O43" i="28" s="1"/>
  <c r="P40" i="28"/>
  <c r="Q40" i="28"/>
  <c r="Q42" i="28" s="1"/>
  <c r="Q43" i="28" s="1"/>
  <c r="R40" i="28"/>
  <c r="S40" i="28"/>
  <c r="S42" i="28" s="1"/>
  <c r="S43" i="28" s="1"/>
  <c r="T40" i="28"/>
  <c r="T42" i="28" s="1"/>
  <c r="U40" i="28"/>
  <c r="V40" i="28"/>
  <c r="V42" i="28" s="1"/>
  <c r="V43" i="28" s="1"/>
  <c r="W40" i="28"/>
  <c r="X40" i="28"/>
  <c r="Y40" i="28"/>
  <c r="Y42" i="28" s="1"/>
  <c r="Y43" i="28" s="1"/>
  <c r="Z40" i="28"/>
  <c r="AA40" i="28"/>
  <c r="AA42" i="28" s="1"/>
  <c r="AA43" i="28" s="1"/>
  <c r="AB40" i="28"/>
  <c r="AB42" i="28" s="1"/>
  <c r="AC40" i="28"/>
  <c r="AD40" i="28"/>
  <c r="AD42" i="28" s="1"/>
  <c r="AD43" i="28" s="1"/>
  <c r="AE40" i="28"/>
  <c r="AE42" i="28" s="1"/>
  <c r="AE43" i="28" s="1"/>
  <c r="AF40" i="28"/>
  <c r="AG40" i="28"/>
  <c r="AG42" i="28" s="1"/>
  <c r="AG43" i="28" s="1"/>
  <c r="AH40" i="28"/>
  <c r="AI40" i="28"/>
  <c r="AI42" i="28" s="1"/>
  <c r="AI43" i="28" s="1"/>
  <c r="AJ40" i="28"/>
  <c r="AJ42" i="28" s="1"/>
  <c r="AK40" i="28"/>
  <c r="AL40" i="28"/>
  <c r="AL42" i="28" s="1"/>
  <c r="AL43" i="28" s="1"/>
  <c r="AM40" i="28"/>
  <c r="AN40" i="28"/>
  <c r="AO40" i="28"/>
  <c r="AO42" i="28" s="1"/>
  <c r="AO43" i="28" s="1"/>
  <c r="F41" i="28"/>
  <c r="D41" i="28" s="1"/>
  <c r="G41" i="28"/>
  <c r="H41" i="28"/>
  <c r="H42" i="28" s="1"/>
  <c r="H43" i="28" s="1"/>
  <c r="I41" i="28"/>
  <c r="E41" i="28" s="1"/>
  <c r="G41" i="40" s="1"/>
  <c r="J41" i="28"/>
  <c r="K41" i="28"/>
  <c r="L41" i="28"/>
  <c r="M41" i="28"/>
  <c r="N41" i="28"/>
  <c r="O41" i="28"/>
  <c r="P41" i="28"/>
  <c r="P42" i="28" s="1"/>
  <c r="P43" i="28" s="1"/>
  <c r="Q41" i="28"/>
  <c r="R41" i="28"/>
  <c r="S41" i="28"/>
  <c r="T41" i="28"/>
  <c r="U41" i="28"/>
  <c r="V41" i="28"/>
  <c r="W41" i="28"/>
  <c r="X41" i="28"/>
  <c r="X42" i="28" s="1"/>
  <c r="X43" i="28" s="1"/>
  <c r="Y41" i="28"/>
  <c r="Z41" i="28"/>
  <c r="AA41" i="28"/>
  <c r="AB41" i="28"/>
  <c r="AC41" i="28"/>
  <c r="AD41" i="28"/>
  <c r="AE41" i="28"/>
  <c r="AF41" i="28"/>
  <c r="AF42" i="28" s="1"/>
  <c r="AF43" i="28" s="1"/>
  <c r="AG41" i="28"/>
  <c r="AH41" i="28"/>
  <c r="AI41" i="28"/>
  <c r="AJ41" i="28"/>
  <c r="AK41" i="28"/>
  <c r="AL41" i="28"/>
  <c r="AM41" i="28"/>
  <c r="AN41" i="28"/>
  <c r="AN42" i="28" s="1"/>
  <c r="AN43" i="28" s="1"/>
  <c r="AO41" i="28"/>
  <c r="G42" i="28"/>
  <c r="G43" i="28" s="1"/>
  <c r="J42" i="28"/>
  <c r="J43" i="28" s="1"/>
  <c r="M42" i="28"/>
  <c r="M43" i="28" s="1"/>
  <c r="R42" i="28"/>
  <c r="R43" i="28" s="1"/>
  <c r="U42" i="28"/>
  <c r="U43" i="28" s="1"/>
  <c r="W42" i="28"/>
  <c r="W43" i="28" s="1"/>
  <c r="Z42" i="28"/>
  <c r="Z43" i="28" s="1"/>
  <c r="AC42" i="28"/>
  <c r="AC43" i="28" s="1"/>
  <c r="AH42" i="28"/>
  <c r="AH43" i="28" s="1"/>
  <c r="AK42" i="28"/>
  <c r="AK43" i="28" s="1"/>
  <c r="AM42" i="28"/>
  <c r="AM43" i="28" s="1"/>
  <c r="T43" i="28"/>
  <c r="AJ43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F47" i="28"/>
  <c r="G47" i="28"/>
  <c r="H47" i="28"/>
  <c r="I47" i="28"/>
  <c r="J47" i="28"/>
  <c r="K47" i="28"/>
  <c r="L47" i="28"/>
  <c r="M47" i="28"/>
  <c r="E47" i="28" s="1"/>
  <c r="G47" i="40" s="1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F49" i="28"/>
  <c r="D49" i="28" s="1"/>
  <c r="G49" i="28"/>
  <c r="E49" i="28" s="1"/>
  <c r="G49" i="40" s="1"/>
  <c r="I49" i="40" s="1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F51" i="40" s="1"/>
  <c r="H51" i="40" s="1"/>
  <c r="F51" i="28"/>
  <c r="G51" i="28"/>
  <c r="E51" i="28" s="1"/>
  <c r="G51" i="40" s="1"/>
  <c r="I51" i="40" s="1"/>
  <c r="H51" i="28"/>
  <c r="I51" i="28"/>
  <c r="J51" i="28"/>
  <c r="K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F54" i="28"/>
  <c r="G54" i="28"/>
  <c r="H54" i="28"/>
  <c r="I54" i="28"/>
  <c r="J54" i="28"/>
  <c r="K54" i="28"/>
  <c r="K56" i="28" s="1"/>
  <c r="L54" i="28"/>
  <c r="L56" i="28" s="1"/>
  <c r="M54" i="28"/>
  <c r="N54" i="28"/>
  <c r="N56" i="28" s="1"/>
  <c r="O54" i="28"/>
  <c r="P54" i="28"/>
  <c r="Q54" i="28"/>
  <c r="R54" i="28"/>
  <c r="S54" i="28"/>
  <c r="T54" i="28"/>
  <c r="T56" i="28" s="1"/>
  <c r="U54" i="28"/>
  <c r="V54" i="28"/>
  <c r="V56" i="28" s="1"/>
  <c r="W54" i="28"/>
  <c r="X54" i="28"/>
  <c r="Y54" i="28"/>
  <c r="Z54" i="28"/>
  <c r="AA54" i="28"/>
  <c r="AA56" i="28" s="1"/>
  <c r="AB54" i="28"/>
  <c r="AB56" i="28" s="1"/>
  <c r="AC54" i="28"/>
  <c r="AD54" i="28"/>
  <c r="AD56" i="28" s="1"/>
  <c r="AE54" i="28"/>
  <c r="AF54" i="28"/>
  <c r="AG54" i="28"/>
  <c r="AH54" i="28"/>
  <c r="AI54" i="28"/>
  <c r="AJ54" i="28"/>
  <c r="AJ56" i="28" s="1"/>
  <c r="AK54" i="28"/>
  <c r="AL54" i="28"/>
  <c r="AL56" i="28" s="1"/>
  <c r="AM54" i="28"/>
  <c r="AN54" i="28"/>
  <c r="AO54" i="28"/>
  <c r="F55" i="28"/>
  <c r="G55" i="28"/>
  <c r="H55" i="28"/>
  <c r="H56" i="28" s="1"/>
  <c r="I55" i="28"/>
  <c r="E55" i="28" s="1"/>
  <c r="G55" i="40" s="1"/>
  <c r="I55" i="40" s="1"/>
  <c r="J55" i="28"/>
  <c r="K55" i="28"/>
  <c r="L55" i="28"/>
  <c r="M55" i="28"/>
  <c r="N55" i="28"/>
  <c r="O55" i="28"/>
  <c r="P55" i="28"/>
  <c r="P56" i="28" s="1"/>
  <c r="Q55" i="28"/>
  <c r="R55" i="28"/>
  <c r="S55" i="28"/>
  <c r="T55" i="28"/>
  <c r="U55" i="28"/>
  <c r="U56" i="28" s="1"/>
  <c r="V55" i="28"/>
  <c r="W55" i="28"/>
  <c r="X55" i="28"/>
  <c r="X56" i="28" s="1"/>
  <c r="Y55" i="28"/>
  <c r="Z55" i="28"/>
  <c r="AA55" i="28"/>
  <c r="AB55" i="28"/>
  <c r="AC55" i="28"/>
  <c r="AD55" i="28"/>
  <c r="AE55" i="28"/>
  <c r="AF55" i="28"/>
  <c r="AF56" i="28" s="1"/>
  <c r="AG55" i="28"/>
  <c r="AH55" i="28"/>
  <c r="AI55" i="28"/>
  <c r="AJ55" i="28"/>
  <c r="AK55" i="28"/>
  <c r="AK56" i="28" s="1"/>
  <c r="AL55" i="28"/>
  <c r="AM55" i="28"/>
  <c r="AN55" i="28"/>
  <c r="AN56" i="28" s="1"/>
  <c r="AO55" i="28"/>
  <c r="G56" i="28"/>
  <c r="J56" i="28"/>
  <c r="M56" i="28"/>
  <c r="O56" i="28"/>
  <c r="R56" i="28"/>
  <c r="S56" i="28"/>
  <c r="W56" i="28"/>
  <c r="Z56" i="28"/>
  <c r="AC56" i="28"/>
  <c r="AE56" i="28"/>
  <c r="AH56" i="28"/>
  <c r="AI56" i="28"/>
  <c r="AM56" i="28"/>
  <c r="F59" i="28"/>
  <c r="G59" i="28"/>
  <c r="G61" i="28" s="1"/>
  <c r="H59" i="28"/>
  <c r="I59" i="28"/>
  <c r="I61" i="28" s="1"/>
  <c r="J59" i="28"/>
  <c r="J61" i="28" s="1"/>
  <c r="K59" i="28"/>
  <c r="L59" i="28"/>
  <c r="L61" i="28" s="1"/>
  <c r="M59" i="28"/>
  <c r="M61" i="28" s="1"/>
  <c r="N59" i="28"/>
  <c r="O59" i="28"/>
  <c r="O61" i="28" s="1"/>
  <c r="P59" i="28"/>
  <c r="Q59" i="28"/>
  <c r="Q61" i="28" s="1"/>
  <c r="R59" i="28"/>
  <c r="R61" i="28" s="1"/>
  <c r="S59" i="28"/>
  <c r="T59" i="28"/>
  <c r="T61" i="28" s="1"/>
  <c r="U59" i="28"/>
  <c r="V59" i="28"/>
  <c r="W59" i="28"/>
  <c r="W61" i="28" s="1"/>
  <c r="X59" i="28"/>
  <c r="Y59" i="28"/>
  <c r="Y61" i="28" s="1"/>
  <c r="Z59" i="28"/>
  <c r="Z61" i="28" s="1"/>
  <c r="AA59" i="28"/>
  <c r="AB59" i="28"/>
  <c r="AB61" i="28" s="1"/>
  <c r="AC59" i="28"/>
  <c r="AC61" i="28" s="1"/>
  <c r="AD59" i="28"/>
  <c r="AE59" i="28"/>
  <c r="AE61" i="28" s="1"/>
  <c r="AF59" i="28"/>
  <c r="AG59" i="28"/>
  <c r="AG61" i="28" s="1"/>
  <c r="AH59" i="28"/>
  <c r="AH61" i="28" s="1"/>
  <c r="AI59" i="28"/>
  <c r="AJ59" i="28"/>
  <c r="AJ61" i="28" s="1"/>
  <c r="AK59" i="28"/>
  <c r="AL59" i="28"/>
  <c r="AM59" i="28"/>
  <c r="AM61" i="28" s="1"/>
  <c r="AN59" i="28"/>
  <c r="AO59" i="28"/>
  <c r="AO61" i="28" s="1"/>
  <c r="F60" i="28"/>
  <c r="G60" i="28"/>
  <c r="H60" i="28"/>
  <c r="I60" i="28"/>
  <c r="J60" i="28"/>
  <c r="K60" i="28"/>
  <c r="L60" i="28"/>
  <c r="M60" i="28"/>
  <c r="N60" i="28"/>
  <c r="N61" i="28" s="1"/>
  <c r="O60" i="28"/>
  <c r="P60" i="28"/>
  <c r="Q60" i="28"/>
  <c r="R60" i="28"/>
  <c r="S60" i="28"/>
  <c r="S61" i="28" s="1"/>
  <c r="T60" i="28"/>
  <c r="U60" i="28"/>
  <c r="V60" i="28"/>
  <c r="V61" i="28" s="1"/>
  <c r="W60" i="28"/>
  <c r="X60" i="28"/>
  <c r="Y60" i="28"/>
  <c r="Z60" i="28"/>
  <c r="AA60" i="28"/>
  <c r="AB60" i="28"/>
  <c r="AC60" i="28"/>
  <c r="AD60" i="28"/>
  <c r="AD61" i="28" s="1"/>
  <c r="AE60" i="28"/>
  <c r="AF60" i="28"/>
  <c r="AG60" i="28"/>
  <c r="AH60" i="28"/>
  <c r="AI60" i="28"/>
  <c r="AI61" i="28" s="1"/>
  <c r="AJ60" i="28"/>
  <c r="AK60" i="28"/>
  <c r="AL60" i="28"/>
  <c r="AL61" i="28" s="1"/>
  <c r="AM60" i="28"/>
  <c r="AN60" i="28"/>
  <c r="AO60" i="28"/>
  <c r="H61" i="28"/>
  <c r="K61" i="28"/>
  <c r="P61" i="28"/>
  <c r="U61" i="28"/>
  <c r="X61" i="28"/>
  <c r="AA61" i="28"/>
  <c r="AF61" i="28"/>
  <c r="AK61" i="28"/>
  <c r="AN61" i="28"/>
  <c r="E64" i="28"/>
  <c r="G64" i="40" s="1"/>
  <c r="F64" i="28"/>
  <c r="G64" i="28"/>
  <c r="G66" i="28" s="1"/>
  <c r="H64" i="28"/>
  <c r="H66" i="28" s="1"/>
  <c r="I64" i="28"/>
  <c r="J64" i="28"/>
  <c r="J66" i="28" s="1"/>
  <c r="K64" i="28"/>
  <c r="L64" i="28"/>
  <c r="M64" i="28"/>
  <c r="M66" i="28" s="1"/>
  <c r="N64" i="28"/>
  <c r="O64" i="28"/>
  <c r="P64" i="28"/>
  <c r="P66" i="28" s="1"/>
  <c r="Q64" i="28"/>
  <c r="R64" i="28"/>
  <c r="R66" i="28" s="1"/>
  <c r="S64" i="28"/>
  <c r="S66" i="28" s="1"/>
  <c r="T64" i="28"/>
  <c r="U64" i="28"/>
  <c r="U66" i="28" s="1"/>
  <c r="V64" i="28"/>
  <c r="W64" i="28"/>
  <c r="W66" i="28" s="1"/>
  <c r="X64" i="28"/>
  <c r="X66" i="28" s="1"/>
  <c r="Y64" i="28"/>
  <c r="Z64" i="28"/>
  <c r="Z66" i="28" s="1"/>
  <c r="AA64" i="28"/>
  <c r="AB64" i="28"/>
  <c r="AC64" i="28"/>
  <c r="AC66" i="28" s="1"/>
  <c r="AD64" i="28"/>
  <c r="AE64" i="28"/>
  <c r="AF64" i="28"/>
  <c r="AF66" i="28" s="1"/>
  <c r="AG64" i="28"/>
  <c r="AH64" i="28"/>
  <c r="AH66" i="28" s="1"/>
  <c r="AI64" i="28"/>
  <c r="AI66" i="28" s="1"/>
  <c r="AJ64" i="28"/>
  <c r="AK64" i="28"/>
  <c r="AK66" i="28" s="1"/>
  <c r="AL64" i="28"/>
  <c r="AM64" i="28"/>
  <c r="AM66" i="28" s="1"/>
  <c r="AN64" i="28"/>
  <c r="AN66" i="28" s="1"/>
  <c r="AO64" i="28"/>
  <c r="F65" i="28"/>
  <c r="G65" i="28"/>
  <c r="E65" i="28" s="1"/>
  <c r="G65" i="40" s="1"/>
  <c r="I65" i="40" s="1"/>
  <c r="H65" i="28"/>
  <c r="I65" i="28"/>
  <c r="I66" i="28" s="1"/>
  <c r="J65" i="28"/>
  <c r="K65" i="28"/>
  <c r="L65" i="28"/>
  <c r="L66" i="28" s="1"/>
  <c r="M65" i="28"/>
  <c r="N65" i="28"/>
  <c r="O65" i="28"/>
  <c r="P65" i="28"/>
  <c r="Q65" i="28"/>
  <c r="Q66" i="28" s="1"/>
  <c r="R65" i="28"/>
  <c r="S65" i="28"/>
  <c r="T65" i="28"/>
  <c r="T66" i="28" s="1"/>
  <c r="U65" i="28"/>
  <c r="V65" i="28"/>
  <c r="W65" i="28"/>
  <c r="X65" i="28"/>
  <c r="Y65" i="28"/>
  <c r="Y66" i="28" s="1"/>
  <c r="Z65" i="28"/>
  <c r="AA65" i="28"/>
  <c r="AB65" i="28"/>
  <c r="AB66" i="28" s="1"/>
  <c r="AC65" i="28"/>
  <c r="AD65" i="28"/>
  <c r="AE65" i="28"/>
  <c r="AF65" i="28"/>
  <c r="AG65" i="28"/>
  <c r="AG66" i="28" s="1"/>
  <c r="AH65" i="28"/>
  <c r="AI65" i="28"/>
  <c r="AJ65" i="28"/>
  <c r="AJ66" i="28" s="1"/>
  <c r="AK65" i="28"/>
  <c r="AL65" i="28"/>
  <c r="AM65" i="28"/>
  <c r="AN65" i="28"/>
  <c r="AO65" i="28"/>
  <c r="AO66" i="28" s="1"/>
  <c r="F66" i="28"/>
  <c r="K66" i="28"/>
  <c r="N66" i="28"/>
  <c r="O66" i="28"/>
  <c r="V66" i="28"/>
  <c r="AA66" i="28"/>
  <c r="AD66" i="28"/>
  <c r="AE66" i="28"/>
  <c r="AL66" i="28"/>
  <c r="E70" i="28"/>
  <c r="G70" i="40" s="1"/>
  <c r="F70" i="28"/>
  <c r="F72" i="28" s="1"/>
  <c r="G70" i="28"/>
  <c r="H70" i="28"/>
  <c r="H72" i="28" s="1"/>
  <c r="I70" i="28"/>
  <c r="I72" i="28" s="1"/>
  <c r="J70" i="28"/>
  <c r="K70" i="28"/>
  <c r="K72" i="28" s="1"/>
  <c r="L70" i="28"/>
  <c r="M70" i="28"/>
  <c r="M72" i="28" s="1"/>
  <c r="N70" i="28"/>
  <c r="N72" i="28" s="1"/>
  <c r="O70" i="28"/>
  <c r="P70" i="28"/>
  <c r="P72" i="28" s="1"/>
  <c r="Q70" i="28"/>
  <c r="R70" i="28"/>
  <c r="S70" i="28"/>
  <c r="S72" i="28" s="1"/>
  <c r="T70" i="28"/>
  <c r="U70" i="28"/>
  <c r="U72" i="28" s="1"/>
  <c r="V70" i="28"/>
  <c r="V72" i="28" s="1"/>
  <c r="W70" i="28"/>
  <c r="X70" i="28"/>
  <c r="X72" i="28" s="1"/>
  <c r="Y70" i="28"/>
  <c r="Y72" i="28" s="1"/>
  <c r="Z70" i="28"/>
  <c r="AA70" i="28"/>
  <c r="AA72" i="28" s="1"/>
  <c r="AB70" i="28"/>
  <c r="AC70" i="28"/>
  <c r="AC72" i="28" s="1"/>
  <c r="AD70" i="28"/>
  <c r="AD72" i="28" s="1"/>
  <c r="AE70" i="28"/>
  <c r="AF70" i="28"/>
  <c r="AF72" i="28" s="1"/>
  <c r="AG70" i="28"/>
  <c r="AH70" i="28"/>
  <c r="AI70" i="28"/>
  <c r="AI72" i="28" s="1"/>
  <c r="AJ70" i="28"/>
  <c r="AK70" i="28"/>
  <c r="AK72" i="28" s="1"/>
  <c r="AL70" i="28"/>
  <c r="AL72" i="28" s="1"/>
  <c r="AM70" i="28"/>
  <c r="AN70" i="28"/>
  <c r="AN72" i="28" s="1"/>
  <c r="AO70" i="28"/>
  <c r="AO72" i="28" s="1"/>
  <c r="F71" i="28"/>
  <c r="G71" i="28"/>
  <c r="E71" i="28" s="1"/>
  <c r="G71" i="40" s="1"/>
  <c r="I71" i="40" s="1"/>
  <c r="H71" i="28"/>
  <c r="I71" i="28"/>
  <c r="J71" i="28"/>
  <c r="J72" i="28" s="1"/>
  <c r="K71" i="28"/>
  <c r="L71" i="28"/>
  <c r="M71" i="28"/>
  <c r="N71" i="28"/>
  <c r="O71" i="28"/>
  <c r="P71" i="28"/>
  <c r="Q71" i="28"/>
  <c r="R71" i="28"/>
  <c r="R72" i="28" s="1"/>
  <c r="S71" i="28"/>
  <c r="T71" i="28"/>
  <c r="U71" i="28"/>
  <c r="V71" i="28"/>
  <c r="W71" i="28"/>
  <c r="X71" i="28"/>
  <c r="Y71" i="28"/>
  <c r="Z71" i="28"/>
  <c r="Z72" i="28" s="1"/>
  <c r="AA71" i="28"/>
  <c r="AB71" i="28"/>
  <c r="AC71" i="28"/>
  <c r="AD71" i="28"/>
  <c r="AE71" i="28"/>
  <c r="AF71" i="28"/>
  <c r="AG71" i="28"/>
  <c r="AH71" i="28"/>
  <c r="AH72" i="28" s="1"/>
  <c r="AI71" i="28"/>
  <c r="AJ71" i="28"/>
  <c r="AK71" i="28"/>
  <c r="AL71" i="28"/>
  <c r="AM71" i="28"/>
  <c r="AN71" i="28"/>
  <c r="AO71" i="28"/>
  <c r="G72" i="28"/>
  <c r="L72" i="28"/>
  <c r="O72" i="28"/>
  <c r="Q72" i="28"/>
  <c r="T72" i="28"/>
  <c r="W72" i="28"/>
  <c r="AB72" i="28"/>
  <c r="AE72" i="28"/>
  <c r="AG72" i="28"/>
  <c r="AJ72" i="28"/>
  <c r="AM72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E74" i="28"/>
  <c r="G74" i="40" s="1"/>
  <c r="I74" i="40" s="1"/>
  <c r="F74" i="28"/>
  <c r="G74" i="28"/>
  <c r="H74" i="28"/>
  <c r="I74" i="28"/>
  <c r="J74" i="28"/>
  <c r="K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F75" i="28"/>
  <c r="D75" i="28" s="1"/>
  <c r="G75" i="28"/>
  <c r="E75" i="28" s="1"/>
  <c r="G75" i="40" s="1"/>
  <c r="I75" i="40" s="1"/>
  <c r="H75" i="28"/>
  <c r="I75" i="28"/>
  <c r="J75" i="28"/>
  <c r="K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F76" i="28"/>
  <c r="G76" i="28"/>
  <c r="E76" i="28" s="1"/>
  <c r="G76" i="40" s="1"/>
  <c r="I76" i="40" s="1"/>
  <c r="H76" i="28"/>
  <c r="I76" i="28"/>
  <c r="J76" i="28"/>
  <c r="K76" i="28"/>
  <c r="L76" i="28"/>
  <c r="D76" i="28" s="1"/>
  <c r="F76" i="40" s="1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F77" i="28"/>
  <c r="D77" i="28" s="1"/>
  <c r="F77" i="40" s="1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F78" i="28"/>
  <c r="G78" i="28"/>
  <c r="H78" i="28"/>
  <c r="I78" i="28"/>
  <c r="E78" i="28" s="1"/>
  <c r="G78" i="40" s="1"/>
  <c r="I78" i="40" s="1"/>
  <c r="J78" i="28"/>
  <c r="K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F79" i="28"/>
  <c r="G79" i="28"/>
  <c r="E79" i="28" s="1"/>
  <c r="G79" i="40" s="1"/>
  <c r="I79" i="40" s="1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F80" i="40" s="1"/>
  <c r="H80" i="40" s="1"/>
  <c r="E80" i="28"/>
  <c r="G80" i="40" s="1"/>
  <c r="I80" i="40" s="1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5" i="40"/>
  <c r="F11" i="40"/>
  <c r="D12" i="40"/>
  <c r="D13" i="40"/>
  <c r="D15" i="40"/>
  <c r="F15" i="40"/>
  <c r="H15" i="40"/>
  <c r="D19" i="40"/>
  <c r="E19" i="40"/>
  <c r="E20" i="40"/>
  <c r="D21" i="40"/>
  <c r="D22" i="40"/>
  <c r="D23" i="40"/>
  <c r="E23" i="40"/>
  <c r="D27" i="40"/>
  <c r="D29" i="40" s="1"/>
  <c r="D28" i="40"/>
  <c r="D32" i="40"/>
  <c r="D34" i="40"/>
  <c r="D35" i="40"/>
  <c r="E39" i="40"/>
  <c r="D40" i="40"/>
  <c r="D42" i="40" s="1"/>
  <c r="E40" i="40"/>
  <c r="D41" i="40"/>
  <c r="F41" i="40"/>
  <c r="H41" i="40"/>
  <c r="D45" i="40"/>
  <c r="D49" i="40"/>
  <c r="F49" i="40"/>
  <c r="H49" i="40" s="1"/>
  <c r="D51" i="40"/>
  <c r="E55" i="40"/>
  <c r="D59" i="40"/>
  <c r="D64" i="40"/>
  <c r="E65" i="40"/>
  <c r="D70" i="40"/>
  <c r="E70" i="40"/>
  <c r="D71" i="40"/>
  <c r="D72" i="40" s="1"/>
  <c r="E74" i="40"/>
  <c r="E75" i="40"/>
  <c r="F75" i="40"/>
  <c r="E78" i="40"/>
  <c r="E79" i="40"/>
  <c r="D80" i="40"/>
  <c r="D81" i="40"/>
  <c r="D43" i="40" l="1"/>
  <c r="H79" i="38"/>
  <c r="E36" i="38"/>
  <c r="G66" i="40"/>
  <c r="I35" i="40"/>
  <c r="I82" i="16"/>
  <c r="I91" i="16" s="1"/>
  <c r="H77" i="40"/>
  <c r="AE82" i="28"/>
  <c r="AC648" i="44" s="1"/>
  <c r="J646" i="44"/>
  <c r="L91" i="46"/>
  <c r="H39" i="40"/>
  <c r="AK82" i="28"/>
  <c r="H14" i="40"/>
  <c r="I19" i="38"/>
  <c r="D24" i="40"/>
  <c r="E36" i="28"/>
  <c r="G32" i="40"/>
  <c r="R82" i="26"/>
  <c r="P645" i="44" s="1"/>
  <c r="G646" i="44"/>
  <c r="I91" i="46"/>
  <c r="D29" i="46"/>
  <c r="F27" i="47"/>
  <c r="AC82" i="28"/>
  <c r="AA648" i="44" s="1"/>
  <c r="M82" i="28"/>
  <c r="K648" i="44" s="1"/>
  <c r="D72" i="26"/>
  <c r="F70" i="38"/>
  <c r="I75" i="47"/>
  <c r="U82" i="28"/>
  <c r="S648" i="44" s="1"/>
  <c r="I77" i="47"/>
  <c r="I20" i="37"/>
  <c r="G82" i="28"/>
  <c r="L16" i="16"/>
  <c r="U55" i="27"/>
  <c r="U56" i="25"/>
  <c r="G61" i="16"/>
  <c r="Q82" i="26"/>
  <c r="O645" i="44" s="1"/>
  <c r="F56" i="47"/>
  <c r="D54" i="47"/>
  <c r="D56" i="47" s="1"/>
  <c r="L56" i="45"/>
  <c r="F40" i="37"/>
  <c r="L19" i="27"/>
  <c r="L24" i="27" s="1"/>
  <c r="D19" i="25"/>
  <c r="L24" i="25"/>
  <c r="L77" i="13"/>
  <c r="D77" i="37" s="1"/>
  <c r="H77" i="15"/>
  <c r="F77" i="13"/>
  <c r="F22" i="15"/>
  <c r="L22" i="15"/>
  <c r="D22" i="39" s="1"/>
  <c r="L29" i="27"/>
  <c r="I73" i="47"/>
  <c r="AC66" i="25"/>
  <c r="J27" i="27"/>
  <c r="J29" i="27" s="1"/>
  <c r="J29" i="25"/>
  <c r="H79" i="15"/>
  <c r="F79" i="13"/>
  <c r="L79" i="13"/>
  <c r="D79" i="37" s="1"/>
  <c r="F55" i="13"/>
  <c r="H55" i="15"/>
  <c r="L55" i="13"/>
  <c r="D55" i="37" s="1"/>
  <c r="D79" i="28"/>
  <c r="F79" i="40" s="1"/>
  <c r="H79" i="40" s="1"/>
  <c r="AO16" i="28"/>
  <c r="Y16" i="28"/>
  <c r="Q16" i="28"/>
  <c r="L65" i="16"/>
  <c r="D65" i="40" s="1"/>
  <c r="D66" i="40" s="1"/>
  <c r="R56" i="26"/>
  <c r="D47" i="26"/>
  <c r="F47" i="38" s="1"/>
  <c r="H47" i="38" s="1"/>
  <c r="AI42" i="26"/>
  <c r="AI43" i="26" s="1"/>
  <c r="AA42" i="26"/>
  <c r="AA43" i="26" s="1"/>
  <c r="S42" i="26"/>
  <c r="S43" i="26" s="1"/>
  <c r="K42" i="26"/>
  <c r="K43" i="26" s="1"/>
  <c r="Z36" i="26"/>
  <c r="Z82" i="26" s="1"/>
  <c r="X645" i="44" s="1"/>
  <c r="R36" i="26"/>
  <c r="D33" i="26"/>
  <c r="F33" i="38" s="1"/>
  <c r="AH36" i="26"/>
  <c r="E23" i="26"/>
  <c r="G23" i="38" s="1"/>
  <c r="I23" i="38" s="1"/>
  <c r="E21" i="26"/>
  <c r="G21" i="38" s="1"/>
  <c r="I21" i="38" s="1"/>
  <c r="E15" i="26"/>
  <c r="G15" i="38" s="1"/>
  <c r="I15" i="38" s="1"/>
  <c r="AO82" i="26"/>
  <c r="L65" i="14"/>
  <c r="L23" i="14"/>
  <c r="D23" i="38" s="1"/>
  <c r="D24" i="38" s="1"/>
  <c r="F23" i="14"/>
  <c r="L11" i="14"/>
  <c r="F11" i="14"/>
  <c r="H16" i="14"/>
  <c r="I41" i="47"/>
  <c r="H55" i="47"/>
  <c r="H49" i="47"/>
  <c r="I34" i="47"/>
  <c r="K82" i="46"/>
  <c r="G11" i="47"/>
  <c r="E16" i="46"/>
  <c r="L72" i="45"/>
  <c r="D70" i="47"/>
  <c r="D72" i="47" s="1"/>
  <c r="E27" i="47"/>
  <c r="E29" i="47" s="1"/>
  <c r="L24" i="45"/>
  <c r="G87" i="37"/>
  <c r="I87" i="37" s="1"/>
  <c r="E89" i="25"/>
  <c r="E75" i="25"/>
  <c r="G75" i="37" s="1"/>
  <c r="I75" i="37" s="1"/>
  <c r="AA74" i="27"/>
  <c r="S74" i="27"/>
  <c r="E49" i="25"/>
  <c r="G49" i="37" s="1"/>
  <c r="I49" i="37" s="1"/>
  <c r="V45" i="27"/>
  <c r="N45" i="27"/>
  <c r="D45" i="25"/>
  <c r="F45" i="37" s="1"/>
  <c r="S41" i="27"/>
  <c r="AF42" i="25"/>
  <c r="AF43" i="25" s="1"/>
  <c r="AA22" i="27"/>
  <c r="S22" i="27"/>
  <c r="S24" i="25"/>
  <c r="K22" i="27"/>
  <c r="K24" i="25"/>
  <c r="AL16" i="25"/>
  <c r="G71" i="13"/>
  <c r="I71" i="15"/>
  <c r="M71" i="13"/>
  <c r="E71" i="37" s="1"/>
  <c r="I71" i="37" s="1"/>
  <c r="M19" i="13"/>
  <c r="I19" i="15"/>
  <c r="G19" i="13"/>
  <c r="I24" i="13"/>
  <c r="AG82" i="27"/>
  <c r="AG91" i="27" s="1"/>
  <c r="I13" i="42"/>
  <c r="G40" i="29"/>
  <c r="E40" i="6"/>
  <c r="E42" i="6" s="1"/>
  <c r="E43" i="6" s="1"/>
  <c r="AG42" i="6"/>
  <c r="AG43" i="6" s="1"/>
  <c r="D73" i="31"/>
  <c r="F73" i="43" s="1"/>
  <c r="H73" i="43" s="1"/>
  <c r="E70" i="31"/>
  <c r="E40" i="31"/>
  <c r="I42" i="31"/>
  <c r="I43" i="31" s="1"/>
  <c r="I42" i="26"/>
  <c r="I43" i="26" s="1"/>
  <c r="E40" i="26"/>
  <c r="H77" i="47"/>
  <c r="H646" i="44"/>
  <c r="J91" i="46"/>
  <c r="AC56" i="25"/>
  <c r="AC55" i="27"/>
  <c r="G33" i="16"/>
  <c r="G36" i="16" s="1"/>
  <c r="M33" i="16"/>
  <c r="H75" i="38"/>
  <c r="I47" i="38"/>
  <c r="D11" i="26"/>
  <c r="F16" i="26"/>
  <c r="F74" i="14"/>
  <c r="L74" i="14"/>
  <c r="D74" i="38" s="1"/>
  <c r="H74" i="38" s="1"/>
  <c r="G34" i="14"/>
  <c r="M34" i="14"/>
  <c r="E34" i="38" s="1"/>
  <c r="D71" i="46"/>
  <c r="F71" i="47" s="1"/>
  <c r="H71" i="47" s="1"/>
  <c r="F72" i="46"/>
  <c r="F33" i="45"/>
  <c r="H36" i="45"/>
  <c r="R49" i="27"/>
  <c r="D49" i="27" s="1"/>
  <c r="F49" i="39" s="1"/>
  <c r="X41" i="27"/>
  <c r="X42" i="25"/>
  <c r="X43" i="25" s="1"/>
  <c r="T24" i="25"/>
  <c r="T19" i="27"/>
  <c r="E24" i="40"/>
  <c r="G72" i="40"/>
  <c r="I70" i="40"/>
  <c r="I72" i="40" s="1"/>
  <c r="M29" i="16"/>
  <c r="E27" i="40"/>
  <c r="E29" i="40" s="1"/>
  <c r="AE82" i="46"/>
  <c r="AC646" i="44" s="1"/>
  <c r="D19" i="46"/>
  <c r="F24" i="46"/>
  <c r="G54" i="45"/>
  <c r="G56" i="45" s="1"/>
  <c r="M54" i="45"/>
  <c r="M56" i="25"/>
  <c r="Z29" i="27"/>
  <c r="E72" i="40"/>
  <c r="E60" i="28"/>
  <c r="G60" i="40" s="1"/>
  <c r="D32" i="28"/>
  <c r="D28" i="28"/>
  <c r="F28" i="40" s="1"/>
  <c r="H28" i="40" s="1"/>
  <c r="F29" i="28"/>
  <c r="E22" i="28"/>
  <c r="G22" i="40" s="1"/>
  <c r="I22" i="40" s="1"/>
  <c r="D19" i="28"/>
  <c r="Z82" i="28"/>
  <c r="X648" i="44" s="1"/>
  <c r="J82" i="28"/>
  <c r="H648" i="44" s="1"/>
  <c r="E13" i="28"/>
  <c r="G13" i="40" s="1"/>
  <c r="AG16" i="28"/>
  <c r="I16" i="28"/>
  <c r="L76" i="16"/>
  <c r="D76" i="40" s="1"/>
  <c r="H76" i="40" s="1"/>
  <c r="F76" i="16"/>
  <c r="M35" i="16"/>
  <c r="E35" i="40" s="1"/>
  <c r="G21" i="16"/>
  <c r="G24" i="16" s="1"/>
  <c r="M21" i="16"/>
  <c r="E21" i="40" s="1"/>
  <c r="M13" i="16"/>
  <c r="E13" i="40" s="1"/>
  <c r="E64" i="26"/>
  <c r="G66" i="26"/>
  <c r="Z56" i="26"/>
  <c r="D20" i="40"/>
  <c r="H20" i="40" s="1"/>
  <c r="E77" i="28"/>
  <c r="G77" i="40" s="1"/>
  <c r="I77" i="40" s="1"/>
  <c r="D74" i="28"/>
  <c r="F74" i="40" s="1"/>
  <c r="H74" i="40" s="1"/>
  <c r="E72" i="28"/>
  <c r="D64" i="28"/>
  <c r="D60" i="28"/>
  <c r="F60" i="40" s="1"/>
  <c r="H60" i="40" s="1"/>
  <c r="F61" i="28"/>
  <c r="E54" i="28"/>
  <c r="D47" i="28"/>
  <c r="F47" i="40" s="1"/>
  <c r="H47" i="40" s="1"/>
  <c r="D35" i="28"/>
  <c r="F35" i="40" s="1"/>
  <c r="H35" i="40" s="1"/>
  <c r="D22" i="28"/>
  <c r="F22" i="40" s="1"/>
  <c r="H22" i="40" s="1"/>
  <c r="E20" i="28"/>
  <c r="G20" i="40" s="1"/>
  <c r="I20" i="40" s="1"/>
  <c r="AJ24" i="28"/>
  <c r="AB24" i="28"/>
  <c r="T24" i="28"/>
  <c r="L24" i="28"/>
  <c r="F74" i="16"/>
  <c r="L74" i="16"/>
  <c r="D74" i="40" s="1"/>
  <c r="I61" i="16"/>
  <c r="G47" i="16"/>
  <c r="M47" i="16"/>
  <c r="E47" i="40" s="1"/>
  <c r="I47" i="40" s="1"/>
  <c r="M41" i="16"/>
  <c r="G34" i="16"/>
  <c r="F36" i="16"/>
  <c r="M24" i="16"/>
  <c r="G12" i="16"/>
  <c r="E80" i="26"/>
  <c r="G80" i="38" s="1"/>
  <c r="I80" i="38" s="1"/>
  <c r="D77" i="26"/>
  <c r="F77" i="38" s="1"/>
  <c r="D64" i="26"/>
  <c r="AN61" i="26"/>
  <c r="O29" i="26"/>
  <c r="O27" i="27"/>
  <c r="O29" i="27" s="1"/>
  <c r="E27" i="26"/>
  <c r="G29" i="26"/>
  <c r="D23" i="26"/>
  <c r="F23" i="38" s="1"/>
  <c r="D21" i="26"/>
  <c r="F21" i="38" s="1"/>
  <c r="H21" i="38" s="1"/>
  <c r="D15" i="26"/>
  <c r="F15" i="38" s="1"/>
  <c r="H15" i="38" s="1"/>
  <c r="AF16" i="26"/>
  <c r="AF82" i="26" s="1"/>
  <c r="P16" i="26"/>
  <c r="F81" i="14"/>
  <c r="F79" i="14"/>
  <c r="L79" i="14"/>
  <c r="D79" i="38" s="1"/>
  <c r="M74" i="14"/>
  <c r="E74" i="38" s="1"/>
  <c r="F70" i="14"/>
  <c r="F72" i="14" s="1"/>
  <c r="H72" i="14"/>
  <c r="L70" i="14"/>
  <c r="M29" i="14"/>
  <c r="E28" i="38"/>
  <c r="E29" i="38" s="1"/>
  <c r="H34" i="47"/>
  <c r="H80" i="47"/>
  <c r="E56" i="46"/>
  <c r="G55" i="47"/>
  <c r="P82" i="46"/>
  <c r="N646" i="44" s="1"/>
  <c r="D36" i="46"/>
  <c r="F32" i="47"/>
  <c r="F29" i="46"/>
  <c r="O82" i="46"/>
  <c r="M646" i="44" s="1"/>
  <c r="L33" i="45"/>
  <c r="D33" i="47" s="1"/>
  <c r="G23" i="45"/>
  <c r="M23" i="45"/>
  <c r="E23" i="47" s="1"/>
  <c r="D77" i="25"/>
  <c r="F77" i="37" s="1"/>
  <c r="H77" i="37" s="1"/>
  <c r="AC73" i="27"/>
  <c r="U73" i="27"/>
  <c r="M73" i="27"/>
  <c r="E73" i="25"/>
  <c r="G73" i="37" s="1"/>
  <c r="I73" i="37" s="1"/>
  <c r="AE43" i="25"/>
  <c r="W43" i="25"/>
  <c r="O16" i="25"/>
  <c r="M23" i="13"/>
  <c r="E23" i="37" s="1"/>
  <c r="I23" i="15"/>
  <c r="G23" i="13"/>
  <c r="I13" i="15"/>
  <c r="G13" i="13"/>
  <c r="M13" i="13"/>
  <c r="E13" i="37" s="1"/>
  <c r="W64" i="27"/>
  <c r="O82" i="28"/>
  <c r="M648" i="44" s="1"/>
  <c r="F24" i="16"/>
  <c r="M49" i="45"/>
  <c r="E49" i="47" s="1"/>
  <c r="G49" i="45"/>
  <c r="U65" i="27"/>
  <c r="U66" i="25"/>
  <c r="AH82" i="26"/>
  <c r="G47" i="14"/>
  <c r="M47" i="14"/>
  <c r="E47" i="38" s="1"/>
  <c r="L60" i="45"/>
  <c r="D60" i="47" s="1"/>
  <c r="D61" i="47" s="1"/>
  <c r="H61" i="45"/>
  <c r="M66" i="25"/>
  <c r="Z49" i="27"/>
  <c r="AB19" i="27"/>
  <c r="AB24" i="25"/>
  <c r="H81" i="15"/>
  <c r="L81" i="13"/>
  <c r="D81" i="37" s="1"/>
  <c r="F81" i="13"/>
  <c r="E40" i="28"/>
  <c r="AH82" i="28"/>
  <c r="E11" i="28"/>
  <c r="M56" i="16"/>
  <c r="E54" i="40"/>
  <c r="E56" i="40" s="1"/>
  <c r="D24" i="47"/>
  <c r="I88" i="37"/>
  <c r="R27" i="27"/>
  <c r="R29" i="27" s="1"/>
  <c r="R29" i="25"/>
  <c r="J13" i="27"/>
  <c r="J16" i="25"/>
  <c r="D12" i="25"/>
  <c r="F12" i="37" s="1"/>
  <c r="F16" i="25"/>
  <c r="D59" i="37"/>
  <c r="D61" i="37" s="1"/>
  <c r="F47" i="13"/>
  <c r="L47" i="13"/>
  <c r="D47" i="37" s="1"/>
  <c r="H47" i="15"/>
  <c r="P65" i="27"/>
  <c r="E34" i="28"/>
  <c r="G34" i="40" s="1"/>
  <c r="I34" i="40" s="1"/>
  <c r="E27" i="28"/>
  <c r="AN24" i="28"/>
  <c r="AN82" i="28" s="1"/>
  <c r="AF24" i="28"/>
  <c r="AF82" i="28" s="1"/>
  <c r="X24" i="28"/>
  <c r="X82" i="28" s="1"/>
  <c r="V648" i="44" s="1"/>
  <c r="P24" i="28"/>
  <c r="P82" i="28" s="1"/>
  <c r="N648" i="44" s="1"/>
  <c r="H24" i="28"/>
  <c r="H82" i="28" s="1"/>
  <c r="F648" i="44" s="1"/>
  <c r="M72" i="16"/>
  <c r="M64" i="16"/>
  <c r="I66" i="16"/>
  <c r="G60" i="16"/>
  <c r="M60" i="16"/>
  <c r="G56" i="16"/>
  <c r="F15" i="16"/>
  <c r="F16" i="16"/>
  <c r="F82" i="16" s="1"/>
  <c r="F91" i="16" s="1"/>
  <c r="E81" i="26"/>
  <c r="G81" i="38" s="1"/>
  <c r="I81" i="38" s="1"/>
  <c r="D78" i="26"/>
  <c r="F78" i="38" s="1"/>
  <c r="D65" i="26"/>
  <c r="F65" i="38" s="1"/>
  <c r="V56" i="26"/>
  <c r="E54" i="26"/>
  <c r="E49" i="26"/>
  <c r="G49" i="38" s="1"/>
  <c r="I49" i="38" s="1"/>
  <c r="AK36" i="26"/>
  <c r="AK82" i="26" s="1"/>
  <c r="AC36" i="26"/>
  <c r="AC82" i="26" s="1"/>
  <c r="AA645" i="44" s="1"/>
  <c r="M36" i="26"/>
  <c r="M82" i="26" s="1"/>
  <c r="K645" i="44" s="1"/>
  <c r="AE24" i="26"/>
  <c r="H82" i="26"/>
  <c r="F645" i="44" s="1"/>
  <c r="AJ16" i="26"/>
  <c r="AJ82" i="26" s="1"/>
  <c r="AB16" i="26"/>
  <c r="AB82" i="26" s="1"/>
  <c r="Z645" i="44" s="1"/>
  <c r="T16" i="26"/>
  <c r="T82" i="26" s="1"/>
  <c r="R645" i="44" s="1"/>
  <c r="L16" i="26"/>
  <c r="F78" i="14"/>
  <c r="L78" i="14"/>
  <c r="D78" i="38" s="1"/>
  <c r="I56" i="14"/>
  <c r="M54" i="14"/>
  <c r="G54" i="14"/>
  <c r="G56" i="14" s="1"/>
  <c r="I86" i="47"/>
  <c r="I89" i="47" s="1"/>
  <c r="G89" i="47"/>
  <c r="H76" i="47"/>
  <c r="AO82" i="46"/>
  <c r="AG82" i="46"/>
  <c r="Y82" i="46"/>
  <c r="W646" i="44" s="1"/>
  <c r="Q82" i="46"/>
  <c r="O646" i="44" s="1"/>
  <c r="F77" i="45"/>
  <c r="L77" i="45"/>
  <c r="D77" i="47" s="1"/>
  <c r="G73" i="45"/>
  <c r="M73" i="45"/>
  <c r="E73" i="47" s="1"/>
  <c r="F60" i="45"/>
  <c r="G89" i="37"/>
  <c r="AD60" i="27"/>
  <c r="AD61" i="25"/>
  <c r="V60" i="27"/>
  <c r="V61" i="25"/>
  <c r="N60" i="27"/>
  <c r="N61" i="25"/>
  <c r="D60" i="25"/>
  <c r="F60" i="37" s="1"/>
  <c r="H60" i="37" s="1"/>
  <c r="Z61" i="27"/>
  <c r="E34" i="25"/>
  <c r="G34" i="37" s="1"/>
  <c r="I34" i="37" s="1"/>
  <c r="G24" i="25"/>
  <c r="AD20" i="27"/>
  <c r="V20" i="27"/>
  <c r="N24" i="25"/>
  <c r="N20" i="27"/>
  <c r="I74" i="15"/>
  <c r="H70" i="15"/>
  <c r="F70" i="13"/>
  <c r="F72" i="13" s="1"/>
  <c r="L70" i="13"/>
  <c r="I45" i="15"/>
  <c r="M45" i="13"/>
  <c r="E45" i="37" s="1"/>
  <c r="G45" i="13"/>
  <c r="H12" i="15"/>
  <c r="F12" i="13"/>
  <c r="F16" i="13" s="1"/>
  <c r="F82" i="13" s="1"/>
  <c r="H16" i="13"/>
  <c r="L12" i="13"/>
  <c r="D12" i="37" s="1"/>
  <c r="D16" i="37" s="1"/>
  <c r="AL82" i="27"/>
  <c r="AL91" i="27" s="1"/>
  <c r="G33" i="18"/>
  <c r="M33" i="18"/>
  <c r="I36" i="18"/>
  <c r="E66" i="28"/>
  <c r="G55" i="14"/>
  <c r="M55" i="14"/>
  <c r="E55" i="38" s="1"/>
  <c r="F29" i="14"/>
  <c r="F13" i="14"/>
  <c r="L13" i="14"/>
  <c r="D13" i="38" s="1"/>
  <c r="H13" i="38" s="1"/>
  <c r="E65" i="25"/>
  <c r="G65" i="37" s="1"/>
  <c r="I65" i="37" s="1"/>
  <c r="E55" i="25"/>
  <c r="G55" i="37" s="1"/>
  <c r="D27" i="37"/>
  <c r="D29" i="37" s="1"/>
  <c r="L29" i="13"/>
  <c r="I75" i="43"/>
  <c r="G11" i="16"/>
  <c r="M11" i="16"/>
  <c r="G36" i="26"/>
  <c r="E32" i="26"/>
  <c r="F65" i="14"/>
  <c r="M79" i="45"/>
  <c r="E79" i="47" s="1"/>
  <c r="G79" i="45"/>
  <c r="I79" i="15"/>
  <c r="E51" i="25"/>
  <c r="G51" i="37" s="1"/>
  <c r="I51" i="37" s="1"/>
  <c r="D23" i="28"/>
  <c r="F23" i="40" s="1"/>
  <c r="H23" i="40" s="1"/>
  <c r="F73" i="16"/>
  <c r="L73" i="16"/>
  <c r="D73" i="40" s="1"/>
  <c r="E59" i="26"/>
  <c r="D54" i="26"/>
  <c r="F56" i="26"/>
  <c r="AL36" i="26"/>
  <c r="D32" i="26"/>
  <c r="F36" i="26"/>
  <c r="H59" i="47"/>
  <c r="H61" i="47" s="1"/>
  <c r="G77" i="45"/>
  <c r="M77" i="45"/>
  <c r="E77" i="47" s="1"/>
  <c r="E32" i="47"/>
  <c r="T80" i="27"/>
  <c r="D78" i="25"/>
  <c r="F78" i="37" s="1"/>
  <c r="D78" i="28"/>
  <c r="F78" i="40" s="1"/>
  <c r="H78" i="40" s="1"/>
  <c r="D65" i="28"/>
  <c r="F65" i="40" s="1"/>
  <c r="H65" i="40" s="1"/>
  <c r="D55" i="28"/>
  <c r="F55" i="40" s="1"/>
  <c r="D33" i="40"/>
  <c r="D36" i="40" s="1"/>
  <c r="D81" i="28"/>
  <c r="F81" i="40" s="1"/>
  <c r="H81" i="40" s="1"/>
  <c r="D73" i="28"/>
  <c r="F73" i="40" s="1"/>
  <c r="D71" i="28"/>
  <c r="F71" i="40" s="1"/>
  <c r="H71" i="40" s="1"/>
  <c r="E59" i="28"/>
  <c r="D45" i="28"/>
  <c r="F45" i="40" s="1"/>
  <c r="H45" i="40" s="1"/>
  <c r="D34" i="28"/>
  <c r="F34" i="40" s="1"/>
  <c r="H34" i="40" s="1"/>
  <c r="F36" i="28"/>
  <c r="D27" i="28"/>
  <c r="E21" i="28"/>
  <c r="G21" i="40" s="1"/>
  <c r="I21" i="40" s="1"/>
  <c r="E19" i="28"/>
  <c r="AD82" i="28"/>
  <c r="AB648" i="44" s="1"/>
  <c r="N82" i="28"/>
  <c r="L648" i="44" s="1"/>
  <c r="E15" i="28"/>
  <c r="G15" i="40" s="1"/>
  <c r="I15" i="40" s="1"/>
  <c r="AI16" i="28"/>
  <c r="AI82" i="28" s="1"/>
  <c r="AA16" i="28"/>
  <c r="AA82" i="28" s="1"/>
  <c r="Y648" i="44" s="1"/>
  <c r="S16" i="28"/>
  <c r="S82" i="28" s="1"/>
  <c r="Q648" i="44" s="1"/>
  <c r="K16" i="28"/>
  <c r="K82" i="28" s="1"/>
  <c r="I648" i="44" s="1"/>
  <c r="L78" i="16"/>
  <c r="D78" i="40" s="1"/>
  <c r="L60" i="16"/>
  <c r="D60" i="40" s="1"/>
  <c r="D61" i="40" s="1"/>
  <c r="F60" i="16"/>
  <c r="F61" i="16" s="1"/>
  <c r="H56" i="16"/>
  <c r="F54" i="16"/>
  <c r="F56" i="16" s="1"/>
  <c r="L54" i="16"/>
  <c r="L43" i="16"/>
  <c r="I36" i="16"/>
  <c r="F22" i="16"/>
  <c r="F20" i="16"/>
  <c r="H24" i="16"/>
  <c r="H82" i="16" s="1"/>
  <c r="H91" i="16" s="1"/>
  <c r="K82" i="16"/>
  <c r="K91" i="16" s="1"/>
  <c r="G14" i="16"/>
  <c r="M14" i="16"/>
  <c r="E14" i="40" s="1"/>
  <c r="I14" i="40" s="1"/>
  <c r="F19" i="38"/>
  <c r="D81" i="26"/>
  <c r="F81" i="38" s="1"/>
  <c r="H81" i="38" s="1"/>
  <c r="E79" i="26"/>
  <c r="G79" i="38" s="1"/>
  <c r="I79" i="38" s="1"/>
  <c r="AO66" i="26"/>
  <c r="Y66" i="26"/>
  <c r="Y82" i="26" s="1"/>
  <c r="W645" i="44" s="1"/>
  <c r="I66" i="26"/>
  <c r="D60" i="26"/>
  <c r="F60" i="38" s="1"/>
  <c r="H60" i="38" s="1"/>
  <c r="D55" i="26"/>
  <c r="F55" i="38" s="1"/>
  <c r="H55" i="38" s="1"/>
  <c r="D41" i="26"/>
  <c r="F41" i="38" s="1"/>
  <c r="H41" i="38" s="1"/>
  <c r="D35" i="26"/>
  <c r="F35" i="38" s="1"/>
  <c r="H35" i="38" s="1"/>
  <c r="D28" i="26"/>
  <c r="F28" i="38" s="1"/>
  <c r="H28" i="38" s="1"/>
  <c r="W24" i="26"/>
  <c r="M77" i="14"/>
  <c r="E77" i="38" s="1"/>
  <c r="I77" i="38" s="1"/>
  <c r="G77" i="14"/>
  <c r="F40" i="14"/>
  <c r="F42" i="14" s="1"/>
  <c r="F43" i="14" s="1"/>
  <c r="H42" i="14"/>
  <c r="H43" i="14" s="1"/>
  <c r="L40" i="14"/>
  <c r="M33" i="14"/>
  <c r="E33" i="38" s="1"/>
  <c r="I36" i="14"/>
  <c r="G33" i="14"/>
  <c r="G36" i="14" s="1"/>
  <c r="K82" i="14"/>
  <c r="F12" i="14"/>
  <c r="L12" i="14"/>
  <c r="D12" i="38" s="1"/>
  <c r="H86" i="47"/>
  <c r="H89" i="47" s="1"/>
  <c r="F89" i="47"/>
  <c r="F12" i="47"/>
  <c r="F72" i="47"/>
  <c r="F56" i="46"/>
  <c r="R82" i="46"/>
  <c r="P646" i="44" s="1"/>
  <c r="I14" i="47"/>
  <c r="F64" i="45"/>
  <c r="F66" i="45" s="1"/>
  <c r="H66" i="45"/>
  <c r="L64" i="45"/>
  <c r="M59" i="45"/>
  <c r="G59" i="45"/>
  <c r="G61" i="45" s="1"/>
  <c r="I61" i="45"/>
  <c r="D40" i="37"/>
  <c r="N81" i="27"/>
  <c r="X72" i="25"/>
  <c r="X70" i="27"/>
  <c r="X72" i="27" s="1"/>
  <c r="P70" i="27"/>
  <c r="P72" i="27" s="1"/>
  <c r="P72" i="25"/>
  <c r="D41" i="25"/>
  <c r="F41" i="37" s="1"/>
  <c r="AH43" i="25"/>
  <c r="Z40" i="27"/>
  <c r="Z42" i="25"/>
  <c r="Z43" i="25" s="1"/>
  <c r="R40" i="27"/>
  <c r="R42" i="27" s="1"/>
  <c r="R43" i="27" s="1"/>
  <c r="R42" i="25"/>
  <c r="R43" i="25" s="1"/>
  <c r="J40" i="27"/>
  <c r="J42" i="25"/>
  <c r="J43" i="25" s="1"/>
  <c r="E39" i="25"/>
  <c r="G39" i="37" s="1"/>
  <c r="I39" i="37" s="1"/>
  <c r="G36" i="25"/>
  <c r="V32" i="27"/>
  <c r="N32" i="27"/>
  <c r="N36" i="25"/>
  <c r="D32" i="25"/>
  <c r="F36" i="25"/>
  <c r="X27" i="27"/>
  <c r="Y21" i="27"/>
  <c r="Q21" i="27"/>
  <c r="I21" i="27"/>
  <c r="E21" i="25"/>
  <c r="G21" i="37" s="1"/>
  <c r="I21" i="37" s="1"/>
  <c r="H87" i="15"/>
  <c r="L87" i="13"/>
  <c r="H89" i="13"/>
  <c r="F87" i="13"/>
  <c r="H72" i="13"/>
  <c r="F20" i="13"/>
  <c r="H20" i="15"/>
  <c r="L20" i="13"/>
  <c r="D20" i="37" s="1"/>
  <c r="F80" i="18"/>
  <c r="L80" i="18"/>
  <c r="D80" i="42" s="1"/>
  <c r="D54" i="28"/>
  <c r="F56" i="28"/>
  <c r="J49" i="27"/>
  <c r="D49" i="26"/>
  <c r="F49" i="38" s="1"/>
  <c r="H49" i="38" s="1"/>
  <c r="J56" i="27"/>
  <c r="D11" i="40"/>
  <c r="D16" i="40" s="1"/>
  <c r="F55" i="16"/>
  <c r="L55" i="16"/>
  <c r="D55" i="40" s="1"/>
  <c r="E24" i="26"/>
  <c r="D66" i="46"/>
  <c r="E40" i="46"/>
  <c r="G42" i="46"/>
  <c r="G43" i="46" s="1"/>
  <c r="E78" i="25"/>
  <c r="G78" i="37" s="1"/>
  <c r="I78" i="37" s="1"/>
  <c r="H76" i="27"/>
  <c r="D76" i="25"/>
  <c r="F76" i="37" s="1"/>
  <c r="H76" i="37" s="1"/>
  <c r="R82" i="28"/>
  <c r="P648" i="44" s="1"/>
  <c r="G71" i="16"/>
  <c r="G72" i="16" s="1"/>
  <c r="V56" i="27"/>
  <c r="E45" i="26"/>
  <c r="G45" i="38" s="1"/>
  <c r="I45" i="38" s="1"/>
  <c r="D34" i="26"/>
  <c r="F34" i="38" s="1"/>
  <c r="H34" i="38" s="1"/>
  <c r="AD36" i="26"/>
  <c r="I79" i="47"/>
  <c r="Z13" i="27"/>
  <c r="Z16" i="25"/>
  <c r="Z82" i="25" s="1"/>
  <c r="R13" i="27"/>
  <c r="R16" i="25"/>
  <c r="E81" i="28"/>
  <c r="G81" i="40" s="1"/>
  <c r="I81" i="40" s="1"/>
  <c r="E73" i="28"/>
  <c r="G73" i="40" s="1"/>
  <c r="I73" i="40" s="1"/>
  <c r="E45" i="28"/>
  <c r="G45" i="40" s="1"/>
  <c r="I45" i="40" s="1"/>
  <c r="D40" i="28"/>
  <c r="F42" i="28"/>
  <c r="F43" i="28" s="1"/>
  <c r="D59" i="28"/>
  <c r="AO56" i="28"/>
  <c r="AG56" i="28"/>
  <c r="Y56" i="28"/>
  <c r="Q56" i="28"/>
  <c r="I56" i="28"/>
  <c r="AO36" i="28"/>
  <c r="AG36" i="28"/>
  <c r="Y36" i="28"/>
  <c r="Q36" i="28"/>
  <c r="I36" i="28"/>
  <c r="E28" i="28"/>
  <c r="G28" i="40" s="1"/>
  <c r="I28" i="40" s="1"/>
  <c r="I24" i="28"/>
  <c r="F24" i="28"/>
  <c r="F82" i="28" s="1"/>
  <c r="AJ16" i="28"/>
  <c r="AB16" i="28"/>
  <c r="T16" i="28"/>
  <c r="T82" i="28" s="1"/>
  <c r="R648" i="44" s="1"/>
  <c r="L16" i="28"/>
  <c r="L82" i="28" s="1"/>
  <c r="J648" i="44" s="1"/>
  <c r="D12" i="28"/>
  <c r="F12" i="40" s="1"/>
  <c r="H12" i="40" s="1"/>
  <c r="I72" i="16"/>
  <c r="G64" i="16"/>
  <c r="G66" i="16" s="1"/>
  <c r="I56" i="16"/>
  <c r="I42" i="16"/>
  <c r="I43" i="16" s="1"/>
  <c r="L14" i="16"/>
  <c r="D14" i="40" s="1"/>
  <c r="F14" i="16"/>
  <c r="E61" i="38"/>
  <c r="O74" i="27"/>
  <c r="E74" i="26"/>
  <c r="G74" i="38" s="1"/>
  <c r="I74" i="38" s="1"/>
  <c r="E71" i="26"/>
  <c r="G71" i="38" s="1"/>
  <c r="I71" i="38" s="1"/>
  <c r="AB72" i="26"/>
  <c r="L72" i="26"/>
  <c r="E55" i="26"/>
  <c r="G55" i="38" s="1"/>
  <c r="I55" i="38" s="1"/>
  <c r="G56" i="26"/>
  <c r="D45" i="26"/>
  <c r="F45" i="38" s="1"/>
  <c r="H45" i="38" s="1"/>
  <c r="E35" i="26"/>
  <c r="G35" i="38" s="1"/>
  <c r="I35" i="38" s="1"/>
  <c r="L77" i="14"/>
  <c r="D77" i="38" s="1"/>
  <c r="F77" i="14"/>
  <c r="L29" i="14"/>
  <c r="D27" i="38"/>
  <c r="D29" i="38" s="1"/>
  <c r="M11" i="14"/>
  <c r="G11" i="14"/>
  <c r="G16" i="14" s="1"/>
  <c r="I16" i="14"/>
  <c r="D89" i="46"/>
  <c r="F61" i="46"/>
  <c r="D60" i="46"/>
  <c r="F60" i="47" s="1"/>
  <c r="H60" i="47" s="1"/>
  <c r="L41" i="45"/>
  <c r="D41" i="47" s="1"/>
  <c r="H41" i="47" s="1"/>
  <c r="F41" i="45"/>
  <c r="H42" i="45"/>
  <c r="H43" i="45" s="1"/>
  <c r="M21" i="45"/>
  <c r="E21" i="47" s="1"/>
  <c r="I21" i="47" s="1"/>
  <c r="G21" i="45"/>
  <c r="X59" i="27"/>
  <c r="X61" i="25"/>
  <c r="P61" i="25"/>
  <c r="P59" i="27"/>
  <c r="H59" i="27"/>
  <c r="H61" i="25"/>
  <c r="I35" i="27"/>
  <c r="E35" i="25"/>
  <c r="G35" i="37" s="1"/>
  <c r="I35" i="37" s="1"/>
  <c r="H24" i="25"/>
  <c r="H21" i="27"/>
  <c r="D21" i="25"/>
  <c r="F21" i="37" s="1"/>
  <c r="H21" i="37" s="1"/>
  <c r="AD15" i="27"/>
  <c r="V15" i="27"/>
  <c r="N15" i="27"/>
  <c r="D15" i="25"/>
  <c r="F15" i="37" s="1"/>
  <c r="H15" i="37" s="1"/>
  <c r="E13" i="25"/>
  <c r="G13" i="37" s="1"/>
  <c r="D64" i="37"/>
  <c r="G43" i="27"/>
  <c r="AN24" i="27"/>
  <c r="AF24" i="27"/>
  <c r="G24" i="14"/>
  <c r="H82" i="46"/>
  <c r="AL82" i="46"/>
  <c r="AD82" i="46"/>
  <c r="AB646" i="44" s="1"/>
  <c r="V82" i="46"/>
  <c r="T646" i="44" s="1"/>
  <c r="N82" i="46"/>
  <c r="L646" i="44" s="1"/>
  <c r="D40" i="47"/>
  <c r="G11" i="45"/>
  <c r="I16" i="45"/>
  <c r="M11" i="45"/>
  <c r="D89" i="25"/>
  <c r="AA81" i="27"/>
  <c r="S81" i="27"/>
  <c r="K81" i="27"/>
  <c r="E81" i="27" s="1"/>
  <c r="G81" i="39" s="1"/>
  <c r="I80" i="27"/>
  <c r="E80" i="25"/>
  <c r="G80" i="37" s="1"/>
  <c r="I80" i="37" s="1"/>
  <c r="E77" i="25"/>
  <c r="G77" i="37" s="1"/>
  <c r="I77" i="37" s="1"/>
  <c r="AC74" i="27"/>
  <c r="U74" i="27"/>
  <c r="Q73" i="27"/>
  <c r="I73" i="27"/>
  <c r="Y65" i="27"/>
  <c r="Q65" i="27"/>
  <c r="I65" i="27"/>
  <c r="E65" i="27" s="1"/>
  <c r="G65" i="39" s="1"/>
  <c r="AD64" i="27"/>
  <c r="AD66" i="25"/>
  <c r="V64" i="27"/>
  <c r="N64" i="27"/>
  <c r="D64" i="25"/>
  <c r="F66" i="25"/>
  <c r="N54" i="27"/>
  <c r="N56" i="27" s="1"/>
  <c r="AM43" i="25"/>
  <c r="W33" i="27"/>
  <c r="W36" i="25"/>
  <c r="O36" i="25"/>
  <c r="E33" i="25"/>
  <c r="G33" i="37" s="1"/>
  <c r="AI36" i="25"/>
  <c r="AC21" i="27"/>
  <c r="AC24" i="25"/>
  <c r="AC82" i="25" s="1"/>
  <c r="U21" i="27"/>
  <c r="U24" i="25"/>
  <c r="H76" i="15"/>
  <c r="H74" i="15"/>
  <c r="F74" i="13"/>
  <c r="H41" i="15"/>
  <c r="L41" i="13"/>
  <c r="D41" i="37" s="1"/>
  <c r="H42" i="13"/>
  <c r="H43" i="13" s="1"/>
  <c r="F41" i="13"/>
  <c r="F42" i="13" s="1"/>
  <c r="F43" i="13" s="1"/>
  <c r="I28" i="15"/>
  <c r="G28" i="13"/>
  <c r="M28" i="13"/>
  <c r="E28" i="37" s="1"/>
  <c r="K72" i="27"/>
  <c r="I35" i="42"/>
  <c r="H80" i="42"/>
  <c r="I78" i="42"/>
  <c r="H73" i="42"/>
  <c r="H47" i="42"/>
  <c r="E88" i="31"/>
  <c r="G88" i="43" s="1"/>
  <c r="G89" i="31"/>
  <c r="E51" i="26"/>
  <c r="G51" i="38" s="1"/>
  <c r="I51" i="38" s="1"/>
  <c r="X16" i="27"/>
  <c r="F56" i="14"/>
  <c r="D70" i="28"/>
  <c r="H66" i="16"/>
  <c r="L61" i="16"/>
  <c r="H42" i="16"/>
  <c r="H43" i="16" s="1"/>
  <c r="E70" i="26"/>
  <c r="AL61" i="26"/>
  <c r="AD61" i="26"/>
  <c r="V61" i="26"/>
  <c r="N61" i="26"/>
  <c r="F61" i="26"/>
  <c r="E34" i="26"/>
  <c r="G34" i="38" s="1"/>
  <c r="L29" i="26"/>
  <c r="D22" i="26"/>
  <c r="F22" i="38" s="1"/>
  <c r="H22" i="38" s="1"/>
  <c r="E13" i="26"/>
  <c r="G13" i="38" s="1"/>
  <c r="I13" i="38" s="1"/>
  <c r="AM16" i="26"/>
  <c r="AM82" i="26" s="1"/>
  <c r="AE16" i="26"/>
  <c r="AE82" i="26" s="1"/>
  <c r="AC645" i="44" s="1"/>
  <c r="W16" i="26"/>
  <c r="O16" i="26"/>
  <c r="O82" i="26" s="1"/>
  <c r="M645" i="44" s="1"/>
  <c r="E11" i="26"/>
  <c r="G16" i="26"/>
  <c r="G73" i="14"/>
  <c r="F64" i="14"/>
  <c r="F66" i="14" s="1"/>
  <c r="H24" i="14"/>
  <c r="F19" i="14"/>
  <c r="F24" i="14" s="1"/>
  <c r="I71" i="47"/>
  <c r="F40" i="47"/>
  <c r="I78" i="47"/>
  <c r="E72" i="46"/>
  <c r="E60" i="46"/>
  <c r="G60" i="47" s="1"/>
  <c r="I60" i="47" s="1"/>
  <c r="I23" i="47"/>
  <c r="AK82" i="46"/>
  <c r="AC82" i="46"/>
  <c r="AA646" i="44" s="1"/>
  <c r="U82" i="46"/>
  <c r="S646" i="44" s="1"/>
  <c r="M82" i="46"/>
  <c r="F80" i="45"/>
  <c r="M70" i="45"/>
  <c r="G70" i="45"/>
  <c r="G72" i="45" s="1"/>
  <c r="G64" i="45"/>
  <c r="G66" i="45" s="1"/>
  <c r="M64" i="45"/>
  <c r="F42" i="45"/>
  <c r="F43" i="45" s="1"/>
  <c r="M35" i="45"/>
  <c r="E35" i="47" s="1"/>
  <c r="I35" i="47" s="1"/>
  <c r="G35" i="45"/>
  <c r="F32" i="45"/>
  <c r="F36" i="45" s="1"/>
  <c r="F11" i="45"/>
  <c r="F16" i="45" s="1"/>
  <c r="H16" i="45"/>
  <c r="H82" i="45" s="1"/>
  <c r="D88" i="25"/>
  <c r="F88" i="37" s="1"/>
  <c r="AB79" i="27"/>
  <c r="T79" i="27"/>
  <c r="L79" i="27"/>
  <c r="V77" i="27"/>
  <c r="T74" i="27"/>
  <c r="L70" i="27"/>
  <c r="L72" i="27" s="1"/>
  <c r="X65" i="27"/>
  <c r="H65" i="27"/>
  <c r="D65" i="25"/>
  <c r="F65" i="37" s="1"/>
  <c r="H65" i="37" s="1"/>
  <c r="H55" i="27"/>
  <c r="AD49" i="27"/>
  <c r="D49" i="25"/>
  <c r="F49" i="37" s="1"/>
  <c r="H49" i="37" s="1"/>
  <c r="AA47" i="27"/>
  <c r="S47" i="27"/>
  <c r="K47" i="27"/>
  <c r="E47" i="25"/>
  <c r="G47" i="37" s="1"/>
  <c r="AL43" i="25"/>
  <c r="V43" i="25"/>
  <c r="AB35" i="27"/>
  <c r="T35" i="27"/>
  <c r="L35" i="27"/>
  <c r="Z34" i="27"/>
  <c r="R34" i="27"/>
  <c r="J34" i="27"/>
  <c r="AD33" i="27"/>
  <c r="AD36" i="27" s="1"/>
  <c r="V33" i="27"/>
  <c r="N33" i="27"/>
  <c r="D33" i="25"/>
  <c r="F33" i="37" s="1"/>
  <c r="J32" i="27"/>
  <c r="AD28" i="27"/>
  <c r="N28" i="27"/>
  <c r="S29" i="27"/>
  <c r="AA23" i="27"/>
  <c r="S23" i="27"/>
  <c r="G16" i="25"/>
  <c r="AI16" i="25"/>
  <c r="AI82" i="25" s="1"/>
  <c r="AI91" i="25" s="1"/>
  <c r="AA16" i="27"/>
  <c r="S16" i="25"/>
  <c r="K11" i="27"/>
  <c r="K16" i="27" s="1"/>
  <c r="K16" i="25"/>
  <c r="E11" i="25"/>
  <c r="G86" i="15"/>
  <c r="H49" i="15"/>
  <c r="I12" i="15"/>
  <c r="G12" i="13"/>
  <c r="M12" i="13"/>
  <c r="E12" i="37" s="1"/>
  <c r="D88" i="27"/>
  <c r="F88" i="39" s="1"/>
  <c r="H88" i="39" s="1"/>
  <c r="R54" i="27"/>
  <c r="F16" i="27"/>
  <c r="H89" i="15"/>
  <c r="H54" i="15"/>
  <c r="M33" i="11"/>
  <c r="E33" i="35" s="1"/>
  <c r="G33" i="11"/>
  <c r="F71" i="16"/>
  <c r="F72" i="16" s="1"/>
  <c r="F64" i="16"/>
  <c r="F66" i="16" s="1"/>
  <c r="H29" i="16"/>
  <c r="D73" i="26"/>
  <c r="F73" i="38" s="1"/>
  <c r="H73" i="38" s="1"/>
  <c r="D59" i="26"/>
  <c r="E39" i="26"/>
  <c r="G39" i="38" s="1"/>
  <c r="I39" i="38" s="1"/>
  <c r="AI36" i="26"/>
  <c r="AA36" i="26"/>
  <c r="S36" i="26"/>
  <c r="K36" i="26"/>
  <c r="J29" i="26"/>
  <c r="J82" i="26" s="1"/>
  <c r="H645" i="44" s="1"/>
  <c r="AO29" i="26"/>
  <c r="AG29" i="26"/>
  <c r="AG82" i="26" s="1"/>
  <c r="Y29" i="26"/>
  <c r="Q29" i="26"/>
  <c r="I29" i="26"/>
  <c r="I82" i="26" s="1"/>
  <c r="G645" i="44" s="1"/>
  <c r="AI24" i="26"/>
  <c r="AI82" i="26" s="1"/>
  <c r="AA24" i="26"/>
  <c r="AA82" i="26" s="1"/>
  <c r="Y645" i="44" s="1"/>
  <c r="S24" i="26"/>
  <c r="K24" i="26"/>
  <c r="K82" i="26" s="1"/>
  <c r="I645" i="44" s="1"/>
  <c r="E12" i="26"/>
  <c r="G12" i="38" s="1"/>
  <c r="I12" i="38" s="1"/>
  <c r="G81" i="14"/>
  <c r="F45" i="14"/>
  <c r="G27" i="14"/>
  <c r="G29" i="14" s="1"/>
  <c r="I29" i="14"/>
  <c r="G15" i="14"/>
  <c r="H75" i="47"/>
  <c r="E36" i="46"/>
  <c r="E27" i="46"/>
  <c r="E24" i="46"/>
  <c r="G19" i="47"/>
  <c r="G81" i="45"/>
  <c r="M81" i="45"/>
  <c r="E81" i="47" s="1"/>
  <c r="I81" i="47" s="1"/>
  <c r="M75" i="45"/>
  <c r="E75" i="47" s="1"/>
  <c r="G75" i="45"/>
  <c r="H72" i="45"/>
  <c r="F72" i="45"/>
  <c r="F51" i="45"/>
  <c r="G33" i="45"/>
  <c r="G36" i="45" s="1"/>
  <c r="M33" i="45"/>
  <c r="E33" i="47" s="1"/>
  <c r="I33" i="47" s="1"/>
  <c r="I36" i="45"/>
  <c r="L29" i="45"/>
  <c r="F22" i="45"/>
  <c r="K82" i="45"/>
  <c r="F86" i="37"/>
  <c r="X81" i="27"/>
  <c r="P81" i="27"/>
  <c r="H81" i="27"/>
  <c r="D81" i="27" s="1"/>
  <c r="F81" i="39" s="1"/>
  <c r="AD80" i="27"/>
  <c r="V80" i="27"/>
  <c r="N80" i="27"/>
  <c r="D80" i="27" s="1"/>
  <c r="F80" i="39" s="1"/>
  <c r="D80" i="25"/>
  <c r="F80" i="37" s="1"/>
  <c r="H80" i="37" s="1"/>
  <c r="Y76" i="27"/>
  <c r="Q76" i="27"/>
  <c r="I76" i="27"/>
  <c r="V75" i="27"/>
  <c r="N75" i="27"/>
  <c r="D75" i="27" s="1"/>
  <c r="F75" i="39" s="1"/>
  <c r="D75" i="25"/>
  <c r="F75" i="37" s="1"/>
  <c r="AD71" i="27"/>
  <c r="AD72" i="27" s="1"/>
  <c r="N66" i="25"/>
  <c r="AA64" i="27"/>
  <c r="AA66" i="25"/>
  <c r="S64" i="27"/>
  <c r="K64" i="27"/>
  <c r="K66" i="27" s="1"/>
  <c r="K66" i="25"/>
  <c r="Y59" i="27"/>
  <c r="Y61" i="27" s="1"/>
  <c r="D55" i="25"/>
  <c r="F55" i="37" s="1"/>
  <c r="H55" i="37" s="1"/>
  <c r="AA54" i="27"/>
  <c r="AA56" i="27" s="1"/>
  <c r="S54" i="27"/>
  <c r="S56" i="27" s="1"/>
  <c r="K54" i="27"/>
  <c r="K56" i="25"/>
  <c r="AE36" i="25"/>
  <c r="L33" i="27"/>
  <c r="AB28" i="27"/>
  <c r="AB29" i="25"/>
  <c r="T28" i="27"/>
  <c r="T29" i="25"/>
  <c r="L28" i="27"/>
  <c r="L29" i="25"/>
  <c r="AO29" i="25"/>
  <c r="Y27" i="27"/>
  <c r="Y29" i="27" s="1"/>
  <c r="Y29" i="25"/>
  <c r="Q27" i="27"/>
  <c r="Q29" i="25"/>
  <c r="I27" i="27"/>
  <c r="AA24" i="25"/>
  <c r="D22" i="25"/>
  <c r="F22" i="37" s="1"/>
  <c r="H22" i="37" s="1"/>
  <c r="R21" i="27"/>
  <c r="R24" i="25"/>
  <c r="AE20" i="27"/>
  <c r="W20" i="27"/>
  <c r="O20" i="27"/>
  <c r="D20" i="25"/>
  <c r="F20" i="37" s="1"/>
  <c r="H20" i="37" s="1"/>
  <c r="F24" i="25"/>
  <c r="AI24" i="25"/>
  <c r="AA19" i="27"/>
  <c r="AA24" i="27" s="1"/>
  <c r="S19" i="27"/>
  <c r="S24" i="27" s="1"/>
  <c r="AB14" i="27"/>
  <c r="T14" i="27"/>
  <c r="L14" i="27"/>
  <c r="G72" i="13"/>
  <c r="I47" i="15"/>
  <c r="G47" i="13"/>
  <c r="M47" i="13"/>
  <c r="E47" i="37" s="1"/>
  <c r="E27" i="37"/>
  <c r="E29" i="37" s="1"/>
  <c r="M29" i="13"/>
  <c r="X64" i="27"/>
  <c r="F61" i="27"/>
  <c r="F24" i="27"/>
  <c r="S11" i="27"/>
  <c r="S16" i="27" s="1"/>
  <c r="H80" i="15"/>
  <c r="H45" i="15"/>
  <c r="L35" i="18"/>
  <c r="D35" i="42" s="1"/>
  <c r="H36" i="18"/>
  <c r="F35" i="18"/>
  <c r="D21" i="5"/>
  <c r="I15" i="42"/>
  <c r="E11" i="42"/>
  <c r="M15" i="53"/>
  <c r="E15" i="52" s="1"/>
  <c r="G15" i="53"/>
  <c r="D13" i="28"/>
  <c r="F13" i="40" s="1"/>
  <c r="H13" i="40" s="1"/>
  <c r="M66" i="27"/>
  <c r="AN36" i="26"/>
  <c r="AN82" i="26" s="1"/>
  <c r="AF36" i="26"/>
  <c r="X36" i="26"/>
  <c r="P36" i="26"/>
  <c r="H36" i="26"/>
  <c r="AL29" i="26"/>
  <c r="AL82" i="26" s="1"/>
  <c r="AD29" i="26"/>
  <c r="AD82" i="26" s="1"/>
  <c r="AB645" i="44" s="1"/>
  <c r="V29" i="26"/>
  <c r="V82" i="26" s="1"/>
  <c r="T645" i="44" s="1"/>
  <c r="N29" i="26"/>
  <c r="N82" i="26" s="1"/>
  <c r="L645" i="44" s="1"/>
  <c r="F29" i="26"/>
  <c r="I22" i="27"/>
  <c r="E22" i="26"/>
  <c r="G22" i="38" s="1"/>
  <c r="I22" i="38" s="1"/>
  <c r="X16" i="26"/>
  <c r="X82" i="26" s="1"/>
  <c r="V645" i="44" s="1"/>
  <c r="D12" i="26"/>
  <c r="F12" i="38" s="1"/>
  <c r="H12" i="38" s="1"/>
  <c r="R16" i="27"/>
  <c r="L75" i="14"/>
  <c r="D75" i="38" s="1"/>
  <c r="I66" i="14"/>
  <c r="M64" i="14"/>
  <c r="M61" i="14"/>
  <c r="L33" i="14"/>
  <c r="H36" i="14"/>
  <c r="M24" i="14"/>
  <c r="G72" i="47"/>
  <c r="I32" i="47"/>
  <c r="E65" i="46"/>
  <c r="G66" i="46"/>
  <c r="L61" i="45"/>
  <c r="F54" i="45"/>
  <c r="F56" i="45" s="1"/>
  <c r="H56" i="45"/>
  <c r="G45" i="45"/>
  <c r="M45" i="45"/>
  <c r="E45" i="47" s="1"/>
  <c r="I45" i="47" s="1"/>
  <c r="G19" i="45"/>
  <c r="I24" i="45"/>
  <c r="M19" i="45"/>
  <c r="L15" i="45"/>
  <c r="D15" i="47" s="1"/>
  <c r="H15" i="47" s="1"/>
  <c r="M13" i="45"/>
  <c r="E13" i="47" s="1"/>
  <c r="I13" i="47" s="1"/>
  <c r="G13" i="45"/>
  <c r="AC81" i="27"/>
  <c r="U81" i="27"/>
  <c r="M81" i="27"/>
  <c r="E81" i="25"/>
  <c r="G81" i="37" s="1"/>
  <c r="I81" i="37" s="1"/>
  <c r="AA80" i="27"/>
  <c r="S80" i="27"/>
  <c r="K80" i="27"/>
  <c r="AE79" i="27"/>
  <c r="W79" i="27"/>
  <c r="E79" i="25"/>
  <c r="G79" i="37" s="1"/>
  <c r="I79" i="37" s="1"/>
  <c r="AA75" i="27"/>
  <c r="S75" i="27"/>
  <c r="K75" i="27"/>
  <c r="K73" i="27"/>
  <c r="AA71" i="27"/>
  <c r="AA72" i="27" s="1"/>
  <c r="S71" i="27"/>
  <c r="S72" i="27" s="1"/>
  <c r="S72" i="25"/>
  <c r="K71" i="27"/>
  <c r="AM72" i="25"/>
  <c r="AE70" i="27"/>
  <c r="AE72" i="27" s="1"/>
  <c r="AE72" i="25"/>
  <c r="W70" i="27"/>
  <c r="W72" i="27" s="1"/>
  <c r="W72" i="25"/>
  <c r="O70" i="27"/>
  <c r="O72" i="27" s="1"/>
  <c r="O72" i="25"/>
  <c r="G72" i="25"/>
  <c r="E70" i="25"/>
  <c r="P66" i="25"/>
  <c r="P64" i="27"/>
  <c r="P66" i="27" s="1"/>
  <c r="H64" i="27"/>
  <c r="H66" i="27" s="1"/>
  <c r="H66" i="25"/>
  <c r="R60" i="27"/>
  <c r="R61" i="27" s="1"/>
  <c r="AL61" i="25"/>
  <c r="D59" i="25"/>
  <c r="X54" i="27"/>
  <c r="X56" i="27" s="1"/>
  <c r="P54" i="27"/>
  <c r="P56" i="27" s="1"/>
  <c r="P56" i="25"/>
  <c r="H54" i="27"/>
  <c r="H56" i="25"/>
  <c r="D54" i="25"/>
  <c r="AB51" i="27"/>
  <c r="T51" i="27"/>
  <c r="D47" i="25"/>
  <c r="F47" i="37" s="1"/>
  <c r="H47" i="37" s="1"/>
  <c r="AB42" i="25"/>
  <c r="AB43" i="25" s="1"/>
  <c r="AB41" i="27"/>
  <c r="T41" i="27"/>
  <c r="L41" i="27"/>
  <c r="L42" i="25"/>
  <c r="L43" i="25" s="1"/>
  <c r="Y42" i="25"/>
  <c r="Y43" i="25" s="1"/>
  <c r="Y40" i="27"/>
  <c r="Q42" i="25"/>
  <c r="Q43" i="25" s="1"/>
  <c r="Q40" i="27"/>
  <c r="Q42" i="27" s="1"/>
  <c r="I42" i="25"/>
  <c r="I43" i="25" s="1"/>
  <c r="I40" i="27"/>
  <c r="AD39" i="27"/>
  <c r="V39" i="27"/>
  <c r="N39" i="27"/>
  <c r="N43" i="25"/>
  <c r="D39" i="25"/>
  <c r="F39" i="37" s="1"/>
  <c r="H39" i="37" s="1"/>
  <c r="U36" i="25"/>
  <c r="AK36" i="25"/>
  <c r="AK82" i="25" s="1"/>
  <c r="AK91" i="25" s="1"/>
  <c r="AC36" i="25"/>
  <c r="M32" i="27"/>
  <c r="M36" i="25"/>
  <c r="E32" i="25"/>
  <c r="Y28" i="27"/>
  <c r="Q28" i="27"/>
  <c r="I28" i="27"/>
  <c r="AD27" i="27"/>
  <c r="V27" i="27"/>
  <c r="V29" i="27" s="1"/>
  <c r="N27" i="27"/>
  <c r="D27" i="25"/>
  <c r="D23" i="25"/>
  <c r="F23" i="37" s="1"/>
  <c r="H23" i="37" s="1"/>
  <c r="P24" i="25"/>
  <c r="P82" i="25" s="1"/>
  <c r="I14" i="27"/>
  <c r="E14" i="25"/>
  <c r="G14" i="37" s="1"/>
  <c r="I14" i="37" s="1"/>
  <c r="AD11" i="27"/>
  <c r="AD16" i="25"/>
  <c r="AD82" i="25" s="1"/>
  <c r="V11" i="27"/>
  <c r="V16" i="25"/>
  <c r="V82" i="25" s="1"/>
  <c r="N11" i="27"/>
  <c r="N16" i="27" s="1"/>
  <c r="N16" i="25"/>
  <c r="D11" i="25"/>
  <c r="M88" i="15"/>
  <c r="E88" i="39" s="1"/>
  <c r="E88" i="37"/>
  <c r="L74" i="13"/>
  <c r="D74" i="37" s="1"/>
  <c r="D56" i="37"/>
  <c r="J65" i="27"/>
  <c r="J66" i="27" s="1"/>
  <c r="AA41" i="27"/>
  <c r="X33" i="27"/>
  <c r="H51" i="15"/>
  <c r="I56" i="18"/>
  <c r="G54" i="18"/>
  <c r="G56" i="18" s="1"/>
  <c r="M54" i="18"/>
  <c r="G34" i="18"/>
  <c r="G36" i="18" s="1"/>
  <c r="M34" i="18"/>
  <c r="E34" i="42" s="1"/>
  <c r="H14" i="42"/>
  <c r="L80" i="53"/>
  <c r="D80" i="52" s="1"/>
  <c r="F80" i="53"/>
  <c r="F78" i="53"/>
  <c r="L78" i="53"/>
  <c r="D78" i="52" s="1"/>
  <c r="D40" i="26"/>
  <c r="E33" i="26"/>
  <c r="G33" i="38" s="1"/>
  <c r="I33" i="38" s="1"/>
  <c r="E28" i="26"/>
  <c r="G28" i="38" s="1"/>
  <c r="I28" i="38" s="1"/>
  <c r="D27" i="26"/>
  <c r="H56" i="14"/>
  <c r="M43" i="14"/>
  <c r="H28" i="15"/>
  <c r="F28" i="14"/>
  <c r="I49" i="47"/>
  <c r="G36" i="47"/>
  <c r="E89" i="46"/>
  <c r="G21" i="4" s="1"/>
  <c r="H21" i="4" s="1"/>
  <c r="D61" i="46"/>
  <c r="D56" i="46"/>
  <c r="G24" i="46"/>
  <c r="G82" i="46" s="1"/>
  <c r="G91" i="46" s="1"/>
  <c r="F82" i="46"/>
  <c r="F91" i="46" s="1"/>
  <c r="F61" i="45"/>
  <c r="M40" i="45"/>
  <c r="G40" i="45"/>
  <c r="G42" i="45" s="1"/>
  <c r="G43" i="45" s="1"/>
  <c r="M28" i="45"/>
  <c r="E28" i="47" s="1"/>
  <c r="I28" i="47" s="1"/>
  <c r="G28" i="45"/>
  <c r="G29" i="45" s="1"/>
  <c r="F19" i="45"/>
  <c r="H24" i="45"/>
  <c r="G15" i="45"/>
  <c r="M15" i="45"/>
  <c r="E15" i="47" s="1"/>
  <c r="I15" i="47" s="1"/>
  <c r="D81" i="25"/>
  <c r="F81" i="37" s="1"/>
  <c r="H81" i="37" s="1"/>
  <c r="D79" i="25"/>
  <c r="F79" i="37" s="1"/>
  <c r="AC76" i="27"/>
  <c r="U76" i="27"/>
  <c r="M76" i="27"/>
  <c r="E76" i="25"/>
  <c r="G76" i="37" s="1"/>
  <c r="D74" i="25"/>
  <c r="F74" i="37" s="1"/>
  <c r="H74" i="37" s="1"/>
  <c r="Z73" i="27"/>
  <c r="R73" i="27"/>
  <c r="D73" i="25"/>
  <c r="F73" i="37" s="1"/>
  <c r="Z71" i="27"/>
  <c r="J71" i="27"/>
  <c r="J72" i="25"/>
  <c r="N72" i="25"/>
  <c r="N70" i="27"/>
  <c r="F72" i="25"/>
  <c r="D70" i="25"/>
  <c r="R65" i="27"/>
  <c r="R66" i="27" s="1"/>
  <c r="R66" i="25"/>
  <c r="AE66" i="25"/>
  <c r="AE64" i="27"/>
  <c r="AE66" i="27" s="1"/>
  <c r="O64" i="27"/>
  <c r="O66" i="25"/>
  <c r="E64" i="25"/>
  <c r="Q61" i="25"/>
  <c r="Q60" i="27"/>
  <c r="Q61" i="27" s="1"/>
  <c r="I60" i="27"/>
  <c r="AC59" i="27"/>
  <c r="AC61" i="27" s="1"/>
  <c r="AC61" i="25"/>
  <c r="U59" i="27"/>
  <c r="M59" i="27"/>
  <c r="M61" i="25"/>
  <c r="E59" i="25"/>
  <c r="X56" i="25"/>
  <c r="Z55" i="27"/>
  <c r="R55" i="27"/>
  <c r="R56" i="25"/>
  <c r="J55" i="27"/>
  <c r="J56" i="25"/>
  <c r="Y45" i="27"/>
  <c r="F43" i="25"/>
  <c r="K41" i="27"/>
  <c r="K42" i="25"/>
  <c r="K43" i="25" s="1"/>
  <c r="AN42" i="25"/>
  <c r="AN43" i="25" s="1"/>
  <c r="AN82" i="25" s="1"/>
  <c r="AN91" i="25" s="1"/>
  <c r="X40" i="27"/>
  <c r="X42" i="27" s="1"/>
  <c r="X43" i="27" s="1"/>
  <c r="P40" i="27"/>
  <c r="P42" i="27" s="1"/>
  <c r="P43" i="27" s="1"/>
  <c r="P42" i="25"/>
  <c r="P43" i="25" s="1"/>
  <c r="H40" i="27"/>
  <c r="H42" i="27" s="1"/>
  <c r="H43" i="27" s="1"/>
  <c r="H42" i="25"/>
  <c r="H43" i="25" s="1"/>
  <c r="H82" i="25" s="1"/>
  <c r="P33" i="27"/>
  <c r="P36" i="25"/>
  <c r="H33" i="27"/>
  <c r="AJ36" i="25"/>
  <c r="AB32" i="27"/>
  <c r="AB36" i="25"/>
  <c r="T32" i="27"/>
  <c r="T36" i="27" s="1"/>
  <c r="T36" i="25"/>
  <c r="L32" i="27"/>
  <c r="L36" i="25"/>
  <c r="M24" i="25"/>
  <c r="J20" i="27"/>
  <c r="J24" i="25"/>
  <c r="AE19" i="27"/>
  <c r="AE24" i="25"/>
  <c r="W19" i="27"/>
  <c r="W24" i="27" s="1"/>
  <c r="W24" i="25"/>
  <c r="W82" i="25" s="1"/>
  <c r="O19" i="27"/>
  <c r="O24" i="25"/>
  <c r="E19" i="25"/>
  <c r="AA16" i="25"/>
  <c r="AG16" i="25"/>
  <c r="Y16" i="25"/>
  <c r="Y82" i="25" s="1"/>
  <c r="Q12" i="27"/>
  <c r="I12" i="27"/>
  <c r="E12" i="27" s="1"/>
  <c r="G12" i="39" s="1"/>
  <c r="L78" i="13"/>
  <c r="D78" i="37" s="1"/>
  <c r="H78" i="15"/>
  <c r="I76" i="15"/>
  <c r="G76" i="13"/>
  <c r="M76" i="13"/>
  <c r="E76" i="37" s="1"/>
  <c r="M74" i="13"/>
  <c r="E74" i="37" s="1"/>
  <c r="I74" i="37" s="1"/>
  <c r="G74" i="13"/>
  <c r="H60" i="15"/>
  <c r="L60" i="13"/>
  <c r="D60" i="37" s="1"/>
  <c r="H61" i="13"/>
  <c r="F60" i="13"/>
  <c r="F61" i="13" s="1"/>
  <c r="G29" i="13"/>
  <c r="V70" i="27"/>
  <c r="V72" i="27" s="1"/>
  <c r="O33" i="27"/>
  <c r="F24" i="42"/>
  <c r="H19" i="42"/>
  <c r="M14" i="15"/>
  <c r="E14" i="39" s="1"/>
  <c r="G14" i="15"/>
  <c r="AE81" i="27"/>
  <c r="W81" i="27"/>
  <c r="O81" i="27"/>
  <c r="AC80" i="27"/>
  <c r="U80" i="27"/>
  <c r="M80" i="27"/>
  <c r="AA79" i="27"/>
  <c r="S79" i="27"/>
  <c r="K79" i="27"/>
  <c r="E79" i="27" s="1"/>
  <c r="G79" i="39" s="1"/>
  <c r="X78" i="27"/>
  <c r="P78" i="27"/>
  <c r="AD77" i="27"/>
  <c r="N77" i="27"/>
  <c r="T76" i="27"/>
  <c r="L76" i="27"/>
  <c r="Z75" i="27"/>
  <c r="R75" i="27"/>
  <c r="AE74" i="27"/>
  <c r="W74" i="27"/>
  <c r="AB73" i="27"/>
  <c r="T73" i="27"/>
  <c r="L73" i="27"/>
  <c r="V71" i="27"/>
  <c r="N71" i="27"/>
  <c r="D71" i="25"/>
  <c r="F71" i="37" s="1"/>
  <c r="H71" i="37" s="1"/>
  <c r="T65" i="27"/>
  <c r="L65" i="27"/>
  <c r="Z64" i="27"/>
  <c r="Z66" i="27" s="1"/>
  <c r="X60" i="27"/>
  <c r="P60" i="27"/>
  <c r="H60" i="27"/>
  <c r="D60" i="27" s="1"/>
  <c r="F60" i="39" s="1"/>
  <c r="AB59" i="27"/>
  <c r="AB61" i="27" s="1"/>
  <c r="T59" i="27"/>
  <c r="T61" i="27" s="1"/>
  <c r="L59" i="27"/>
  <c r="L61" i="27" s="1"/>
  <c r="F56" i="25"/>
  <c r="AB55" i="27"/>
  <c r="T55" i="27"/>
  <c r="Z54" i="27"/>
  <c r="AE51" i="27"/>
  <c r="W51" i="27"/>
  <c r="AB49" i="27"/>
  <c r="T49" i="27"/>
  <c r="L49" i="27"/>
  <c r="Z47" i="27"/>
  <c r="R47" i="27"/>
  <c r="J47" i="27"/>
  <c r="D47" i="27" s="1"/>
  <c r="F47" i="39" s="1"/>
  <c r="X45" i="27"/>
  <c r="P45" i="27"/>
  <c r="H45" i="27"/>
  <c r="D45" i="27" s="1"/>
  <c r="F45" i="39" s="1"/>
  <c r="AE41" i="27"/>
  <c r="W41" i="27"/>
  <c r="O41" i="27"/>
  <c r="H35" i="27"/>
  <c r="AD34" i="27"/>
  <c r="N34" i="27"/>
  <c r="D34" i="25"/>
  <c r="F34" i="37" s="1"/>
  <c r="H34" i="37" s="1"/>
  <c r="Z23" i="27"/>
  <c r="R23" i="27"/>
  <c r="J23" i="27"/>
  <c r="D23" i="27" s="1"/>
  <c r="F23" i="39" s="1"/>
  <c r="AE22" i="27"/>
  <c r="W22" i="27"/>
  <c r="O22" i="27"/>
  <c r="E22" i="25"/>
  <c r="G22" i="37" s="1"/>
  <c r="I22" i="37" s="1"/>
  <c r="AB21" i="27"/>
  <c r="T21" i="27"/>
  <c r="AH24" i="25"/>
  <c r="AH82" i="25" s="1"/>
  <c r="AH91" i="25" s="1"/>
  <c r="I20" i="27"/>
  <c r="AD19" i="27"/>
  <c r="V19" i="27"/>
  <c r="N19" i="27"/>
  <c r="AC15" i="27"/>
  <c r="U15" i="27"/>
  <c r="M15" i="27"/>
  <c r="E15" i="27" s="1"/>
  <c r="G15" i="39" s="1"/>
  <c r="AA14" i="27"/>
  <c r="S14" i="27"/>
  <c r="K14" i="27"/>
  <c r="Y13" i="27"/>
  <c r="Q13" i="27"/>
  <c r="I13" i="27"/>
  <c r="AC12" i="27"/>
  <c r="U12" i="27"/>
  <c r="M12" i="27"/>
  <c r="E12" i="25"/>
  <c r="G12" i="37" s="1"/>
  <c r="I12" i="37" s="1"/>
  <c r="Z11" i="27"/>
  <c r="H75" i="15"/>
  <c r="F75" i="13"/>
  <c r="L75" i="13"/>
  <c r="D75" i="37" s="1"/>
  <c r="L73" i="13"/>
  <c r="D73" i="37" s="1"/>
  <c r="H73" i="15"/>
  <c r="I64" i="15"/>
  <c r="M64" i="13"/>
  <c r="I59" i="15"/>
  <c r="G59" i="13"/>
  <c r="G61" i="13" s="1"/>
  <c r="E86" i="27"/>
  <c r="G89" i="27"/>
  <c r="AE59" i="27"/>
  <c r="AE61" i="27" s="1"/>
  <c r="AJ24" i="27"/>
  <c r="H39" i="42"/>
  <c r="G23" i="5"/>
  <c r="I23" i="42"/>
  <c r="L59" i="18"/>
  <c r="F59" i="18"/>
  <c r="F61" i="18" s="1"/>
  <c r="H61" i="18"/>
  <c r="H56" i="18"/>
  <c r="L54" i="18"/>
  <c r="F54" i="18"/>
  <c r="F56" i="18" s="1"/>
  <c r="G42" i="52"/>
  <c r="G43" i="52" s="1"/>
  <c r="D35" i="54"/>
  <c r="F35" i="52" s="1"/>
  <c r="I23" i="52"/>
  <c r="D64" i="31"/>
  <c r="F66" i="31"/>
  <c r="AD81" i="27"/>
  <c r="V81" i="27"/>
  <c r="AB80" i="27"/>
  <c r="Z79" i="27"/>
  <c r="R79" i="27"/>
  <c r="J79" i="27"/>
  <c r="D79" i="27" s="1"/>
  <c r="F79" i="39" s="1"/>
  <c r="AE78" i="27"/>
  <c r="W78" i="27"/>
  <c r="O78" i="27"/>
  <c r="AC77" i="27"/>
  <c r="U77" i="27"/>
  <c r="M77" i="27"/>
  <c r="E77" i="27" s="1"/>
  <c r="G77" i="39" s="1"/>
  <c r="AA76" i="27"/>
  <c r="S76" i="27"/>
  <c r="E76" i="27" s="1"/>
  <c r="G76" i="39" s="1"/>
  <c r="K76" i="27"/>
  <c r="Y75" i="27"/>
  <c r="Q75" i="27"/>
  <c r="I75" i="27"/>
  <c r="E75" i="27" s="1"/>
  <c r="G75" i="39" s="1"/>
  <c r="AD74" i="27"/>
  <c r="M74" i="27"/>
  <c r="AA73" i="27"/>
  <c r="S73" i="27"/>
  <c r="AC71" i="27"/>
  <c r="U71" i="27"/>
  <c r="Y70" i="27"/>
  <c r="Q70" i="27"/>
  <c r="Q72" i="27" s="1"/>
  <c r="I70" i="27"/>
  <c r="AA65" i="27"/>
  <c r="S65" i="27"/>
  <c r="K65" i="27"/>
  <c r="AO66" i="25"/>
  <c r="AG66" i="25"/>
  <c r="Y64" i="27"/>
  <c r="Y66" i="27" s="1"/>
  <c r="Y66" i="25"/>
  <c r="Q64" i="27"/>
  <c r="Q66" i="27" s="1"/>
  <c r="Q66" i="25"/>
  <c r="I64" i="27"/>
  <c r="I66" i="25"/>
  <c r="L61" i="25"/>
  <c r="AE60" i="27"/>
  <c r="W60" i="27"/>
  <c r="W61" i="27" s="1"/>
  <c r="O60" i="27"/>
  <c r="E60" i="25"/>
  <c r="G60" i="37" s="1"/>
  <c r="I60" i="37" s="1"/>
  <c r="AA59" i="27"/>
  <c r="S59" i="27"/>
  <c r="S61" i="27" s="1"/>
  <c r="K59" i="27"/>
  <c r="K61" i="27" s="1"/>
  <c r="AA55" i="27"/>
  <c r="K55" i="27"/>
  <c r="Y56" i="25"/>
  <c r="Y54" i="27"/>
  <c r="Y56" i="27" s="1"/>
  <c r="Q56" i="25"/>
  <c r="Q54" i="27"/>
  <c r="I56" i="25"/>
  <c r="I54" i="27"/>
  <c r="AD51" i="27"/>
  <c r="V51" i="27"/>
  <c r="N51" i="27"/>
  <c r="D51" i="25"/>
  <c r="F51" i="37" s="1"/>
  <c r="H51" i="37" s="1"/>
  <c r="AA49" i="27"/>
  <c r="S49" i="27"/>
  <c r="K49" i="27"/>
  <c r="Y47" i="27"/>
  <c r="Q47" i="27"/>
  <c r="I47" i="27"/>
  <c r="AE45" i="27"/>
  <c r="W45" i="27"/>
  <c r="O45" i="27"/>
  <c r="E45" i="25"/>
  <c r="G45" i="37" s="1"/>
  <c r="I45" i="37" s="1"/>
  <c r="H39" i="27"/>
  <c r="AO36" i="25"/>
  <c r="AG36" i="25"/>
  <c r="Y33" i="27"/>
  <c r="Y36" i="25"/>
  <c r="Q33" i="27"/>
  <c r="Q36" i="25"/>
  <c r="Q82" i="25" s="1"/>
  <c r="I33" i="27"/>
  <c r="I36" i="25"/>
  <c r="I82" i="25" s="1"/>
  <c r="AE32" i="27"/>
  <c r="W32" i="27"/>
  <c r="O32" i="27"/>
  <c r="X29" i="25"/>
  <c r="AB27" i="27"/>
  <c r="AB29" i="27" s="1"/>
  <c r="T27" i="27"/>
  <c r="T29" i="27" s="1"/>
  <c r="Y23" i="27"/>
  <c r="Q23" i="27"/>
  <c r="I23" i="27"/>
  <c r="V22" i="27"/>
  <c r="N22" i="27"/>
  <c r="AA21" i="27"/>
  <c r="S21" i="27"/>
  <c r="K21" i="27"/>
  <c r="K24" i="27" s="1"/>
  <c r="Y20" i="27"/>
  <c r="Q20" i="27"/>
  <c r="H20" i="27"/>
  <c r="D20" i="27" s="1"/>
  <c r="F20" i="39" s="1"/>
  <c r="AC19" i="27"/>
  <c r="U19" i="27"/>
  <c r="M19" i="27"/>
  <c r="AB15" i="27"/>
  <c r="T15" i="27"/>
  <c r="D15" i="27" s="1"/>
  <c r="F15" i="39" s="1"/>
  <c r="J14" i="27"/>
  <c r="D14" i="27" s="1"/>
  <c r="F14" i="39" s="1"/>
  <c r="X13" i="27"/>
  <c r="P13" i="27"/>
  <c r="D13" i="25"/>
  <c r="F13" i="37" s="1"/>
  <c r="H13" i="37" s="1"/>
  <c r="H13" i="27"/>
  <c r="AB12" i="27"/>
  <c r="L12" i="27"/>
  <c r="Y11" i="27"/>
  <c r="Y16" i="27" s="1"/>
  <c r="Q11" i="27"/>
  <c r="I11" i="27"/>
  <c r="I72" i="13"/>
  <c r="I70" i="15"/>
  <c r="I66" i="13"/>
  <c r="H64" i="15"/>
  <c r="H66" i="13"/>
  <c r="F64" i="13"/>
  <c r="I55" i="15"/>
  <c r="M55" i="13"/>
  <c r="E55" i="37" s="1"/>
  <c r="H33" i="15"/>
  <c r="L33" i="13"/>
  <c r="D33" i="37" s="1"/>
  <c r="I20" i="15"/>
  <c r="M20" i="13"/>
  <c r="E20" i="37" s="1"/>
  <c r="K82" i="13"/>
  <c r="K91" i="13" s="1"/>
  <c r="D87" i="27"/>
  <c r="F87" i="39" s="1"/>
  <c r="D86" i="27"/>
  <c r="F72" i="27"/>
  <c r="AM66" i="27"/>
  <c r="H20" i="42"/>
  <c r="F20" i="5"/>
  <c r="AK82" i="30"/>
  <c r="G70" i="18"/>
  <c r="G72" i="18" s="1"/>
  <c r="I72" i="18"/>
  <c r="M70" i="18"/>
  <c r="E13" i="54"/>
  <c r="G13" i="52" s="1"/>
  <c r="I13" i="52" s="1"/>
  <c r="F11" i="52"/>
  <c r="E60" i="31"/>
  <c r="G60" i="43" s="1"/>
  <c r="F41" i="11"/>
  <c r="F42" i="11" s="1"/>
  <c r="F43" i="11" s="1"/>
  <c r="H42" i="11"/>
  <c r="H43" i="11" s="1"/>
  <c r="L41" i="11"/>
  <c r="I22" i="12"/>
  <c r="G22" i="11"/>
  <c r="M22" i="11"/>
  <c r="E22" i="35" s="1"/>
  <c r="Z81" i="27"/>
  <c r="R81" i="27"/>
  <c r="J81" i="27"/>
  <c r="X80" i="27"/>
  <c r="P80" i="27"/>
  <c r="AD79" i="27"/>
  <c r="N79" i="27"/>
  <c r="S78" i="27"/>
  <c r="K78" i="27"/>
  <c r="E78" i="27" s="1"/>
  <c r="G78" i="39" s="1"/>
  <c r="Y77" i="27"/>
  <c r="AE76" i="27"/>
  <c r="U75" i="27"/>
  <c r="M75" i="27"/>
  <c r="Z74" i="27"/>
  <c r="R74" i="27"/>
  <c r="I74" i="27"/>
  <c r="AE73" i="27"/>
  <c r="W73" i="27"/>
  <c r="O73" i="27"/>
  <c r="Y71" i="27"/>
  <c r="Q71" i="27"/>
  <c r="I71" i="27"/>
  <c r="AC70" i="27"/>
  <c r="AC72" i="27" s="1"/>
  <c r="U70" i="27"/>
  <c r="U72" i="27" s="1"/>
  <c r="M70" i="27"/>
  <c r="M72" i="27" s="1"/>
  <c r="W65" i="27"/>
  <c r="O65" i="27"/>
  <c r="AC64" i="27"/>
  <c r="AC66" i="27" s="1"/>
  <c r="U64" i="27"/>
  <c r="AA60" i="27"/>
  <c r="S60" i="27"/>
  <c r="O61" i="25"/>
  <c r="O59" i="27"/>
  <c r="O61" i="27" s="1"/>
  <c r="AE55" i="27"/>
  <c r="W55" i="27"/>
  <c r="O55" i="27"/>
  <c r="AC54" i="27"/>
  <c r="AC56" i="27" s="1"/>
  <c r="U54" i="27"/>
  <c r="U56" i="27" s="1"/>
  <c r="M54" i="27"/>
  <c r="M56" i="27" s="1"/>
  <c r="Z51" i="27"/>
  <c r="R51" i="27"/>
  <c r="D51" i="27" s="1"/>
  <c r="F51" i="39" s="1"/>
  <c r="J51" i="27"/>
  <c r="AE49" i="27"/>
  <c r="W49" i="27"/>
  <c r="O49" i="27"/>
  <c r="AC47" i="27"/>
  <c r="U47" i="27"/>
  <c r="M47" i="27"/>
  <c r="AA45" i="27"/>
  <c r="S45" i="27"/>
  <c r="K45" i="27"/>
  <c r="E45" i="27" s="1"/>
  <c r="G45" i="39" s="1"/>
  <c r="O43" i="25"/>
  <c r="Z41" i="27"/>
  <c r="R41" i="27"/>
  <c r="J41" i="27"/>
  <c r="D41" i="27" s="1"/>
  <c r="F41" i="39" s="1"/>
  <c r="AE40" i="27"/>
  <c r="AE42" i="27" s="1"/>
  <c r="AE43" i="27" s="1"/>
  <c r="W40" i="27"/>
  <c r="W42" i="27" s="1"/>
  <c r="W43" i="27" s="1"/>
  <c r="O40" i="27"/>
  <c r="E40" i="25"/>
  <c r="G42" i="25"/>
  <c r="G43" i="25" s="1"/>
  <c r="T39" i="27"/>
  <c r="L39" i="27"/>
  <c r="S35" i="27"/>
  <c r="K35" i="27"/>
  <c r="Y34" i="27"/>
  <c r="Q34" i="27"/>
  <c r="I34" i="27"/>
  <c r="AC33" i="27"/>
  <c r="AC36" i="27" s="1"/>
  <c r="U33" i="27"/>
  <c r="U36" i="27" s="1"/>
  <c r="M33" i="27"/>
  <c r="AA32" i="27"/>
  <c r="AA36" i="27" s="1"/>
  <c r="S32" i="27"/>
  <c r="S36" i="27" s="1"/>
  <c r="S36" i="25"/>
  <c r="K32" i="27"/>
  <c r="K36" i="25"/>
  <c r="AA28" i="27"/>
  <c r="AA29" i="27" s="1"/>
  <c r="S28" i="27"/>
  <c r="S29" i="25"/>
  <c r="K28" i="27"/>
  <c r="K29" i="27" s="1"/>
  <c r="K29" i="25"/>
  <c r="P27" i="27"/>
  <c r="P29" i="27" s="1"/>
  <c r="H27" i="27"/>
  <c r="AC23" i="27"/>
  <c r="U23" i="27"/>
  <c r="M23" i="27"/>
  <c r="E23" i="25"/>
  <c r="G23" i="37" s="1"/>
  <c r="I23" i="37" s="1"/>
  <c r="Z22" i="27"/>
  <c r="J22" i="27"/>
  <c r="D22" i="27" s="1"/>
  <c r="F22" i="39" s="1"/>
  <c r="H22" i="39" s="1"/>
  <c r="O21" i="27"/>
  <c r="U20" i="27"/>
  <c r="M20" i="27"/>
  <c r="X15" i="27"/>
  <c r="P15" i="27"/>
  <c r="AD14" i="27"/>
  <c r="L13" i="27"/>
  <c r="X12" i="27"/>
  <c r="P12" i="27"/>
  <c r="H12" i="27"/>
  <c r="AC11" i="27"/>
  <c r="U11" i="27"/>
  <c r="U16" i="25"/>
  <c r="M11" i="27"/>
  <c r="M16" i="25"/>
  <c r="I88" i="15"/>
  <c r="G88" i="13"/>
  <c r="G88" i="15" s="1"/>
  <c r="H65" i="15"/>
  <c r="F65" i="13"/>
  <c r="L65" i="13"/>
  <c r="D65" i="37" s="1"/>
  <c r="I54" i="15"/>
  <c r="M54" i="13"/>
  <c r="G54" i="13"/>
  <c r="G56" i="13" s="1"/>
  <c r="F45" i="13"/>
  <c r="L45" i="13"/>
  <c r="D45" i="37" s="1"/>
  <c r="D45" i="5" s="1"/>
  <c r="I40" i="15"/>
  <c r="G40" i="13"/>
  <c r="G42" i="13" s="1"/>
  <c r="G43" i="13" s="1"/>
  <c r="M40" i="13"/>
  <c r="I42" i="13"/>
  <c r="I43" i="13" s="1"/>
  <c r="H23" i="15"/>
  <c r="F23" i="13"/>
  <c r="L23" i="13"/>
  <c r="D23" i="37" s="1"/>
  <c r="H19" i="15"/>
  <c r="L19" i="13"/>
  <c r="F19" i="13"/>
  <c r="F24" i="13" s="1"/>
  <c r="I15" i="15"/>
  <c r="M15" i="13"/>
  <c r="E15" i="37" s="1"/>
  <c r="I15" i="37" s="1"/>
  <c r="G15" i="13"/>
  <c r="E88" i="27"/>
  <c r="G88" i="39" s="1"/>
  <c r="I88" i="39" s="1"/>
  <c r="AJ16" i="27"/>
  <c r="AJ82" i="27" s="1"/>
  <c r="AJ91" i="27" s="1"/>
  <c r="Z89" i="7"/>
  <c r="Z91" i="7" s="1"/>
  <c r="D87" i="7"/>
  <c r="D89" i="7" s="1"/>
  <c r="H60" i="42"/>
  <c r="I28" i="42"/>
  <c r="G21" i="5"/>
  <c r="L28" i="53"/>
  <c r="D28" i="52" s="1"/>
  <c r="F28" i="53"/>
  <c r="H29" i="53"/>
  <c r="M23" i="53"/>
  <c r="E23" i="52" s="1"/>
  <c r="I24" i="53"/>
  <c r="G23" i="53"/>
  <c r="I82" i="54"/>
  <c r="G653" i="44" s="1"/>
  <c r="M24" i="11"/>
  <c r="E19" i="35"/>
  <c r="E78" i="21"/>
  <c r="G78" i="33" s="1"/>
  <c r="M14" i="14"/>
  <c r="E14" i="38" s="1"/>
  <c r="I14" i="38" s="1"/>
  <c r="D86" i="5"/>
  <c r="Y81" i="27"/>
  <c r="Q81" i="27"/>
  <c r="AE80" i="27"/>
  <c r="W80" i="27"/>
  <c r="E80" i="27" s="1"/>
  <c r="G80" i="39" s="1"/>
  <c r="M79" i="27"/>
  <c r="Z78" i="27"/>
  <c r="R78" i="27"/>
  <c r="J78" i="27"/>
  <c r="D78" i="27" s="1"/>
  <c r="F78" i="39" s="1"/>
  <c r="X77" i="27"/>
  <c r="P77" i="27"/>
  <c r="H77" i="27"/>
  <c r="D77" i="27" s="1"/>
  <c r="F77" i="39" s="1"/>
  <c r="AD76" i="27"/>
  <c r="V76" i="27"/>
  <c r="N76" i="27"/>
  <c r="AB75" i="27"/>
  <c r="T75" i="27"/>
  <c r="L75" i="27"/>
  <c r="Y74" i="27"/>
  <c r="Q74" i="27"/>
  <c r="H74" i="27"/>
  <c r="D74" i="27" s="1"/>
  <c r="F74" i="39" s="1"/>
  <c r="N73" i="27"/>
  <c r="H71" i="27"/>
  <c r="D71" i="27" s="1"/>
  <c r="F71" i="39" s="1"/>
  <c r="AB70" i="27"/>
  <c r="T70" i="27"/>
  <c r="Z60" i="27"/>
  <c r="Z61" i="25"/>
  <c r="J60" i="27"/>
  <c r="J61" i="27" s="1"/>
  <c r="AD59" i="27"/>
  <c r="AD61" i="27" s="1"/>
  <c r="V59" i="27"/>
  <c r="V61" i="27" s="1"/>
  <c r="N59" i="27"/>
  <c r="N61" i="27" s="1"/>
  <c r="F61" i="25"/>
  <c r="V55" i="27"/>
  <c r="N55" i="27"/>
  <c r="AB54" i="27"/>
  <c r="AB56" i="27" s="1"/>
  <c r="T54" i="27"/>
  <c r="T56" i="27" s="1"/>
  <c r="T56" i="25"/>
  <c r="L54" i="27"/>
  <c r="L56" i="27" s="1"/>
  <c r="L56" i="25"/>
  <c r="Y51" i="27"/>
  <c r="Q51" i="27"/>
  <c r="I51" i="27"/>
  <c r="V49" i="27"/>
  <c r="N49" i="27"/>
  <c r="AB47" i="27"/>
  <c r="Z45" i="27"/>
  <c r="J45" i="27"/>
  <c r="Y41" i="27"/>
  <c r="Q41" i="27"/>
  <c r="I41" i="27"/>
  <c r="E41" i="25"/>
  <c r="G41" i="37" s="1"/>
  <c r="I41" i="37" s="1"/>
  <c r="AD40" i="27"/>
  <c r="AD42" i="27" s="1"/>
  <c r="AD43" i="27" s="1"/>
  <c r="AA39" i="27"/>
  <c r="S39" i="27"/>
  <c r="K39" i="27"/>
  <c r="E39" i="27" s="1"/>
  <c r="G39" i="39" s="1"/>
  <c r="AA36" i="25"/>
  <c r="Z35" i="27"/>
  <c r="R35" i="27"/>
  <c r="J35" i="27"/>
  <c r="X34" i="27"/>
  <c r="P34" i="27"/>
  <c r="D34" i="27" s="1"/>
  <c r="F34" i="39" s="1"/>
  <c r="H34" i="27"/>
  <c r="AB33" i="27"/>
  <c r="T33" i="27"/>
  <c r="Z32" i="27"/>
  <c r="R32" i="27"/>
  <c r="J36" i="25"/>
  <c r="AA29" i="25"/>
  <c r="P29" i="25"/>
  <c r="Z28" i="27"/>
  <c r="AE29" i="25"/>
  <c r="AE27" i="27"/>
  <c r="AE29" i="27" s="1"/>
  <c r="W29" i="25"/>
  <c r="W27" i="27"/>
  <c r="G29" i="25"/>
  <c r="E27" i="25"/>
  <c r="AB23" i="27"/>
  <c r="Y22" i="27"/>
  <c r="AF24" i="25"/>
  <c r="AF82" i="25" s="1"/>
  <c r="AF91" i="25" s="1"/>
  <c r="X19" i="27"/>
  <c r="X24" i="27" s="1"/>
  <c r="X24" i="25"/>
  <c r="P19" i="27"/>
  <c r="P24" i="27" s="1"/>
  <c r="H19" i="27"/>
  <c r="O15" i="27"/>
  <c r="U14" i="27"/>
  <c r="M14" i="27"/>
  <c r="AA13" i="27"/>
  <c r="AM16" i="25"/>
  <c r="AE12" i="27"/>
  <c r="AE16" i="25"/>
  <c r="W12" i="27"/>
  <c r="AJ16" i="25"/>
  <c r="AJ82" i="25" s="1"/>
  <c r="AJ91" i="25" s="1"/>
  <c r="AB11" i="27"/>
  <c r="AB16" i="27" s="1"/>
  <c r="AB16" i="25"/>
  <c r="T11" i="27"/>
  <c r="T16" i="25"/>
  <c r="L11" i="27"/>
  <c r="L16" i="25"/>
  <c r="I86" i="15"/>
  <c r="M86" i="13"/>
  <c r="H56" i="13"/>
  <c r="F54" i="13"/>
  <c r="H40" i="15"/>
  <c r="H34" i="15"/>
  <c r="F34" i="13"/>
  <c r="H32" i="15"/>
  <c r="L32" i="13"/>
  <c r="F32" i="13"/>
  <c r="F36" i="13" s="1"/>
  <c r="H15" i="15"/>
  <c r="M11" i="13"/>
  <c r="I11" i="15"/>
  <c r="G11" i="13"/>
  <c r="AI56" i="27"/>
  <c r="F42" i="27"/>
  <c r="F43" i="27" s="1"/>
  <c r="F61" i="42"/>
  <c r="D29" i="42"/>
  <c r="G54" i="42"/>
  <c r="E56" i="30"/>
  <c r="M77" i="18"/>
  <c r="E77" i="42" s="1"/>
  <c r="I77" i="42" s="1"/>
  <c r="G77" i="18"/>
  <c r="I75" i="42"/>
  <c r="F72" i="53"/>
  <c r="L59" i="53"/>
  <c r="F59" i="53"/>
  <c r="F61" i="53" s="1"/>
  <c r="H61" i="53"/>
  <c r="AK82" i="54"/>
  <c r="U82" i="54"/>
  <c r="S653" i="44" s="1"/>
  <c r="D11" i="43"/>
  <c r="L16" i="19"/>
  <c r="K36" i="23"/>
  <c r="E32" i="23"/>
  <c r="J79" i="24"/>
  <c r="D79" i="21"/>
  <c r="F79" i="33" s="1"/>
  <c r="AH89" i="27"/>
  <c r="Z89" i="27"/>
  <c r="R89" i="27"/>
  <c r="J89" i="27"/>
  <c r="AL72" i="27"/>
  <c r="AN16" i="27"/>
  <c r="AN82" i="27" s="1"/>
  <c r="AN91" i="27" s="1"/>
  <c r="AF16" i="27"/>
  <c r="J82" i="15"/>
  <c r="J91" i="15" s="1"/>
  <c r="H28" i="42"/>
  <c r="G29" i="42"/>
  <c r="U82" i="30"/>
  <c r="S650" i="44" s="1"/>
  <c r="M82" i="30"/>
  <c r="K650" i="44" s="1"/>
  <c r="F77" i="18"/>
  <c r="L77" i="18"/>
  <c r="D77" i="42" s="1"/>
  <c r="L71" i="18"/>
  <c r="D71" i="42" s="1"/>
  <c r="F71" i="18"/>
  <c r="F72" i="18" s="1"/>
  <c r="H72" i="18"/>
  <c r="M75" i="53"/>
  <c r="E75" i="52" s="1"/>
  <c r="G75" i="53"/>
  <c r="E75" i="54"/>
  <c r="G75" i="52" s="1"/>
  <c r="F40" i="52"/>
  <c r="AH82" i="54"/>
  <c r="Z82" i="54"/>
  <c r="X653" i="44" s="1"/>
  <c r="AG82" i="54"/>
  <c r="D12" i="54"/>
  <c r="F12" i="52" s="1"/>
  <c r="H12" i="52" s="1"/>
  <c r="H16" i="54"/>
  <c r="H82" i="54" s="1"/>
  <c r="F653" i="44" s="1"/>
  <c r="G87" i="43"/>
  <c r="E89" i="31"/>
  <c r="G27" i="4" s="1"/>
  <c r="H27" i="4" s="1"/>
  <c r="I76" i="43"/>
  <c r="D45" i="31"/>
  <c r="F45" i="43" s="1"/>
  <c r="H651" i="44"/>
  <c r="J91" i="31"/>
  <c r="H80" i="35"/>
  <c r="I45" i="35"/>
  <c r="AC60" i="27"/>
  <c r="U60" i="27"/>
  <c r="M60" i="27"/>
  <c r="Y55" i="27"/>
  <c r="Q55" i="27"/>
  <c r="I55" i="27"/>
  <c r="AE54" i="27"/>
  <c r="AE56" i="27" s="1"/>
  <c r="W54" i="27"/>
  <c r="W56" i="27" s="1"/>
  <c r="O54" i="27"/>
  <c r="E54" i="25"/>
  <c r="AD41" i="27"/>
  <c r="V41" i="27"/>
  <c r="V42" i="27" s="1"/>
  <c r="V43" i="27" s="1"/>
  <c r="N41" i="27"/>
  <c r="N42" i="27" s="1"/>
  <c r="N43" i="27" s="1"/>
  <c r="AB40" i="27"/>
  <c r="AB42" i="27" s="1"/>
  <c r="AB43" i="27" s="1"/>
  <c r="T40" i="27"/>
  <c r="T42" i="27" s="1"/>
  <c r="T43" i="27" s="1"/>
  <c r="L40" i="27"/>
  <c r="L42" i="27" s="1"/>
  <c r="L43" i="27" s="1"/>
  <c r="Y39" i="27"/>
  <c r="Q39" i="27"/>
  <c r="I39" i="27"/>
  <c r="AA33" i="27"/>
  <c r="S33" i="27"/>
  <c r="K33" i="27"/>
  <c r="E33" i="27" s="1"/>
  <c r="G33" i="39" s="1"/>
  <c r="Y32" i="27"/>
  <c r="Q32" i="27"/>
  <c r="Q36" i="27" s="1"/>
  <c r="I32" i="27"/>
  <c r="X28" i="27"/>
  <c r="P28" i="27"/>
  <c r="H28" i="27"/>
  <c r="AC27" i="27"/>
  <c r="AC29" i="27" s="1"/>
  <c r="U27" i="27"/>
  <c r="U29" i="27" s="1"/>
  <c r="M27" i="27"/>
  <c r="M29" i="27" s="1"/>
  <c r="Z19" i="27"/>
  <c r="Z24" i="27" s="1"/>
  <c r="R19" i="27"/>
  <c r="J19" i="27"/>
  <c r="J24" i="27" s="1"/>
  <c r="Y15" i="27"/>
  <c r="Q15" i="27"/>
  <c r="I15" i="27"/>
  <c r="AE14" i="27"/>
  <c r="W14" i="27"/>
  <c r="O14" i="27"/>
  <c r="O16" i="27" s="1"/>
  <c r="AC13" i="27"/>
  <c r="U13" i="27"/>
  <c r="M13" i="27"/>
  <c r="AA12" i="27"/>
  <c r="S12" i="27"/>
  <c r="P11" i="27"/>
  <c r="H11" i="27"/>
  <c r="H16" i="27" s="1"/>
  <c r="H71" i="15"/>
  <c r="H59" i="15"/>
  <c r="I39" i="15"/>
  <c r="I35" i="15"/>
  <c r="G35" i="13"/>
  <c r="G36" i="13" s="1"/>
  <c r="I27" i="15"/>
  <c r="I29" i="13"/>
  <c r="H11" i="15"/>
  <c r="AO89" i="27"/>
  <c r="AG89" i="27"/>
  <c r="Y89" i="27"/>
  <c r="Q89" i="27"/>
  <c r="I89" i="27"/>
  <c r="AK72" i="27"/>
  <c r="AK82" i="27" s="1"/>
  <c r="AK91" i="27" s="1"/>
  <c r="AI36" i="27"/>
  <c r="AI82" i="27" s="1"/>
  <c r="AI91" i="27" s="1"/>
  <c r="AM16" i="27"/>
  <c r="AM82" i="27" s="1"/>
  <c r="AM91" i="27" s="1"/>
  <c r="I49" i="15"/>
  <c r="J24" i="15"/>
  <c r="G72" i="42"/>
  <c r="I40" i="42"/>
  <c r="H81" i="42"/>
  <c r="H74" i="42"/>
  <c r="H55" i="42"/>
  <c r="E29" i="30"/>
  <c r="F24" i="30"/>
  <c r="D22" i="30"/>
  <c r="F22" i="42" s="1"/>
  <c r="G24" i="42"/>
  <c r="H15" i="42"/>
  <c r="F60" i="18"/>
  <c r="G20" i="18"/>
  <c r="M20" i="18"/>
  <c r="E20" i="42" s="1"/>
  <c r="G55" i="53"/>
  <c r="M55" i="53"/>
  <c r="E55" i="52" s="1"/>
  <c r="I56" i="53"/>
  <c r="M33" i="53"/>
  <c r="E33" i="52" s="1"/>
  <c r="I36" i="53"/>
  <c r="G33" i="53"/>
  <c r="F29" i="53"/>
  <c r="D59" i="31"/>
  <c r="H61" i="31"/>
  <c r="H51" i="35"/>
  <c r="H47" i="24"/>
  <c r="D47" i="23"/>
  <c r="F47" i="35" s="1"/>
  <c r="H47" i="35" s="1"/>
  <c r="D40" i="23"/>
  <c r="F42" i="23"/>
  <c r="F43" i="23" s="1"/>
  <c r="H79" i="12"/>
  <c r="L79" i="9"/>
  <c r="D79" i="33" s="1"/>
  <c r="F79" i="9"/>
  <c r="J74" i="27"/>
  <c r="X73" i="27"/>
  <c r="P73" i="27"/>
  <c r="D73" i="27" s="1"/>
  <c r="F73" i="39" s="1"/>
  <c r="H73" i="27"/>
  <c r="AB71" i="27"/>
  <c r="T71" i="27"/>
  <c r="L71" i="27"/>
  <c r="Z70" i="27"/>
  <c r="R70" i="27"/>
  <c r="R72" i="27" s="1"/>
  <c r="J70" i="27"/>
  <c r="J72" i="27" s="1"/>
  <c r="AD65" i="27"/>
  <c r="V65" i="27"/>
  <c r="N65" i="27"/>
  <c r="AB64" i="27"/>
  <c r="AB66" i="27" s="1"/>
  <c r="T64" i="27"/>
  <c r="T66" i="27" s="1"/>
  <c r="L64" i="27"/>
  <c r="D64" i="27" s="1"/>
  <c r="AA51" i="27"/>
  <c r="S51" i="27"/>
  <c r="K51" i="27"/>
  <c r="E51" i="27" s="1"/>
  <c r="G51" i="39" s="1"/>
  <c r="Y49" i="27"/>
  <c r="Q49" i="27"/>
  <c r="I49" i="27"/>
  <c r="AE47" i="27"/>
  <c r="W47" i="27"/>
  <c r="O47" i="27"/>
  <c r="AC45" i="27"/>
  <c r="U45" i="27"/>
  <c r="M45" i="27"/>
  <c r="AC41" i="27"/>
  <c r="AC42" i="27" s="1"/>
  <c r="AC43" i="27" s="1"/>
  <c r="U41" i="27"/>
  <c r="U42" i="27" s="1"/>
  <c r="U43" i="27" s="1"/>
  <c r="M41" i="27"/>
  <c r="M42" i="27" s="1"/>
  <c r="M43" i="27" s="1"/>
  <c r="AA40" i="27"/>
  <c r="AA42" i="27" s="1"/>
  <c r="S40" i="27"/>
  <c r="S42" i="27" s="1"/>
  <c r="S43" i="27" s="1"/>
  <c r="K40" i="27"/>
  <c r="K42" i="27" s="1"/>
  <c r="K43" i="27" s="1"/>
  <c r="AE35" i="27"/>
  <c r="W35" i="27"/>
  <c r="O35" i="27"/>
  <c r="AC34" i="27"/>
  <c r="U34" i="27"/>
  <c r="M34" i="27"/>
  <c r="Z33" i="27"/>
  <c r="R33" i="27"/>
  <c r="J33" i="27"/>
  <c r="X32" i="27"/>
  <c r="P32" i="27"/>
  <c r="H32" i="27"/>
  <c r="H36" i="27" s="1"/>
  <c r="AE28" i="27"/>
  <c r="W28" i="27"/>
  <c r="O28" i="27"/>
  <c r="E28" i="25"/>
  <c r="G28" i="37" s="1"/>
  <c r="I28" i="37" s="1"/>
  <c r="AD21" i="27"/>
  <c r="V21" i="27"/>
  <c r="N21" i="27"/>
  <c r="AB20" i="27"/>
  <c r="T20" i="27"/>
  <c r="L20" i="27"/>
  <c r="AO24" i="25"/>
  <c r="AO82" i="25" s="1"/>
  <c r="AO91" i="25" s="1"/>
  <c r="AG24" i="25"/>
  <c r="Y19" i="27"/>
  <c r="Y24" i="27" s="1"/>
  <c r="Y24" i="25"/>
  <c r="Q19" i="27"/>
  <c r="Q24" i="27" s="1"/>
  <c r="Q24" i="25"/>
  <c r="I19" i="27"/>
  <c r="I24" i="25"/>
  <c r="Z12" i="27"/>
  <c r="R12" i="27"/>
  <c r="J12" i="27"/>
  <c r="J16" i="27" s="1"/>
  <c r="AE11" i="27"/>
  <c r="W11" i="27"/>
  <c r="W16" i="27" s="1"/>
  <c r="L86" i="15"/>
  <c r="I78" i="15"/>
  <c r="M78" i="13"/>
  <c r="E78" i="37" s="1"/>
  <c r="I75" i="15"/>
  <c r="I65" i="15"/>
  <c r="I60" i="15"/>
  <c r="H39" i="15"/>
  <c r="F39" i="13"/>
  <c r="H35" i="15"/>
  <c r="I33" i="15"/>
  <c r="M33" i="13"/>
  <c r="I36" i="13"/>
  <c r="I82" i="13" s="1"/>
  <c r="I91" i="13" s="1"/>
  <c r="H27" i="15"/>
  <c r="F27" i="13"/>
  <c r="F29" i="13" s="1"/>
  <c r="H14" i="15"/>
  <c r="L14" i="13"/>
  <c r="D14" i="37" s="1"/>
  <c r="H14" i="37" s="1"/>
  <c r="AJ56" i="27"/>
  <c r="D28" i="27"/>
  <c r="F28" i="39" s="1"/>
  <c r="F29" i="27"/>
  <c r="AH29" i="27"/>
  <c r="AH82" i="27" s="1"/>
  <c r="AH91" i="27" s="1"/>
  <c r="AO24" i="27"/>
  <c r="AO82" i="27" s="1"/>
  <c r="AO91" i="27" s="1"/>
  <c r="AG24" i="27"/>
  <c r="I45" i="42"/>
  <c r="H27" i="42"/>
  <c r="H29" i="42" s="1"/>
  <c r="I81" i="42"/>
  <c r="D74" i="5"/>
  <c r="E81" i="54"/>
  <c r="G81" i="52" s="1"/>
  <c r="I81" i="52" s="1"/>
  <c r="G54" i="52"/>
  <c r="E47" i="54"/>
  <c r="G47" i="52" s="1"/>
  <c r="I47" i="52" s="1"/>
  <c r="E45" i="54"/>
  <c r="G45" i="52" s="1"/>
  <c r="I45" i="52" s="1"/>
  <c r="AB43" i="54"/>
  <c r="AB82" i="54" s="1"/>
  <c r="Z653" i="44" s="1"/>
  <c r="F43" i="54"/>
  <c r="E81" i="31"/>
  <c r="G81" i="43" s="1"/>
  <c r="E74" i="23"/>
  <c r="G74" i="35" s="1"/>
  <c r="I74" i="35" s="1"/>
  <c r="E19" i="23"/>
  <c r="G24" i="23"/>
  <c r="G82" i="23" s="1"/>
  <c r="H15" i="35"/>
  <c r="AI42" i="27"/>
  <c r="AI43" i="27" s="1"/>
  <c r="G24" i="27"/>
  <c r="G16" i="27"/>
  <c r="G82" i="27" s="1"/>
  <c r="G91" i="27" s="1"/>
  <c r="AC82" i="7"/>
  <c r="AC91" i="7" s="1"/>
  <c r="M82" i="7"/>
  <c r="M91" i="7" s="1"/>
  <c r="O82" i="7"/>
  <c r="O91" i="7" s="1"/>
  <c r="D82" i="7"/>
  <c r="H76" i="42"/>
  <c r="D73" i="5"/>
  <c r="H12" i="42"/>
  <c r="F40" i="42"/>
  <c r="D42" i="30"/>
  <c r="D43" i="30" s="1"/>
  <c r="H35" i="42"/>
  <c r="F36" i="30"/>
  <c r="D32" i="30"/>
  <c r="AL82" i="30"/>
  <c r="H21" i="42"/>
  <c r="AN82" i="30"/>
  <c r="AF82" i="30"/>
  <c r="H82" i="30"/>
  <c r="F650" i="44" s="1"/>
  <c r="M29" i="18"/>
  <c r="E27" i="42"/>
  <c r="L49" i="53"/>
  <c r="D49" i="52" s="1"/>
  <c r="H49" i="52" s="1"/>
  <c r="F49" i="53"/>
  <c r="F45" i="53"/>
  <c r="L45" i="53"/>
  <c r="D45" i="52" s="1"/>
  <c r="L40" i="53"/>
  <c r="F40" i="53"/>
  <c r="F42" i="53" s="1"/>
  <c r="F43" i="53" s="1"/>
  <c r="H42" i="53"/>
  <c r="H43" i="53" s="1"/>
  <c r="D81" i="54"/>
  <c r="F81" i="52" s="1"/>
  <c r="H81" i="52" s="1"/>
  <c r="E19" i="54"/>
  <c r="G74" i="31"/>
  <c r="E74" i="31" s="1"/>
  <c r="G74" i="43" s="1"/>
  <c r="I74" i="43" s="1"/>
  <c r="AA82" i="6"/>
  <c r="Q82" i="6"/>
  <c r="D88" i="5"/>
  <c r="I35" i="43"/>
  <c r="G32" i="43"/>
  <c r="D15" i="31"/>
  <c r="F15" i="43" s="1"/>
  <c r="H15" i="43" s="1"/>
  <c r="I41" i="15"/>
  <c r="I34" i="15"/>
  <c r="I21" i="15"/>
  <c r="G21" i="13"/>
  <c r="E87" i="27"/>
  <c r="G87" i="39" s="1"/>
  <c r="I87" i="39" s="1"/>
  <c r="G61" i="27"/>
  <c r="E59" i="27"/>
  <c r="F36" i="27"/>
  <c r="G36" i="27"/>
  <c r="G29" i="27"/>
  <c r="E89" i="15"/>
  <c r="I80" i="15"/>
  <c r="E89" i="7"/>
  <c r="AB82" i="7"/>
  <c r="AB91" i="7" s="1"/>
  <c r="T82" i="7"/>
  <c r="T91" i="7" s="1"/>
  <c r="L82" i="7"/>
  <c r="L91" i="7" s="1"/>
  <c r="F29" i="42"/>
  <c r="I22" i="42"/>
  <c r="G22" i="5"/>
  <c r="F64" i="42"/>
  <c r="D66" i="30"/>
  <c r="I34" i="42"/>
  <c r="H23" i="42"/>
  <c r="M41" i="18"/>
  <c r="E41" i="42" s="1"/>
  <c r="I42" i="18"/>
  <c r="I43" i="18" s="1"/>
  <c r="G41" i="18"/>
  <c r="L15" i="18"/>
  <c r="D15" i="42" s="1"/>
  <c r="F15" i="18"/>
  <c r="F16" i="18"/>
  <c r="E36" i="52"/>
  <c r="G54" i="29"/>
  <c r="AG56" i="6"/>
  <c r="E54" i="6"/>
  <c r="E56" i="6" s="1"/>
  <c r="E80" i="31"/>
  <c r="G80" i="43" s="1"/>
  <c r="I80" i="43" s="1"/>
  <c r="M14" i="19"/>
  <c r="E14" i="43" s="1"/>
  <c r="I14" i="43" s="1"/>
  <c r="G14" i="19"/>
  <c r="G16" i="19"/>
  <c r="F80" i="11"/>
  <c r="L80" i="11"/>
  <c r="D80" i="35" s="1"/>
  <c r="G75" i="11"/>
  <c r="M75" i="11"/>
  <c r="E75" i="35" s="1"/>
  <c r="I75" i="35" s="1"/>
  <c r="E73" i="21"/>
  <c r="G73" i="33" s="1"/>
  <c r="I73" i="33" s="1"/>
  <c r="AC59" i="24"/>
  <c r="AC61" i="24" s="1"/>
  <c r="AC61" i="21"/>
  <c r="U61" i="21"/>
  <c r="U59" i="24"/>
  <c r="M59" i="24"/>
  <c r="M61" i="21"/>
  <c r="E59" i="21"/>
  <c r="H21" i="15"/>
  <c r="H13" i="15"/>
  <c r="K72" i="15"/>
  <c r="K82" i="15" s="1"/>
  <c r="K91" i="15" s="1"/>
  <c r="E16" i="7"/>
  <c r="E42" i="42"/>
  <c r="E43" i="42" s="1"/>
  <c r="I39" i="42"/>
  <c r="E16" i="30"/>
  <c r="I12" i="42"/>
  <c r="G65" i="18"/>
  <c r="M65" i="18"/>
  <c r="E65" i="42" s="1"/>
  <c r="L49" i="18"/>
  <c r="D49" i="42" s="1"/>
  <c r="H49" i="42" s="1"/>
  <c r="F49" i="18"/>
  <c r="L22" i="18"/>
  <c r="D22" i="42" s="1"/>
  <c r="F22" i="18"/>
  <c r="H24" i="18"/>
  <c r="H82" i="18" s="1"/>
  <c r="L20" i="18"/>
  <c r="D20" i="42" s="1"/>
  <c r="K82" i="18"/>
  <c r="M14" i="18"/>
  <c r="E14" i="42" s="1"/>
  <c r="G14" i="18"/>
  <c r="G12" i="18"/>
  <c r="M12" i="18"/>
  <c r="E12" i="42" s="1"/>
  <c r="G71" i="53"/>
  <c r="M71" i="53"/>
  <c r="J82" i="53"/>
  <c r="D80" i="54"/>
  <c r="F80" i="52" s="1"/>
  <c r="E78" i="54"/>
  <c r="G78" i="52" s="1"/>
  <c r="I78" i="52" s="1"/>
  <c r="AG66" i="54"/>
  <c r="Y66" i="54"/>
  <c r="D55" i="54"/>
  <c r="F55" i="52" s="1"/>
  <c r="H55" i="52" s="1"/>
  <c r="F56" i="54"/>
  <c r="AK36" i="54"/>
  <c r="AC36" i="54"/>
  <c r="AC82" i="54" s="1"/>
  <c r="AA653" i="44" s="1"/>
  <c r="M36" i="54"/>
  <c r="M82" i="54" s="1"/>
  <c r="K653" i="44" s="1"/>
  <c r="E32" i="54"/>
  <c r="AE24" i="54"/>
  <c r="O24" i="54"/>
  <c r="E20" i="54"/>
  <c r="G20" i="52" s="1"/>
  <c r="I20" i="52" s="1"/>
  <c r="AI82" i="54"/>
  <c r="E14" i="54"/>
  <c r="G14" i="52" s="1"/>
  <c r="I14" i="52" s="1"/>
  <c r="K16" i="54"/>
  <c r="AN82" i="54"/>
  <c r="D43" i="6"/>
  <c r="D51" i="31"/>
  <c r="F51" i="43" s="1"/>
  <c r="D47" i="31"/>
  <c r="F47" i="43" s="1"/>
  <c r="H47" i="43" s="1"/>
  <c r="T82" i="31"/>
  <c r="E77" i="23"/>
  <c r="G77" i="35" s="1"/>
  <c r="I77" i="35" s="1"/>
  <c r="H74" i="35"/>
  <c r="E60" i="23"/>
  <c r="G60" i="35" s="1"/>
  <c r="I60" i="35" s="1"/>
  <c r="I61" i="23"/>
  <c r="I82" i="23" s="1"/>
  <c r="X19" i="24"/>
  <c r="X24" i="24" s="1"/>
  <c r="X24" i="21"/>
  <c r="P19" i="24"/>
  <c r="P24" i="21"/>
  <c r="H19" i="24"/>
  <c r="H24" i="21"/>
  <c r="I81" i="15"/>
  <c r="I77" i="15"/>
  <c r="I73" i="15"/>
  <c r="I51" i="15"/>
  <c r="I32" i="15"/>
  <c r="I22" i="15"/>
  <c r="E24" i="15"/>
  <c r="E82" i="15" s="1"/>
  <c r="E91" i="15" s="1"/>
  <c r="E72" i="7"/>
  <c r="R82" i="7"/>
  <c r="R91" i="7" s="1"/>
  <c r="E24" i="7"/>
  <c r="AA82" i="7"/>
  <c r="AA91" i="7" s="1"/>
  <c r="D72" i="42"/>
  <c r="G66" i="30"/>
  <c r="E65" i="30"/>
  <c r="G42" i="30"/>
  <c r="G43" i="30" s="1"/>
  <c r="E41" i="30"/>
  <c r="E32" i="30"/>
  <c r="G36" i="30"/>
  <c r="L82" i="30"/>
  <c r="J650" i="44" s="1"/>
  <c r="AD82" i="30"/>
  <c r="AB650" i="44" s="1"/>
  <c r="V82" i="30"/>
  <c r="T650" i="44" s="1"/>
  <c r="L75" i="18"/>
  <c r="D75" i="42" s="1"/>
  <c r="F75" i="18"/>
  <c r="H66" i="18"/>
  <c r="L65" i="18"/>
  <c r="F20" i="18"/>
  <c r="F24" i="18" s="1"/>
  <c r="L71" i="53"/>
  <c r="D71" i="52" s="1"/>
  <c r="D72" i="52" s="1"/>
  <c r="F71" i="53"/>
  <c r="M54" i="53"/>
  <c r="G54" i="53"/>
  <c r="G56" i="53" s="1"/>
  <c r="D32" i="52"/>
  <c r="G28" i="53"/>
  <c r="M28" i="53"/>
  <c r="E55" i="54"/>
  <c r="G55" i="52" s="1"/>
  <c r="I55" i="52" s="1"/>
  <c r="AJ82" i="54"/>
  <c r="R82" i="54"/>
  <c r="P653" i="44" s="1"/>
  <c r="H88" i="43"/>
  <c r="E41" i="31"/>
  <c r="G41" i="43" s="1"/>
  <c r="D34" i="31"/>
  <c r="F34" i="43" s="1"/>
  <c r="F36" i="31"/>
  <c r="AL36" i="31"/>
  <c r="AD36" i="31"/>
  <c r="D12" i="31"/>
  <c r="F12" i="43" s="1"/>
  <c r="H12" i="43" s="1"/>
  <c r="H66" i="19"/>
  <c r="L64" i="19"/>
  <c r="F64" i="19"/>
  <c r="F66" i="19" s="1"/>
  <c r="F59" i="35"/>
  <c r="D61" i="23"/>
  <c r="J29" i="15"/>
  <c r="D16" i="15"/>
  <c r="D82" i="15" s="1"/>
  <c r="D91" i="15" s="1"/>
  <c r="AG82" i="7"/>
  <c r="AG91" i="7" s="1"/>
  <c r="H78" i="42"/>
  <c r="I73" i="42"/>
  <c r="I80" i="42"/>
  <c r="AM82" i="30"/>
  <c r="AE82" i="30"/>
  <c r="AC650" i="44" s="1"/>
  <c r="W82" i="30"/>
  <c r="U650" i="44" s="1"/>
  <c r="O82" i="30"/>
  <c r="M650" i="44" s="1"/>
  <c r="E24" i="30"/>
  <c r="G74" i="18"/>
  <c r="M74" i="18"/>
  <c r="E74" i="42" s="1"/>
  <c r="G61" i="18"/>
  <c r="L36" i="18"/>
  <c r="M19" i="18"/>
  <c r="G19" i="18"/>
  <c r="M34" i="53"/>
  <c r="E34" i="52" s="1"/>
  <c r="G34" i="53"/>
  <c r="L21" i="53"/>
  <c r="D21" i="52" s="1"/>
  <c r="F21" i="53"/>
  <c r="F19" i="53"/>
  <c r="H24" i="53"/>
  <c r="L19" i="53"/>
  <c r="D76" i="54"/>
  <c r="F76" i="52" s="1"/>
  <c r="E70" i="54"/>
  <c r="D47" i="54"/>
  <c r="F47" i="52" s="1"/>
  <c r="H47" i="52" s="1"/>
  <c r="D41" i="54"/>
  <c r="F41" i="52" s="1"/>
  <c r="H41" i="52" s="1"/>
  <c r="F42" i="54"/>
  <c r="E12" i="54"/>
  <c r="G12" i="52" s="1"/>
  <c r="I12" i="52" s="1"/>
  <c r="G11" i="29"/>
  <c r="AG16" i="6"/>
  <c r="E11" i="6"/>
  <c r="F70" i="43"/>
  <c r="D72" i="31"/>
  <c r="H82" i="31"/>
  <c r="I15" i="35"/>
  <c r="E73" i="23"/>
  <c r="G73" i="35" s="1"/>
  <c r="I73" i="35" s="1"/>
  <c r="I66" i="23"/>
  <c r="E64" i="23"/>
  <c r="G81" i="11"/>
  <c r="M81" i="11"/>
  <c r="E81" i="35" s="1"/>
  <c r="I81" i="35" s="1"/>
  <c r="AE77" i="24"/>
  <c r="W77" i="24"/>
  <c r="O77" i="24"/>
  <c r="E77" i="21"/>
  <c r="G77" i="33" s="1"/>
  <c r="I77" i="33" s="1"/>
  <c r="X60" i="24"/>
  <c r="X61" i="21"/>
  <c r="P60" i="24"/>
  <c r="P61" i="21"/>
  <c r="H60" i="24"/>
  <c r="H61" i="21"/>
  <c r="D60" i="21"/>
  <c r="F60" i="33" s="1"/>
  <c r="D36" i="15"/>
  <c r="AF82" i="7"/>
  <c r="AF91" i="7" s="1"/>
  <c r="X82" i="7"/>
  <c r="X91" i="7" s="1"/>
  <c r="P82" i="7"/>
  <c r="P91" i="7" s="1"/>
  <c r="H82" i="7"/>
  <c r="H91" i="7" s="1"/>
  <c r="F56" i="42"/>
  <c r="H34" i="42"/>
  <c r="D36" i="42"/>
  <c r="D70" i="30"/>
  <c r="F72" i="30"/>
  <c r="I11" i="42"/>
  <c r="G16" i="42"/>
  <c r="I66" i="18"/>
  <c r="M64" i="18"/>
  <c r="G64" i="18"/>
  <c r="G66" i="18" s="1"/>
  <c r="L55" i="18"/>
  <c r="D55" i="42" s="1"/>
  <c r="F55" i="18"/>
  <c r="F40" i="18"/>
  <c r="F42" i="18" s="1"/>
  <c r="F43" i="18" s="1"/>
  <c r="L40" i="18"/>
  <c r="H42" i="18"/>
  <c r="H43" i="18" s="1"/>
  <c r="D11" i="42"/>
  <c r="L16" i="18"/>
  <c r="M66" i="53"/>
  <c r="E65" i="52"/>
  <c r="E66" i="52" s="1"/>
  <c r="G36" i="53"/>
  <c r="D29" i="52"/>
  <c r="G24" i="53"/>
  <c r="E64" i="54"/>
  <c r="AC43" i="54"/>
  <c r="G43" i="54"/>
  <c r="E41" i="54"/>
  <c r="G41" i="52" s="1"/>
  <c r="I41" i="52" s="1"/>
  <c r="E34" i="54"/>
  <c r="G34" i="52" s="1"/>
  <c r="I34" i="52" s="1"/>
  <c r="E27" i="54"/>
  <c r="G29" i="54"/>
  <c r="E21" i="54"/>
  <c r="G21" i="52" s="1"/>
  <c r="X82" i="54"/>
  <c r="V653" i="44" s="1"/>
  <c r="I82" i="6"/>
  <c r="R82" i="6"/>
  <c r="J82" i="6"/>
  <c r="AG66" i="31"/>
  <c r="Q66" i="31"/>
  <c r="E64" i="31"/>
  <c r="I66" i="31"/>
  <c r="D39" i="31"/>
  <c r="F39" i="43" s="1"/>
  <c r="H39" i="43" s="1"/>
  <c r="E27" i="31"/>
  <c r="G29" i="31"/>
  <c r="H21" i="43"/>
  <c r="I24" i="31"/>
  <c r="E20" i="31"/>
  <c r="G20" i="43" s="1"/>
  <c r="G20" i="5" s="1"/>
  <c r="AO82" i="31"/>
  <c r="AO91" i="31" s="1"/>
  <c r="G75" i="19"/>
  <c r="M75" i="19"/>
  <c r="E75" i="43" s="1"/>
  <c r="E75" i="5" s="1"/>
  <c r="D19" i="43"/>
  <c r="D70" i="23"/>
  <c r="L72" i="23"/>
  <c r="J82" i="23"/>
  <c r="H641" i="44" s="1"/>
  <c r="M14" i="11"/>
  <c r="E14" i="35" s="1"/>
  <c r="I14" i="35" s="1"/>
  <c r="G14" i="11"/>
  <c r="AC79" i="24"/>
  <c r="J78" i="24"/>
  <c r="D78" i="21"/>
  <c r="F78" i="33" s="1"/>
  <c r="H71" i="33"/>
  <c r="Z70" i="24"/>
  <c r="Z72" i="21"/>
  <c r="R70" i="24"/>
  <c r="R72" i="21"/>
  <c r="J70" i="24"/>
  <c r="J72" i="21"/>
  <c r="AD64" i="24"/>
  <c r="AD66" i="21"/>
  <c r="V64" i="24"/>
  <c r="V66" i="21"/>
  <c r="N64" i="24"/>
  <c r="N66" i="21"/>
  <c r="D64" i="21"/>
  <c r="F66" i="21"/>
  <c r="AE82" i="7"/>
  <c r="AE91" i="7" s="1"/>
  <c r="W82" i="7"/>
  <c r="W91" i="7" s="1"/>
  <c r="F16" i="42"/>
  <c r="Z82" i="30"/>
  <c r="X650" i="44" s="1"/>
  <c r="L72" i="18"/>
  <c r="M60" i="18"/>
  <c r="E60" i="42" s="1"/>
  <c r="I60" i="42" s="1"/>
  <c r="G60" i="18"/>
  <c r="G42" i="18"/>
  <c r="G43" i="18" s="1"/>
  <c r="F36" i="18"/>
  <c r="I16" i="18"/>
  <c r="G11" i="18"/>
  <c r="G16" i="18" s="1"/>
  <c r="M74" i="53"/>
  <c r="E74" i="52" s="1"/>
  <c r="I74" i="52" s="1"/>
  <c r="G74" i="53"/>
  <c r="G16" i="53"/>
  <c r="E71" i="54"/>
  <c r="G71" i="52" s="1"/>
  <c r="G72" i="54"/>
  <c r="D45" i="54"/>
  <c r="F45" i="52" s="1"/>
  <c r="H45" i="52" s="1"/>
  <c r="E42" i="54"/>
  <c r="H34" i="52"/>
  <c r="D15" i="54"/>
  <c r="F15" i="52" s="1"/>
  <c r="H15" i="52" s="1"/>
  <c r="AL16" i="54"/>
  <c r="AD16" i="54"/>
  <c r="V16" i="54"/>
  <c r="N16" i="54"/>
  <c r="F16" i="54"/>
  <c r="Z82" i="6"/>
  <c r="H87" i="43"/>
  <c r="I77" i="43"/>
  <c r="D65" i="31"/>
  <c r="F65" i="43" s="1"/>
  <c r="H65" i="43" s="1"/>
  <c r="L24" i="31"/>
  <c r="D19" i="31"/>
  <c r="AJ82" i="31"/>
  <c r="AJ91" i="31" s="1"/>
  <c r="L82" i="31"/>
  <c r="G61" i="19"/>
  <c r="E12" i="23"/>
  <c r="G12" i="35" s="1"/>
  <c r="I12" i="35" s="1"/>
  <c r="R82" i="23"/>
  <c r="P641" i="44" s="1"/>
  <c r="D16" i="23"/>
  <c r="F11" i="35"/>
  <c r="L51" i="11"/>
  <c r="D51" i="35" s="1"/>
  <c r="F51" i="11"/>
  <c r="H27" i="12"/>
  <c r="F27" i="9"/>
  <c r="F29" i="9" s="1"/>
  <c r="L27" i="9"/>
  <c r="H29" i="9"/>
  <c r="I72" i="53"/>
  <c r="G65" i="53"/>
  <c r="G66" i="53" s="1"/>
  <c r="I29" i="53"/>
  <c r="L13" i="53"/>
  <c r="D13" i="52" s="1"/>
  <c r="D13" i="5" s="1"/>
  <c r="F13" i="53"/>
  <c r="F11" i="53"/>
  <c r="H16" i="53"/>
  <c r="H82" i="53" s="1"/>
  <c r="L11" i="53"/>
  <c r="E76" i="54"/>
  <c r="G76" i="52" s="1"/>
  <c r="I76" i="52" s="1"/>
  <c r="D65" i="54"/>
  <c r="F65" i="52" s="1"/>
  <c r="H65" i="52" s="1"/>
  <c r="F66" i="54"/>
  <c r="AL24" i="54"/>
  <c r="AD24" i="54"/>
  <c r="V24" i="54"/>
  <c r="N24" i="54"/>
  <c r="D19" i="54"/>
  <c r="F24" i="54"/>
  <c r="AF82" i="54"/>
  <c r="P82" i="54"/>
  <c r="N653" i="44" s="1"/>
  <c r="E15" i="54"/>
  <c r="G15" i="52" s="1"/>
  <c r="I15" i="52" s="1"/>
  <c r="G74" i="24"/>
  <c r="G74" i="21"/>
  <c r="E74" i="21" s="1"/>
  <c r="G74" i="33" s="1"/>
  <c r="E74" i="6"/>
  <c r="AE82" i="6"/>
  <c r="O82" i="6"/>
  <c r="G82" i="6"/>
  <c r="E78" i="31"/>
  <c r="G78" i="43" s="1"/>
  <c r="I78" i="43" s="1"/>
  <c r="E73" i="31"/>
  <c r="G73" i="43" s="1"/>
  <c r="I73" i="43" s="1"/>
  <c r="D41" i="31"/>
  <c r="F41" i="43" s="1"/>
  <c r="AI36" i="31"/>
  <c r="AA36" i="31"/>
  <c r="S36" i="31"/>
  <c r="K36" i="31"/>
  <c r="E23" i="31"/>
  <c r="G23" i="43" s="1"/>
  <c r="I23" i="43" s="1"/>
  <c r="L74" i="19"/>
  <c r="D74" i="43" s="1"/>
  <c r="F74" i="19"/>
  <c r="L32" i="19"/>
  <c r="F32" i="19"/>
  <c r="F36" i="19" s="1"/>
  <c r="M22" i="19"/>
  <c r="E22" i="43" s="1"/>
  <c r="I22" i="43" s="1"/>
  <c r="G22" i="19"/>
  <c r="E39" i="23"/>
  <c r="G39" i="35" s="1"/>
  <c r="I39" i="35" s="1"/>
  <c r="Y82" i="23"/>
  <c r="W641" i="44" s="1"/>
  <c r="L76" i="11"/>
  <c r="D76" i="35" s="1"/>
  <c r="H76" i="35" s="1"/>
  <c r="F76" i="11"/>
  <c r="M65" i="11"/>
  <c r="E65" i="35" s="1"/>
  <c r="E66" i="35" s="1"/>
  <c r="G65" i="11"/>
  <c r="G66" i="11" s="1"/>
  <c r="G88" i="24"/>
  <c r="E88" i="24" s="1"/>
  <c r="G88" i="36" s="1"/>
  <c r="E88" i="21"/>
  <c r="G88" i="33" s="1"/>
  <c r="S66" i="24"/>
  <c r="Z59" i="24"/>
  <c r="Z61" i="24" s="1"/>
  <c r="Z61" i="21"/>
  <c r="R59" i="24"/>
  <c r="R61" i="21"/>
  <c r="J59" i="24"/>
  <c r="J61" i="21"/>
  <c r="L47" i="24"/>
  <c r="D47" i="24" s="1"/>
  <c r="F47" i="36" s="1"/>
  <c r="D47" i="21"/>
  <c r="F47" i="33" s="1"/>
  <c r="H47" i="33" s="1"/>
  <c r="D21" i="21"/>
  <c r="F21" i="33" s="1"/>
  <c r="H21" i="33" s="1"/>
  <c r="AH82" i="21"/>
  <c r="AH91" i="21" s="1"/>
  <c r="H59" i="12"/>
  <c r="L59" i="9"/>
  <c r="F59" i="9"/>
  <c r="F61" i="9" s="1"/>
  <c r="H61" i="9"/>
  <c r="M42" i="9"/>
  <c r="M43" i="9" s="1"/>
  <c r="E61" i="15"/>
  <c r="D61" i="7"/>
  <c r="E61" i="30"/>
  <c r="G59" i="42"/>
  <c r="G16" i="30"/>
  <c r="G82" i="30" s="1"/>
  <c r="M42" i="18"/>
  <c r="M43" i="18" s="1"/>
  <c r="G22" i="18"/>
  <c r="M80" i="53"/>
  <c r="E80" i="52" s="1"/>
  <c r="G70" i="53"/>
  <c r="M59" i="53"/>
  <c r="F54" i="53"/>
  <c r="F56" i="53" s="1"/>
  <c r="L54" i="53"/>
  <c r="M49" i="53"/>
  <c r="E49" i="52" s="1"/>
  <c r="I49" i="52" s="1"/>
  <c r="M40" i="53"/>
  <c r="G27" i="53"/>
  <c r="G29" i="53" s="1"/>
  <c r="F23" i="53"/>
  <c r="L23" i="53"/>
  <c r="D23" i="52" s="1"/>
  <c r="M21" i="53"/>
  <c r="E21" i="52" s="1"/>
  <c r="I16" i="53"/>
  <c r="I82" i="53" s="1"/>
  <c r="AI36" i="54"/>
  <c r="AA36" i="54"/>
  <c r="S36" i="54"/>
  <c r="K36" i="54"/>
  <c r="D28" i="54"/>
  <c r="F28" i="52" s="1"/>
  <c r="H28" i="52" s="1"/>
  <c r="F82" i="6"/>
  <c r="AC82" i="6"/>
  <c r="M82" i="6"/>
  <c r="D42" i="43"/>
  <c r="D43" i="43" s="1"/>
  <c r="D54" i="31"/>
  <c r="AI42" i="31"/>
  <c r="AI43" i="31" s="1"/>
  <c r="AA42" i="31"/>
  <c r="AA43" i="31" s="1"/>
  <c r="S42" i="31"/>
  <c r="S43" i="31" s="1"/>
  <c r="K42" i="31"/>
  <c r="K43" i="31" s="1"/>
  <c r="D35" i="31"/>
  <c r="F35" i="43" s="1"/>
  <c r="H35" i="43" s="1"/>
  <c r="AK36" i="31"/>
  <c r="U36" i="31"/>
  <c r="M36" i="31"/>
  <c r="E21" i="31"/>
  <c r="G21" i="43" s="1"/>
  <c r="I21" i="43" s="1"/>
  <c r="AM24" i="31"/>
  <c r="AM82" i="31" s="1"/>
  <c r="AM91" i="31" s="1"/>
  <c r="AE24" i="31"/>
  <c r="W24" i="31"/>
  <c r="W82" i="31" s="1"/>
  <c r="O24" i="31"/>
  <c r="O82" i="31" s="1"/>
  <c r="E19" i="31"/>
  <c r="D13" i="31"/>
  <c r="F13" i="43" s="1"/>
  <c r="AE82" i="31"/>
  <c r="M73" i="19"/>
  <c r="E73" i="43" s="1"/>
  <c r="E73" i="5" s="1"/>
  <c r="G73" i="19"/>
  <c r="E64" i="43"/>
  <c r="M60" i="19"/>
  <c r="E60" i="43" s="1"/>
  <c r="G60" i="19"/>
  <c r="F61" i="19"/>
  <c r="I43" i="19"/>
  <c r="G20" i="19"/>
  <c r="G24" i="19" s="1"/>
  <c r="M20" i="19"/>
  <c r="L15" i="19"/>
  <c r="D15" i="43" s="1"/>
  <c r="H16" i="19"/>
  <c r="F15" i="19"/>
  <c r="E76" i="23"/>
  <c r="G76" i="35" s="1"/>
  <c r="E54" i="23"/>
  <c r="AO42" i="23"/>
  <c r="AO43" i="23" s="1"/>
  <c r="AG42" i="23"/>
  <c r="AG43" i="23" s="1"/>
  <c r="E33" i="23"/>
  <c r="G33" i="35" s="1"/>
  <c r="I33" i="35" s="1"/>
  <c r="Z36" i="23"/>
  <c r="Z82" i="23" s="1"/>
  <c r="X641" i="44" s="1"/>
  <c r="AK29" i="23"/>
  <c r="AK82" i="23" s="1"/>
  <c r="AC29" i="23"/>
  <c r="AC82" i="23" s="1"/>
  <c r="AA641" i="44" s="1"/>
  <c r="U29" i="23"/>
  <c r="U82" i="23" s="1"/>
  <c r="S641" i="44" s="1"/>
  <c r="M29" i="23"/>
  <c r="M82" i="23" s="1"/>
  <c r="K641" i="44" s="1"/>
  <c r="E27" i="23"/>
  <c r="D23" i="23"/>
  <c r="F23" i="35" s="1"/>
  <c r="AO24" i="23"/>
  <c r="AO82" i="23" s="1"/>
  <c r="AG24" i="23"/>
  <c r="AG82" i="23" s="1"/>
  <c r="Y24" i="23"/>
  <c r="Q24" i="23"/>
  <c r="Q82" i="23" s="1"/>
  <c r="O641" i="44" s="1"/>
  <c r="G55" i="11"/>
  <c r="M55" i="11"/>
  <c r="G49" i="11"/>
  <c r="M49" i="11"/>
  <c r="E49" i="35" s="1"/>
  <c r="I49" i="35" s="1"/>
  <c r="M45" i="11"/>
  <c r="E45" i="35" s="1"/>
  <c r="G45" i="11"/>
  <c r="F23" i="11"/>
  <c r="L23" i="11"/>
  <c r="D23" i="35" s="1"/>
  <c r="D24" i="35" s="1"/>
  <c r="I15" i="12"/>
  <c r="G15" i="11"/>
  <c r="G16" i="11" s="1"/>
  <c r="G82" i="11" s="1"/>
  <c r="M15" i="11"/>
  <c r="E15" i="35" s="1"/>
  <c r="D75" i="21"/>
  <c r="F75" i="33" s="1"/>
  <c r="X72" i="21"/>
  <c r="S43" i="21"/>
  <c r="Y35" i="24"/>
  <c r="Y36" i="21"/>
  <c r="I35" i="24"/>
  <c r="I36" i="21"/>
  <c r="I82" i="21" s="1"/>
  <c r="H23" i="12"/>
  <c r="L23" i="9"/>
  <c r="D23" i="33" s="1"/>
  <c r="H23" i="33" s="1"/>
  <c r="H24" i="9"/>
  <c r="F23" i="9"/>
  <c r="F64" i="53"/>
  <c r="F66" i="53" s="1"/>
  <c r="L64" i="53"/>
  <c r="E19" i="52"/>
  <c r="M24" i="53"/>
  <c r="E80" i="54"/>
  <c r="G80" i="52" s="1"/>
  <c r="I80" i="52" s="1"/>
  <c r="D74" i="54"/>
  <c r="F74" i="52" s="1"/>
  <c r="D70" i="54"/>
  <c r="AM66" i="54"/>
  <c r="AE66" i="54"/>
  <c r="W66" i="54"/>
  <c r="O66" i="54"/>
  <c r="G66" i="54"/>
  <c r="D60" i="54"/>
  <c r="F60" i="52" s="1"/>
  <c r="H60" i="52" s="1"/>
  <c r="AH36" i="54"/>
  <c r="Z36" i="54"/>
  <c r="R36" i="54"/>
  <c r="J36" i="54"/>
  <c r="J82" i="54" s="1"/>
  <c r="H653" i="44" s="1"/>
  <c r="AO29" i="54"/>
  <c r="AO82" i="54" s="1"/>
  <c r="AG29" i="54"/>
  <c r="Y29" i="54"/>
  <c r="Y82" i="54" s="1"/>
  <c r="W653" i="44" s="1"/>
  <c r="Q29" i="54"/>
  <c r="Q82" i="54" s="1"/>
  <c r="O653" i="44" s="1"/>
  <c r="I29" i="54"/>
  <c r="D23" i="54"/>
  <c r="F23" i="52" s="1"/>
  <c r="H23" i="52" s="1"/>
  <c r="AI24" i="54"/>
  <c r="AA24" i="54"/>
  <c r="S24" i="54"/>
  <c r="S82" i="54" s="1"/>
  <c r="Q653" i="44" s="1"/>
  <c r="K24" i="54"/>
  <c r="D13" i="54"/>
  <c r="F13" i="52" s="1"/>
  <c r="H13" i="52" s="1"/>
  <c r="AM16" i="54"/>
  <c r="AM82" i="54" s="1"/>
  <c r="AE16" i="54"/>
  <c r="W16" i="54"/>
  <c r="O16" i="54"/>
  <c r="O82" i="54" s="1"/>
  <c r="M653" i="44" s="1"/>
  <c r="G16" i="54"/>
  <c r="E72" i="6"/>
  <c r="G15" i="29"/>
  <c r="E15" i="29" s="1"/>
  <c r="G15" i="41" s="1"/>
  <c r="I15" i="41" s="1"/>
  <c r="E15" i="6"/>
  <c r="E61" i="43"/>
  <c r="D74" i="31"/>
  <c r="F74" i="43" s="1"/>
  <c r="F74" i="5" s="1"/>
  <c r="H74" i="5" s="1"/>
  <c r="AE66" i="31"/>
  <c r="AL61" i="31"/>
  <c r="AD61" i="31"/>
  <c r="V61" i="31"/>
  <c r="N61" i="31"/>
  <c r="F61" i="31"/>
  <c r="D55" i="31"/>
  <c r="F55" i="43" s="1"/>
  <c r="H36" i="31"/>
  <c r="D33" i="31"/>
  <c r="F33" i="43" s="1"/>
  <c r="M24" i="31"/>
  <c r="I82" i="31"/>
  <c r="AL16" i="31"/>
  <c r="AD16" i="31"/>
  <c r="AD82" i="31" s="1"/>
  <c r="V16" i="31"/>
  <c r="V82" i="31" s="1"/>
  <c r="N16" i="31"/>
  <c r="D11" i="31"/>
  <c r="F16" i="31"/>
  <c r="G88" i="19"/>
  <c r="M88" i="19"/>
  <c r="E88" i="43" s="1"/>
  <c r="M86" i="19"/>
  <c r="G86" i="19"/>
  <c r="G89" i="19" s="1"/>
  <c r="L81" i="19"/>
  <c r="D81" i="43" s="1"/>
  <c r="D81" i="5" s="1"/>
  <c r="F81" i="19"/>
  <c r="I24" i="19"/>
  <c r="H56" i="23"/>
  <c r="D55" i="23"/>
  <c r="F55" i="35" s="1"/>
  <c r="H55" i="35" s="1"/>
  <c r="D49" i="23"/>
  <c r="F49" i="35" s="1"/>
  <c r="H49" i="35" s="1"/>
  <c r="K43" i="23"/>
  <c r="E23" i="23"/>
  <c r="G23" i="35" s="1"/>
  <c r="I23" i="35" s="1"/>
  <c r="N82" i="23"/>
  <c r="L641" i="44" s="1"/>
  <c r="G71" i="11"/>
  <c r="G72" i="11" s="1"/>
  <c r="I72" i="11"/>
  <c r="E72" i="33"/>
  <c r="G87" i="24"/>
  <c r="E87" i="24" s="1"/>
  <c r="G87" i="36" s="1"/>
  <c r="E87" i="21"/>
  <c r="G87" i="33" s="1"/>
  <c r="F24" i="21"/>
  <c r="H87" i="12"/>
  <c r="H89" i="9"/>
  <c r="L87" i="9"/>
  <c r="F36" i="9"/>
  <c r="L76" i="53"/>
  <c r="D76" i="52" s="1"/>
  <c r="F76" i="53"/>
  <c r="F74" i="53"/>
  <c r="L74" i="53"/>
  <c r="D74" i="52" s="1"/>
  <c r="L35" i="53"/>
  <c r="D35" i="52" s="1"/>
  <c r="F35" i="53"/>
  <c r="F33" i="53"/>
  <c r="F36" i="53" s="1"/>
  <c r="L33" i="53"/>
  <c r="D33" i="52" s="1"/>
  <c r="H36" i="53"/>
  <c r="F15" i="53"/>
  <c r="L15" i="53"/>
  <c r="D15" i="52" s="1"/>
  <c r="D78" i="54"/>
  <c r="F78" i="52" s="1"/>
  <c r="H78" i="52" s="1"/>
  <c r="D64" i="54"/>
  <c r="E59" i="54"/>
  <c r="E51" i="54"/>
  <c r="G51" i="52" s="1"/>
  <c r="I51" i="52" s="1"/>
  <c r="E39" i="54"/>
  <c r="G39" i="52" s="1"/>
  <c r="I39" i="52" s="1"/>
  <c r="E33" i="54"/>
  <c r="G33" i="52" s="1"/>
  <c r="I33" i="52" s="1"/>
  <c r="D27" i="54"/>
  <c r="D21" i="54"/>
  <c r="F21" i="52" s="1"/>
  <c r="D77" i="31"/>
  <c r="F77" i="43" s="1"/>
  <c r="H77" i="43" s="1"/>
  <c r="D71" i="31"/>
  <c r="F71" i="43" s="1"/>
  <c r="H71" i="43" s="1"/>
  <c r="F72" i="31"/>
  <c r="E65" i="31"/>
  <c r="G65" i="43" s="1"/>
  <c r="AJ66" i="31"/>
  <c r="AB66" i="31"/>
  <c r="T66" i="31"/>
  <c r="L66" i="31"/>
  <c r="E55" i="31"/>
  <c r="G55" i="43" s="1"/>
  <c r="I55" i="43" s="1"/>
  <c r="E34" i="31"/>
  <c r="G34" i="43" s="1"/>
  <c r="AG36" i="31"/>
  <c r="AG82" i="31" s="1"/>
  <c r="AG91" i="31" s="1"/>
  <c r="Y36" i="31"/>
  <c r="Q36" i="31"/>
  <c r="AI16" i="31"/>
  <c r="AA16" i="31"/>
  <c r="S16" i="31"/>
  <c r="S82" i="31" s="1"/>
  <c r="K16" i="31"/>
  <c r="K82" i="31" s="1"/>
  <c r="D89" i="43"/>
  <c r="D70" i="43"/>
  <c r="D72" i="43" s="1"/>
  <c r="L72" i="19"/>
  <c r="L51" i="19"/>
  <c r="D51" i="43" s="1"/>
  <c r="F51" i="19"/>
  <c r="G27" i="19"/>
  <c r="G29" i="19" s="1"/>
  <c r="M27" i="19"/>
  <c r="L23" i="19"/>
  <c r="D23" i="43" s="1"/>
  <c r="H24" i="19"/>
  <c r="F23" i="19"/>
  <c r="G12" i="19"/>
  <c r="M12" i="19"/>
  <c r="E13" i="23"/>
  <c r="G13" i="35" s="1"/>
  <c r="E72" i="35"/>
  <c r="M47" i="11"/>
  <c r="E47" i="35" s="1"/>
  <c r="E47" i="5" s="1"/>
  <c r="G47" i="11"/>
  <c r="L35" i="11"/>
  <c r="D35" i="35" s="1"/>
  <c r="H35" i="35" s="1"/>
  <c r="F35" i="11"/>
  <c r="H36" i="11"/>
  <c r="F86" i="24"/>
  <c r="D86" i="21"/>
  <c r="F89" i="21"/>
  <c r="Z77" i="24"/>
  <c r="R77" i="24"/>
  <c r="J77" i="24"/>
  <c r="D77" i="21"/>
  <c r="F77" i="33" s="1"/>
  <c r="H77" i="33" s="1"/>
  <c r="D51" i="21"/>
  <c r="F51" i="33" s="1"/>
  <c r="H51" i="33" s="1"/>
  <c r="AA39" i="24"/>
  <c r="S39" i="24"/>
  <c r="K39" i="24"/>
  <c r="E39" i="21"/>
  <c r="G39" i="33" s="1"/>
  <c r="Z32" i="24"/>
  <c r="Z36" i="21"/>
  <c r="R32" i="24"/>
  <c r="R36" i="21"/>
  <c r="J36" i="21"/>
  <c r="J32" i="24"/>
  <c r="J36" i="24" s="1"/>
  <c r="L29" i="53"/>
  <c r="E11" i="52"/>
  <c r="E16" i="52" s="1"/>
  <c r="M16" i="53"/>
  <c r="D71" i="54"/>
  <c r="F71" i="52" s="1"/>
  <c r="E65" i="54"/>
  <c r="G65" i="52" s="1"/>
  <c r="I65" i="52" s="1"/>
  <c r="D59" i="54"/>
  <c r="D51" i="54"/>
  <c r="F51" i="52" s="1"/>
  <c r="H51" i="52" s="1"/>
  <c r="D39" i="54"/>
  <c r="F39" i="52" s="1"/>
  <c r="H39" i="52" s="1"/>
  <c r="AL36" i="54"/>
  <c r="AD36" i="54"/>
  <c r="V36" i="54"/>
  <c r="N36" i="54"/>
  <c r="F36" i="54"/>
  <c r="D33" i="54"/>
  <c r="F33" i="52" s="1"/>
  <c r="T82" i="54"/>
  <c r="R653" i="44" s="1"/>
  <c r="L82" i="54"/>
  <c r="J653" i="44" s="1"/>
  <c r="D14" i="54"/>
  <c r="F14" i="52" s="1"/>
  <c r="H14" i="52" s="1"/>
  <c r="Y82" i="6"/>
  <c r="P82" i="6"/>
  <c r="D86" i="31"/>
  <c r="F89" i="31"/>
  <c r="D60" i="31"/>
  <c r="F60" i="43" s="1"/>
  <c r="H60" i="43" s="1"/>
  <c r="E54" i="31"/>
  <c r="D40" i="31"/>
  <c r="F24" i="31"/>
  <c r="D20" i="31"/>
  <c r="F20" i="43" s="1"/>
  <c r="H20" i="43" s="1"/>
  <c r="AK16" i="31"/>
  <c r="AK82" i="31" s="1"/>
  <c r="AK91" i="31" s="1"/>
  <c r="AC16" i="31"/>
  <c r="AC82" i="31" s="1"/>
  <c r="U16" i="31"/>
  <c r="M16" i="31"/>
  <c r="E12" i="31"/>
  <c r="G12" i="43" s="1"/>
  <c r="Z82" i="31"/>
  <c r="R82" i="31"/>
  <c r="H72" i="19"/>
  <c r="F55" i="19"/>
  <c r="L55" i="19"/>
  <c r="D55" i="43" s="1"/>
  <c r="D56" i="43" s="1"/>
  <c r="G39" i="19"/>
  <c r="M39" i="19"/>
  <c r="E39" i="43" s="1"/>
  <c r="E39" i="5" s="1"/>
  <c r="H36" i="19"/>
  <c r="I16" i="19"/>
  <c r="D60" i="23"/>
  <c r="F60" i="35" s="1"/>
  <c r="H60" i="35" s="1"/>
  <c r="F61" i="23"/>
  <c r="AK36" i="23"/>
  <c r="AC36" i="23"/>
  <c r="U36" i="23"/>
  <c r="M36" i="23"/>
  <c r="E22" i="23"/>
  <c r="G22" i="35" s="1"/>
  <c r="AJ24" i="23"/>
  <c r="AB24" i="23"/>
  <c r="T24" i="23"/>
  <c r="L24" i="23"/>
  <c r="D19" i="23"/>
  <c r="AH82" i="23"/>
  <c r="AM16" i="23"/>
  <c r="AM82" i="23" s="1"/>
  <c r="AE16" i="23"/>
  <c r="F54" i="11"/>
  <c r="F56" i="11" s="1"/>
  <c r="L54" i="11"/>
  <c r="H56" i="11"/>
  <c r="L28" i="11"/>
  <c r="D28" i="35" s="1"/>
  <c r="F28" i="11"/>
  <c r="H29" i="11"/>
  <c r="L16" i="11"/>
  <c r="AA71" i="24"/>
  <c r="AA72" i="21"/>
  <c r="S72" i="21"/>
  <c r="S71" i="24"/>
  <c r="K72" i="21"/>
  <c r="K71" i="24"/>
  <c r="P70" i="24"/>
  <c r="P72" i="21"/>
  <c r="H70" i="24"/>
  <c r="H72" i="24" s="1"/>
  <c r="H72" i="21"/>
  <c r="H65" i="24"/>
  <c r="H66" i="21"/>
  <c r="D65" i="21"/>
  <c r="F65" i="33" s="1"/>
  <c r="H65" i="33" s="1"/>
  <c r="Z41" i="24"/>
  <c r="Z42" i="21"/>
  <c r="Z43" i="21" s="1"/>
  <c r="R41" i="24"/>
  <c r="R42" i="21"/>
  <c r="R43" i="21" s="1"/>
  <c r="J41" i="24"/>
  <c r="J42" i="21"/>
  <c r="J43" i="21" s="1"/>
  <c r="P34" i="24"/>
  <c r="P36" i="21"/>
  <c r="T33" i="24"/>
  <c r="T36" i="21"/>
  <c r="D28" i="31"/>
  <c r="D22" i="31"/>
  <c r="F22" i="43" s="1"/>
  <c r="H22" i="43" s="1"/>
  <c r="E11" i="31"/>
  <c r="G16" i="31"/>
  <c r="M81" i="19"/>
  <c r="E81" i="43" s="1"/>
  <c r="E81" i="5" s="1"/>
  <c r="G81" i="19"/>
  <c r="H56" i="19"/>
  <c r="D81" i="23"/>
  <c r="F81" i="35" s="1"/>
  <c r="H81" i="35" s="1"/>
  <c r="D75" i="23"/>
  <c r="F75" i="35" s="1"/>
  <c r="H75" i="35" s="1"/>
  <c r="D45" i="23"/>
  <c r="F45" i="35" s="1"/>
  <c r="H45" i="35" s="1"/>
  <c r="D34" i="23"/>
  <c r="F34" i="35" s="1"/>
  <c r="H34" i="35" s="1"/>
  <c r="D28" i="23"/>
  <c r="F29" i="23"/>
  <c r="F82" i="23" s="1"/>
  <c r="AD82" i="23"/>
  <c r="AB641" i="44" s="1"/>
  <c r="E11" i="23"/>
  <c r="L66" i="11"/>
  <c r="D64" i="35"/>
  <c r="D66" i="35" s="1"/>
  <c r="G61" i="11"/>
  <c r="M51" i="11"/>
  <c r="E51" i="35" s="1"/>
  <c r="I51" i="35" s="1"/>
  <c r="G51" i="11"/>
  <c r="D32" i="35"/>
  <c r="I29" i="11"/>
  <c r="G28" i="11"/>
  <c r="G29" i="11" s="1"/>
  <c r="G19" i="11"/>
  <c r="G24" i="11" s="1"/>
  <c r="I24" i="11"/>
  <c r="E76" i="21"/>
  <c r="G76" i="33" s="1"/>
  <c r="I76" i="33" s="1"/>
  <c r="D74" i="21"/>
  <c r="F74" i="33" s="1"/>
  <c r="H74" i="33" s="1"/>
  <c r="V70" i="24"/>
  <c r="V72" i="24" s="1"/>
  <c r="V72" i="21"/>
  <c r="N70" i="24"/>
  <c r="N72" i="24" s="1"/>
  <c r="N72" i="21"/>
  <c r="D70" i="21"/>
  <c r="F72" i="21"/>
  <c r="J64" i="24"/>
  <c r="J66" i="21"/>
  <c r="AD59" i="24"/>
  <c r="AD61" i="21"/>
  <c r="V61" i="24"/>
  <c r="D59" i="21"/>
  <c r="F61" i="21"/>
  <c r="AD54" i="24"/>
  <c r="AD56" i="24" s="1"/>
  <c r="AD56" i="21"/>
  <c r="D54" i="21"/>
  <c r="AE40" i="24"/>
  <c r="AE42" i="21"/>
  <c r="AE43" i="21" s="1"/>
  <c r="W40" i="24"/>
  <c r="W42" i="21"/>
  <c r="W43" i="21" s="1"/>
  <c r="O40" i="24"/>
  <c r="O42" i="24" s="1"/>
  <c r="O43" i="24" s="1"/>
  <c r="O42" i="21"/>
  <c r="O43" i="21" s="1"/>
  <c r="L39" i="24"/>
  <c r="AE21" i="24"/>
  <c r="J24" i="21"/>
  <c r="V24" i="21"/>
  <c r="D12" i="21"/>
  <c r="F12" i="33" s="1"/>
  <c r="H12" i="33" s="1"/>
  <c r="Z16" i="21"/>
  <c r="Z82" i="21" s="1"/>
  <c r="Z11" i="24"/>
  <c r="R11" i="24"/>
  <c r="R16" i="21"/>
  <c r="J11" i="24"/>
  <c r="J16" i="21"/>
  <c r="J82" i="21" s="1"/>
  <c r="H75" i="12"/>
  <c r="L75" i="9"/>
  <c r="D75" i="33" s="1"/>
  <c r="F75" i="9"/>
  <c r="H54" i="12"/>
  <c r="F54" i="9"/>
  <c r="F56" i="9" s="1"/>
  <c r="L54" i="9"/>
  <c r="H56" i="9"/>
  <c r="I23" i="12"/>
  <c r="G23" i="9"/>
  <c r="M23" i="9"/>
  <c r="E23" i="33" s="1"/>
  <c r="I23" i="33" s="1"/>
  <c r="E20" i="4"/>
  <c r="G15" i="24"/>
  <c r="G15" i="21"/>
  <c r="E15" i="21" s="1"/>
  <c r="G15" i="33" s="1"/>
  <c r="D81" i="31"/>
  <c r="F81" i="43" s="1"/>
  <c r="F81" i="5" s="1"/>
  <c r="AO29" i="31"/>
  <c r="AG29" i="31"/>
  <c r="Y29" i="31"/>
  <c r="Y82" i="31" s="1"/>
  <c r="Q29" i="31"/>
  <c r="Q82" i="31" s="1"/>
  <c r="I29" i="31"/>
  <c r="AI24" i="31"/>
  <c r="AA24" i="31"/>
  <c r="S24" i="31"/>
  <c r="K24" i="31"/>
  <c r="H89" i="19"/>
  <c r="G79" i="19"/>
  <c r="M79" i="19"/>
  <c r="E79" i="43" s="1"/>
  <c r="E79" i="5" s="1"/>
  <c r="M77" i="19"/>
  <c r="E77" i="43" s="1"/>
  <c r="G77" i="19"/>
  <c r="F54" i="19"/>
  <c r="E40" i="43"/>
  <c r="D73" i="23"/>
  <c r="F73" i="35" s="1"/>
  <c r="H73" i="35" s="1"/>
  <c r="E65" i="23"/>
  <c r="G65" i="35" s="1"/>
  <c r="I65" i="35" s="1"/>
  <c r="AI66" i="23"/>
  <c r="AI82" i="23" s="1"/>
  <c r="AA66" i="23"/>
  <c r="AA82" i="23" s="1"/>
  <c r="Y641" i="44" s="1"/>
  <c r="S66" i="23"/>
  <c r="S82" i="23" s="1"/>
  <c r="Q641" i="44" s="1"/>
  <c r="K66" i="23"/>
  <c r="AK61" i="23"/>
  <c r="AC61" i="23"/>
  <c r="U61" i="23"/>
  <c r="M61" i="23"/>
  <c r="E59" i="23"/>
  <c r="AM56" i="23"/>
  <c r="AE56" i="23"/>
  <c r="W56" i="23"/>
  <c r="W82" i="23" s="1"/>
  <c r="U641" i="44" s="1"/>
  <c r="O56" i="23"/>
  <c r="O82" i="23" s="1"/>
  <c r="M641" i="44" s="1"/>
  <c r="G56" i="23"/>
  <c r="E47" i="23"/>
  <c r="G47" i="35" s="1"/>
  <c r="E40" i="23"/>
  <c r="E35" i="23"/>
  <c r="G35" i="35" s="1"/>
  <c r="I35" i="35" s="1"/>
  <c r="H29" i="23"/>
  <c r="K24" i="23"/>
  <c r="K82" i="23" s="1"/>
  <c r="D20" i="23"/>
  <c r="F20" i="35" s="1"/>
  <c r="H20" i="35" s="1"/>
  <c r="D14" i="23"/>
  <c r="F14" i="35" s="1"/>
  <c r="H14" i="35" s="1"/>
  <c r="L79" i="11"/>
  <c r="D79" i="35" s="1"/>
  <c r="F79" i="11"/>
  <c r="G40" i="11"/>
  <c r="G42" i="11" s="1"/>
  <c r="G43" i="11" s="1"/>
  <c r="F15" i="11"/>
  <c r="L15" i="11"/>
  <c r="D15" i="35" s="1"/>
  <c r="D16" i="35" s="1"/>
  <c r="M11" i="11"/>
  <c r="I16" i="11"/>
  <c r="F87" i="24"/>
  <c r="D87" i="24" s="1"/>
  <c r="F87" i="36" s="1"/>
  <c r="D87" i="21"/>
  <c r="F87" i="33" s="1"/>
  <c r="F87" i="5" s="1"/>
  <c r="AE80" i="24"/>
  <c r="W80" i="24"/>
  <c r="Q78" i="24"/>
  <c r="E78" i="24" s="1"/>
  <c r="G78" i="36" s="1"/>
  <c r="I78" i="24"/>
  <c r="AD72" i="21"/>
  <c r="AN66" i="21"/>
  <c r="X66" i="21"/>
  <c r="V61" i="21"/>
  <c r="V56" i="21"/>
  <c r="Q55" i="24"/>
  <c r="Q56" i="21"/>
  <c r="I55" i="24"/>
  <c r="I56" i="21"/>
  <c r="AJ56" i="21"/>
  <c r="T56" i="21"/>
  <c r="T54" i="24"/>
  <c r="T56" i="24" s="1"/>
  <c r="L54" i="24"/>
  <c r="L56" i="24" s="1"/>
  <c r="L56" i="21"/>
  <c r="X47" i="24"/>
  <c r="AC45" i="24"/>
  <c r="U45" i="24"/>
  <c r="M45" i="24"/>
  <c r="E45" i="21"/>
  <c r="G45" i="33" s="1"/>
  <c r="I45" i="33" s="1"/>
  <c r="Y41" i="24"/>
  <c r="Y42" i="21"/>
  <c r="Y43" i="21" s="1"/>
  <c r="Q41" i="24"/>
  <c r="Q42" i="21"/>
  <c r="Q43" i="21" s="1"/>
  <c r="I41" i="24"/>
  <c r="E41" i="21"/>
  <c r="G41" i="33" s="1"/>
  <c r="I42" i="21"/>
  <c r="I43" i="21" s="1"/>
  <c r="AC40" i="24"/>
  <c r="AC42" i="21"/>
  <c r="AC43" i="21" s="1"/>
  <c r="U40" i="24"/>
  <c r="U42" i="24" s="1"/>
  <c r="U43" i="24" s="1"/>
  <c r="U42" i="21"/>
  <c r="U43" i="21" s="1"/>
  <c r="M40" i="24"/>
  <c r="M42" i="21"/>
  <c r="M43" i="21" s="1"/>
  <c r="E40" i="21"/>
  <c r="AF36" i="21"/>
  <c r="Z14" i="24"/>
  <c r="R14" i="24"/>
  <c r="J14" i="24"/>
  <c r="G51" i="9"/>
  <c r="M51" i="9"/>
  <c r="E51" i="33" s="1"/>
  <c r="I51" i="12"/>
  <c r="T65" i="24"/>
  <c r="P41" i="24"/>
  <c r="P42" i="24" s="1"/>
  <c r="P43" i="24" s="1"/>
  <c r="F24" i="24"/>
  <c r="D75" i="31"/>
  <c r="F75" i="43" s="1"/>
  <c r="H75" i="43" s="1"/>
  <c r="AO61" i="31"/>
  <c r="AG61" i="31"/>
  <c r="Y61" i="31"/>
  <c r="Q61" i="31"/>
  <c r="I61" i="31"/>
  <c r="D49" i="31"/>
  <c r="F49" i="43" s="1"/>
  <c r="H49" i="43" s="1"/>
  <c r="D32" i="31"/>
  <c r="E15" i="31"/>
  <c r="G15" i="43" s="1"/>
  <c r="I15" i="43" s="1"/>
  <c r="L75" i="19"/>
  <c r="D75" i="43" s="1"/>
  <c r="G55" i="19"/>
  <c r="G56" i="19" s="1"/>
  <c r="I56" i="19"/>
  <c r="M55" i="19"/>
  <c r="E55" i="43" s="1"/>
  <c r="M51" i="19"/>
  <c r="E51" i="43" s="1"/>
  <c r="E51" i="5" s="1"/>
  <c r="G51" i="19"/>
  <c r="L42" i="19"/>
  <c r="L43" i="19" s="1"/>
  <c r="J82" i="19"/>
  <c r="J91" i="19" s="1"/>
  <c r="D79" i="23"/>
  <c r="F79" i="35" s="1"/>
  <c r="H79" i="35" s="1"/>
  <c r="E70" i="23"/>
  <c r="D65" i="23"/>
  <c r="F65" i="35" s="1"/>
  <c r="H65" i="35" s="1"/>
  <c r="D54" i="23"/>
  <c r="E41" i="23"/>
  <c r="G41" i="35" s="1"/>
  <c r="AJ42" i="23"/>
  <c r="AJ43" i="23" s="1"/>
  <c r="AB42" i="23"/>
  <c r="AB43" i="23" s="1"/>
  <c r="T42" i="23"/>
  <c r="T43" i="23" s="1"/>
  <c r="L42" i="23"/>
  <c r="L43" i="23" s="1"/>
  <c r="AN36" i="23"/>
  <c r="AF36" i="23"/>
  <c r="X36" i="23"/>
  <c r="P36" i="23"/>
  <c r="H36" i="23"/>
  <c r="D32" i="23"/>
  <c r="E20" i="23"/>
  <c r="G20" i="35" s="1"/>
  <c r="I20" i="35" s="1"/>
  <c r="AL82" i="23"/>
  <c r="AJ16" i="23"/>
  <c r="AB16" i="23"/>
  <c r="T16" i="23"/>
  <c r="L16" i="23"/>
  <c r="F77" i="11"/>
  <c r="L77" i="11"/>
  <c r="D77" i="35" s="1"/>
  <c r="M12" i="11"/>
  <c r="E12" i="35" s="1"/>
  <c r="G89" i="21"/>
  <c r="AE64" i="24"/>
  <c r="AE66" i="24" s="1"/>
  <c r="AE66" i="21"/>
  <c r="W64" i="24"/>
  <c r="W66" i="21"/>
  <c r="O64" i="24"/>
  <c r="O66" i="24" s="1"/>
  <c r="O66" i="21"/>
  <c r="E64" i="21"/>
  <c r="G66" i="21"/>
  <c r="X55" i="24"/>
  <c r="X56" i="21"/>
  <c r="P55" i="24"/>
  <c r="H55" i="24"/>
  <c r="D55" i="24" s="1"/>
  <c r="F55" i="36" s="1"/>
  <c r="AA49" i="24"/>
  <c r="S49" i="24"/>
  <c r="K49" i="24"/>
  <c r="E47" i="21"/>
  <c r="G47" i="33" s="1"/>
  <c r="I88" i="12"/>
  <c r="M88" i="9"/>
  <c r="I74" i="12"/>
  <c r="M74" i="9"/>
  <c r="E74" i="33" s="1"/>
  <c r="G74" i="9"/>
  <c r="H60" i="12"/>
  <c r="F60" i="9"/>
  <c r="L60" i="9"/>
  <c r="D60" i="33" s="1"/>
  <c r="I55" i="12"/>
  <c r="M55" i="9"/>
  <c r="E55" i="33" s="1"/>
  <c r="E56" i="33" s="1"/>
  <c r="G55" i="9"/>
  <c r="G56" i="9" s="1"/>
  <c r="I56" i="9"/>
  <c r="H51" i="12"/>
  <c r="F51" i="9"/>
  <c r="L51" i="9"/>
  <c r="D51" i="33" s="1"/>
  <c r="F72" i="24"/>
  <c r="D49" i="20"/>
  <c r="F49" i="32" s="1"/>
  <c r="H49" i="32" s="1"/>
  <c r="E35" i="20"/>
  <c r="G35" i="32" s="1"/>
  <c r="G81" i="24"/>
  <c r="G81" i="21"/>
  <c r="E81" i="21" s="1"/>
  <c r="G81" i="33" s="1"/>
  <c r="I81" i="33" s="1"/>
  <c r="E56" i="43"/>
  <c r="D79" i="31"/>
  <c r="F79" i="43" s="1"/>
  <c r="H79" i="43" s="1"/>
  <c r="E59" i="31"/>
  <c r="E51" i="31"/>
  <c r="G51" i="43" s="1"/>
  <c r="E39" i="31"/>
  <c r="G39" i="43" s="1"/>
  <c r="E33" i="31"/>
  <c r="G33" i="43" s="1"/>
  <c r="AL29" i="31"/>
  <c r="AD29" i="31"/>
  <c r="V29" i="31"/>
  <c r="N29" i="31"/>
  <c r="F29" i="31"/>
  <c r="AN24" i="31"/>
  <c r="AN82" i="31" s="1"/>
  <c r="AN91" i="31" s="1"/>
  <c r="AF24" i="31"/>
  <c r="X24" i="31"/>
  <c r="X82" i="31" s="1"/>
  <c r="P24" i="31"/>
  <c r="P82" i="31" s="1"/>
  <c r="H24" i="31"/>
  <c r="E13" i="31"/>
  <c r="G13" i="43" s="1"/>
  <c r="G70" i="19"/>
  <c r="G72" i="19" s="1"/>
  <c r="M70" i="19"/>
  <c r="M56" i="19"/>
  <c r="G47" i="19"/>
  <c r="M47" i="19"/>
  <c r="E47" i="43" s="1"/>
  <c r="I47" i="43" s="1"/>
  <c r="K82" i="19"/>
  <c r="K91" i="19" s="1"/>
  <c r="G34" i="19"/>
  <c r="M34" i="19"/>
  <c r="E34" i="43" s="1"/>
  <c r="M32" i="19"/>
  <c r="G32" i="19"/>
  <c r="G36" i="19" s="1"/>
  <c r="F24" i="19"/>
  <c r="F16" i="19"/>
  <c r="D77" i="23"/>
  <c r="F77" i="35" s="1"/>
  <c r="AH61" i="23"/>
  <c r="Z61" i="23"/>
  <c r="R61" i="23"/>
  <c r="J61" i="23"/>
  <c r="E55" i="23"/>
  <c r="G55" i="35" s="1"/>
  <c r="AJ56" i="23"/>
  <c r="AB56" i="23"/>
  <c r="T56" i="23"/>
  <c r="L56" i="23"/>
  <c r="AN24" i="23"/>
  <c r="AF24" i="23"/>
  <c r="X24" i="23"/>
  <c r="P24" i="23"/>
  <c r="H24" i="23"/>
  <c r="V82" i="23"/>
  <c r="T641" i="44" s="1"/>
  <c r="M76" i="11"/>
  <c r="E76" i="35" s="1"/>
  <c r="E76" i="5" s="1"/>
  <c r="G76" i="11"/>
  <c r="F72" i="11"/>
  <c r="I56" i="11"/>
  <c r="G41" i="11"/>
  <c r="M41" i="11"/>
  <c r="E41" i="35" s="1"/>
  <c r="F33" i="11"/>
  <c r="F36" i="11" s="1"/>
  <c r="L33" i="11"/>
  <c r="D33" i="35" s="1"/>
  <c r="I81" i="24"/>
  <c r="Y79" i="24"/>
  <c r="Q79" i="24"/>
  <c r="I79" i="24"/>
  <c r="X76" i="24"/>
  <c r="P76" i="24"/>
  <c r="H76" i="24"/>
  <c r="D76" i="24" s="1"/>
  <c r="F76" i="36" s="1"/>
  <c r="AC75" i="24"/>
  <c r="D73" i="21"/>
  <c r="F73" i="33" s="1"/>
  <c r="H73" i="33" s="1"/>
  <c r="Z66" i="21"/>
  <c r="I61" i="21"/>
  <c r="I59" i="24"/>
  <c r="Z45" i="24"/>
  <c r="R45" i="24"/>
  <c r="J45" i="24"/>
  <c r="AK36" i="21"/>
  <c r="AC33" i="24"/>
  <c r="AC36" i="21"/>
  <c r="U33" i="24"/>
  <c r="U36" i="21"/>
  <c r="M33" i="24"/>
  <c r="M36" i="21"/>
  <c r="E33" i="21"/>
  <c r="G33" i="33" s="1"/>
  <c r="I33" i="33" s="1"/>
  <c r="AA32" i="24"/>
  <c r="S32" i="24"/>
  <c r="S36" i="21"/>
  <c r="K32" i="24"/>
  <c r="K36" i="21"/>
  <c r="I87" i="12"/>
  <c r="M87" i="9"/>
  <c r="I89" i="9"/>
  <c r="E11" i="54"/>
  <c r="D72" i="6"/>
  <c r="G54" i="24"/>
  <c r="G54" i="21"/>
  <c r="G35" i="24"/>
  <c r="G35" i="21"/>
  <c r="D36" i="6"/>
  <c r="D82" i="6" s="1"/>
  <c r="G19" i="24"/>
  <c r="G19" i="21"/>
  <c r="AB82" i="6"/>
  <c r="T82" i="6"/>
  <c r="L82" i="6"/>
  <c r="AN56" i="31"/>
  <c r="AF56" i="31"/>
  <c r="X56" i="31"/>
  <c r="P56" i="31"/>
  <c r="H56" i="31"/>
  <c r="AN42" i="31"/>
  <c r="AN43" i="31" s="1"/>
  <c r="AF42" i="31"/>
  <c r="AF43" i="31" s="1"/>
  <c r="X42" i="31"/>
  <c r="X43" i="31" s="1"/>
  <c r="P42" i="31"/>
  <c r="P43" i="31" s="1"/>
  <c r="H42" i="31"/>
  <c r="H43" i="31" s="1"/>
  <c r="D91" i="19"/>
  <c r="G65" i="19"/>
  <c r="G66" i="19" s="1"/>
  <c r="I66" i="19"/>
  <c r="M65" i="19"/>
  <c r="E65" i="43" s="1"/>
  <c r="M61" i="19"/>
  <c r="M41" i="19"/>
  <c r="E41" i="43" s="1"/>
  <c r="G41" i="19"/>
  <c r="G42" i="19" s="1"/>
  <c r="G43" i="19" s="1"/>
  <c r="E78" i="23"/>
  <c r="G78" i="35" s="1"/>
  <c r="I78" i="35" s="1"/>
  <c r="D71" i="23"/>
  <c r="F71" i="35" s="1"/>
  <c r="H71" i="35" s="1"/>
  <c r="D64" i="23"/>
  <c r="AJ36" i="23"/>
  <c r="AB36" i="23"/>
  <c r="T36" i="23"/>
  <c r="L36" i="23"/>
  <c r="D33" i="23"/>
  <c r="F33" i="35" s="1"/>
  <c r="H33" i="35" s="1"/>
  <c r="D22" i="23"/>
  <c r="F22" i="35" s="1"/>
  <c r="H22" i="35" s="1"/>
  <c r="D13" i="23"/>
  <c r="F13" i="35" s="1"/>
  <c r="H13" i="35" s="1"/>
  <c r="AN16" i="23"/>
  <c r="AN82" i="23" s="1"/>
  <c r="AF16" i="23"/>
  <c r="AF82" i="23" s="1"/>
  <c r="X16" i="23"/>
  <c r="X82" i="23" s="1"/>
  <c r="V641" i="44" s="1"/>
  <c r="P16" i="23"/>
  <c r="H16" i="23"/>
  <c r="M66" i="11"/>
  <c r="L59" i="11"/>
  <c r="H61" i="11"/>
  <c r="F59" i="11"/>
  <c r="F61" i="11" s="1"/>
  <c r="G54" i="11"/>
  <c r="G56" i="11" s="1"/>
  <c r="M40" i="11"/>
  <c r="M32" i="11"/>
  <c r="G32" i="11"/>
  <c r="G36" i="11" s="1"/>
  <c r="I36" i="11"/>
  <c r="M28" i="11"/>
  <c r="F29" i="11"/>
  <c r="L24" i="11"/>
  <c r="M13" i="11"/>
  <c r="E13" i="35" s="1"/>
  <c r="W81" i="24"/>
  <c r="D81" i="21"/>
  <c r="F81" i="33" s="1"/>
  <c r="H81" i="33" s="1"/>
  <c r="Z71" i="24"/>
  <c r="R71" i="24"/>
  <c r="J71" i="24"/>
  <c r="R66" i="21"/>
  <c r="AC65" i="24"/>
  <c r="AC66" i="21"/>
  <c r="U65" i="24"/>
  <c r="U66" i="21"/>
  <c r="M66" i="21"/>
  <c r="M65" i="24"/>
  <c r="E65" i="24" s="1"/>
  <c r="G65" i="36" s="1"/>
  <c r="E65" i="21"/>
  <c r="G65" i="33" s="1"/>
  <c r="AA64" i="24"/>
  <c r="AA66" i="21"/>
  <c r="K64" i="24"/>
  <c r="K66" i="24" s="1"/>
  <c r="K66" i="21"/>
  <c r="Z60" i="24"/>
  <c r="R60" i="24"/>
  <c r="J60" i="24"/>
  <c r="AB55" i="24"/>
  <c r="AB56" i="24" s="1"/>
  <c r="T55" i="24"/>
  <c r="L55" i="24"/>
  <c r="AE54" i="24"/>
  <c r="F56" i="21"/>
  <c r="E49" i="21"/>
  <c r="G49" i="33" s="1"/>
  <c r="I49" i="33" s="1"/>
  <c r="AB20" i="24"/>
  <c r="AB24" i="21"/>
  <c r="D19" i="21"/>
  <c r="AD12" i="24"/>
  <c r="AD16" i="21"/>
  <c r="V12" i="24"/>
  <c r="V16" i="21"/>
  <c r="V82" i="21" s="1"/>
  <c r="N12" i="24"/>
  <c r="N16" i="21"/>
  <c r="N82" i="21" s="1"/>
  <c r="I21" i="12"/>
  <c r="M21" i="9"/>
  <c r="E21" i="33" s="1"/>
  <c r="E24" i="33" s="1"/>
  <c r="G21" i="9"/>
  <c r="L24" i="9"/>
  <c r="D19" i="33"/>
  <c r="T66" i="24"/>
  <c r="N59" i="24"/>
  <c r="Y55" i="24"/>
  <c r="I16" i="24"/>
  <c r="G55" i="24"/>
  <c r="G55" i="21"/>
  <c r="E55" i="21" s="1"/>
  <c r="G55" i="33" s="1"/>
  <c r="G11" i="24"/>
  <c r="G11" i="21"/>
  <c r="R29" i="23"/>
  <c r="F11" i="11"/>
  <c r="H16" i="11"/>
  <c r="Z81" i="24"/>
  <c r="R81" i="24"/>
  <c r="D81" i="24" s="1"/>
  <c r="F81" i="36" s="1"/>
  <c r="J81" i="24"/>
  <c r="AD80" i="24"/>
  <c r="V80" i="24"/>
  <c r="N80" i="24"/>
  <c r="AC77" i="24"/>
  <c r="U77" i="24"/>
  <c r="M77" i="24"/>
  <c r="AA76" i="24"/>
  <c r="S76" i="24"/>
  <c r="K76" i="24"/>
  <c r="E76" i="24" s="1"/>
  <c r="G76" i="36" s="1"/>
  <c r="X75" i="24"/>
  <c r="P75" i="24"/>
  <c r="H75" i="24"/>
  <c r="AC74" i="24"/>
  <c r="U74" i="24"/>
  <c r="Q51" i="24"/>
  <c r="I51" i="24"/>
  <c r="AC39" i="24"/>
  <c r="U39" i="24"/>
  <c r="M39" i="24"/>
  <c r="AD20" i="24"/>
  <c r="V20" i="24"/>
  <c r="N20" i="24"/>
  <c r="AE13" i="24"/>
  <c r="W13" i="24"/>
  <c r="O13" i="24"/>
  <c r="E13" i="21"/>
  <c r="G13" i="33" s="1"/>
  <c r="AB12" i="24"/>
  <c r="T12" i="24"/>
  <c r="L12" i="24"/>
  <c r="X36" i="24"/>
  <c r="R29" i="24"/>
  <c r="F19" i="11"/>
  <c r="F24" i="11" s="1"/>
  <c r="H24" i="11"/>
  <c r="AD81" i="24"/>
  <c r="V81" i="24"/>
  <c r="N81" i="24"/>
  <c r="AE79" i="24"/>
  <c r="W79" i="24"/>
  <c r="O79" i="24"/>
  <c r="E79" i="21"/>
  <c r="G79" i="33" s="1"/>
  <c r="I79" i="33" s="1"/>
  <c r="AB78" i="24"/>
  <c r="T78" i="24"/>
  <c r="D78" i="24" s="1"/>
  <c r="F78" i="36" s="1"/>
  <c r="L78" i="24"/>
  <c r="Q77" i="24"/>
  <c r="AB75" i="24"/>
  <c r="T75" i="24"/>
  <c r="Y74" i="24"/>
  <c r="Q74" i="24"/>
  <c r="I74" i="24"/>
  <c r="N55" i="24"/>
  <c r="N56" i="24" s="1"/>
  <c r="AC51" i="24"/>
  <c r="U51" i="24"/>
  <c r="M51" i="24"/>
  <c r="E51" i="21"/>
  <c r="G51" i="33" s="1"/>
  <c r="H41" i="24"/>
  <c r="AE34" i="24"/>
  <c r="W34" i="24"/>
  <c r="W36" i="21"/>
  <c r="O34" i="24"/>
  <c r="E34" i="21"/>
  <c r="G34" i="33" s="1"/>
  <c r="I34" i="33" s="1"/>
  <c r="AG36" i="21"/>
  <c r="AC28" i="24"/>
  <c r="AC29" i="21"/>
  <c r="U28" i="24"/>
  <c r="M28" i="24"/>
  <c r="E28" i="21"/>
  <c r="G28" i="33" s="1"/>
  <c r="AB23" i="24"/>
  <c r="T23" i="24"/>
  <c r="L23" i="24"/>
  <c r="I22" i="24"/>
  <c r="Z20" i="24"/>
  <c r="Z24" i="21"/>
  <c r="R20" i="24"/>
  <c r="R24" i="21"/>
  <c r="I20" i="24"/>
  <c r="AD19" i="24"/>
  <c r="AD24" i="21"/>
  <c r="V19" i="24"/>
  <c r="N19" i="24"/>
  <c r="N24" i="21"/>
  <c r="I12" i="12"/>
  <c r="G20" i="12"/>
  <c r="M20" i="12"/>
  <c r="E20" i="36" s="1"/>
  <c r="G86" i="24"/>
  <c r="E86" i="21"/>
  <c r="U81" i="24"/>
  <c r="M81" i="24"/>
  <c r="Y80" i="24"/>
  <c r="Q80" i="24"/>
  <c r="I80" i="24"/>
  <c r="E80" i="21"/>
  <c r="G80" i="33" s="1"/>
  <c r="AD79" i="24"/>
  <c r="V79" i="24"/>
  <c r="N79" i="24"/>
  <c r="K78" i="24"/>
  <c r="X77" i="24"/>
  <c r="P77" i="24"/>
  <c r="H77" i="24"/>
  <c r="AD76" i="24"/>
  <c r="V76" i="24"/>
  <c r="N76" i="24"/>
  <c r="D76" i="21"/>
  <c r="F76" i="33" s="1"/>
  <c r="H76" i="33" s="1"/>
  <c r="AA75" i="24"/>
  <c r="S75" i="24"/>
  <c r="K75" i="24"/>
  <c r="E75" i="24" s="1"/>
  <c r="G75" i="36" s="1"/>
  <c r="X74" i="24"/>
  <c r="P74" i="24"/>
  <c r="H74" i="24"/>
  <c r="AB73" i="24"/>
  <c r="T73" i="24"/>
  <c r="L73" i="24"/>
  <c r="R65" i="24"/>
  <c r="R66" i="24" s="1"/>
  <c r="J65" i="24"/>
  <c r="AF66" i="21"/>
  <c r="X64" i="24"/>
  <c r="X66" i="24" s="1"/>
  <c r="P64" i="24"/>
  <c r="P66" i="24" s="1"/>
  <c r="P66" i="21"/>
  <c r="H64" i="24"/>
  <c r="AN56" i="21"/>
  <c r="X54" i="24"/>
  <c r="X56" i="24" s="1"/>
  <c r="P54" i="24"/>
  <c r="P56" i="24" s="1"/>
  <c r="H54" i="24"/>
  <c r="H56" i="21"/>
  <c r="AC47" i="24"/>
  <c r="U47" i="24"/>
  <c r="M47" i="24"/>
  <c r="AA45" i="24"/>
  <c r="S45" i="24"/>
  <c r="Z35" i="24"/>
  <c r="R35" i="24"/>
  <c r="J35" i="24"/>
  <c r="AD34" i="24"/>
  <c r="V34" i="24"/>
  <c r="N34" i="24"/>
  <c r="D34" i="21"/>
  <c r="F34" i="33" s="1"/>
  <c r="R33" i="24"/>
  <c r="AG82" i="21"/>
  <c r="AG91" i="21" s="1"/>
  <c r="Y27" i="24"/>
  <c r="Y29" i="21"/>
  <c r="Q27" i="24"/>
  <c r="Q29" i="21"/>
  <c r="I27" i="24"/>
  <c r="E27" i="24" s="1"/>
  <c r="E27" i="21"/>
  <c r="S23" i="24"/>
  <c r="AB11" i="24"/>
  <c r="T11" i="24"/>
  <c r="T16" i="21"/>
  <c r="L11" i="24"/>
  <c r="L16" i="24" s="1"/>
  <c r="H77" i="12"/>
  <c r="F77" i="9"/>
  <c r="M47" i="9"/>
  <c r="E47" i="33" s="1"/>
  <c r="I47" i="12"/>
  <c r="G47" i="9"/>
  <c r="H40" i="12"/>
  <c r="L40" i="9"/>
  <c r="F40" i="9"/>
  <c r="F42" i="9" s="1"/>
  <c r="F43" i="9" s="1"/>
  <c r="H42" i="9"/>
  <c r="H43" i="9" s="1"/>
  <c r="H82" i="9" s="1"/>
  <c r="H91" i="9" s="1"/>
  <c r="F56" i="24"/>
  <c r="F59" i="57"/>
  <c r="P47" i="24"/>
  <c r="AD45" i="24"/>
  <c r="V45" i="24"/>
  <c r="N45" i="24"/>
  <c r="D45" i="21"/>
  <c r="F45" i="33" s="1"/>
  <c r="H45" i="33" s="1"/>
  <c r="AC41" i="24"/>
  <c r="U41" i="24"/>
  <c r="M41" i="24"/>
  <c r="AD35" i="24"/>
  <c r="V35" i="24"/>
  <c r="S34" i="24"/>
  <c r="K34" i="24"/>
  <c r="X33" i="24"/>
  <c r="X36" i="21"/>
  <c r="P33" i="24"/>
  <c r="H33" i="24"/>
  <c r="D33" i="24" s="1"/>
  <c r="F33" i="36" s="1"/>
  <c r="AL36" i="21"/>
  <c r="AD32" i="24"/>
  <c r="AD36" i="24" s="1"/>
  <c r="V32" i="24"/>
  <c r="N32" i="24"/>
  <c r="D32" i="21"/>
  <c r="F36" i="21"/>
  <c r="X28" i="24"/>
  <c r="P28" i="24"/>
  <c r="P29" i="21"/>
  <c r="H28" i="24"/>
  <c r="D28" i="24" s="1"/>
  <c r="F28" i="36" s="1"/>
  <c r="AK29" i="21"/>
  <c r="AC27" i="24"/>
  <c r="AC29" i="24" s="1"/>
  <c r="U27" i="24"/>
  <c r="U29" i="24" s="1"/>
  <c r="U29" i="21"/>
  <c r="M27" i="24"/>
  <c r="AE23" i="24"/>
  <c r="W23" i="24"/>
  <c r="O23" i="24"/>
  <c r="AC22" i="24"/>
  <c r="U22" i="24"/>
  <c r="U24" i="24" s="1"/>
  <c r="M22" i="24"/>
  <c r="E22" i="21"/>
  <c r="G22" i="33" s="1"/>
  <c r="I22" i="33" s="1"/>
  <c r="R21" i="24"/>
  <c r="Y15" i="24"/>
  <c r="AD14" i="24"/>
  <c r="V14" i="24"/>
  <c r="N14" i="24"/>
  <c r="D14" i="21"/>
  <c r="F14" i="33" s="1"/>
  <c r="H14" i="33" s="1"/>
  <c r="I60" i="12"/>
  <c r="G60" i="9"/>
  <c r="G61" i="9" s="1"/>
  <c r="M60" i="9"/>
  <c r="E60" i="33" s="1"/>
  <c r="E61" i="33" s="1"/>
  <c r="H49" i="12"/>
  <c r="L49" i="9"/>
  <c r="D49" i="33" s="1"/>
  <c r="I39" i="12"/>
  <c r="M39" i="9"/>
  <c r="E39" i="33" s="1"/>
  <c r="G39" i="9"/>
  <c r="H34" i="12"/>
  <c r="F34" i="9"/>
  <c r="G36" i="9"/>
  <c r="K82" i="9"/>
  <c r="K91" i="9" s="1"/>
  <c r="E71" i="55"/>
  <c r="G71" i="57" s="1"/>
  <c r="I71" i="57" s="1"/>
  <c r="I72" i="55"/>
  <c r="D72" i="55"/>
  <c r="AC82" i="55"/>
  <c r="D88" i="24"/>
  <c r="F88" i="36" s="1"/>
  <c r="H88" i="36" s="1"/>
  <c r="T81" i="24"/>
  <c r="L81" i="24"/>
  <c r="Z80" i="24"/>
  <c r="R80" i="24"/>
  <c r="D80" i="24" s="1"/>
  <c r="F80" i="36" s="1"/>
  <c r="J80" i="24"/>
  <c r="X79" i="24"/>
  <c r="H79" i="24"/>
  <c r="AC78" i="24"/>
  <c r="U78" i="24"/>
  <c r="M78" i="24"/>
  <c r="AA77" i="24"/>
  <c r="S77" i="24"/>
  <c r="K77" i="24"/>
  <c r="Y76" i="24"/>
  <c r="Q76" i="24"/>
  <c r="I76" i="24"/>
  <c r="AE75" i="24"/>
  <c r="W75" i="24"/>
  <c r="O75" i="24"/>
  <c r="E75" i="21"/>
  <c r="G75" i="33" s="1"/>
  <c r="I75" i="33" s="1"/>
  <c r="AB74" i="24"/>
  <c r="T74" i="24"/>
  <c r="D74" i="24" s="1"/>
  <c r="F74" i="36" s="1"/>
  <c r="L74" i="24"/>
  <c r="Z73" i="24"/>
  <c r="R73" i="24"/>
  <c r="J73" i="24"/>
  <c r="D73" i="24" s="1"/>
  <c r="F73" i="36" s="1"/>
  <c r="AB71" i="24"/>
  <c r="T71" i="24"/>
  <c r="Y70" i="24"/>
  <c r="Q70" i="24"/>
  <c r="Q72" i="24" s="1"/>
  <c r="I70" i="24"/>
  <c r="AO66" i="21"/>
  <c r="AO82" i="21" s="1"/>
  <c r="AO91" i="21" s="1"/>
  <c r="AG66" i="21"/>
  <c r="Y66" i="21"/>
  <c r="Q66" i="21"/>
  <c r="I66" i="21"/>
  <c r="AA60" i="24"/>
  <c r="S60" i="24"/>
  <c r="K60" i="24"/>
  <c r="X59" i="24"/>
  <c r="X61" i="24" s="1"/>
  <c r="P59" i="24"/>
  <c r="H59" i="24"/>
  <c r="Z55" i="24"/>
  <c r="R55" i="24"/>
  <c r="J55" i="24"/>
  <c r="W54" i="24"/>
  <c r="O54" i="24"/>
  <c r="O56" i="24" s="1"/>
  <c r="AB51" i="24"/>
  <c r="T51" i="24"/>
  <c r="L51" i="24"/>
  <c r="Z49" i="24"/>
  <c r="R49" i="24"/>
  <c r="J49" i="24"/>
  <c r="D49" i="24" s="1"/>
  <c r="F49" i="36" s="1"/>
  <c r="X40" i="24"/>
  <c r="X42" i="24" s="1"/>
  <c r="X43" i="24" s="1"/>
  <c r="H40" i="24"/>
  <c r="AD39" i="24"/>
  <c r="V39" i="24"/>
  <c r="N39" i="24"/>
  <c r="D39" i="21"/>
  <c r="F39" i="33" s="1"/>
  <c r="H39" i="33" s="1"/>
  <c r="H36" i="21"/>
  <c r="AB35" i="24"/>
  <c r="T35" i="24"/>
  <c r="L35" i="24"/>
  <c r="AD33" i="24"/>
  <c r="V33" i="24"/>
  <c r="N33" i="24"/>
  <c r="AB32" i="24"/>
  <c r="AB36" i="24" s="1"/>
  <c r="AB36" i="21"/>
  <c r="AB82" i="21" s="1"/>
  <c r="T32" i="24"/>
  <c r="L32" i="24"/>
  <c r="L36" i="24" s="1"/>
  <c r="AD28" i="24"/>
  <c r="V28" i="24"/>
  <c r="N28" i="24"/>
  <c r="D28" i="21"/>
  <c r="F28" i="33" s="1"/>
  <c r="H28" i="33" s="1"/>
  <c r="AA29" i="21"/>
  <c r="AA27" i="24"/>
  <c r="AA29" i="24" s="1"/>
  <c r="S27" i="24"/>
  <c r="S29" i="21"/>
  <c r="K27" i="24"/>
  <c r="K29" i="21"/>
  <c r="AC23" i="24"/>
  <c r="U23" i="24"/>
  <c r="M23" i="24"/>
  <c r="AA22" i="24"/>
  <c r="S22" i="24"/>
  <c r="K22" i="24"/>
  <c r="X21" i="24"/>
  <c r="P21" i="24"/>
  <c r="H21" i="24"/>
  <c r="Y19" i="24"/>
  <c r="Q19" i="24"/>
  <c r="AE15" i="24"/>
  <c r="W15" i="24"/>
  <c r="O15" i="24"/>
  <c r="L14" i="24"/>
  <c r="X13" i="24"/>
  <c r="P13" i="24"/>
  <c r="H13" i="24"/>
  <c r="AC12" i="24"/>
  <c r="U12" i="24"/>
  <c r="M12" i="24"/>
  <c r="M16" i="21"/>
  <c r="M82" i="21" s="1"/>
  <c r="E12" i="21"/>
  <c r="G12" i="33" s="1"/>
  <c r="I12" i="33" s="1"/>
  <c r="AI16" i="21"/>
  <c r="AA16" i="21"/>
  <c r="AA11" i="24"/>
  <c r="S11" i="24"/>
  <c r="S16" i="21"/>
  <c r="S82" i="21" s="1"/>
  <c r="K11" i="24"/>
  <c r="K16" i="21"/>
  <c r="F81" i="9"/>
  <c r="H81" i="12"/>
  <c r="H64" i="12"/>
  <c r="F64" i="9"/>
  <c r="F66" i="9" s="1"/>
  <c r="L64" i="9"/>
  <c r="H66" i="9"/>
  <c r="F49" i="9"/>
  <c r="H45" i="12"/>
  <c r="F45" i="9"/>
  <c r="H41" i="12"/>
  <c r="F41" i="9"/>
  <c r="L41" i="9"/>
  <c r="D41" i="33" s="1"/>
  <c r="I35" i="12"/>
  <c r="M35" i="9"/>
  <c r="E35" i="33" s="1"/>
  <c r="E35" i="5" s="1"/>
  <c r="G35" i="9"/>
  <c r="H14" i="12"/>
  <c r="F14" i="9"/>
  <c r="L14" i="9"/>
  <c r="D14" i="33" s="1"/>
  <c r="H12" i="12"/>
  <c r="L12" i="9"/>
  <c r="D12" i="33" s="1"/>
  <c r="D16" i="33" s="1"/>
  <c r="F12" i="9"/>
  <c r="F16" i="9" s="1"/>
  <c r="AJ89" i="24"/>
  <c r="AB89" i="24"/>
  <c r="T89" i="24"/>
  <c r="L89" i="24"/>
  <c r="G72" i="24"/>
  <c r="O60" i="24"/>
  <c r="X71" i="24"/>
  <c r="X72" i="24" s="1"/>
  <c r="P71" i="24"/>
  <c r="H71" i="24"/>
  <c r="AC70" i="24"/>
  <c r="AC72" i="24" s="1"/>
  <c r="U70" i="24"/>
  <c r="AE60" i="24"/>
  <c r="AE61" i="21"/>
  <c r="W60" i="24"/>
  <c r="W61" i="21"/>
  <c r="E60" i="21"/>
  <c r="G60" i="33" s="1"/>
  <c r="I60" i="33" s="1"/>
  <c r="G61" i="21"/>
  <c r="AB59" i="24"/>
  <c r="AB61" i="24" s="1"/>
  <c r="T59" i="24"/>
  <c r="T61" i="24" s="1"/>
  <c r="L59" i="24"/>
  <c r="L61" i="24" s="1"/>
  <c r="AD55" i="24"/>
  <c r="V55" i="24"/>
  <c r="V56" i="24" s="1"/>
  <c r="S54" i="24"/>
  <c r="K54" i="24"/>
  <c r="K56" i="24" s="1"/>
  <c r="X51" i="24"/>
  <c r="P51" i="24"/>
  <c r="H51" i="24"/>
  <c r="D51" i="24" s="1"/>
  <c r="F51" i="36" s="1"/>
  <c r="AD49" i="24"/>
  <c r="V49" i="24"/>
  <c r="N49" i="24"/>
  <c r="D49" i="21"/>
  <c r="F49" i="33" s="1"/>
  <c r="Z47" i="24"/>
  <c r="P45" i="24"/>
  <c r="AE41" i="24"/>
  <c r="W41" i="24"/>
  <c r="O41" i="24"/>
  <c r="AB40" i="24"/>
  <c r="T40" i="24"/>
  <c r="T42" i="24" s="1"/>
  <c r="T43" i="24" s="1"/>
  <c r="T42" i="21"/>
  <c r="T43" i="21" s="1"/>
  <c r="L40" i="24"/>
  <c r="L42" i="24" s="1"/>
  <c r="L43" i="24" s="1"/>
  <c r="D40" i="21"/>
  <c r="Z39" i="24"/>
  <c r="R39" i="24"/>
  <c r="J39" i="24"/>
  <c r="N36" i="21"/>
  <c r="X35" i="24"/>
  <c r="P35" i="24"/>
  <c r="H35" i="24"/>
  <c r="D35" i="24" s="1"/>
  <c r="F35" i="36" s="1"/>
  <c r="Z33" i="24"/>
  <c r="J33" i="24"/>
  <c r="Z28" i="24"/>
  <c r="Z29" i="21"/>
  <c r="R28" i="24"/>
  <c r="J28" i="24"/>
  <c r="J29" i="21"/>
  <c r="W27" i="24"/>
  <c r="W29" i="24" s="1"/>
  <c r="Y23" i="24"/>
  <c r="Q23" i="24"/>
  <c r="I23" i="24"/>
  <c r="AE22" i="24"/>
  <c r="W22" i="24"/>
  <c r="O22" i="24"/>
  <c r="O24" i="21"/>
  <c r="AB21" i="24"/>
  <c r="T21" i="24"/>
  <c r="L21" i="24"/>
  <c r="Y20" i="24"/>
  <c r="Q20" i="24"/>
  <c r="H20" i="24"/>
  <c r="AK24" i="21"/>
  <c r="AK82" i="21" s="1"/>
  <c r="AK91" i="21" s="1"/>
  <c r="AC24" i="21"/>
  <c r="AC82" i="21" s="1"/>
  <c r="U24" i="21"/>
  <c r="M24" i="21"/>
  <c r="AA15" i="24"/>
  <c r="S15" i="24"/>
  <c r="K15" i="24"/>
  <c r="X14" i="24"/>
  <c r="P14" i="24"/>
  <c r="H14" i="24"/>
  <c r="H76" i="12"/>
  <c r="F76" i="9"/>
  <c r="L76" i="9"/>
  <c r="D76" i="33" s="1"/>
  <c r="D76" i="5" s="1"/>
  <c r="H70" i="12"/>
  <c r="L70" i="9"/>
  <c r="F70" i="9"/>
  <c r="F72" i="9" s="1"/>
  <c r="L34" i="9"/>
  <c r="D34" i="33" s="1"/>
  <c r="G29" i="9"/>
  <c r="AN82" i="24"/>
  <c r="AN91" i="24" s="1"/>
  <c r="AF82" i="24"/>
  <c r="AF91" i="24" s="1"/>
  <c r="E86" i="55"/>
  <c r="G89" i="55"/>
  <c r="M87" i="56"/>
  <c r="I89" i="56"/>
  <c r="K82" i="56"/>
  <c r="K91" i="56" s="1"/>
  <c r="E76" i="20"/>
  <c r="G76" i="32" s="1"/>
  <c r="I76" i="32" s="1"/>
  <c r="G19" i="32"/>
  <c r="AE81" i="24"/>
  <c r="O81" i="24"/>
  <c r="AC80" i="24"/>
  <c r="U80" i="24"/>
  <c r="M80" i="24"/>
  <c r="AA79" i="24"/>
  <c r="S79" i="24"/>
  <c r="X78" i="24"/>
  <c r="P78" i="24"/>
  <c r="H78" i="24"/>
  <c r="AD77" i="24"/>
  <c r="V77" i="24"/>
  <c r="N77" i="24"/>
  <c r="AB76" i="24"/>
  <c r="T76" i="24"/>
  <c r="L76" i="24"/>
  <c r="Z75" i="24"/>
  <c r="R75" i="24"/>
  <c r="J75" i="24"/>
  <c r="AE74" i="24"/>
  <c r="W74" i="24"/>
  <c r="AC73" i="24"/>
  <c r="U72" i="21"/>
  <c r="AE71" i="24"/>
  <c r="W71" i="24"/>
  <c r="O71" i="24"/>
  <c r="E71" i="21"/>
  <c r="AB70" i="24"/>
  <c r="AB72" i="24" s="1"/>
  <c r="T70" i="24"/>
  <c r="T72" i="24" s="1"/>
  <c r="L70" i="24"/>
  <c r="L72" i="24" s="1"/>
  <c r="AD65" i="24"/>
  <c r="V65" i="24"/>
  <c r="N65" i="24"/>
  <c r="AB64" i="24"/>
  <c r="AB66" i="24" s="1"/>
  <c r="L64" i="24"/>
  <c r="L66" i="24" s="1"/>
  <c r="T61" i="21"/>
  <c r="AD60" i="24"/>
  <c r="V60" i="24"/>
  <c r="N60" i="24"/>
  <c r="D60" i="24" s="1"/>
  <c r="F60" i="36" s="1"/>
  <c r="AI61" i="21"/>
  <c r="AA61" i="21"/>
  <c r="S61" i="21"/>
  <c r="K61" i="21"/>
  <c r="S56" i="21"/>
  <c r="AC55" i="24"/>
  <c r="M55" i="24"/>
  <c r="Z54" i="24"/>
  <c r="Z56" i="24" s="1"/>
  <c r="R54" i="24"/>
  <c r="J54" i="24"/>
  <c r="J56" i="24" s="1"/>
  <c r="Y47" i="24"/>
  <c r="Q47" i="24"/>
  <c r="I47" i="24"/>
  <c r="AE45" i="24"/>
  <c r="W45" i="24"/>
  <c r="O45" i="24"/>
  <c r="E45" i="24" s="1"/>
  <c r="G45" i="36" s="1"/>
  <c r="AD41" i="24"/>
  <c r="AD42" i="21"/>
  <c r="AD43" i="21" s="1"/>
  <c r="V41" i="24"/>
  <c r="D41" i="21"/>
  <c r="F41" i="33" s="1"/>
  <c r="H41" i="33" s="1"/>
  <c r="K40" i="24"/>
  <c r="K42" i="21"/>
  <c r="K43" i="21" s="1"/>
  <c r="Y39" i="24"/>
  <c r="Q39" i="24"/>
  <c r="I39" i="24"/>
  <c r="L36" i="21"/>
  <c r="L82" i="21" s="1"/>
  <c r="AB34" i="24"/>
  <c r="T34" i="24"/>
  <c r="L34" i="24"/>
  <c r="D34" i="24" s="1"/>
  <c r="F34" i="36" s="1"/>
  <c r="Y33" i="24"/>
  <c r="Q33" i="24"/>
  <c r="I33" i="24"/>
  <c r="AE32" i="24"/>
  <c r="AE36" i="24" s="1"/>
  <c r="W32" i="24"/>
  <c r="O32" i="24"/>
  <c r="O36" i="21"/>
  <c r="E32" i="21"/>
  <c r="I28" i="24"/>
  <c r="E28" i="24" s="1"/>
  <c r="G28" i="36" s="1"/>
  <c r="AL29" i="21"/>
  <c r="AL82" i="21" s="1"/>
  <c r="AL91" i="21" s="1"/>
  <c r="AD27" i="24"/>
  <c r="AD29" i="24" s="1"/>
  <c r="AD29" i="21"/>
  <c r="V29" i="21"/>
  <c r="V27" i="24"/>
  <c r="V29" i="24" s="1"/>
  <c r="N29" i="21"/>
  <c r="N27" i="24"/>
  <c r="N29" i="24" s="1"/>
  <c r="F29" i="21"/>
  <c r="F82" i="21" s="1"/>
  <c r="F91" i="21" s="1"/>
  <c r="D27" i="21"/>
  <c r="Q24" i="21"/>
  <c r="Q82" i="21" s="1"/>
  <c r="X23" i="24"/>
  <c r="P23" i="24"/>
  <c r="H23" i="24"/>
  <c r="AD22" i="24"/>
  <c r="V22" i="24"/>
  <c r="N22" i="24"/>
  <c r="D22" i="21"/>
  <c r="F22" i="33" s="1"/>
  <c r="AA21" i="24"/>
  <c r="S21" i="24"/>
  <c r="K21" i="24"/>
  <c r="E21" i="21"/>
  <c r="G21" i="33" s="1"/>
  <c r="AJ24" i="21"/>
  <c r="AJ82" i="21" s="1"/>
  <c r="AJ91" i="21" s="1"/>
  <c r="AB19" i="24"/>
  <c r="T19" i="24"/>
  <c r="T24" i="24" s="1"/>
  <c r="T24" i="21"/>
  <c r="L19" i="24"/>
  <c r="L24" i="24" s="1"/>
  <c r="U16" i="21"/>
  <c r="Z15" i="24"/>
  <c r="R15" i="24"/>
  <c r="AA13" i="24"/>
  <c r="S13" i="24"/>
  <c r="K13" i="24"/>
  <c r="E13" i="24" s="1"/>
  <c r="G13" i="36" s="1"/>
  <c r="V11" i="24"/>
  <c r="N11" i="24"/>
  <c r="N16" i="24" s="1"/>
  <c r="H72" i="9"/>
  <c r="H36" i="9"/>
  <c r="H32" i="12"/>
  <c r="L32" i="9"/>
  <c r="I28" i="12"/>
  <c r="M28" i="9"/>
  <c r="E28" i="33" s="1"/>
  <c r="E29" i="33" s="1"/>
  <c r="G28" i="9"/>
  <c r="I29" i="9"/>
  <c r="D39" i="55"/>
  <c r="F39" i="57" s="1"/>
  <c r="H39" i="57" s="1"/>
  <c r="H43" i="55"/>
  <c r="F32" i="8"/>
  <c r="L32" i="8"/>
  <c r="H36" i="8"/>
  <c r="H82" i="8" s="1"/>
  <c r="D19" i="32"/>
  <c r="AN16" i="21"/>
  <c r="AN82" i="21" s="1"/>
  <c r="AN91" i="21" s="1"/>
  <c r="AF16" i="21"/>
  <c r="AF82" i="21" s="1"/>
  <c r="AF91" i="21" s="1"/>
  <c r="X11" i="24"/>
  <c r="X16" i="21"/>
  <c r="P11" i="24"/>
  <c r="P16" i="24" s="1"/>
  <c r="P16" i="21"/>
  <c r="H11" i="24"/>
  <c r="H16" i="21"/>
  <c r="M86" i="9"/>
  <c r="I86" i="12"/>
  <c r="H80" i="12"/>
  <c r="M78" i="9"/>
  <c r="E78" i="33" s="1"/>
  <c r="I78" i="12"/>
  <c r="G78" i="9"/>
  <c r="H73" i="12"/>
  <c r="F73" i="9"/>
  <c r="I71" i="12"/>
  <c r="G71" i="9"/>
  <c r="G72" i="9" s="1"/>
  <c r="M71" i="9"/>
  <c r="E71" i="33" s="1"/>
  <c r="M61" i="9"/>
  <c r="H33" i="12"/>
  <c r="Y82" i="55"/>
  <c r="E22" i="55"/>
  <c r="G22" i="57" s="1"/>
  <c r="I22" i="57" s="1"/>
  <c r="D13" i="55"/>
  <c r="F13" i="57" s="1"/>
  <c r="D41" i="29"/>
  <c r="J15" i="24"/>
  <c r="D15" i="24" s="1"/>
  <c r="F15" i="36" s="1"/>
  <c r="AE14" i="24"/>
  <c r="AB13" i="24"/>
  <c r="T13" i="24"/>
  <c r="L13" i="24"/>
  <c r="Y12" i="24"/>
  <c r="Q12" i="24"/>
  <c r="I12" i="24"/>
  <c r="AM16" i="21"/>
  <c r="AM82" i="21" s="1"/>
  <c r="AM91" i="21" s="1"/>
  <c r="AE11" i="24"/>
  <c r="AE16" i="21"/>
  <c r="W11" i="24"/>
  <c r="W16" i="21"/>
  <c r="O11" i="24"/>
  <c r="O16" i="21"/>
  <c r="O82" i="21" s="1"/>
  <c r="F80" i="9"/>
  <c r="I76" i="12"/>
  <c r="G76" i="9"/>
  <c r="M76" i="9"/>
  <c r="E76" i="33" s="1"/>
  <c r="H71" i="12"/>
  <c r="I61" i="9"/>
  <c r="I49" i="12"/>
  <c r="G41" i="9"/>
  <c r="G42" i="9" s="1"/>
  <c r="G43" i="9" s="1"/>
  <c r="I41" i="12"/>
  <c r="M41" i="9"/>
  <c r="E41" i="33" s="1"/>
  <c r="E42" i="33" s="1"/>
  <c r="E43" i="33" s="1"/>
  <c r="F33" i="9"/>
  <c r="H22" i="12"/>
  <c r="L22" i="9"/>
  <c r="D22" i="33" s="1"/>
  <c r="I13" i="12"/>
  <c r="M13" i="9"/>
  <c r="E13" i="33" s="1"/>
  <c r="E16" i="33" s="1"/>
  <c r="G13" i="9"/>
  <c r="D82" i="12"/>
  <c r="D91" i="12" s="1"/>
  <c r="D29" i="55"/>
  <c r="F27" i="57"/>
  <c r="D23" i="55"/>
  <c r="F23" i="57" s="1"/>
  <c r="H23" i="57" s="1"/>
  <c r="L70" i="56"/>
  <c r="F70" i="56"/>
  <c r="F72" i="56" s="1"/>
  <c r="H72" i="56"/>
  <c r="I47" i="32"/>
  <c r="H22" i="32"/>
  <c r="AL82" i="20"/>
  <c r="I79" i="34"/>
  <c r="Y81" i="24"/>
  <c r="Q81" i="24"/>
  <c r="O80" i="24"/>
  <c r="U79" i="24"/>
  <c r="M79" i="24"/>
  <c r="AA78" i="24"/>
  <c r="Y77" i="24"/>
  <c r="I77" i="24"/>
  <c r="AE76" i="24"/>
  <c r="W76" i="24"/>
  <c r="O76" i="24"/>
  <c r="U75" i="24"/>
  <c r="M75" i="24"/>
  <c r="S74" i="24"/>
  <c r="K74" i="24"/>
  <c r="Y73" i="24"/>
  <c r="E73" i="24" s="1"/>
  <c r="G73" i="36" s="1"/>
  <c r="Q73" i="24"/>
  <c r="I73" i="24"/>
  <c r="AC71" i="24"/>
  <c r="U71" i="24"/>
  <c r="M71" i="24"/>
  <c r="M72" i="24" s="1"/>
  <c r="AA70" i="24"/>
  <c r="AA72" i="24" s="1"/>
  <c r="S70" i="24"/>
  <c r="S72" i="24" s="1"/>
  <c r="K70" i="24"/>
  <c r="K72" i="24" s="1"/>
  <c r="AE65" i="24"/>
  <c r="W65" i="24"/>
  <c r="O65" i="24"/>
  <c r="AC64" i="24"/>
  <c r="AC66" i="24" s="1"/>
  <c r="U64" i="24"/>
  <c r="M64" i="24"/>
  <c r="M66" i="24" s="1"/>
  <c r="Y60" i="24"/>
  <c r="Y61" i="24" s="1"/>
  <c r="Q60" i="24"/>
  <c r="Q61" i="24" s="1"/>
  <c r="I60" i="24"/>
  <c r="AE59" i="24"/>
  <c r="AE61" i="24" s="1"/>
  <c r="W59" i="24"/>
  <c r="O59" i="24"/>
  <c r="O61" i="24" s="1"/>
  <c r="AA55" i="24"/>
  <c r="AA56" i="24" s="1"/>
  <c r="S55" i="24"/>
  <c r="K55" i="24"/>
  <c r="Y54" i="24"/>
  <c r="Y56" i="24" s="1"/>
  <c r="R47" i="24"/>
  <c r="J47" i="24"/>
  <c r="X45" i="24"/>
  <c r="H45" i="24"/>
  <c r="AD40" i="24"/>
  <c r="AD42" i="24" s="1"/>
  <c r="AD43" i="24" s="1"/>
  <c r="V40" i="24"/>
  <c r="V42" i="24" s="1"/>
  <c r="V43" i="24" s="1"/>
  <c r="N40" i="24"/>
  <c r="N42" i="24" s="1"/>
  <c r="AE28" i="24"/>
  <c r="AE29" i="24" s="1"/>
  <c r="W28" i="24"/>
  <c r="O28" i="24"/>
  <c r="AB27" i="24"/>
  <c r="AB29" i="24" s="1"/>
  <c r="T27" i="24"/>
  <c r="T29" i="24" s="1"/>
  <c r="L27" i="24"/>
  <c r="L29" i="24" s="1"/>
  <c r="AD23" i="24"/>
  <c r="Y21" i="24"/>
  <c r="Q21" i="24"/>
  <c r="I21" i="24"/>
  <c r="E21" i="24" s="1"/>
  <c r="G21" i="36" s="1"/>
  <c r="W20" i="24"/>
  <c r="O20" i="24"/>
  <c r="D20" i="21"/>
  <c r="F20" i="33" s="1"/>
  <c r="H20" i="33" s="1"/>
  <c r="AA19" i="24"/>
  <c r="S19" i="24"/>
  <c r="S24" i="24" s="1"/>
  <c r="K19" i="24"/>
  <c r="X15" i="24"/>
  <c r="P15" i="24"/>
  <c r="H15" i="24"/>
  <c r="AC14" i="24"/>
  <c r="U14" i="24"/>
  <c r="M14" i="24"/>
  <c r="Z13" i="24"/>
  <c r="D11" i="21"/>
  <c r="H74" i="12"/>
  <c r="M72" i="9"/>
  <c r="H39" i="12"/>
  <c r="I34" i="12"/>
  <c r="I32" i="12"/>
  <c r="I27" i="12"/>
  <c r="F22" i="9"/>
  <c r="H20" i="12"/>
  <c r="F20" i="9"/>
  <c r="F24" i="9" s="1"/>
  <c r="D89" i="55"/>
  <c r="F86" i="57"/>
  <c r="H66" i="55"/>
  <c r="D65" i="55"/>
  <c r="F65" i="57" s="1"/>
  <c r="H65" i="57" s="1"/>
  <c r="R82" i="55"/>
  <c r="U73" i="24"/>
  <c r="M73" i="24"/>
  <c r="Y71" i="24"/>
  <c r="Q71" i="24"/>
  <c r="I71" i="24"/>
  <c r="E71" i="24" s="1"/>
  <c r="G71" i="36" s="1"/>
  <c r="AE70" i="24"/>
  <c r="AE72" i="24" s="1"/>
  <c r="W70" i="24"/>
  <c r="W72" i="24" s="1"/>
  <c r="O70" i="24"/>
  <c r="O72" i="24" s="1"/>
  <c r="AA65" i="24"/>
  <c r="S65" i="24"/>
  <c r="K65" i="24"/>
  <c r="Y64" i="24"/>
  <c r="Y66" i="24" s="1"/>
  <c r="Q64" i="24"/>
  <c r="Q66" i="24" s="1"/>
  <c r="I64" i="24"/>
  <c r="I66" i="24" s="1"/>
  <c r="AC60" i="24"/>
  <c r="U60" i="24"/>
  <c r="M60" i="24"/>
  <c r="AA59" i="24"/>
  <c r="AA61" i="24" s="1"/>
  <c r="S59" i="24"/>
  <c r="K59" i="24"/>
  <c r="K61" i="24" s="1"/>
  <c r="AE55" i="24"/>
  <c r="W55" i="24"/>
  <c r="O55" i="24"/>
  <c r="AC54" i="24"/>
  <c r="U54" i="24"/>
  <c r="U56" i="24" s="1"/>
  <c r="M54" i="24"/>
  <c r="M56" i="24" s="1"/>
  <c r="AA51" i="24"/>
  <c r="S51" i="24"/>
  <c r="K51" i="24"/>
  <c r="Y49" i="24"/>
  <c r="Q49" i="24"/>
  <c r="I49" i="24"/>
  <c r="E49" i="24" s="1"/>
  <c r="G49" i="36" s="1"/>
  <c r="AD47" i="24"/>
  <c r="V47" i="24"/>
  <c r="AB45" i="24"/>
  <c r="T45" i="24"/>
  <c r="L45" i="24"/>
  <c r="AB41" i="24"/>
  <c r="T41" i="24"/>
  <c r="L41" i="24"/>
  <c r="Z40" i="24"/>
  <c r="Z42" i="24" s="1"/>
  <c r="R40" i="24"/>
  <c r="J40" i="24"/>
  <c r="X39" i="24"/>
  <c r="P39" i="24"/>
  <c r="H39" i="24"/>
  <c r="D39" i="24" s="1"/>
  <c r="F39" i="36" s="1"/>
  <c r="AE35" i="24"/>
  <c r="W35" i="24"/>
  <c r="O35" i="24"/>
  <c r="AC34" i="24"/>
  <c r="U34" i="24"/>
  <c r="M34" i="24"/>
  <c r="AA33" i="24"/>
  <c r="S33" i="24"/>
  <c r="K33" i="24"/>
  <c r="Y32" i="24"/>
  <c r="Q32" i="24"/>
  <c r="I32" i="24"/>
  <c r="AA28" i="24"/>
  <c r="S28" i="24"/>
  <c r="K28" i="24"/>
  <c r="X27" i="24"/>
  <c r="X29" i="24" s="1"/>
  <c r="P27" i="24"/>
  <c r="H27" i="24"/>
  <c r="R23" i="24"/>
  <c r="J23" i="24"/>
  <c r="D23" i="24" s="1"/>
  <c r="F23" i="36" s="1"/>
  <c r="X22" i="24"/>
  <c r="P22" i="24"/>
  <c r="H22" i="24"/>
  <c r="AC21" i="24"/>
  <c r="U21" i="24"/>
  <c r="M21" i="24"/>
  <c r="AA20" i="24"/>
  <c r="S20" i="24"/>
  <c r="J20" i="24"/>
  <c r="AE19" i="24"/>
  <c r="AE24" i="24" s="1"/>
  <c r="W19" i="24"/>
  <c r="O19" i="24"/>
  <c r="O24" i="24" s="1"/>
  <c r="AB15" i="24"/>
  <c r="T15" i="24"/>
  <c r="L15" i="24"/>
  <c r="Y14" i="24"/>
  <c r="I14" i="24"/>
  <c r="AD13" i="24"/>
  <c r="V13" i="24"/>
  <c r="D86" i="36"/>
  <c r="I80" i="12"/>
  <c r="G80" i="9"/>
  <c r="M80" i="9"/>
  <c r="E80" i="33" s="1"/>
  <c r="L71" i="9"/>
  <c r="D71" i="33" s="1"/>
  <c r="I65" i="12"/>
  <c r="M65" i="9"/>
  <c r="E65" i="33" s="1"/>
  <c r="E66" i="33" s="1"/>
  <c r="G65" i="9"/>
  <c r="G66" i="9" s="1"/>
  <c r="I66" i="9"/>
  <c r="I33" i="12"/>
  <c r="G33" i="9"/>
  <c r="M33" i="9"/>
  <c r="E33" i="33" s="1"/>
  <c r="I36" i="9"/>
  <c r="AN72" i="24"/>
  <c r="AF72" i="24"/>
  <c r="D47" i="55"/>
  <c r="F47" i="57" s="1"/>
  <c r="H47" i="57" s="1"/>
  <c r="H36" i="55"/>
  <c r="D33" i="55"/>
  <c r="F33" i="57" s="1"/>
  <c r="AK82" i="55"/>
  <c r="AK91" i="55" s="1"/>
  <c r="U82" i="55"/>
  <c r="M82" i="55"/>
  <c r="E12" i="55"/>
  <c r="G12" i="57" s="1"/>
  <c r="G24" i="8"/>
  <c r="D70" i="20"/>
  <c r="H72" i="20"/>
  <c r="D65" i="20"/>
  <c r="F65" i="32" s="1"/>
  <c r="H65" i="32" s="1"/>
  <c r="Q54" i="24"/>
  <c r="Q56" i="24" s="1"/>
  <c r="I54" i="24"/>
  <c r="I56" i="24" s="1"/>
  <c r="AE51" i="24"/>
  <c r="W51" i="24"/>
  <c r="O51" i="24"/>
  <c r="AC49" i="24"/>
  <c r="U49" i="24"/>
  <c r="M49" i="24"/>
  <c r="AA47" i="24"/>
  <c r="S47" i="24"/>
  <c r="K47" i="24"/>
  <c r="Y45" i="24"/>
  <c r="Q45" i="24"/>
  <c r="I45" i="24"/>
  <c r="AA41" i="24"/>
  <c r="AA42" i="24" s="1"/>
  <c r="AA43" i="24" s="1"/>
  <c r="S41" i="24"/>
  <c r="S42" i="24" s="1"/>
  <c r="S43" i="24" s="1"/>
  <c r="K41" i="24"/>
  <c r="Y40" i="24"/>
  <c r="Y42" i="24" s="1"/>
  <c r="Y43" i="24" s="1"/>
  <c r="Q40" i="24"/>
  <c r="I40" i="24"/>
  <c r="I42" i="24" s="1"/>
  <c r="I43" i="24" s="1"/>
  <c r="AE39" i="24"/>
  <c r="W39" i="24"/>
  <c r="O39" i="24"/>
  <c r="AA35" i="24"/>
  <c r="S35" i="24"/>
  <c r="K35" i="24"/>
  <c r="Y34" i="24"/>
  <c r="Q34" i="24"/>
  <c r="I34" i="24"/>
  <c r="E34" i="24" s="1"/>
  <c r="G34" i="36" s="1"/>
  <c r="AE33" i="24"/>
  <c r="W33" i="24"/>
  <c r="O33" i="24"/>
  <c r="AC32" i="24"/>
  <c r="AC36" i="24" s="1"/>
  <c r="U32" i="24"/>
  <c r="U36" i="24" s="1"/>
  <c r="M32" i="24"/>
  <c r="Y28" i="24"/>
  <c r="Q28" i="24"/>
  <c r="O27" i="24"/>
  <c r="O29" i="24" s="1"/>
  <c r="AA23" i="24"/>
  <c r="K23" i="24"/>
  <c r="Y22" i="24"/>
  <c r="W21" i="24"/>
  <c r="O21" i="24"/>
  <c r="AC20" i="24"/>
  <c r="U20" i="24"/>
  <c r="M20" i="24"/>
  <c r="Z19" i="24"/>
  <c r="R19" i="24"/>
  <c r="J19" i="24"/>
  <c r="J24" i="24" s="1"/>
  <c r="AD15" i="24"/>
  <c r="V15" i="24"/>
  <c r="AB14" i="24"/>
  <c r="T14" i="24"/>
  <c r="R13" i="24"/>
  <c r="J13" i="24"/>
  <c r="X12" i="24"/>
  <c r="P12" i="24"/>
  <c r="H12" i="24"/>
  <c r="D12" i="24" s="1"/>
  <c r="F12" i="36" s="1"/>
  <c r="AD11" i="24"/>
  <c r="H89" i="12"/>
  <c r="H78" i="12"/>
  <c r="H65" i="12"/>
  <c r="H55" i="12"/>
  <c r="H47" i="12"/>
  <c r="H35" i="12"/>
  <c r="H28" i="12"/>
  <c r="H21" i="12"/>
  <c r="H13" i="12"/>
  <c r="F61" i="24"/>
  <c r="AL56" i="24"/>
  <c r="AH36" i="24"/>
  <c r="AM24" i="24"/>
  <c r="I59" i="12"/>
  <c r="D81" i="55"/>
  <c r="F81" i="57" s="1"/>
  <c r="E15" i="55"/>
  <c r="G15" i="57" s="1"/>
  <c r="I15" i="57" s="1"/>
  <c r="E13" i="55"/>
  <c r="G13" i="57" s="1"/>
  <c r="I13" i="57" s="1"/>
  <c r="F81" i="56"/>
  <c r="L81" i="56"/>
  <c r="D81" i="57" s="1"/>
  <c r="L79" i="56"/>
  <c r="D79" i="57" s="1"/>
  <c r="H79" i="57" s="1"/>
  <c r="F79" i="56"/>
  <c r="F77" i="56"/>
  <c r="L77" i="56"/>
  <c r="D77" i="57" s="1"/>
  <c r="L75" i="56"/>
  <c r="D75" i="57" s="1"/>
  <c r="H75" i="57" s="1"/>
  <c r="F75" i="56"/>
  <c r="F73" i="56"/>
  <c r="L73" i="56"/>
  <c r="D73" i="57" s="1"/>
  <c r="M76" i="8"/>
  <c r="E76" i="32" s="1"/>
  <c r="G76" i="8"/>
  <c r="G61" i="20"/>
  <c r="E59" i="20"/>
  <c r="E49" i="20"/>
  <c r="G49" i="32" s="1"/>
  <c r="I19" i="24"/>
  <c r="AC15" i="24"/>
  <c r="U15" i="24"/>
  <c r="M15" i="24"/>
  <c r="AA14" i="24"/>
  <c r="S14" i="24"/>
  <c r="K14" i="24"/>
  <c r="Y13" i="24"/>
  <c r="Q13" i="24"/>
  <c r="I13" i="24"/>
  <c r="AE12" i="24"/>
  <c r="W12" i="24"/>
  <c r="O12" i="24"/>
  <c r="AC11" i="24"/>
  <c r="AC16" i="24" s="1"/>
  <c r="U11" i="24"/>
  <c r="M11" i="24"/>
  <c r="M16" i="24" s="1"/>
  <c r="I79" i="12"/>
  <c r="I75" i="12"/>
  <c r="I40" i="12"/>
  <c r="M15" i="9"/>
  <c r="E15" i="33" s="1"/>
  <c r="I14" i="12"/>
  <c r="AK56" i="24"/>
  <c r="AK82" i="24" s="1"/>
  <c r="AK91" i="24" s="1"/>
  <c r="F36" i="24"/>
  <c r="AJ29" i="24"/>
  <c r="E75" i="55"/>
  <c r="G75" i="57" s="1"/>
  <c r="I75" i="57" s="1"/>
  <c r="D73" i="55"/>
  <c r="F73" i="57" s="1"/>
  <c r="H73" i="57" s="1"/>
  <c r="D71" i="55"/>
  <c r="F71" i="57" s="1"/>
  <c r="H71" i="57" s="1"/>
  <c r="F72" i="55"/>
  <c r="AH72" i="55"/>
  <c r="Z72" i="55"/>
  <c r="R72" i="55"/>
  <c r="J72" i="55"/>
  <c r="D32" i="55"/>
  <c r="F36" i="55"/>
  <c r="E28" i="55"/>
  <c r="G28" i="57" s="1"/>
  <c r="I28" i="57" s="1"/>
  <c r="AN24" i="55"/>
  <c r="AF24" i="55"/>
  <c r="X24" i="55"/>
  <c r="P24" i="55"/>
  <c r="H24" i="55"/>
  <c r="D19" i="55"/>
  <c r="E54" i="57"/>
  <c r="E56" i="57" s="1"/>
  <c r="M56" i="56"/>
  <c r="L13" i="56"/>
  <c r="D13" i="57" s="1"/>
  <c r="D16" i="57" s="1"/>
  <c r="F13" i="56"/>
  <c r="E64" i="20"/>
  <c r="I19" i="12"/>
  <c r="I11" i="12"/>
  <c r="E60" i="24"/>
  <c r="G60" i="36" s="1"/>
  <c r="G61" i="24"/>
  <c r="AJ61" i="24"/>
  <c r="AJ82" i="24"/>
  <c r="I70" i="12"/>
  <c r="K82" i="12"/>
  <c r="K91" i="12" s="1"/>
  <c r="H88" i="57"/>
  <c r="D78" i="55"/>
  <c r="F78" i="57" s="1"/>
  <c r="H78" i="57" s="1"/>
  <c r="D54" i="55"/>
  <c r="F56" i="55"/>
  <c r="X43" i="55"/>
  <c r="E35" i="55"/>
  <c r="G35" i="57" s="1"/>
  <c r="I35" i="57" s="1"/>
  <c r="N82" i="55"/>
  <c r="M60" i="56"/>
  <c r="E60" i="57" s="1"/>
  <c r="E61" i="57" s="1"/>
  <c r="G60" i="56"/>
  <c r="E15" i="4"/>
  <c r="O36" i="20"/>
  <c r="E21" i="29"/>
  <c r="G21" i="41" s="1"/>
  <c r="I21" i="41" s="1"/>
  <c r="G24" i="29"/>
  <c r="H35" i="34"/>
  <c r="F33" i="34"/>
  <c r="D36" i="22"/>
  <c r="H19" i="12"/>
  <c r="H15" i="12"/>
  <c r="H11" i="12"/>
  <c r="D41" i="24"/>
  <c r="F41" i="36" s="1"/>
  <c r="AI16" i="24"/>
  <c r="AI82" i="24" s="1"/>
  <c r="AI91" i="24" s="1"/>
  <c r="E54" i="55"/>
  <c r="AO82" i="55"/>
  <c r="AO91" i="55" s="1"/>
  <c r="Q82" i="55"/>
  <c r="AL82" i="55"/>
  <c r="AL91" i="55" s="1"/>
  <c r="D16" i="55"/>
  <c r="F11" i="57"/>
  <c r="I82" i="56"/>
  <c r="I91" i="56" s="1"/>
  <c r="D59" i="32"/>
  <c r="M40" i="8"/>
  <c r="I42" i="8"/>
  <c r="I43" i="8" s="1"/>
  <c r="G40" i="8"/>
  <c r="G42" i="8" s="1"/>
  <c r="G43" i="8" s="1"/>
  <c r="D80" i="20"/>
  <c r="F80" i="32" s="1"/>
  <c r="H80" i="32" s="1"/>
  <c r="D77" i="20"/>
  <c r="F77" i="32" s="1"/>
  <c r="P32" i="24"/>
  <c r="H32" i="24"/>
  <c r="T28" i="24"/>
  <c r="L28" i="24"/>
  <c r="Z27" i="24"/>
  <c r="Z29" i="24" s="1"/>
  <c r="J27" i="24"/>
  <c r="J29" i="24" s="1"/>
  <c r="V23" i="24"/>
  <c r="N23" i="24"/>
  <c r="AB22" i="24"/>
  <c r="T22" i="24"/>
  <c r="L22" i="24"/>
  <c r="J21" i="24"/>
  <c r="D21" i="24" s="1"/>
  <c r="F21" i="36" s="1"/>
  <c r="P20" i="24"/>
  <c r="AC19" i="24"/>
  <c r="AC24" i="24" s="1"/>
  <c r="M19" i="24"/>
  <c r="Q15" i="24"/>
  <c r="I15" i="24"/>
  <c r="W14" i="24"/>
  <c r="O14" i="24"/>
  <c r="AC13" i="24"/>
  <c r="AA12" i="24"/>
  <c r="K12" i="24"/>
  <c r="Y11" i="24"/>
  <c r="Q11" i="24"/>
  <c r="I81" i="12"/>
  <c r="I77" i="12"/>
  <c r="I73" i="12"/>
  <c r="I64" i="12"/>
  <c r="I54" i="12"/>
  <c r="I45" i="12"/>
  <c r="I42" i="9"/>
  <c r="I43" i="9" s="1"/>
  <c r="I24" i="9"/>
  <c r="G19" i="9"/>
  <c r="I16" i="9"/>
  <c r="G11" i="9"/>
  <c r="G16" i="9" s="1"/>
  <c r="AO89" i="24"/>
  <c r="AG89" i="24"/>
  <c r="Y89" i="24"/>
  <c r="Q89" i="24"/>
  <c r="I89" i="24"/>
  <c r="F42" i="24"/>
  <c r="F43" i="24" s="1"/>
  <c r="AK36" i="24"/>
  <c r="H87" i="57"/>
  <c r="D64" i="55"/>
  <c r="F66" i="55"/>
  <c r="E60" i="55"/>
  <c r="G60" i="57" s="1"/>
  <c r="D40" i="55"/>
  <c r="AG82" i="55"/>
  <c r="AG91" i="55" s="1"/>
  <c r="D22" i="55"/>
  <c r="F22" i="57" s="1"/>
  <c r="H22" i="57" s="1"/>
  <c r="F24" i="55"/>
  <c r="F82" i="55"/>
  <c r="F91" i="55" s="1"/>
  <c r="AD82" i="55"/>
  <c r="F64" i="56"/>
  <c r="F66" i="56" s="1"/>
  <c r="L64" i="56"/>
  <c r="L77" i="8"/>
  <c r="D77" i="32" s="1"/>
  <c r="F77" i="8"/>
  <c r="F55" i="8"/>
  <c r="L55" i="8"/>
  <c r="E65" i="55"/>
  <c r="G65" i="57" s="1"/>
  <c r="I65" i="57" s="1"/>
  <c r="AJ66" i="55"/>
  <c r="AB66" i="55"/>
  <c r="T66" i="55"/>
  <c r="L66" i="55"/>
  <c r="E55" i="55"/>
  <c r="G55" i="57" s="1"/>
  <c r="I55" i="57" s="1"/>
  <c r="G56" i="55"/>
  <c r="D49" i="55"/>
  <c r="F49" i="57" s="1"/>
  <c r="H49" i="57" s="1"/>
  <c r="E40" i="55"/>
  <c r="AM36" i="55"/>
  <c r="AE36" i="55"/>
  <c r="W36" i="55"/>
  <c r="O36" i="55"/>
  <c r="E33" i="55"/>
  <c r="G33" i="57" s="1"/>
  <c r="I33" i="57" s="1"/>
  <c r="E23" i="55"/>
  <c r="G23" i="57" s="1"/>
  <c r="I23" i="57" s="1"/>
  <c r="D20" i="55"/>
  <c r="F20" i="57" s="1"/>
  <c r="H20" i="57" s="1"/>
  <c r="AH82" i="55"/>
  <c r="AH91" i="55" s="1"/>
  <c r="AN16" i="55"/>
  <c r="AF16" i="55"/>
  <c r="AF82" i="55" s="1"/>
  <c r="AF91" i="55" s="1"/>
  <c r="X16" i="55"/>
  <c r="P16" i="55"/>
  <c r="P82" i="55" s="1"/>
  <c r="H16" i="55"/>
  <c r="H82" i="55" s="1"/>
  <c r="F19" i="56"/>
  <c r="F24" i="56" s="1"/>
  <c r="H24" i="56"/>
  <c r="L19" i="56"/>
  <c r="D70" i="32"/>
  <c r="D72" i="32" s="1"/>
  <c r="F79" i="8"/>
  <c r="L79" i="8"/>
  <c r="D79" i="32" s="1"/>
  <c r="L51" i="8"/>
  <c r="D51" i="32" s="1"/>
  <c r="F51" i="8"/>
  <c r="F34" i="8"/>
  <c r="L34" i="8"/>
  <c r="D34" i="32" s="1"/>
  <c r="D34" i="5" s="1"/>
  <c r="I29" i="8"/>
  <c r="M13" i="8"/>
  <c r="E13" i="32" s="1"/>
  <c r="I13" i="32" s="1"/>
  <c r="G13" i="8"/>
  <c r="G16" i="8" s="1"/>
  <c r="E80" i="20"/>
  <c r="G80" i="32" s="1"/>
  <c r="E54" i="20"/>
  <c r="AC43" i="20"/>
  <c r="M43" i="20"/>
  <c r="F32" i="32"/>
  <c r="D41" i="48"/>
  <c r="F41" i="50" s="1"/>
  <c r="H41" i="50" s="1"/>
  <c r="D21" i="48"/>
  <c r="F21" i="50" s="1"/>
  <c r="H21" i="50" s="1"/>
  <c r="AN24" i="48"/>
  <c r="AF24" i="48"/>
  <c r="X24" i="48"/>
  <c r="P24" i="48"/>
  <c r="H24" i="48"/>
  <c r="AH16" i="24"/>
  <c r="AH82" i="24" s="1"/>
  <c r="AH91" i="24" s="1"/>
  <c r="J89" i="12"/>
  <c r="E56" i="12"/>
  <c r="F89" i="55"/>
  <c r="E81" i="55"/>
  <c r="G81" i="57" s="1"/>
  <c r="I81" i="57" s="1"/>
  <c r="E74" i="55"/>
  <c r="G74" i="57" s="1"/>
  <c r="I74" i="57" s="1"/>
  <c r="D60" i="55"/>
  <c r="F60" i="57" s="1"/>
  <c r="H60" i="57" s="1"/>
  <c r="D45" i="55"/>
  <c r="F45" i="57" s="1"/>
  <c r="E41" i="55"/>
  <c r="G41" i="57" s="1"/>
  <c r="I41" i="57" s="1"/>
  <c r="G42" i="55"/>
  <c r="G43" i="55" s="1"/>
  <c r="D28" i="55"/>
  <c r="F28" i="57" s="1"/>
  <c r="H28" i="57" s="1"/>
  <c r="J82" i="55"/>
  <c r="E14" i="55"/>
  <c r="G14" i="57" s="1"/>
  <c r="I16" i="55"/>
  <c r="I82" i="55" s="1"/>
  <c r="AM16" i="55"/>
  <c r="AM82" i="55" s="1"/>
  <c r="AM91" i="55" s="1"/>
  <c r="AE16" i="55"/>
  <c r="W16" i="55"/>
  <c r="W82" i="55" s="1"/>
  <c r="O16" i="55"/>
  <c r="E11" i="55"/>
  <c r="M80" i="56"/>
  <c r="E80" i="57" s="1"/>
  <c r="I80" i="57" s="1"/>
  <c r="G80" i="56"/>
  <c r="M76" i="56"/>
  <c r="E76" i="57" s="1"/>
  <c r="I76" i="57" s="1"/>
  <c r="G76" i="56"/>
  <c r="I72" i="56"/>
  <c r="F33" i="56"/>
  <c r="L33" i="56"/>
  <c r="D33" i="57" s="1"/>
  <c r="F29" i="56"/>
  <c r="E28" i="4"/>
  <c r="M71" i="8"/>
  <c r="E71" i="32" s="1"/>
  <c r="G71" i="8"/>
  <c r="G72" i="8" s="1"/>
  <c r="D40" i="32"/>
  <c r="D42" i="32" s="1"/>
  <c r="D43" i="32" s="1"/>
  <c r="L42" i="8"/>
  <c r="L43" i="8" s="1"/>
  <c r="F61" i="34"/>
  <c r="I51" i="34"/>
  <c r="E11" i="22"/>
  <c r="G16" i="22"/>
  <c r="G82" i="22" s="1"/>
  <c r="L54" i="10"/>
  <c r="F54" i="10"/>
  <c r="F56" i="10" s="1"/>
  <c r="H56" i="10"/>
  <c r="AI24" i="24"/>
  <c r="D13" i="24"/>
  <c r="F13" i="36" s="1"/>
  <c r="G89" i="12"/>
  <c r="E42" i="12"/>
  <c r="E43" i="12" s="1"/>
  <c r="E82" i="12" s="1"/>
  <c r="E91" i="12" s="1"/>
  <c r="E79" i="55"/>
  <c r="G79" i="57" s="1"/>
  <c r="I79" i="57" s="1"/>
  <c r="E64" i="55"/>
  <c r="I66" i="55"/>
  <c r="E47" i="55"/>
  <c r="G47" i="57" s="1"/>
  <c r="D41" i="55"/>
  <c r="F41" i="57" s="1"/>
  <c r="H41" i="57" s="1"/>
  <c r="E39" i="55"/>
  <c r="G39" i="57" s="1"/>
  <c r="I39" i="57" s="1"/>
  <c r="E32" i="55"/>
  <c r="E19" i="55"/>
  <c r="G24" i="55"/>
  <c r="Z82" i="55"/>
  <c r="L59" i="56"/>
  <c r="F59" i="56"/>
  <c r="F61" i="56" s="1"/>
  <c r="F42" i="56"/>
  <c r="F43" i="56" s="1"/>
  <c r="F15" i="56"/>
  <c r="L15" i="56"/>
  <c r="D15" i="57" s="1"/>
  <c r="H15" i="57" s="1"/>
  <c r="G74" i="8"/>
  <c r="M74" i="8"/>
  <c r="E74" i="32" s="1"/>
  <c r="I74" i="32" s="1"/>
  <c r="H78" i="32"/>
  <c r="AN66" i="20"/>
  <c r="AF66" i="20"/>
  <c r="X66" i="20"/>
  <c r="P66" i="20"/>
  <c r="H66" i="20"/>
  <c r="D55" i="20"/>
  <c r="F55" i="32" s="1"/>
  <c r="F56" i="20"/>
  <c r="AD82" i="20"/>
  <c r="AB639" i="44" s="1"/>
  <c r="I23" i="41"/>
  <c r="E47" i="29"/>
  <c r="G47" i="41" s="1"/>
  <c r="I47" i="41" s="1"/>
  <c r="AM16" i="24"/>
  <c r="F16" i="24"/>
  <c r="J24" i="12"/>
  <c r="J82" i="12" s="1"/>
  <c r="E77" i="55"/>
  <c r="G77" i="57" s="1"/>
  <c r="I77" i="57" s="1"/>
  <c r="AN56" i="55"/>
  <c r="AF56" i="55"/>
  <c r="X56" i="55"/>
  <c r="P56" i="55"/>
  <c r="H56" i="55"/>
  <c r="D34" i="55"/>
  <c r="F34" i="57" s="1"/>
  <c r="H34" i="57" s="1"/>
  <c r="V82" i="55"/>
  <c r="D14" i="55"/>
  <c r="F14" i="57" s="1"/>
  <c r="H14" i="57" s="1"/>
  <c r="AJ16" i="55"/>
  <c r="AJ82" i="55" s="1"/>
  <c r="AJ91" i="55" s="1"/>
  <c r="AB16" i="55"/>
  <c r="AB82" i="55" s="1"/>
  <c r="T16" i="55"/>
  <c r="T82" i="55" s="1"/>
  <c r="L16" i="55"/>
  <c r="L82" i="55" s="1"/>
  <c r="L89" i="56"/>
  <c r="G61" i="56"/>
  <c r="L32" i="56"/>
  <c r="H36" i="56"/>
  <c r="G16" i="56"/>
  <c r="M28" i="8"/>
  <c r="E28" i="32" s="1"/>
  <c r="E29" i="32" s="1"/>
  <c r="G28" i="8"/>
  <c r="E73" i="20"/>
  <c r="G73" i="32" s="1"/>
  <c r="I73" i="32" s="1"/>
  <c r="E33" i="20"/>
  <c r="G33" i="32" s="1"/>
  <c r="H13" i="32"/>
  <c r="AI82" i="20"/>
  <c r="AA82" i="20"/>
  <c r="Y639" i="44" s="1"/>
  <c r="D49" i="29"/>
  <c r="F49" i="41" s="1"/>
  <c r="H49" i="41" s="1"/>
  <c r="E42" i="34"/>
  <c r="E43" i="34" s="1"/>
  <c r="AO29" i="24"/>
  <c r="AO82" i="24" s="1"/>
  <c r="AO91" i="24" s="1"/>
  <c r="AG29" i="24"/>
  <c r="AG82" i="24" s="1"/>
  <c r="AG91" i="24" s="1"/>
  <c r="AL16" i="24"/>
  <c r="AL82" i="24" s="1"/>
  <c r="AL91" i="24" s="1"/>
  <c r="D89" i="57"/>
  <c r="D29" i="57"/>
  <c r="D77" i="55"/>
  <c r="F77" i="57" s="1"/>
  <c r="H77" i="57" s="1"/>
  <c r="G72" i="55"/>
  <c r="E70" i="55"/>
  <c r="E61" i="55"/>
  <c r="G59" i="57"/>
  <c r="E49" i="55"/>
  <c r="G49" i="57" s="1"/>
  <c r="I49" i="57" s="1"/>
  <c r="E34" i="55"/>
  <c r="G34" i="57" s="1"/>
  <c r="I34" i="57" s="1"/>
  <c r="G27" i="57"/>
  <c r="E20" i="55"/>
  <c r="G20" i="57" s="1"/>
  <c r="D12" i="55"/>
  <c r="F12" i="57" s="1"/>
  <c r="H12" i="57" s="1"/>
  <c r="AI16" i="55"/>
  <c r="AI82" i="55" s="1"/>
  <c r="AI91" i="55" s="1"/>
  <c r="AA16" i="55"/>
  <c r="AA82" i="55" s="1"/>
  <c r="S16" i="55"/>
  <c r="S82" i="55" s="1"/>
  <c r="K16" i="55"/>
  <c r="K82" i="55" s="1"/>
  <c r="M71" i="56"/>
  <c r="E71" i="57" s="1"/>
  <c r="E72" i="57" s="1"/>
  <c r="G71" i="56"/>
  <c r="G72" i="56" s="1"/>
  <c r="M66" i="56"/>
  <c r="E64" i="57"/>
  <c r="F32" i="56"/>
  <c r="G14" i="56"/>
  <c r="M14" i="56"/>
  <c r="E14" i="57" s="1"/>
  <c r="L60" i="8"/>
  <c r="D60" i="32" s="1"/>
  <c r="H61" i="8"/>
  <c r="F60" i="8"/>
  <c r="F61" i="8" s="1"/>
  <c r="H36" i="20"/>
  <c r="D34" i="20"/>
  <c r="F34" i="32" s="1"/>
  <c r="I29" i="20"/>
  <c r="E27" i="20"/>
  <c r="D80" i="29"/>
  <c r="F80" i="41" s="1"/>
  <c r="H80" i="41" s="1"/>
  <c r="D71" i="29"/>
  <c r="F71" i="41" s="1"/>
  <c r="H71" i="41" s="1"/>
  <c r="D34" i="29"/>
  <c r="F34" i="41" s="1"/>
  <c r="H34" i="41" s="1"/>
  <c r="H36" i="29"/>
  <c r="H55" i="34"/>
  <c r="F56" i="34"/>
  <c r="L47" i="10"/>
  <c r="D47" i="34" s="1"/>
  <c r="D47" i="5" s="1"/>
  <c r="F47" i="10"/>
  <c r="F23" i="10"/>
  <c r="L23" i="10"/>
  <c r="D23" i="34" s="1"/>
  <c r="H23" i="34" s="1"/>
  <c r="G41" i="56"/>
  <c r="G42" i="56" s="1"/>
  <c r="I42" i="56"/>
  <c r="I43" i="56" s="1"/>
  <c r="M41" i="56"/>
  <c r="E41" i="57" s="1"/>
  <c r="E42" i="57" s="1"/>
  <c r="F29" i="4"/>
  <c r="F32" i="4" s="1"/>
  <c r="F22" i="8"/>
  <c r="F24" i="8" s="1"/>
  <c r="L22" i="8"/>
  <c r="D22" i="32" s="1"/>
  <c r="L20" i="8"/>
  <c r="D20" i="32" s="1"/>
  <c r="F20" i="8"/>
  <c r="D75" i="20"/>
  <c r="F75" i="32" s="1"/>
  <c r="H75" i="32" s="1"/>
  <c r="E70" i="20"/>
  <c r="AM66" i="20"/>
  <c r="AM82" i="20" s="1"/>
  <c r="AE66" i="20"/>
  <c r="AE82" i="20" s="1"/>
  <c r="AC639" i="44" s="1"/>
  <c r="W66" i="20"/>
  <c r="O66" i="20"/>
  <c r="O82" i="20" s="1"/>
  <c r="M639" i="44" s="1"/>
  <c r="G66" i="20"/>
  <c r="D54" i="20"/>
  <c r="Q43" i="20"/>
  <c r="I43" i="20"/>
  <c r="E40" i="20"/>
  <c r="D35" i="20"/>
  <c r="F35" i="32" s="1"/>
  <c r="H35" i="32" s="1"/>
  <c r="D56" i="29"/>
  <c r="F55" i="41"/>
  <c r="H55" i="41" s="1"/>
  <c r="AH82" i="29"/>
  <c r="Z82" i="29"/>
  <c r="X638" i="44" s="1"/>
  <c r="R82" i="29"/>
  <c r="P638" i="44" s="1"/>
  <c r="AI16" i="29"/>
  <c r="AI82" i="29" s="1"/>
  <c r="K16" i="29"/>
  <c r="K82" i="29" s="1"/>
  <c r="I638" i="44" s="1"/>
  <c r="G36" i="55"/>
  <c r="M78" i="56"/>
  <c r="E78" i="57" s="1"/>
  <c r="I78" i="57" s="1"/>
  <c r="M74" i="56"/>
  <c r="E74" i="57" s="1"/>
  <c r="M65" i="56"/>
  <c r="E65" i="57" s="1"/>
  <c r="M55" i="56"/>
  <c r="E55" i="57" s="1"/>
  <c r="L45" i="56"/>
  <c r="D45" i="57" s="1"/>
  <c r="M39" i="56"/>
  <c r="E39" i="57" s="1"/>
  <c r="G39" i="56"/>
  <c r="F11" i="56"/>
  <c r="F16" i="56" s="1"/>
  <c r="H16" i="56"/>
  <c r="H82" i="56" s="1"/>
  <c r="H91" i="56" s="1"/>
  <c r="L66" i="8"/>
  <c r="M35" i="8"/>
  <c r="E35" i="32" s="1"/>
  <c r="G35" i="8"/>
  <c r="G36" i="8" s="1"/>
  <c r="L33" i="8"/>
  <c r="D33" i="32" s="1"/>
  <c r="M29" i="8"/>
  <c r="E81" i="20"/>
  <c r="G81" i="32" s="1"/>
  <c r="I81" i="32" s="1"/>
  <c r="E78" i="20"/>
  <c r="G78" i="32" s="1"/>
  <c r="D73" i="20"/>
  <c r="F73" i="32" s="1"/>
  <c r="H73" i="32" s="1"/>
  <c r="AL72" i="20"/>
  <c r="AD72" i="20"/>
  <c r="V72" i="20"/>
  <c r="N72" i="20"/>
  <c r="F72" i="20"/>
  <c r="D64" i="20"/>
  <c r="E60" i="20"/>
  <c r="G60" i="32" s="1"/>
  <c r="I60" i="32" s="1"/>
  <c r="E55" i="20"/>
  <c r="G55" i="32" s="1"/>
  <c r="I55" i="32" s="1"/>
  <c r="E45" i="20"/>
  <c r="G45" i="32" s="1"/>
  <c r="G45" i="5" s="1"/>
  <c r="AN43" i="20"/>
  <c r="D33" i="20"/>
  <c r="F33" i="32" s="1"/>
  <c r="H33" i="32" s="1"/>
  <c r="E21" i="20"/>
  <c r="G21" i="32" s="1"/>
  <c r="AO16" i="20"/>
  <c r="AO82" i="20" s="1"/>
  <c r="D75" i="29"/>
  <c r="F75" i="41" s="1"/>
  <c r="H75" i="41" s="1"/>
  <c r="G66" i="29"/>
  <c r="E65" i="29"/>
  <c r="G65" i="41" s="1"/>
  <c r="I65" i="41" s="1"/>
  <c r="G64" i="41"/>
  <c r="E66" i="29"/>
  <c r="F42" i="29"/>
  <c r="F43" i="29" s="1"/>
  <c r="E33" i="29"/>
  <c r="G33" i="41" s="1"/>
  <c r="I33" i="41" s="1"/>
  <c r="M42" i="56"/>
  <c r="M43" i="56" s="1"/>
  <c r="G22" i="56"/>
  <c r="M22" i="56"/>
  <c r="E22" i="57" s="1"/>
  <c r="M12" i="56"/>
  <c r="G12" i="56"/>
  <c r="E19" i="4"/>
  <c r="E29" i="4" s="1"/>
  <c r="E32" i="4" s="1"/>
  <c r="I72" i="8"/>
  <c r="D66" i="32"/>
  <c r="M59" i="8"/>
  <c r="G59" i="8"/>
  <c r="G61" i="8" s="1"/>
  <c r="H56" i="8"/>
  <c r="M49" i="8"/>
  <c r="E49" i="32" s="1"/>
  <c r="E49" i="5" s="1"/>
  <c r="G49" i="8"/>
  <c r="L27" i="8"/>
  <c r="F27" i="8"/>
  <c r="F29" i="8" s="1"/>
  <c r="M21" i="8"/>
  <c r="E21" i="32" s="1"/>
  <c r="E21" i="5" s="1"/>
  <c r="G21" i="8"/>
  <c r="F14" i="8"/>
  <c r="L14" i="8"/>
  <c r="D14" i="32" s="1"/>
  <c r="D14" i="5" s="1"/>
  <c r="L12" i="8"/>
  <c r="D12" i="32" s="1"/>
  <c r="D16" i="32" s="1"/>
  <c r="F12" i="8"/>
  <c r="F16" i="8" s="1"/>
  <c r="E65" i="20"/>
  <c r="G65" i="32" s="1"/>
  <c r="I65" i="32" s="1"/>
  <c r="E51" i="20"/>
  <c r="G51" i="32" s="1"/>
  <c r="I51" i="32" s="1"/>
  <c r="N82" i="20"/>
  <c r="L639" i="44" s="1"/>
  <c r="F82" i="20"/>
  <c r="D41" i="22"/>
  <c r="F41" i="34" s="1"/>
  <c r="F42" i="22"/>
  <c r="F43" i="22" s="1"/>
  <c r="H34" i="34"/>
  <c r="H32" i="34"/>
  <c r="F36" i="34"/>
  <c r="M42" i="10"/>
  <c r="M43" i="10" s="1"/>
  <c r="F35" i="10"/>
  <c r="L35" i="10"/>
  <c r="D35" i="34" s="1"/>
  <c r="H36" i="10"/>
  <c r="D32" i="48"/>
  <c r="F36" i="48"/>
  <c r="L29" i="48"/>
  <c r="L82" i="48" s="1"/>
  <c r="J652" i="44" s="1"/>
  <c r="D27" i="48"/>
  <c r="G51" i="56"/>
  <c r="M51" i="56"/>
  <c r="E51" i="57" s="1"/>
  <c r="I51" i="57" s="1"/>
  <c r="M34" i="56"/>
  <c r="E34" i="57" s="1"/>
  <c r="G34" i="56"/>
  <c r="M27" i="56"/>
  <c r="G27" i="56"/>
  <c r="G29" i="56" s="1"/>
  <c r="M20" i="56"/>
  <c r="G20" i="56"/>
  <c r="G24" i="56" s="1"/>
  <c r="D29" i="4"/>
  <c r="D32" i="4" s="1"/>
  <c r="M80" i="8"/>
  <c r="E80" i="32" s="1"/>
  <c r="E80" i="5" s="1"/>
  <c r="G80" i="8"/>
  <c r="G64" i="8"/>
  <c r="G66" i="8" s="1"/>
  <c r="M64" i="8"/>
  <c r="F54" i="8"/>
  <c r="F56" i="8" s="1"/>
  <c r="G29" i="8"/>
  <c r="D81" i="20"/>
  <c r="F81" i="32" s="1"/>
  <c r="H81" i="32" s="1"/>
  <c r="E77" i="20"/>
  <c r="G77" i="32" s="1"/>
  <c r="I77" i="32" s="1"/>
  <c r="D71" i="20"/>
  <c r="F71" i="32" s="1"/>
  <c r="H71" i="32" s="1"/>
  <c r="D60" i="20"/>
  <c r="F60" i="32" s="1"/>
  <c r="F61" i="20"/>
  <c r="AK43" i="20"/>
  <c r="X36" i="20"/>
  <c r="D28" i="20"/>
  <c r="F28" i="32" s="1"/>
  <c r="H28" i="32" s="1"/>
  <c r="G24" i="20"/>
  <c r="E20" i="20"/>
  <c r="G20" i="32" s="1"/>
  <c r="I20" i="32" s="1"/>
  <c r="AG82" i="20"/>
  <c r="Y82" i="20"/>
  <c r="W639" i="44" s="1"/>
  <c r="Q82" i="20"/>
  <c r="O639" i="44" s="1"/>
  <c r="H66" i="29"/>
  <c r="D64" i="29"/>
  <c r="AD82" i="29"/>
  <c r="AB638" i="44" s="1"/>
  <c r="V82" i="29"/>
  <c r="T638" i="44" s="1"/>
  <c r="N82" i="29"/>
  <c r="L638" i="44" s="1"/>
  <c r="D14" i="29"/>
  <c r="F14" i="41" s="1"/>
  <c r="H14" i="41" s="1"/>
  <c r="F16" i="29"/>
  <c r="AA82" i="29"/>
  <c r="Y638" i="44" s="1"/>
  <c r="E13" i="29"/>
  <c r="G13" i="41" s="1"/>
  <c r="I13" i="41" s="1"/>
  <c r="L56" i="17"/>
  <c r="G66" i="55"/>
  <c r="G16" i="55"/>
  <c r="I66" i="56"/>
  <c r="I56" i="56"/>
  <c r="M47" i="56"/>
  <c r="E47" i="57" s="1"/>
  <c r="G47" i="56"/>
  <c r="G32" i="56"/>
  <c r="G36" i="56" s="1"/>
  <c r="M32" i="56"/>
  <c r="H45" i="32"/>
  <c r="G78" i="8"/>
  <c r="M78" i="8"/>
  <c r="E78" i="32" s="1"/>
  <c r="E78" i="5" s="1"/>
  <c r="F41" i="8"/>
  <c r="F42" i="8" s="1"/>
  <c r="F43" i="8" s="1"/>
  <c r="E32" i="32"/>
  <c r="E36" i="32" s="1"/>
  <c r="D79" i="20"/>
  <c r="F79" i="32" s="1"/>
  <c r="H79" i="32" s="1"/>
  <c r="D47" i="20"/>
  <c r="F47" i="32" s="1"/>
  <c r="H47" i="32" s="1"/>
  <c r="J42" i="20"/>
  <c r="J43" i="20" s="1"/>
  <c r="D40" i="20"/>
  <c r="AH36" i="20"/>
  <c r="Z36" i="20"/>
  <c r="R36" i="20"/>
  <c r="J36" i="20"/>
  <c r="AM36" i="20"/>
  <c r="AE36" i="20"/>
  <c r="W36" i="20"/>
  <c r="W82" i="20" s="1"/>
  <c r="U639" i="44" s="1"/>
  <c r="E32" i="20"/>
  <c r="G36" i="20"/>
  <c r="E28" i="20"/>
  <c r="G28" i="32" s="1"/>
  <c r="G29" i="20"/>
  <c r="D20" i="20"/>
  <c r="F20" i="32" s="1"/>
  <c r="F24" i="20"/>
  <c r="AH24" i="20"/>
  <c r="Z24" i="20"/>
  <c r="Z82" i="20" s="1"/>
  <c r="X639" i="44" s="1"/>
  <c r="E82" i="41"/>
  <c r="D70" i="29"/>
  <c r="F72" i="29"/>
  <c r="AL16" i="29"/>
  <c r="AL82" i="29" s="1"/>
  <c r="D59" i="20"/>
  <c r="E34" i="20"/>
  <c r="G34" i="32" s="1"/>
  <c r="I34" i="32" s="1"/>
  <c r="AI29" i="20"/>
  <c r="AA29" i="20"/>
  <c r="S29" i="20"/>
  <c r="S82" i="20" s="1"/>
  <c r="Q639" i="44" s="1"/>
  <c r="K29" i="20"/>
  <c r="K82" i="20" s="1"/>
  <c r="I639" i="44" s="1"/>
  <c r="M24" i="20"/>
  <c r="E23" i="20"/>
  <c r="G23" i="32" s="1"/>
  <c r="I23" i="32" s="1"/>
  <c r="AO24" i="20"/>
  <c r="AG24" i="20"/>
  <c r="Y24" i="20"/>
  <c r="Q24" i="20"/>
  <c r="D12" i="20"/>
  <c r="F12" i="32" s="1"/>
  <c r="H12" i="32" s="1"/>
  <c r="I20" i="41"/>
  <c r="E73" i="29"/>
  <c r="G73" i="41" s="1"/>
  <c r="I73" i="41" s="1"/>
  <c r="E59" i="29"/>
  <c r="G61" i="29"/>
  <c r="E45" i="29"/>
  <c r="G45" i="41" s="1"/>
  <c r="I45" i="41" s="1"/>
  <c r="F32" i="41"/>
  <c r="D36" i="29"/>
  <c r="F60" i="17"/>
  <c r="H61" i="17"/>
  <c r="L60" i="17"/>
  <c r="L61" i="17" s="1"/>
  <c r="G39" i="17"/>
  <c r="G43" i="17" s="1"/>
  <c r="M39" i="17"/>
  <c r="M43" i="17" s="1"/>
  <c r="L34" i="17"/>
  <c r="F34" i="17"/>
  <c r="M19" i="17"/>
  <c r="M24" i="17" s="1"/>
  <c r="G19" i="17"/>
  <c r="G24" i="17" s="1"/>
  <c r="I24" i="17"/>
  <c r="F14" i="17"/>
  <c r="L14" i="17"/>
  <c r="F64" i="10"/>
  <c r="F66" i="10" s="1"/>
  <c r="L64" i="10"/>
  <c r="H66" i="10"/>
  <c r="M54" i="8"/>
  <c r="M45" i="8"/>
  <c r="E45" i="32" s="1"/>
  <c r="E45" i="5" s="1"/>
  <c r="I36" i="8"/>
  <c r="M33" i="8"/>
  <c r="E33" i="32" s="1"/>
  <c r="M23" i="8"/>
  <c r="E23" i="32" s="1"/>
  <c r="M19" i="8"/>
  <c r="M15" i="8"/>
  <c r="E15" i="32" s="1"/>
  <c r="E15" i="5" s="1"/>
  <c r="M11" i="8"/>
  <c r="AH56" i="20"/>
  <c r="Z56" i="20"/>
  <c r="R56" i="20"/>
  <c r="J56" i="20"/>
  <c r="D39" i="20"/>
  <c r="F39" i="32" s="1"/>
  <c r="H39" i="32" s="1"/>
  <c r="P24" i="20"/>
  <c r="P82" i="20" s="1"/>
  <c r="N639" i="44" s="1"/>
  <c r="H24" i="20"/>
  <c r="H82" i="20" s="1"/>
  <c r="F639" i="44" s="1"/>
  <c r="E15" i="20"/>
  <c r="G15" i="32" s="1"/>
  <c r="I15" i="32" s="1"/>
  <c r="E80" i="29"/>
  <c r="G80" i="41" s="1"/>
  <c r="I80" i="41" s="1"/>
  <c r="E32" i="29"/>
  <c r="M24" i="29"/>
  <c r="L39" i="17"/>
  <c r="F39" i="17"/>
  <c r="F29" i="22"/>
  <c r="D51" i="20"/>
  <c r="F51" i="32" s="1"/>
  <c r="H51" i="32" s="1"/>
  <c r="AN29" i="20"/>
  <c r="AF29" i="20"/>
  <c r="AF82" i="20" s="1"/>
  <c r="X29" i="20"/>
  <c r="P29" i="20"/>
  <c r="H29" i="20"/>
  <c r="D21" i="20"/>
  <c r="F21" i="32" s="1"/>
  <c r="H21" i="32" s="1"/>
  <c r="H56" i="41"/>
  <c r="D81" i="29"/>
  <c r="F81" i="41" s="1"/>
  <c r="H81" i="41" s="1"/>
  <c r="I79" i="41"/>
  <c r="D78" i="29"/>
  <c r="F78" i="41" s="1"/>
  <c r="H78" i="41" s="1"/>
  <c r="E76" i="29"/>
  <c r="G76" i="41" s="1"/>
  <c r="I76" i="41" s="1"/>
  <c r="I42" i="29"/>
  <c r="I43" i="29" s="1"/>
  <c r="E41" i="29"/>
  <c r="G41" i="41" s="1"/>
  <c r="I41" i="41" s="1"/>
  <c r="E22" i="29"/>
  <c r="G22" i="41" s="1"/>
  <c r="I22" i="41" s="1"/>
  <c r="F66" i="17"/>
  <c r="D43" i="34"/>
  <c r="E64" i="22"/>
  <c r="G66" i="22"/>
  <c r="M65" i="10"/>
  <c r="E65" i="34" s="1"/>
  <c r="E66" i="34" s="1"/>
  <c r="G65" i="10"/>
  <c r="I66" i="10"/>
  <c r="D80" i="48"/>
  <c r="F80" i="50" s="1"/>
  <c r="H80" i="50" s="1"/>
  <c r="D56" i="48"/>
  <c r="F54" i="50"/>
  <c r="D51" i="48"/>
  <c r="F51" i="50" s="1"/>
  <c r="H51" i="50" s="1"/>
  <c r="AK24" i="20"/>
  <c r="AC24" i="20"/>
  <c r="U24" i="20"/>
  <c r="D11" i="20"/>
  <c r="F24" i="41"/>
  <c r="H19" i="41"/>
  <c r="D16" i="41"/>
  <c r="D82" i="41" s="1"/>
  <c r="E74" i="29"/>
  <c r="G74" i="41" s="1"/>
  <c r="I74" i="41" s="1"/>
  <c r="G79" i="17"/>
  <c r="M79" i="17"/>
  <c r="F22" i="17"/>
  <c r="L22" i="17"/>
  <c r="M20" i="17"/>
  <c r="M11" i="17"/>
  <c r="M16" i="17" s="1"/>
  <c r="G11" i="17"/>
  <c r="G16" i="17" s="1"/>
  <c r="I16" i="17"/>
  <c r="I70" i="34"/>
  <c r="I72" i="34" s="1"/>
  <c r="G72" i="34"/>
  <c r="L80" i="10"/>
  <c r="D80" i="34" s="1"/>
  <c r="H80" i="34" s="1"/>
  <c r="F80" i="10"/>
  <c r="I24" i="8"/>
  <c r="I16" i="8"/>
  <c r="I82" i="8" s="1"/>
  <c r="D27" i="20"/>
  <c r="L24" i="20"/>
  <c r="L82" i="20" s="1"/>
  <c r="J639" i="44" s="1"/>
  <c r="D19" i="20"/>
  <c r="E12" i="20"/>
  <c r="G12" i="32" s="1"/>
  <c r="I12" i="32" s="1"/>
  <c r="I16" i="20"/>
  <c r="I82" i="20" s="1"/>
  <c r="G639" i="44" s="1"/>
  <c r="H77" i="41"/>
  <c r="D74" i="29"/>
  <c r="F74" i="41" s="1"/>
  <c r="H74" i="41" s="1"/>
  <c r="D47" i="29"/>
  <c r="F47" i="41" s="1"/>
  <c r="H47" i="41" s="1"/>
  <c r="D33" i="29"/>
  <c r="F33" i="41" s="1"/>
  <c r="H33" i="41" s="1"/>
  <c r="F36" i="29"/>
  <c r="D29" i="22"/>
  <c r="F27" i="34"/>
  <c r="H76" i="50"/>
  <c r="D51" i="29"/>
  <c r="F51" i="41" s="1"/>
  <c r="H51" i="41" s="1"/>
  <c r="AK42" i="29"/>
  <c r="AK43" i="29" s="1"/>
  <c r="AC42" i="29"/>
  <c r="AC43" i="29" s="1"/>
  <c r="U42" i="29"/>
  <c r="U43" i="29" s="1"/>
  <c r="M42" i="29"/>
  <c r="M43" i="29" s="1"/>
  <c r="E34" i="29"/>
  <c r="G34" i="41" s="1"/>
  <c r="I34" i="41" s="1"/>
  <c r="D27" i="29"/>
  <c r="AE24" i="29"/>
  <c r="AE82" i="29" s="1"/>
  <c r="AC638" i="44" s="1"/>
  <c r="W24" i="29"/>
  <c r="W82" i="29" s="1"/>
  <c r="U638" i="44" s="1"/>
  <c r="Y16" i="29"/>
  <c r="Q16" i="29"/>
  <c r="M77" i="17"/>
  <c r="G77" i="17"/>
  <c r="G47" i="17"/>
  <c r="M47" i="17"/>
  <c r="M33" i="17"/>
  <c r="G33" i="17"/>
  <c r="K82" i="17"/>
  <c r="H45" i="34"/>
  <c r="E24" i="34"/>
  <c r="D72" i="22"/>
  <c r="F72" i="34"/>
  <c r="D66" i="22"/>
  <c r="F64" i="34"/>
  <c r="D11" i="22"/>
  <c r="F16" i="22"/>
  <c r="F82" i="22" s="1"/>
  <c r="F39" i="10"/>
  <c r="L39" i="10"/>
  <c r="D39" i="34" s="1"/>
  <c r="D39" i="5" s="1"/>
  <c r="L80" i="49"/>
  <c r="D80" i="50" s="1"/>
  <c r="F80" i="49"/>
  <c r="F78" i="49"/>
  <c r="L78" i="49"/>
  <c r="D78" i="50" s="1"/>
  <c r="D78" i="5" s="1"/>
  <c r="D81" i="48"/>
  <c r="F81" i="50" s="1"/>
  <c r="H81" i="50" s="1"/>
  <c r="I76" i="50"/>
  <c r="R24" i="20"/>
  <c r="J24" i="20"/>
  <c r="E78" i="29"/>
  <c r="G78" i="41" s="1"/>
  <c r="I78" i="41" s="1"/>
  <c r="E27" i="29"/>
  <c r="AJ24" i="29"/>
  <c r="AB24" i="29"/>
  <c r="AN16" i="29"/>
  <c r="AN82" i="29" s="1"/>
  <c r="AF16" i="29"/>
  <c r="AF82" i="29" s="1"/>
  <c r="X16" i="29"/>
  <c r="X82" i="29" s="1"/>
  <c r="V638" i="44" s="1"/>
  <c r="P16" i="29"/>
  <c r="P82" i="29" s="1"/>
  <c r="N638" i="44" s="1"/>
  <c r="H16" i="29"/>
  <c r="F81" i="17"/>
  <c r="L81" i="17"/>
  <c r="L75" i="17"/>
  <c r="F75" i="17"/>
  <c r="F73" i="17"/>
  <c r="L73" i="17"/>
  <c r="F61" i="17"/>
  <c r="L47" i="17"/>
  <c r="F47" i="17"/>
  <c r="G27" i="17"/>
  <c r="G29" i="17" s="1"/>
  <c r="I29" i="17"/>
  <c r="H13" i="34"/>
  <c r="E41" i="22"/>
  <c r="G41" i="34" s="1"/>
  <c r="G42" i="22"/>
  <c r="G43" i="22" s="1"/>
  <c r="G36" i="34"/>
  <c r="AI82" i="22"/>
  <c r="AA82" i="22"/>
  <c r="Y642" i="44" s="1"/>
  <c r="E29" i="22"/>
  <c r="G27" i="34"/>
  <c r="L74" i="10"/>
  <c r="D74" i="34" s="1"/>
  <c r="H74" i="34" s="1"/>
  <c r="F74" i="10"/>
  <c r="F23" i="49"/>
  <c r="L23" i="49"/>
  <c r="D23" i="50" s="1"/>
  <c r="D24" i="50" s="1"/>
  <c r="E73" i="48"/>
  <c r="G73" i="50" s="1"/>
  <c r="I73" i="50" s="1"/>
  <c r="E23" i="48"/>
  <c r="G23" i="50" s="1"/>
  <c r="AO24" i="48"/>
  <c r="AG24" i="48"/>
  <c r="Y24" i="48"/>
  <c r="Q24" i="48"/>
  <c r="I24" i="48"/>
  <c r="E19" i="48"/>
  <c r="K82" i="48"/>
  <c r="I652" i="44" s="1"/>
  <c r="E12" i="48"/>
  <c r="G12" i="50" s="1"/>
  <c r="I12" i="50" s="1"/>
  <c r="G16" i="48"/>
  <c r="AJ82" i="48"/>
  <c r="AB82" i="48"/>
  <c r="Z652" i="44" s="1"/>
  <c r="E11" i="20"/>
  <c r="D65" i="29"/>
  <c r="F65" i="41" s="1"/>
  <c r="H65" i="41" s="1"/>
  <c r="F66" i="29"/>
  <c r="AI66" i="29"/>
  <c r="AA66" i="29"/>
  <c r="S66" i="29"/>
  <c r="K66" i="29"/>
  <c r="D59" i="29"/>
  <c r="N56" i="29"/>
  <c r="F56" i="29"/>
  <c r="AO36" i="29"/>
  <c r="AG36" i="29"/>
  <c r="Y36" i="29"/>
  <c r="Q36" i="29"/>
  <c r="I36" i="29"/>
  <c r="D22" i="29"/>
  <c r="F22" i="41" s="1"/>
  <c r="H22" i="41" s="1"/>
  <c r="J16" i="29"/>
  <c r="J82" i="29" s="1"/>
  <c r="H638" i="44" s="1"/>
  <c r="M45" i="17"/>
  <c r="G45" i="17"/>
  <c r="M32" i="17"/>
  <c r="G32" i="17"/>
  <c r="G36" i="17" s="1"/>
  <c r="I36" i="17"/>
  <c r="E16" i="34"/>
  <c r="I81" i="34"/>
  <c r="G60" i="10"/>
  <c r="M60" i="10"/>
  <c r="E60" i="34" s="1"/>
  <c r="I60" i="34" s="1"/>
  <c r="D32" i="34"/>
  <c r="G29" i="10"/>
  <c r="D76" i="29"/>
  <c r="F76" i="41" s="1"/>
  <c r="H76" i="41" s="1"/>
  <c r="AN72" i="29"/>
  <c r="AF72" i="29"/>
  <c r="X72" i="29"/>
  <c r="P72" i="29"/>
  <c r="H72" i="29"/>
  <c r="AH66" i="29"/>
  <c r="Z66" i="29"/>
  <c r="R66" i="29"/>
  <c r="J66" i="29"/>
  <c r="AK61" i="29"/>
  <c r="AC61" i="29"/>
  <c r="U61" i="29"/>
  <c r="M61" i="29"/>
  <c r="F56" i="41"/>
  <c r="E49" i="29"/>
  <c r="G49" i="41" s="1"/>
  <c r="I49" i="41" s="1"/>
  <c r="D39" i="29"/>
  <c r="F39" i="41" s="1"/>
  <c r="H39" i="41" s="1"/>
  <c r="D35" i="29"/>
  <c r="F35" i="41" s="1"/>
  <c r="H35" i="41" s="1"/>
  <c r="AA24" i="29"/>
  <c r="S24" i="29"/>
  <c r="S82" i="29" s="1"/>
  <c r="Q638" i="44" s="1"/>
  <c r="E19" i="29"/>
  <c r="AK16" i="29"/>
  <c r="AC16" i="29"/>
  <c r="AC82" i="29" s="1"/>
  <c r="AA638" i="44" s="1"/>
  <c r="U16" i="29"/>
  <c r="U82" i="29" s="1"/>
  <c r="S638" i="44" s="1"/>
  <c r="M16" i="29"/>
  <c r="D11" i="29"/>
  <c r="G70" i="17"/>
  <c r="G72" i="17" s="1"/>
  <c r="M70" i="17"/>
  <c r="M72" i="17" s="1"/>
  <c r="I72" i="17"/>
  <c r="F32" i="17"/>
  <c r="L32" i="17"/>
  <c r="L36" i="17" s="1"/>
  <c r="H36" i="17"/>
  <c r="H82" i="17" s="1"/>
  <c r="H81" i="34"/>
  <c r="H73" i="34"/>
  <c r="L60" i="10"/>
  <c r="F60" i="10"/>
  <c r="F61" i="10" s="1"/>
  <c r="H55" i="50"/>
  <c r="G29" i="49"/>
  <c r="G66" i="48"/>
  <c r="E65" i="48"/>
  <c r="G65" i="50" s="1"/>
  <c r="I65" i="50" s="1"/>
  <c r="K66" i="48"/>
  <c r="E64" i="48"/>
  <c r="E22" i="20"/>
  <c r="G22" i="32" s="1"/>
  <c r="I22" i="32" s="1"/>
  <c r="D14" i="20"/>
  <c r="F14" i="32" s="1"/>
  <c r="AK16" i="20"/>
  <c r="AK82" i="20" s="1"/>
  <c r="AC16" i="20"/>
  <c r="AC82" i="20" s="1"/>
  <c r="AA639" i="44" s="1"/>
  <c r="U16" i="20"/>
  <c r="M16" i="20"/>
  <c r="D72" i="41"/>
  <c r="E70" i="29"/>
  <c r="AJ61" i="29"/>
  <c r="AB61" i="29"/>
  <c r="T61" i="29"/>
  <c r="L61" i="29"/>
  <c r="H24" i="29"/>
  <c r="AK24" i="29"/>
  <c r="D20" i="29"/>
  <c r="F20" i="41" s="1"/>
  <c r="H20" i="41" s="1"/>
  <c r="R24" i="29"/>
  <c r="AJ16" i="29"/>
  <c r="AB16" i="29"/>
  <c r="T16" i="29"/>
  <c r="T82" i="29" s="1"/>
  <c r="R638" i="44" s="1"/>
  <c r="L16" i="29"/>
  <c r="L82" i="29" s="1"/>
  <c r="J638" i="44" s="1"/>
  <c r="G78" i="17"/>
  <c r="M78" i="17"/>
  <c r="L70" i="17"/>
  <c r="L72" i="17" s="1"/>
  <c r="F70" i="17"/>
  <c r="F72" i="17" s="1"/>
  <c r="H72" i="17"/>
  <c r="G34" i="17"/>
  <c r="M34" i="17"/>
  <c r="G61" i="34"/>
  <c r="I33" i="34"/>
  <c r="W82" i="22"/>
  <c r="U642" i="44" s="1"/>
  <c r="O82" i="22"/>
  <c r="M642" i="44" s="1"/>
  <c r="G29" i="22"/>
  <c r="F79" i="10"/>
  <c r="L79" i="10"/>
  <c r="D79" i="34" s="1"/>
  <c r="D79" i="5" s="1"/>
  <c r="L77" i="10"/>
  <c r="D77" i="34" s="1"/>
  <c r="H77" i="34" s="1"/>
  <c r="F77" i="10"/>
  <c r="M55" i="10"/>
  <c r="E55" i="34" s="1"/>
  <c r="I55" i="34" s="1"/>
  <c r="G55" i="10"/>
  <c r="G56" i="10" s="1"/>
  <c r="G51" i="10"/>
  <c r="M51" i="10"/>
  <c r="E51" i="34" s="1"/>
  <c r="L15" i="10"/>
  <c r="D15" i="34" s="1"/>
  <c r="H15" i="34" s="1"/>
  <c r="F15" i="10"/>
  <c r="G76" i="49"/>
  <c r="M76" i="49"/>
  <c r="E76" i="50" s="1"/>
  <c r="I16" i="49"/>
  <c r="M13" i="49"/>
  <c r="E13" i="50" s="1"/>
  <c r="I13" i="50" s="1"/>
  <c r="G13" i="49"/>
  <c r="G16" i="10"/>
  <c r="G23" i="49"/>
  <c r="M23" i="49"/>
  <c r="E23" i="50" s="1"/>
  <c r="G16" i="49"/>
  <c r="E78" i="48"/>
  <c r="G78" i="50" s="1"/>
  <c r="I78" i="50" s="1"/>
  <c r="AI82" i="48"/>
  <c r="E28" i="29"/>
  <c r="G28" i="41" s="1"/>
  <c r="I28" i="41" s="1"/>
  <c r="AO24" i="29"/>
  <c r="AO82" i="29" s="1"/>
  <c r="AG24" i="29"/>
  <c r="AG82" i="29" s="1"/>
  <c r="Y24" i="29"/>
  <c r="Q24" i="29"/>
  <c r="I24" i="29"/>
  <c r="I82" i="29" s="1"/>
  <c r="G638" i="44" s="1"/>
  <c r="E12" i="29"/>
  <c r="G12" i="41" s="1"/>
  <c r="I12" i="41" s="1"/>
  <c r="L79" i="17"/>
  <c r="F79" i="17"/>
  <c r="F77" i="17"/>
  <c r="L77" i="17"/>
  <c r="M75" i="17"/>
  <c r="I66" i="17"/>
  <c r="L42" i="17"/>
  <c r="L43" i="17" s="1"/>
  <c r="J82" i="17"/>
  <c r="G24" i="34"/>
  <c r="I19" i="34"/>
  <c r="I24" i="34" s="1"/>
  <c r="G56" i="22"/>
  <c r="G40" i="34"/>
  <c r="E42" i="22"/>
  <c r="E43" i="22" s="1"/>
  <c r="Q82" i="22"/>
  <c r="O642" i="44" s="1"/>
  <c r="I82" i="22"/>
  <c r="G642" i="44" s="1"/>
  <c r="G76" i="10"/>
  <c r="M76" i="10"/>
  <c r="E76" i="34" s="1"/>
  <c r="F42" i="10"/>
  <c r="M34" i="10"/>
  <c r="E34" i="34" s="1"/>
  <c r="I34" i="34" s="1"/>
  <c r="G34" i="10"/>
  <c r="G32" i="10"/>
  <c r="G36" i="10" s="1"/>
  <c r="I36" i="10"/>
  <c r="M32" i="10"/>
  <c r="F29" i="10"/>
  <c r="H79" i="50"/>
  <c r="D42" i="50"/>
  <c r="D43" i="50" s="1"/>
  <c r="L76" i="49"/>
  <c r="D76" i="50" s="1"/>
  <c r="F76" i="49"/>
  <c r="G66" i="49"/>
  <c r="E40" i="50"/>
  <c r="E42" i="50" s="1"/>
  <c r="E43" i="50" s="1"/>
  <c r="D12" i="29"/>
  <c r="F12" i="41" s="1"/>
  <c r="H12" i="41" s="1"/>
  <c r="H66" i="17"/>
  <c r="L55" i="17"/>
  <c r="F55" i="17"/>
  <c r="F56" i="17" s="1"/>
  <c r="F51" i="17"/>
  <c r="L51" i="17"/>
  <c r="I42" i="17"/>
  <c r="I43" i="17" s="1"/>
  <c r="F56" i="22"/>
  <c r="D42" i="22"/>
  <c r="D43" i="22" s="1"/>
  <c r="AN82" i="22"/>
  <c r="AF82" i="22"/>
  <c r="X82" i="22"/>
  <c r="V642" i="44" s="1"/>
  <c r="P82" i="22"/>
  <c r="N642" i="44" s="1"/>
  <c r="H82" i="22"/>
  <c r="F642" i="44" s="1"/>
  <c r="M66" i="10"/>
  <c r="M56" i="10"/>
  <c r="G41" i="10"/>
  <c r="G42" i="10" s="1"/>
  <c r="G43" i="10" s="1"/>
  <c r="M41" i="10"/>
  <c r="E41" i="34" s="1"/>
  <c r="M28" i="10"/>
  <c r="G28" i="10"/>
  <c r="L19" i="10"/>
  <c r="H24" i="10"/>
  <c r="F19" i="10"/>
  <c r="F24" i="10" s="1"/>
  <c r="G80" i="49"/>
  <c r="M80" i="49"/>
  <c r="E80" i="50" s="1"/>
  <c r="M65" i="49"/>
  <c r="E65" i="50" s="1"/>
  <c r="G65" i="49"/>
  <c r="F54" i="49"/>
  <c r="F56" i="49" s="1"/>
  <c r="L54" i="49"/>
  <c r="L35" i="49"/>
  <c r="D35" i="50" s="1"/>
  <c r="H35" i="50" s="1"/>
  <c r="F35" i="49"/>
  <c r="F33" i="49"/>
  <c r="F36" i="49" s="1"/>
  <c r="L33" i="49"/>
  <c r="D33" i="50" s="1"/>
  <c r="M14" i="49"/>
  <c r="E14" i="50" s="1"/>
  <c r="G14" i="49"/>
  <c r="Z61" i="48"/>
  <c r="D40" i="48"/>
  <c r="L27" i="17"/>
  <c r="L29" i="17" s="1"/>
  <c r="F27" i="17"/>
  <c r="F29" i="17" s="1"/>
  <c r="L20" i="17"/>
  <c r="L24" i="17" s="1"/>
  <c r="F20" i="17"/>
  <c r="F24" i="17" s="1"/>
  <c r="L12" i="17"/>
  <c r="L16" i="17" s="1"/>
  <c r="F12" i="17"/>
  <c r="F16" i="17" s="1"/>
  <c r="I78" i="34"/>
  <c r="I76" i="34"/>
  <c r="I65" i="34"/>
  <c r="H28" i="34"/>
  <c r="E56" i="22"/>
  <c r="G54" i="34"/>
  <c r="AK82" i="22"/>
  <c r="AC82" i="22"/>
  <c r="AA642" i="44" s="1"/>
  <c r="U82" i="22"/>
  <c r="S642" i="44" s="1"/>
  <c r="M82" i="22"/>
  <c r="K642" i="44" s="1"/>
  <c r="L70" i="10"/>
  <c r="H72" i="10"/>
  <c r="F70" i="10"/>
  <c r="F72" i="10" s="1"/>
  <c r="G66" i="10"/>
  <c r="D72" i="50"/>
  <c r="M66" i="49"/>
  <c r="E64" i="50"/>
  <c r="E66" i="50" s="1"/>
  <c r="L59" i="49"/>
  <c r="H61" i="49"/>
  <c r="F59" i="49"/>
  <c r="F61" i="49" s="1"/>
  <c r="M51" i="49"/>
  <c r="E51" i="50" s="1"/>
  <c r="G51" i="49"/>
  <c r="E75" i="48"/>
  <c r="G75" i="50" s="1"/>
  <c r="I75" i="50" s="1"/>
  <c r="G61" i="48"/>
  <c r="E59" i="48"/>
  <c r="L65" i="17"/>
  <c r="L66" i="17" s="1"/>
  <c r="F65" i="17"/>
  <c r="F41" i="17"/>
  <c r="F42" i="17" s="1"/>
  <c r="F43" i="17" s="1"/>
  <c r="H42" i="17"/>
  <c r="H43" i="17" s="1"/>
  <c r="L41" i="17"/>
  <c r="H40" i="34"/>
  <c r="H22" i="34"/>
  <c r="H12" i="34"/>
  <c r="D56" i="22"/>
  <c r="AB82" i="22"/>
  <c r="Z642" i="44" s="1"/>
  <c r="L82" i="22"/>
  <c r="J642" i="44" s="1"/>
  <c r="M79" i="10"/>
  <c r="E79" i="34" s="1"/>
  <c r="G79" i="10"/>
  <c r="G77" i="10"/>
  <c r="M77" i="10"/>
  <c r="E77" i="34" s="1"/>
  <c r="I77" i="34" s="1"/>
  <c r="I61" i="10"/>
  <c r="G59" i="10"/>
  <c r="G61" i="10" s="1"/>
  <c r="M59" i="10"/>
  <c r="G35" i="10"/>
  <c r="M35" i="10"/>
  <c r="E35" i="34" s="1"/>
  <c r="I35" i="34" s="1"/>
  <c r="L33" i="10"/>
  <c r="D33" i="34" s="1"/>
  <c r="F33" i="10"/>
  <c r="F36" i="10" s="1"/>
  <c r="G24" i="10"/>
  <c r="F11" i="10"/>
  <c r="F16" i="10" s="1"/>
  <c r="L11" i="10"/>
  <c r="H16" i="10"/>
  <c r="D16" i="50"/>
  <c r="G77" i="49"/>
  <c r="M77" i="49"/>
  <c r="E77" i="50" s="1"/>
  <c r="F73" i="49"/>
  <c r="L73" i="49"/>
  <c r="D73" i="50" s="1"/>
  <c r="H73" i="50" s="1"/>
  <c r="D77" i="48"/>
  <c r="F77" i="50" s="1"/>
  <c r="H77" i="50" s="1"/>
  <c r="D75" i="48"/>
  <c r="F75" i="50" s="1"/>
  <c r="H75" i="50" s="1"/>
  <c r="E71" i="48"/>
  <c r="G71" i="50" s="1"/>
  <c r="I71" i="50" s="1"/>
  <c r="M24" i="10"/>
  <c r="H70" i="50"/>
  <c r="M70" i="49"/>
  <c r="G70" i="49"/>
  <c r="G72" i="49" s="1"/>
  <c r="I66" i="49"/>
  <c r="G41" i="49"/>
  <c r="M41" i="49"/>
  <c r="E41" i="50" s="1"/>
  <c r="G28" i="49"/>
  <c r="M28" i="49"/>
  <c r="F29" i="49"/>
  <c r="G22" i="49"/>
  <c r="G24" i="49" s="1"/>
  <c r="M22" i="49"/>
  <c r="E22" i="50" s="1"/>
  <c r="F15" i="49"/>
  <c r="L15" i="49"/>
  <c r="D15" i="50" s="1"/>
  <c r="H15" i="50" s="1"/>
  <c r="E81" i="48"/>
  <c r="G81" i="50" s="1"/>
  <c r="I81" i="50" s="1"/>
  <c r="D78" i="48"/>
  <c r="F78" i="50" s="1"/>
  <c r="H78" i="50" s="1"/>
  <c r="D45" i="48"/>
  <c r="F45" i="50" s="1"/>
  <c r="H45" i="50" s="1"/>
  <c r="E34" i="48"/>
  <c r="G34" i="50" s="1"/>
  <c r="I34" i="50" s="1"/>
  <c r="L36" i="48"/>
  <c r="D33" i="48"/>
  <c r="F33" i="50" s="1"/>
  <c r="F64" i="49"/>
  <c r="F66" i="49" s="1"/>
  <c r="H66" i="49"/>
  <c r="M56" i="49"/>
  <c r="M32" i="49"/>
  <c r="G32" i="49"/>
  <c r="I36" i="49"/>
  <c r="L16" i="49"/>
  <c r="E47" i="48"/>
  <c r="G47" i="50" s="1"/>
  <c r="I47" i="50" s="1"/>
  <c r="E41" i="48"/>
  <c r="G41" i="50" s="1"/>
  <c r="I41" i="50" s="1"/>
  <c r="S82" i="48"/>
  <c r="Q652" i="44" s="1"/>
  <c r="G36" i="48"/>
  <c r="I42" i="10"/>
  <c r="I43" i="10" s="1"/>
  <c r="I82" i="10" s="1"/>
  <c r="M16" i="10"/>
  <c r="G56" i="49"/>
  <c r="G42" i="49"/>
  <c r="G43" i="49" s="1"/>
  <c r="E77" i="48"/>
  <c r="G77" i="50" s="1"/>
  <c r="E22" i="48"/>
  <c r="G22" i="50" s="1"/>
  <c r="G24" i="48"/>
  <c r="G29" i="50"/>
  <c r="M59" i="49"/>
  <c r="G59" i="49"/>
  <c r="G61" i="49" s="1"/>
  <c r="M35" i="49"/>
  <c r="E35" i="50" s="1"/>
  <c r="G35" i="49"/>
  <c r="M19" i="49"/>
  <c r="I24" i="49"/>
  <c r="E80" i="48"/>
  <c r="G80" i="50" s="1"/>
  <c r="I80" i="50" s="1"/>
  <c r="D71" i="48"/>
  <c r="F71" i="50" s="1"/>
  <c r="H61" i="48"/>
  <c r="D60" i="48"/>
  <c r="F60" i="50" s="1"/>
  <c r="H60" i="50" s="1"/>
  <c r="L29" i="49"/>
  <c r="D74" i="48"/>
  <c r="F74" i="50" s="1"/>
  <c r="H74" i="50" s="1"/>
  <c r="AN72" i="48"/>
  <c r="AF72" i="48"/>
  <c r="H72" i="48"/>
  <c r="D47" i="48"/>
  <c r="F47" i="50" s="1"/>
  <c r="H47" i="50" s="1"/>
  <c r="F11" i="49"/>
  <c r="F16" i="49" s="1"/>
  <c r="H16" i="49"/>
  <c r="F66" i="48"/>
  <c r="D64" i="48"/>
  <c r="R61" i="48"/>
  <c r="J61" i="48"/>
  <c r="AM56" i="48"/>
  <c r="AM82" i="48" s="1"/>
  <c r="AE56" i="48"/>
  <c r="W56" i="48"/>
  <c r="W82" i="48" s="1"/>
  <c r="U652" i="44" s="1"/>
  <c r="O56" i="48"/>
  <c r="O82" i="48" s="1"/>
  <c r="M652" i="44" s="1"/>
  <c r="D22" i="48"/>
  <c r="F22" i="50" s="1"/>
  <c r="H22" i="50" s="1"/>
  <c r="H36" i="49"/>
  <c r="D65" i="48"/>
  <c r="F65" i="50" s="1"/>
  <c r="H65" i="50" s="1"/>
  <c r="AK66" i="48"/>
  <c r="AC66" i="48"/>
  <c r="U66" i="48"/>
  <c r="M66" i="48"/>
  <c r="D39" i="48"/>
  <c r="F39" i="50" s="1"/>
  <c r="H39" i="50" s="1"/>
  <c r="F19" i="49"/>
  <c r="H24" i="49"/>
  <c r="F61" i="48"/>
  <c r="D59" i="48"/>
  <c r="E55" i="48"/>
  <c r="G55" i="50" s="1"/>
  <c r="I55" i="50" s="1"/>
  <c r="E35" i="48"/>
  <c r="G35" i="50" s="1"/>
  <c r="I35" i="50" s="1"/>
  <c r="D28" i="48"/>
  <c r="F28" i="50" s="1"/>
  <c r="H28" i="50" s="1"/>
  <c r="E60" i="48"/>
  <c r="G60" i="50" s="1"/>
  <c r="I60" i="50" s="1"/>
  <c r="E49" i="48"/>
  <c r="G49" i="50" s="1"/>
  <c r="I49" i="50" s="1"/>
  <c r="E28" i="48"/>
  <c r="G28" i="50" s="1"/>
  <c r="G29" i="48"/>
  <c r="Z24" i="48"/>
  <c r="Z82" i="48" s="1"/>
  <c r="X652" i="44" s="1"/>
  <c r="R24" i="48"/>
  <c r="R82" i="48" s="1"/>
  <c r="P652" i="44" s="1"/>
  <c r="D19" i="48"/>
  <c r="F24" i="48"/>
  <c r="E54" i="48"/>
  <c r="E51" i="48"/>
  <c r="G51" i="50" s="1"/>
  <c r="I51" i="50" s="1"/>
  <c r="E40" i="48"/>
  <c r="AE36" i="48"/>
  <c r="AE82" i="48" s="1"/>
  <c r="AC652" i="44" s="1"/>
  <c r="D13" i="48"/>
  <c r="F13" i="50" s="1"/>
  <c r="H13" i="50" s="1"/>
  <c r="AA16" i="48"/>
  <c r="AA82" i="48" s="1"/>
  <c r="Y652" i="44" s="1"/>
  <c r="AN16" i="48"/>
  <c r="AN82" i="48" s="1"/>
  <c r="AF16" i="48"/>
  <c r="X16" i="48"/>
  <c r="P16" i="48"/>
  <c r="H16" i="48"/>
  <c r="H82" i="48" s="1"/>
  <c r="F652" i="44" s="1"/>
  <c r="D49" i="48"/>
  <c r="F49" i="50" s="1"/>
  <c r="H49" i="50" s="1"/>
  <c r="E45" i="48"/>
  <c r="G45" i="50" s="1"/>
  <c r="I45" i="50" s="1"/>
  <c r="E70" i="48"/>
  <c r="D20" i="48"/>
  <c r="F20" i="50" s="1"/>
  <c r="H20" i="50" s="1"/>
  <c r="D11" i="48"/>
  <c r="AK36" i="48"/>
  <c r="AC36" i="48"/>
  <c r="U36" i="48"/>
  <c r="M36" i="48"/>
  <c r="AO16" i="48"/>
  <c r="AG16" i="48"/>
  <c r="Y16" i="48"/>
  <c r="Y82" i="48" s="1"/>
  <c r="W652" i="44" s="1"/>
  <c r="Q16" i="48"/>
  <c r="I16" i="48"/>
  <c r="AK24" i="48"/>
  <c r="AC24" i="48"/>
  <c r="U24" i="48"/>
  <c r="M24" i="48"/>
  <c r="AH29" i="48"/>
  <c r="AH82" i="48" s="1"/>
  <c r="Z29" i="48"/>
  <c r="R29" i="48"/>
  <c r="J29" i="48"/>
  <c r="J82" i="48" s="1"/>
  <c r="H652" i="44" s="1"/>
  <c r="AJ24" i="48"/>
  <c r="AB24" i="48"/>
  <c r="T24" i="48"/>
  <c r="T82" i="48" s="1"/>
  <c r="R652" i="44" s="1"/>
  <c r="L24" i="48"/>
  <c r="E14" i="48"/>
  <c r="G14" i="50" s="1"/>
  <c r="I14" i="50" s="1"/>
  <c r="AJ42" i="48"/>
  <c r="AJ43" i="48" s="1"/>
  <c r="AB42" i="48"/>
  <c r="AB43" i="48" s="1"/>
  <c r="T42" i="48"/>
  <c r="T43" i="48" s="1"/>
  <c r="L42" i="48"/>
  <c r="L43" i="48" s="1"/>
  <c r="AO36" i="48"/>
  <c r="AG36" i="48"/>
  <c r="Y36" i="48"/>
  <c r="Q36" i="48"/>
  <c r="I36" i="48"/>
  <c r="E32" i="48"/>
  <c r="E20" i="48"/>
  <c r="G20" i="50" s="1"/>
  <c r="I20" i="50" s="1"/>
  <c r="D14" i="48"/>
  <c r="F14" i="50" s="1"/>
  <c r="H14" i="50" s="1"/>
  <c r="AK16" i="48"/>
  <c r="AC16" i="48"/>
  <c r="AC82" i="48" s="1"/>
  <c r="AA652" i="44" s="1"/>
  <c r="U16" i="48"/>
  <c r="M16" i="48"/>
  <c r="E11" i="48"/>
  <c r="I71" i="36" l="1"/>
  <c r="I75" i="36"/>
  <c r="I78" i="39"/>
  <c r="F644" i="44"/>
  <c r="H91" i="25"/>
  <c r="I21" i="36"/>
  <c r="J640" i="44"/>
  <c r="L91" i="21"/>
  <c r="Z640" i="44"/>
  <c r="AB91" i="21"/>
  <c r="H81" i="5"/>
  <c r="G641" i="44"/>
  <c r="I84" i="24"/>
  <c r="G644" i="44"/>
  <c r="I91" i="25"/>
  <c r="F82" i="9"/>
  <c r="F91" i="9" s="1"/>
  <c r="H41" i="39"/>
  <c r="H14" i="39"/>
  <c r="H23" i="39"/>
  <c r="H49" i="39"/>
  <c r="I641" i="44"/>
  <c r="I13" i="36"/>
  <c r="N651" i="44"/>
  <c r="P91" i="31"/>
  <c r="H23" i="36"/>
  <c r="H60" i="36"/>
  <c r="AA640" i="44"/>
  <c r="AC91" i="21"/>
  <c r="E29" i="24"/>
  <c r="G27" i="36"/>
  <c r="F64" i="39"/>
  <c r="H55" i="36"/>
  <c r="N644" i="44"/>
  <c r="P91" i="25"/>
  <c r="G82" i="8"/>
  <c r="V651" i="44"/>
  <c r="X91" i="31"/>
  <c r="I45" i="39"/>
  <c r="H60" i="39"/>
  <c r="O640" i="44"/>
  <c r="Q91" i="21"/>
  <c r="G640" i="44"/>
  <c r="I91" i="21"/>
  <c r="H15" i="39"/>
  <c r="O644" i="44"/>
  <c r="Q91" i="25"/>
  <c r="I45" i="5"/>
  <c r="I15" i="39"/>
  <c r="I79" i="39"/>
  <c r="H39" i="36"/>
  <c r="H78" i="36"/>
  <c r="H47" i="39"/>
  <c r="U644" i="44"/>
  <c r="W91" i="25"/>
  <c r="I649" i="44"/>
  <c r="K91" i="55"/>
  <c r="G82" i="56"/>
  <c r="G91" i="56" s="1"/>
  <c r="K649" i="44"/>
  <c r="M91" i="55"/>
  <c r="E61" i="23"/>
  <c r="G59" i="35"/>
  <c r="F86" i="33"/>
  <c r="D89" i="21"/>
  <c r="D66" i="54"/>
  <c r="F64" i="52"/>
  <c r="H41" i="43"/>
  <c r="L27" i="12"/>
  <c r="H29" i="12"/>
  <c r="F27" i="12"/>
  <c r="R651" i="44"/>
  <c r="T91" i="31"/>
  <c r="I22" i="5"/>
  <c r="I21" i="5"/>
  <c r="M56" i="18"/>
  <c r="E54" i="42"/>
  <c r="R82" i="25"/>
  <c r="G75" i="5"/>
  <c r="I75" i="5" s="1"/>
  <c r="AK82" i="48"/>
  <c r="E42" i="48"/>
  <c r="E43" i="48" s="1"/>
  <c r="G40" i="50"/>
  <c r="D54" i="50"/>
  <c r="D56" i="50" s="1"/>
  <c r="L56" i="49"/>
  <c r="G42" i="34"/>
  <c r="G43" i="34" s="1"/>
  <c r="I40" i="34"/>
  <c r="F36" i="41"/>
  <c r="H32" i="41"/>
  <c r="H36" i="41" s="1"/>
  <c r="D42" i="20"/>
  <c r="D43" i="20" s="1"/>
  <c r="F40" i="32"/>
  <c r="Q649" i="44"/>
  <c r="S91" i="55"/>
  <c r="D66" i="55"/>
  <c r="F64" i="57"/>
  <c r="S649" i="44"/>
  <c r="U91" i="55"/>
  <c r="W24" i="24"/>
  <c r="O16" i="24"/>
  <c r="X82" i="21"/>
  <c r="G32" i="33"/>
  <c r="D14" i="24"/>
  <c r="F14" i="36" s="1"/>
  <c r="H14" i="36" s="1"/>
  <c r="S56" i="24"/>
  <c r="Q24" i="24"/>
  <c r="L82" i="24"/>
  <c r="E22" i="24"/>
  <c r="G22" i="36" s="1"/>
  <c r="AE56" i="24"/>
  <c r="M72" i="19"/>
  <c r="E70" i="43"/>
  <c r="E72" i="43" s="1"/>
  <c r="G55" i="12"/>
  <c r="M55" i="12"/>
  <c r="E55" i="36" s="1"/>
  <c r="F89" i="24"/>
  <c r="D86" i="24"/>
  <c r="H13" i="43"/>
  <c r="F13" i="5"/>
  <c r="H13" i="5" s="1"/>
  <c r="L56" i="53"/>
  <c r="D54" i="52"/>
  <c r="L66" i="19"/>
  <c r="D64" i="43"/>
  <c r="E16" i="48"/>
  <c r="G11" i="50"/>
  <c r="D24" i="48"/>
  <c r="F19" i="50"/>
  <c r="F82" i="49"/>
  <c r="L16" i="10"/>
  <c r="L82" i="10" s="1"/>
  <c r="D11" i="34"/>
  <c r="D16" i="34" s="1"/>
  <c r="G56" i="34"/>
  <c r="I54" i="34"/>
  <c r="I56" i="34" s="1"/>
  <c r="D36" i="50"/>
  <c r="D24" i="29"/>
  <c r="E16" i="20"/>
  <c r="E82" i="20" s="1"/>
  <c r="G11" i="4" s="1"/>
  <c r="G11" i="32"/>
  <c r="I23" i="50"/>
  <c r="I27" i="34"/>
  <c r="G29" i="34"/>
  <c r="R82" i="20"/>
  <c r="P639" i="44" s="1"/>
  <c r="Q82" i="29"/>
  <c r="O638" i="44" s="1"/>
  <c r="D29" i="20"/>
  <c r="F27" i="32"/>
  <c r="G82" i="17"/>
  <c r="G64" i="34"/>
  <c r="E66" i="22"/>
  <c r="X82" i="20"/>
  <c r="V639" i="44" s="1"/>
  <c r="E61" i="29"/>
  <c r="G59" i="41"/>
  <c r="E32" i="57"/>
  <c r="E36" i="57" s="1"/>
  <c r="M36" i="56"/>
  <c r="E59" i="32"/>
  <c r="M61" i="8"/>
  <c r="D66" i="20"/>
  <c r="F64" i="32"/>
  <c r="J649" i="44"/>
  <c r="L91" i="55"/>
  <c r="AM82" i="24"/>
  <c r="AM91" i="24" s="1"/>
  <c r="L56" i="10"/>
  <c r="D54" i="34"/>
  <c r="O82" i="55"/>
  <c r="F649" i="44"/>
  <c r="H91" i="55"/>
  <c r="G24" i="9"/>
  <c r="M81" i="12"/>
  <c r="E81" i="36" s="1"/>
  <c r="G81" i="12"/>
  <c r="P36" i="24"/>
  <c r="L19" i="12"/>
  <c r="H24" i="12"/>
  <c r="F19" i="12"/>
  <c r="D56" i="55"/>
  <c r="F54" i="57"/>
  <c r="G19" i="12"/>
  <c r="M19" i="12"/>
  <c r="I24" i="12"/>
  <c r="M79" i="12"/>
  <c r="E79" i="36" s="1"/>
  <c r="G79" i="12"/>
  <c r="I24" i="24"/>
  <c r="F78" i="12"/>
  <c r="L78" i="12"/>
  <c r="D78" i="36" s="1"/>
  <c r="L16" i="8"/>
  <c r="M33" i="12"/>
  <c r="E33" i="36" s="1"/>
  <c r="G33" i="12"/>
  <c r="Q36" i="24"/>
  <c r="Z43" i="24"/>
  <c r="D70" i="57"/>
  <c r="L72" i="56"/>
  <c r="AE16" i="24"/>
  <c r="D65" i="24"/>
  <c r="F65" i="36" s="1"/>
  <c r="H65" i="36" s="1"/>
  <c r="H82" i="21"/>
  <c r="U82" i="21"/>
  <c r="E39" i="24"/>
  <c r="G39" i="36" s="1"/>
  <c r="R56" i="24"/>
  <c r="E89" i="55"/>
  <c r="G24" i="4" s="1"/>
  <c r="H24" i="4" s="1"/>
  <c r="G86" i="57"/>
  <c r="F70" i="12"/>
  <c r="L70" i="12"/>
  <c r="H72" i="12"/>
  <c r="E23" i="24"/>
  <c r="G23" i="36" s="1"/>
  <c r="U72" i="24"/>
  <c r="K29" i="24"/>
  <c r="H42" i="24"/>
  <c r="H43" i="24" s="1"/>
  <c r="D40" i="24"/>
  <c r="I72" i="24"/>
  <c r="E70" i="24"/>
  <c r="D79" i="24"/>
  <c r="F79" i="36" s="1"/>
  <c r="H79" i="36" s="1"/>
  <c r="AA649" i="44"/>
  <c r="AC91" i="55"/>
  <c r="M66" i="9"/>
  <c r="D36" i="21"/>
  <c r="F32" i="33"/>
  <c r="F72" i="57"/>
  <c r="G47" i="12"/>
  <c r="M47" i="12"/>
  <c r="E47" i="36" s="1"/>
  <c r="I28" i="33"/>
  <c r="I13" i="33"/>
  <c r="E11" i="21"/>
  <c r="G16" i="21"/>
  <c r="G36" i="24"/>
  <c r="E35" i="24"/>
  <c r="G35" i="36" s="1"/>
  <c r="M36" i="9"/>
  <c r="AA36" i="24"/>
  <c r="E81" i="24"/>
  <c r="G81" i="36" s="1"/>
  <c r="F51" i="12"/>
  <c r="L51" i="12"/>
  <c r="D51" i="36" s="1"/>
  <c r="H51" i="36" s="1"/>
  <c r="AJ82" i="23"/>
  <c r="E72" i="23"/>
  <c r="G70" i="35"/>
  <c r="M51" i="12"/>
  <c r="E51" i="36" s="1"/>
  <c r="G51" i="12"/>
  <c r="E42" i="21"/>
  <c r="E43" i="21" s="1"/>
  <c r="G40" i="33"/>
  <c r="I41" i="33"/>
  <c r="I82" i="11"/>
  <c r="F56" i="19"/>
  <c r="I15" i="33"/>
  <c r="M24" i="9"/>
  <c r="X640" i="44"/>
  <c r="Z91" i="21"/>
  <c r="J66" i="24"/>
  <c r="F28" i="35"/>
  <c r="D29" i="23"/>
  <c r="G82" i="31"/>
  <c r="G91" i="31" s="1"/>
  <c r="I12" i="43"/>
  <c r="E56" i="31"/>
  <c r="G54" i="43"/>
  <c r="L72" i="53"/>
  <c r="Z36" i="24"/>
  <c r="I65" i="43"/>
  <c r="T651" i="44"/>
  <c r="V91" i="31"/>
  <c r="M66" i="19"/>
  <c r="D24" i="54"/>
  <c r="F19" i="52"/>
  <c r="L16" i="53"/>
  <c r="D11" i="52"/>
  <c r="D16" i="52" s="1"/>
  <c r="D82" i="52" s="1"/>
  <c r="L56" i="19"/>
  <c r="V82" i="54"/>
  <c r="T653" i="44" s="1"/>
  <c r="I71" i="52"/>
  <c r="F65" i="5"/>
  <c r="N66" i="24"/>
  <c r="R72" i="24"/>
  <c r="G27" i="43"/>
  <c r="E29" i="31"/>
  <c r="H60" i="33"/>
  <c r="G16" i="29"/>
  <c r="G82" i="29" s="1"/>
  <c r="E11" i="29"/>
  <c r="L24" i="53"/>
  <c r="D19" i="52"/>
  <c r="D24" i="52" s="1"/>
  <c r="G14" i="5"/>
  <c r="D75" i="5"/>
  <c r="H24" i="24"/>
  <c r="H80" i="52"/>
  <c r="E14" i="5"/>
  <c r="M61" i="18"/>
  <c r="M21" i="15"/>
  <c r="E21" i="39" s="1"/>
  <c r="G21" i="15"/>
  <c r="F56" i="52"/>
  <c r="F42" i="42"/>
  <c r="F43" i="42" s="1"/>
  <c r="I81" i="43"/>
  <c r="D86" i="39"/>
  <c r="D89" i="39" s="1"/>
  <c r="E49" i="27"/>
  <c r="G49" i="39" s="1"/>
  <c r="L79" i="12"/>
  <c r="D79" i="36" s="1"/>
  <c r="F79" i="12"/>
  <c r="F15" i="5"/>
  <c r="M49" i="15"/>
  <c r="E49" i="39" s="1"/>
  <c r="G49" i="15"/>
  <c r="G35" i="15"/>
  <c r="M35" i="15"/>
  <c r="E35" i="39" s="1"/>
  <c r="H45" i="43"/>
  <c r="F45" i="5"/>
  <c r="H45" i="5" s="1"/>
  <c r="G16" i="13"/>
  <c r="F34" i="15"/>
  <c r="L34" i="15"/>
  <c r="D34" i="39" s="1"/>
  <c r="H34" i="39" s="1"/>
  <c r="T82" i="25"/>
  <c r="AM82" i="25"/>
  <c r="AM91" i="25" s="1"/>
  <c r="AB72" i="27"/>
  <c r="M15" i="15"/>
  <c r="E15" i="39" s="1"/>
  <c r="G15" i="15"/>
  <c r="M42" i="13"/>
  <c r="M43" i="13" s="1"/>
  <c r="E40" i="37"/>
  <c r="E42" i="37" s="1"/>
  <c r="E43" i="37" s="1"/>
  <c r="U16" i="27"/>
  <c r="E23" i="27"/>
  <c r="G23" i="39" s="1"/>
  <c r="I23" i="39" s="1"/>
  <c r="AE36" i="27"/>
  <c r="E54" i="27"/>
  <c r="I56" i="27"/>
  <c r="I61" i="15"/>
  <c r="M59" i="15"/>
  <c r="G59" i="15"/>
  <c r="Z16" i="27"/>
  <c r="AD24" i="27"/>
  <c r="D33" i="27"/>
  <c r="F33" i="39" s="1"/>
  <c r="I79" i="43"/>
  <c r="E34" i="5"/>
  <c r="D16" i="25"/>
  <c r="F11" i="37"/>
  <c r="E14" i="27"/>
  <c r="G14" i="39" s="1"/>
  <c r="I14" i="39" s="1"/>
  <c r="E28" i="27"/>
  <c r="G28" i="39" s="1"/>
  <c r="I28" i="39" s="1"/>
  <c r="Q43" i="27"/>
  <c r="E64" i="38"/>
  <c r="E66" i="38" s="1"/>
  <c r="M66" i="14"/>
  <c r="M16" i="18"/>
  <c r="G55" i="5"/>
  <c r="X66" i="27"/>
  <c r="F59" i="38"/>
  <c r="D61" i="26"/>
  <c r="K82" i="25"/>
  <c r="K91" i="25" s="1"/>
  <c r="I644" i="44" s="1"/>
  <c r="D55" i="27"/>
  <c r="F55" i="39" s="1"/>
  <c r="F80" i="5"/>
  <c r="H80" i="5" s="1"/>
  <c r="M28" i="15"/>
  <c r="E28" i="39" s="1"/>
  <c r="G28" i="15"/>
  <c r="L76" i="15"/>
  <c r="D76" i="39" s="1"/>
  <c r="F76" i="15"/>
  <c r="V66" i="27"/>
  <c r="I13" i="37"/>
  <c r="D56" i="28"/>
  <c r="F54" i="40"/>
  <c r="H41" i="37"/>
  <c r="H19" i="38"/>
  <c r="F24" i="38"/>
  <c r="E36" i="47"/>
  <c r="F32" i="38"/>
  <c r="D36" i="26"/>
  <c r="D70" i="37"/>
  <c r="D72" i="37" s="1"/>
  <c r="L72" i="13"/>
  <c r="L82" i="26"/>
  <c r="J645" i="44" s="1"/>
  <c r="J82" i="25"/>
  <c r="H32" i="47"/>
  <c r="F36" i="47"/>
  <c r="G27" i="38"/>
  <c r="E29" i="26"/>
  <c r="H11" i="40"/>
  <c r="H16" i="40" s="1"/>
  <c r="G19" i="15"/>
  <c r="I24" i="15"/>
  <c r="M19" i="15"/>
  <c r="I646" i="44"/>
  <c r="K91" i="46"/>
  <c r="F77" i="15"/>
  <c r="L77" i="15"/>
  <c r="D77" i="39" s="1"/>
  <c r="H77" i="39" s="1"/>
  <c r="F29" i="47"/>
  <c r="H27" i="47"/>
  <c r="H29" i="47" s="1"/>
  <c r="I32" i="40"/>
  <c r="G36" i="40"/>
  <c r="H71" i="50"/>
  <c r="F72" i="50"/>
  <c r="H72" i="50"/>
  <c r="L72" i="10"/>
  <c r="D70" i="34"/>
  <c r="H13" i="36"/>
  <c r="M45" i="12"/>
  <c r="E45" i="36" s="1"/>
  <c r="I45" i="36" s="1"/>
  <c r="G45" i="12"/>
  <c r="G59" i="12"/>
  <c r="I61" i="12"/>
  <c r="M59" i="12"/>
  <c r="M640" i="44"/>
  <c r="O91" i="21"/>
  <c r="G78" i="12"/>
  <c r="M78" i="12"/>
  <c r="E78" i="36" s="1"/>
  <c r="I78" i="36" s="1"/>
  <c r="H640" i="44"/>
  <c r="J91" i="21"/>
  <c r="M82" i="48"/>
  <c r="K652" i="44" s="1"/>
  <c r="AG82" i="48"/>
  <c r="E72" i="48"/>
  <c r="G70" i="50"/>
  <c r="M36" i="10"/>
  <c r="E32" i="34"/>
  <c r="I82" i="49"/>
  <c r="M82" i="20"/>
  <c r="K639" i="44" s="1"/>
  <c r="D16" i="29"/>
  <c r="F11" i="41"/>
  <c r="D61" i="29"/>
  <c r="F59" i="41"/>
  <c r="E56" i="34"/>
  <c r="Y82" i="29"/>
  <c r="W638" i="44" s="1"/>
  <c r="H54" i="50"/>
  <c r="H56" i="50" s="1"/>
  <c r="F56" i="50"/>
  <c r="E36" i="29"/>
  <c r="G32" i="41"/>
  <c r="F64" i="41"/>
  <c r="D66" i="29"/>
  <c r="E20" i="57"/>
  <c r="E24" i="57" s="1"/>
  <c r="M24" i="56"/>
  <c r="H23" i="50"/>
  <c r="G29" i="57"/>
  <c r="R649" i="44"/>
  <c r="T91" i="55"/>
  <c r="G19" i="57"/>
  <c r="E24" i="55"/>
  <c r="M61" i="56"/>
  <c r="U649" i="44"/>
  <c r="W91" i="55"/>
  <c r="F36" i="32"/>
  <c r="N649" i="44"/>
  <c r="P91" i="55"/>
  <c r="D42" i="55"/>
  <c r="D43" i="55" s="1"/>
  <c r="F40" i="57"/>
  <c r="Q16" i="24"/>
  <c r="H77" i="32"/>
  <c r="L16" i="56"/>
  <c r="E66" i="20"/>
  <c r="G64" i="32"/>
  <c r="D32" i="24"/>
  <c r="I49" i="32"/>
  <c r="G49" i="5"/>
  <c r="I49" i="5" s="1"/>
  <c r="L13" i="12"/>
  <c r="D13" i="36" s="1"/>
  <c r="F13" i="12"/>
  <c r="M56" i="9"/>
  <c r="G80" i="12"/>
  <c r="M80" i="12"/>
  <c r="E80" i="36" s="1"/>
  <c r="H29" i="24"/>
  <c r="D27" i="24"/>
  <c r="Y36" i="24"/>
  <c r="AC56" i="24"/>
  <c r="P649" i="44"/>
  <c r="R91" i="55"/>
  <c r="F74" i="12"/>
  <c r="L74" i="12"/>
  <c r="D74" i="36" s="1"/>
  <c r="H74" i="36" s="1"/>
  <c r="E77" i="24"/>
  <c r="G77" i="36" s="1"/>
  <c r="M16" i="9"/>
  <c r="M82" i="9" s="1"/>
  <c r="M76" i="12"/>
  <c r="E76" i="36" s="1"/>
  <c r="I76" i="36" s="1"/>
  <c r="G76" i="12"/>
  <c r="L73" i="12"/>
  <c r="D73" i="36" s="1"/>
  <c r="H73" i="36" s="1"/>
  <c r="F73" i="12"/>
  <c r="H16" i="24"/>
  <c r="D24" i="32"/>
  <c r="E33" i="24"/>
  <c r="G33" i="36" s="1"/>
  <c r="G24" i="32"/>
  <c r="F14" i="12"/>
  <c r="L14" i="12"/>
  <c r="D14" i="36" s="1"/>
  <c r="L45" i="12"/>
  <c r="D45" i="36" s="1"/>
  <c r="F45" i="12"/>
  <c r="K82" i="21"/>
  <c r="K640" i="44"/>
  <c r="M91" i="21"/>
  <c r="W56" i="24"/>
  <c r="N36" i="24"/>
  <c r="D54" i="24"/>
  <c r="G12" i="12"/>
  <c r="M12" i="12"/>
  <c r="E12" i="36" s="1"/>
  <c r="E11" i="24"/>
  <c r="G16" i="24"/>
  <c r="G82" i="24" s="1"/>
  <c r="G91" i="24" s="1"/>
  <c r="L640" i="44"/>
  <c r="N91" i="21"/>
  <c r="H82" i="23"/>
  <c r="F641" i="44" s="1"/>
  <c r="E54" i="21"/>
  <c r="G56" i="21"/>
  <c r="H77" i="35"/>
  <c r="G33" i="5"/>
  <c r="I33" i="43"/>
  <c r="I35" i="32"/>
  <c r="L29" i="11"/>
  <c r="L82" i="11" s="1"/>
  <c r="E41" i="24"/>
  <c r="G41" i="36" s="1"/>
  <c r="I41" i="36" s="1"/>
  <c r="E11" i="35"/>
  <c r="E16" i="35" s="1"/>
  <c r="M16" i="11"/>
  <c r="E15" i="24"/>
  <c r="G15" i="36" s="1"/>
  <c r="G11" i="43"/>
  <c r="E16" i="31"/>
  <c r="M82" i="31"/>
  <c r="I39" i="33"/>
  <c r="AB651" i="44"/>
  <c r="AD91" i="31"/>
  <c r="H75" i="33"/>
  <c r="E20" i="43"/>
  <c r="E24" i="43" s="1"/>
  <c r="M24" i="19"/>
  <c r="R61" i="24"/>
  <c r="L29" i="9"/>
  <c r="D27" i="33"/>
  <c r="D29" i="33" s="1"/>
  <c r="AD82" i="54"/>
  <c r="AB653" i="44" s="1"/>
  <c r="E66" i="54"/>
  <c r="G64" i="52"/>
  <c r="H11" i="42"/>
  <c r="H16" i="42" s="1"/>
  <c r="D16" i="42"/>
  <c r="D11" i="5"/>
  <c r="D16" i="5" s="1"/>
  <c r="E64" i="42"/>
  <c r="M66" i="18"/>
  <c r="D72" i="30"/>
  <c r="F70" i="42"/>
  <c r="F651" i="44"/>
  <c r="H91" i="31"/>
  <c r="G24" i="18"/>
  <c r="G82" i="18" s="1"/>
  <c r="F61" i="35"/>
  <c r="E54" i="52"/>
  <c r="E56" i="52" s="1"/>
  <c r="M56" i="53"/>
  <c r="G65" i="42"/>
  <c r="E66" i="30"/>
  <c r="G22" i="15"/>
  <c r="M22" i="15"/>
  <c r="E22" i="39" s="1"/>
  <c r="K82" i="54"/>
  <c r="I653" i="44" s="1"/>
  <c r="E65" i="5"/>
  <c r="L13" i="15"/>
  <c r="D13" i="39" s="1"/>
  <c r="F13" i="15"/>
  <c r="G82" i="19"/>
  <c r="G91" i="19" s="1"/>
  <c r="E54" i="29"/>
  <c r="G56" i="29"/>
  <c r="G34" i="15"/>
  <c r="M34" i="15"/>
  <c r="E34" i="39" s="1"/>
  <c r="L42" i="53"/>
  <c r="L43" i="53" s="1"/>
  <c r="D40" i="52"/>
  <c r="D42" i="52" s="1"/>
  <c r="D43" i="52" s="1"/>
  <c r="F21" i="5"/>
  <c r="H21" i="5" s="1"/>
  <c r="F14" i="15"/>
  <c r="L14" i="15"/>
  <c r="D14" i="39" s="1"/>
  <c r="L39" i="15"/>
  <c r="D39" i="39" s="1"/>
  <c r="F39" i="15"/>
  <c r="P36" i="27"/>
  <c r="F55" i="5"/>
  <c r="G39" i="15"/>
  <c r="M39" i="15"/>
  <c r="E39" i="39" s="1"/>
  <c r="I39" i="39" s="1"/>
  <c r="G54" i="37"/>
  <c r="E56" i="25"/>
  <c r="G76" i="5"/>
  <c r="I76" i="5" s="1"/>
  <c r="I16" i="15"/>
  <c r="M11" i="15"/>
  <c r="G11" i="15"/>
  <c r="F40" i="15"/>
  <c r="H42" i="15"/>
  <c r="H43" i="15" s="1"/>
  <c r="L40" i="15"/>
  <c r="T16" i="27"/>
  <c r="T82" i="27" s="1"/>
  <c r="I78" i="33"/>
  <c r="AC16" i="27"/>
  <c r="AC82" i="27" s="1"/>
  <c r="E34" i="27"/>
  <c r="G34" i="39" s="1"/>
  <c r="I34" i="39" s="1"/>
  <c r="G40" i="37"/>
  <c r="E42" i="25"/>
  <c r="E43" i="25" s="1"/>
  <c r="D89" i="27"/>
  <c r="F86" i="39"/>
  <c r="M55" i="15"/>
  <c r="E55" i="39" s="1"/>
  <c r="G55" i="15"/>
  <c r="E11" i="27"/>
  <c r="I16" i="27"/>
  <c r="D39" i="27"/>
  <c r="F39" i="39" s="1"/>
  <c r="I66" i="27"/>
  <c r="E64" i="27"/>
  <c r="H35" i="52"/>
  <c r="D59" i="42"/>
  <c r="L61" i="18"/>
  <c r="M66" i="13"/>
  <c r="E64" i="37"/>
  <c r="E66" i="37" s="1"/>
  <c r="E20" i="27"/>
  <c r="G20" i="39" s="1"/>
  <c r="L60" i="15"/>
  <c r="D60" i="39" s="1"/>
  <c r="F60" i="15"/>
  <c r="O24" i="27"/>
  <c r="O82" i="27" s="1"/>
  <c r="E60" i="27"/>
  <c r="G60" i="39" s="1"/>
  <c r="I60" i="39" s="1"/>
  <c r="N82" i="25"/>
  <c r="G70" i="37"/>
  <c r="E72" i="25"/>
  <c r="G24" i="45"/>
  <c r="G65" i="47"/>
  <c r="E66" i="46"/>
  <c r="L45" i="15"/>
  <c r="D45" i="39" s="1"/>
  <c r="H45" i="39" s="1"/>
  <c r="F45" i="15"/>
  <c r="Q29" i="27"/>
  <c r="E64" i="47"/>
  <c r="M66" i="45"/>
  <c r="W82" i="26"/>
  <c r="U645" i="44" s="1"/>
  <c r="F70" i="40"/>
  <c r="D72" i="28"/>
  <c r="F47" i="5"/>
  <c r="H47" i="5" s="1"/>
  <c r="F87" i="15"/>
  <c r="F89" i="15" s="1"/>
  <c r="F89" i="13"/>
  <c r="F91" i="13" s="1"/>
  <c r="X29" i="27"/>
  <c r="H72" i="27"/>
  <c r="D29" i="28"/>
  <c r="F27" i="40"/>
  <c r="M36" i="45"/>
  <c r="M16" i="16"/>
  <c r="M82" i="16" s="1"/>
  <c r="E11" i="40"/>
  <c r="E16" i="40" s="1"/>
  <c r="L47" i="15"/>
  <c r="D47" i="39" s="1"/>
  <c r="F47" i="15"/>
  <c r="G61" i="47"/>
  <c r="G54" i="40"/>
  <c r="E56" i="28"/>
  <c r="E42" i="31"/>
  <c r="E43" i="31" s="1"/>
  <c r="G40" i="43"/>
  <c r="E13" i="5"/>
  <c r="M24" i="13"/>
  <c r="E19" i="37"/>
  <c r="E24" i="37" s="1"/>
  <c r="L82" i="16"/>
  <c r="L91" i="16" s="1"/>
  <c r="H33" i="40"/>
  <c r="U82" i="48"/>
  <c r="S652" i="44" s="1"/>
  <c r="AO82" i="48"/>
  <c r="F59" i="50"/>
  <c r="D61" i="48"/>
  <c r="D72" i="48"/>
  <c r="M61" i="49"/>
  <c r="E59" i="50"/>
  <c r="E61" i="50" s="1"/>
  <c r="M82" i="10"/>
  <c r="B15" i="4" s="1"/>
  <c r="C15" i="4" s="1"/>
  <c r="G36" i="49"/>
  <c r="G82" i="49" s="1"/>
  <c r="M72" i="49"/>
  <c r="E70" i="50"/>
  <c r="E72" i="50" s="1"/>
  <c r="E61" i="48"/>
  <c r="G59" i="50"/>
  <c r="L61" i="49"/>
  <c r="D59" i="50"/>
  <c r="D61" i="50" s="1"/>
  <c r="M42" i="49"/>
  <c r="M43" i="49" s="1"/>
  <c r="U82" i="20"/>
  <c r="S639" i="44" s="1"/>
  <c r="M82" i="29"/>
  <c r="K638" i="44" s="1"/>
  <c r="E24" i="48"/>
  <c r="G19" i="50"/>
  <c r="H79" i="34"/>
  <c r="H24" i="41"/>
  <c r="AN82" i="20"/>
  <c r="M56" i="8"/>
  <c r="E54" i="32"/>
  <c r="E56" i="32" s="1"/>
  <c r="D72" i="29"/>
  <c r="F70" i="41"/>
  <c r="I28" i="32"/>
  <c r="M36" i="8"/>
  <c r="E64" i="32"/>
  <c r="E66" i="32" s="1"/>
  <c r="M66" i="8"/>
  <c r="D29" i="48"/>
  <c r="F27" i="50"/>
  <c r="I21" i="32"/>
  <c r="F82" i="56"/>
  <c r="F91" i="56" s="1"/>
  <c r="E29" i="55"/>
  <c r="Z649" i="44"/>
  <c r="AB91" i="55"/>
  <c r="H39" i="34"/>
  <c r="E36" i="55"/>
  <c r="G32" i="57"/>
  <c r="E16" i="22"/>
  <c r="E82" i="22" s="1"/>
  <c r="G11" i="34"/>
  <c r="AE82" i="55"/>
  <c r="H45" i="57"/>
  <c r="D36" i="20"/>
  <c r="X82" i="55"/>
  <c r="L66" i="56"/>
  <c r="D64" i="57"/>
  <c r="D66" i="57" s="1"/>
  <c r="I60" i="57"/>
  <c r="Y16" i="24"/>
  <c r="M24" i="24"/>
  <c r="H11" i="57"/>
  <c r="F16" i="57"/>
  <c r="E40" i="24"/>
  <c r="H33" i="34"/>
  <c r="H36" i="34" s="1"/>
  <c r="U16" i="24"/>
  <c r="E61" i="20"/>
  <c r="G59" i="32"/>
  <c r="H81" i="57"/>
  <c r="L21" i="12"/>
  <c r="D21" i="36" s="1"/>
  <c r="H21" i="36" s="1"/>
  <c r="F21" i="12"/>
  <c r="AD16" i="24"/>
  <c r="M36" i="24"/>
  <c r="Q42" i="24"/>
  <c r="Q43" i="24" s="1"/>
  <c r="P29" i="24"/>
  <c r="F20" i="12"/>
  <c r="L20" i="12"/>
  <c r="D20" i="36" s="1"/>
  <c r="D16" i="21"/>
  <c r="F11" i="33"/>
  <c r="K24" i="24"/>
  <c r="N43" i="24"/>
  <c r="H27" i="57"/>
  <c r="H29" i="57" s="1"/>
  <c r="F29" i="57"/>
  <c r="G41" i="12"/>
  <c r="M41" i="12"/>
  <c r="E41" i="36" s="1"/>
  <c r="E12" i="24"/>
  <c r="G12" i="36" s="1"/>
  <c r="I12" i="36" s="1"/>
  <c r="F41" i="41"/>
  <c r="F41" i="5" s="1"/>
  <c r="D42" i="29"/>
  <c r="D43" i="29" s="1"/>
  <c r="P82" i="21"/>
  <c r="L24" i="8"/>
  <c r="V16" i="24"/>
  <c r="H22" i="33"/>
  <c r="F27" i="33"/>
  <c r="D29" i="21"/>
  <c r="E24" i="20"/>
  <c r="F40" i="33"/>
  <c r="D42" i="21"/>
  <c r="D43" i="21" s="1"/>
  <c r="D71" i="24"/>
  <c r="F71" i="36" s="1"/>
  <c r="H71" i="36" s="1"/>
  <c r="K16" i="24"/>
  <c r="S29" i="24"/>
  <c r="T36" i="24"/>
  <c r="Y72" i="24"/>
  <c r="M39" i="12"/>
  <c r="E39" i="36" s="1"/>
  <c r="G39" i="12"/>
  <c r="V36" i="24"/>
  <c r="E29" i="21"/>
  <c r="G27" i="33"/>
  <c r="H34" i="33"/>
  <c r="E51" i="24"/>
  <c r="G51" i="36" s="1"/>
  <c r="I55" i="33"/>
  <c r="D24" i="33"/>
  <c r="D82" i="33" s="1"/>
  <c r="M36" i="11"/>
  <c r="E32" i="35"/>
  <c r="E36" i="35" s="1"/>
  <c r="P82" i="23"/>
  <c r="N641" i="44" s="1"/>
  <c r="E54" i="24"/>
  <c r="G56" i="24"/>
  <c r="M87" i="12"/>
  <c r="E87" i="36" s="1"/>
  <c r="I87" i="36" s="1"/>
  <c r="E87" i="33"/>
  <c r="F82" i="19"/>
  <c r="F91" i="19" s="1"/>
  <c r="AF82" i="31"/>
  <c r="AF91" i="31" s="1"/>
  <c r="I39" i="43"/>
  <c r="G39" i="5"/>
  <c r="I39" i="5" s="1"/>
  <c r="G74" i="12"/>
  <c r="M74" i="12"/>
  <c r="E74" i="36" s="1"/>
  <c r="W66" i="24"/>
  <c r="M42" i="24"/>
  <c r="M43" i="24" s="1"/>
  <c r="L75" i="12"/>
  <c r="D75" i="36" s="1"/>
  <c r="F75" i="12"/>
  <c r="W42" i="24"/>
  <c r="W43" i="24" s="1"/>
  <c r="D24" i="23"/>
  <c r="D82" i="23" s="1"/>
  <c r="F19" i="35"/>
  <c r="U82" i="31"/>
  <c r="H33" i="52"/>
  <c r="D61" i="54"/>
  <c r="F59" i="52"/>
  <c r="I34" i="43"/>
  <c r="E61" i="54"/>
  <c r="G59" i="52"/>
  <c r="L89" i="9"/>
  <c r="L87" i="12"/>
  <c r="D87" i="33"/>
  <c r="E86" i="43"/>
  <c r="M89" i="19"/>
  <c r="B27" i="4" s="1"/>
  <c r="C27" i="4" s="1"/>
  <c r="AL82" i="31"/>
  <c r="AL91" i="31" s="1"/>
  <c r="E24" i="52"/>
  <c r="L23" i="12"/>
  <c r="D23" i="36" s="1"/>
  <c r="F23" i="12"/>
  <c r="H23" i="35"/>
  <c r="E40" i="52"/>
  <c r="M42" i="53"/>
  <c r="M43" i="53" s="1"/>
  <c r="I74" i="33"/>
  <c r="F16" i="53"/>
  <c r="F82" i="53" s="1"/>
  <c r="AL82" i="54"/>
  <c r="H75" i="42"/>
  <c r="V66" i="24"/>
  <c r="Z72" i="24"/>
  <c r="I21" i="52"/>
  <c r="F24" i="53"/>
  <c r="E19" i="42"/>
  <c r="M24" i="18"/>
  <c r="M32" i="15"/>
  <c r="I36" i="15"/>
  <c r="G32" i="15"/>
  <c r="P24" i="24"/>
  <c r="P82" i="24" s="1"/>
  <c r="M36" i="53"/>
  <c r="D20" i="5"/>
  <c r="D24" i="42"/>
  <c r="L21" i="15"/>
  <c r="D21" i="39" s="1"/>
  <c r="F21" i="15"/>
  <c r="D36" i="54"/>
  <c r="F66" i="42"/>
  <c r="H64" i="42"/>
  <c r="M41" i="15"/>
  <c r="E41" i="39" s="1"/>
  <c r="G41" i="15"/>
  <c r="E29" i="42"/>
  <c r="F12" i="5"/>
  <c r="G60" i="15"/>
  <c r="M60" i="15"/>
  <c r="E60" i="39" s="1"/>
  <c r="AE16" i="27"/>
  <c r="AE82" i="27" s="1"/>
  <c r="X36" i="27"/>
  <c r="H61" i="15"/>
  <c r="L59" i="15"/>
  <c r="F59" i="15"/>
  <c r="F61" i="15" s="1"/>
  <c r="R24" i="27"/>
  <c r="I36" i="27"/>
  <c r="E32" i="27"/>
  <c r="O56" i="27"/>
  <c r="I27" i="42"/>
  <c r="I29" i="42" s="1"/>
  <c r="AF82" i="27"/>
  <c r="AF91" i="27" s="1"/>
  <c r="H79" i="33"/>
  <c r="D16" i="43"/>
  <c r="M16" i="13"/>
  <c r="E11" i="37"/>
  <c r="E16" i="37" s="1"/>
  <c r="F56" i="13"/>
  <c r="AB82" i="25"/>
  <c r="E24" i="35"/>
  <c r="D19" i="37"/>
  <c r="D24" i="37" s="1"/>
  <c r="D82" i="37" s="1"/>
  <c r="L24" i="13"/>
  <c r="G40" i="15"/>
  <c r="M40" i="15"/>
  <c r="I42" i="15"/>
  <c r="I43" i="15" s="1"/>
  <c r="F65" i="15"/>
  <c r="L65" i="15"/>
  <c r="D65" i="39" s="1"/>
  <c r="D12" i="27"/>
  <c r="F12" i="39" s="1"/>
  <c r="H12" i="39" s="1"/>
  <c r="D27" i="27"/>
  <c r="H29" i="27"/>
  <c r="K36" i="27"/>
  <c r="K82" i="27" s="1"/>
  <c r="O42" i="27"/>
  <c r="O43" i="27" s="1"/>
  <c r="I60" i="43"/>
  <c r="F66" i="13"/>
  <c r="Q16" i="27"/>
  <c r="Q56" i="27"/>
  <c r="AA61" i="27"/>
  <c r="I66" i="15"/>
  <c r="M64" i="15"/>
  <c r="G64" i="15"/>
  <c r="L36" i="27"/>
  <c r="H73" i="37"/>
  <c r="H79" i="37"/>
  <c r="L36" i="45"/>
  <c r="F27" i="38"/>
  <c r="D29" i="26"/>
  <c r="Y42" i="27"/>
  <c r="Y43" i="27" s="1"/>
  <c r="D61" i="25"/>
  <c r="F59" i="37"/>
  <c r="I36" i="47"/>
  <c r="I61" i="27"/>
  <c r="L80" i="15"/>
  <c r="D80" i="39" s="1"/>
  <c r="H80" i="39" s="1"/>
  <c r="F80" i="15"/>
  <c r="H75" i="37"/>
  <c r="S82" i="26"/>
  <c r="Q645" i="44" s="1"/>
  <c r="L54" i="15"/>
  <c r="H56" i="15"/>
  <c r="F54" i="15"/>
  <c r="S82" i="25"/>
  <c r="I47" i="37"/>
  <c r="D65" i="27"/>
  <c r="F65" i="39" s="1"/>
  <c r="H65" i="39" s="1"/>
  <c r="F88" i="5"/>
  <c r="H88" i="5" s="1"/>
  <c r="H88" i="37"/>
  <c r="G60" i="5"/>
  <c r="AD66" i="27"/>
  <c r="E11" i="47"/>
  <c r="E16" i="47" s="1"/>
  <c r="M16" i="45"/>
  <c r="M82" i="45" s="1"/>
  <c r="B20" i="4" s="1"/>
  <c r="C20" i="4" s="1"/>
  <c r="X61" i="27"/>
  <c r="D76" i="27"/>
  <c r="F76" i="39" s="1"/>
  <c r="H76" i="39" s="1"/>
  <c r="D80" i="5"/>
  <c r="J42" i="27"/>
  <c r="J43" i="27" s="1"/>
  <c r="J82" i="27" s="1"/>
  <c r="E59" i="47"/>
  <c r="M61" i="45"/>
  <c r="L56" i="16"/>
  <c r="D54" i="40"/>
  <c r="D56" i="40" s="1"/>
  <c r="H55" i="40"/>
  <c r="G16" i="16"/>
  <c r="G82" i="16" s="1"/>
  <c r="G91" i="16" s="1"/>
  <c r="L24" i="18"/>
  <c r="L82" i="18" s="1"/>
  <c r="H82" i="13"/>
  <c r="H91" i="13" s="1"/>
  <c r="F70" i="15"/>
  <c r="H72" i="15"/>
  <c r="L70" i="15"/>
  <c r="G11" i="40"/>
  <c r="E16" i="28"/>
  <c r="F81" i="15"/>
  <c r="L81" i="15"/>
  <c r="D81" i="39" s="1"/>
  <c r="H81" i="39" s="1"/>
  <c r="W66" i="27"/>
  <c r="O82" i="25"/>
  <c r="M36" i="14"/>
  <c r="P82" i="26"/>
  <c r="N645" i="44" s="1"/>
  <c r="D24" i="28"/>
  <c r="F19" i="40"/>
  <c r="E72" i="31"/>
  <c r="G70" i="43"/>
  <c r="L42" i="13"/>
  <c r="L43" i="13" s="1"/>
  <c r="M29" i="45"/>
  <c r="D65" i="38"/>
  <c r="D66" i="38" s="1"/>
  <c r="L66" i="14"/>
  <c r="F55" i="15"/>
  <c r="L55" i="15"/>
  <c r="D55" i="39" s="1"/>
  <c r="H54" i="47"/>
  <c r="H56" i="47" s="1"/>
  <c r="L29" i="8"/>
  <c r="D27" i="32"/>
  <c r="H12" i="36"/>
  <c r="L33" i="12"/>
  <c r="D33" i="36" s="1"/>
  <c r="H33" i="36" s="1"/>
  <c r="F33" i="12"/>
  <c r="F76" i="12"/>
  <c r="L76" i="12"/>
  <c r="D76" i="36" s="1"/>
  <c r="H76" i="36" s="1"/>
  <c r="L77" i="12"/>
  <c r="D77" i="36" s="1"/>
  <c r="F77" i="12"/>
  <c r="E55" i="24"/>
  <c r="G55" i="36" s="1"/>
  <c r="I55" i="36" s="1"/>
  <c r="D56" i="31"/>
  <c r="F54" i="43"/>
  <c r="M51" i="15"/>
  <c r="E51" i="39" s="1"/>
  <c r="I51" i="39" s="1"/>
  <c r="G51" i="15"/>
  <c r="M72" i="53"/>
  <c r="E71" i="52"/>
  <c r="E72" i="52" s="1"/>
  <c r="D61" i="31"/>
  <c r="F59" i="43"/>
  <c r="H74" i="39"/>
  <c r="F19" i="15"/>
  <c r="L19" i="15"/>
  <c r="H24" i="15"/>
  <c r="E36" i="25"/>
  <c r="G32" i="37"/>
  <c r="AA644" i="44"/>
  <c r="AC91" i="25"/>
  <c r="F646" i="44"/>
  <c r="H91" i="46"/>
  <c r="M79" i="15"/>
  <c r="E79" i="39" s="1"/>
  <c r="G79" i="15"/>
  <c r="G74" i="15"/>
  <c r="M74" i="15"/>
  <c r="E74" i="39" s="1"/>
  <c r="I55" i="47"/>
  <c r="G56" i="47"/>
  <c r="E41" i="40"/>
  <c r="M42" i="16"/>
  <c r="M43" i="16" s="1"/>
  <c r="I28" i="50"/>
  <c r="I29" i="50" s="1"/>
  <c r="D16" i="22"/>
  <c r="D82" i="22" s="1"/>
  <c r="F11" i="34"/>
  <c r="F29" i="34"/>
  <c r="H27" i="34"/>
  <c r="H29" i="34" s="1"/>
  <c r="F82" i="29"/>
  <c r="AB649" i="44"/>
  <c r="AD91" i="55"/>
  <c r="U66" i="24"/>
  <c r="M28" i="12"/>
  <c r="E28" i="36" s="1"/>
  <c r="G28" i="12"/>
  <c r="E47" i="24"/>
  <c r="G47" i="36" s="1"/>
  <c r="H49" i="33"/>
  <c r="G35" i="12"/>
  <c r="M35" i="12"/>
  <c r="E35" i="36" s="1"/>
  <c r="L49" i="12"/>
  <c r="D49" i="36" s="1"/>
  <c r="H49" i="36" s="1"/>
  <c r="F49" i="12"/>
  <c r="V24" i="24"/>
  <c r="G11" i="52"/>
  <c r="E16" i="54"/>
  <c r="W651" i="44"/>
  <c r="Y91" i="31"/>
  <c r="H71" i="52"/>
  <c r="M15" i="12"/>
  <c r="E15" i="36" s="1"/>
  <c r="G15" i="12"/>
  <c r="G54" i="35"/>
  <c r="E56" i="23"/>
  <c r="I59" i="42"/>
  <c r="I61" i="42" s="1"/>
  <c r="G61" i="42"/>
  <c r="H78" i="33"/>
  <c r="F78" i="5"/>
  <c r="H78" i="5" s="1"/>
  <c r="F70" i="35"/>
  <c r="D72" i="23"/>
  <c r="H70" i="43"/>
  <c r="H72" i="43" s="1"/>
  <c r="F72" i="43"/>
  <c r="M73" i="15"/>
  <c r="E73" i="39" s="1"/>
  <c r="G73" i="15"/>
  <c r="F82" i="18"/>
  <c r="F32" i="42"/>
  <c r="D36" i="30"/>
  <c r="G77" i="5"/>
  <c r="E29" i="25"/>
  <c r="G27" i="37"/>
  <c r="G28" i="5"/>
  <c r="D16" i="54"/>
  <c r="D82" i="54" s="1"/>
  <c r="M72" i="13"/>
  <c r="F73" i="5"/>
  <c r="H73" i="5" s="1"/>
  <c r="D66" i="28"/>
  <c r="F64" i="40"/>
  <c r="F16" i="40"/>
  <c r="L24" i="49"/>
  <c r="L82" i="49" s="1"/>
  <c r="H14" i="32"/>
  <c r="F14" i="5"/>
  <c r="H14" i="5" s="1"/>
  <c r="D36" i="48"/>
  <c r="F32" i="50"/>
  <c r="E12" i="57"/>
  <c r="E16" i="57" s="1"/>
  <c r="M16" i="56"/>
  <c r="H47" i="34"/>
  <c r="T649" i="44"/>
  <c r="V91" i="55"/>
  <c r="M65" i="12"/>
  <c r="E65" i="36" s="1"/>
  <c r="I65" i="36" s="1"/>
  <c r="G65" i="12"/>
  <c r="D45" i="24"/>
  <c r="F45" i="36" s="1"/>
  <c r="H45" i="36" s="1"/>
  <c r="W82" i="21"/>
  <c r="F80" i="12"/>
  <c r="L80" i="12"/>
  <c r="D80" i="36" s="1"/>
  <c r="H80" i="36" s="1"/>
  <c r="X16" i="24"/>
  <c r="X82" i="24" s="1"/>
  <c r="F36" i="8"/>
  <c r="F82" i="8" s="1"/>
  <c r="L36" i="9"/>
  <c r="D32" i="33"/>
  <c r="D36" i="33" s="1"/>
  <c r="G71" i="33"/>
  <c r="E72" i="21"/>
  <c r="AA16" i="24"/>
  <c r="Y24" i="24"/>
  <c r="D59" i="24"/>
  <c r="H61" i="24"/>
  <c r="H59" i="57"/>
  <c r="H61" i="57" s="1"/>
  <c r="F61" i="57"/>
  <c r="L42" i="9"/>
  <c r="L43" i="9" s="1"/>
  <c r="D40" i="33"/>
  <c r="D42" i="33" s="1"/>
  <c r="D43" i="33" s="1"/>
  <c r="T82" i="21"/>
  <c r="Q29" i="24"/>
  <c r="E86" i="24"/>
  <c r="G89" i="24"/>
  <c r="H82" i="11"/>
  <c r="AD82" i="21"/>
  <c r="D66" i="23"/>
  <c r="F64" i="35"/>
  <c r="G24" i="24"/>
  <c r="E19" i="24"/>
  <c r="K36" i="24"/>
  <c r="E32" i="43"/>
  <c r="M36" i="19"/>
  <c r="D70" i="24"/>
  <c r="I47" i="33"/>
  <c r="G47" i="5"/>
  <c r="I47" i="5" s="1"/>
  <c r="L82" i="23"/>
  <c r="J641" i="44" s="1"/>
  <c r="I41" i="35"/>
  <c r="D19" i="24"/>
  <c r="I47" i="35"/>
  <c r="L56" i="9"/>
  <c r="D54" i="33"/>
  <c r="D56" i="33" s="1"/>
  <c r="R82" i="21"/>
  <c r="D56" i="21"/>
  <c r="F54" i="33"/>
  <c r="E16" i="23"/>
  <c r="E82" i="23" s="1"/>
  <c r="G11" i="35"/>
  <c r="D54" i="35"/>
  <c r="D56" i="35" s="1"/>
  <c r="L56" i="11"/>
  <c r="I13" i="35"/>
  <c r="AA82" i="31"/>
  <c r="H21" i="52"/>
  <c r="F82" i="31"/>
  <c r="F91" i="31" s="1"/>
  <c r="H33" i="43"/>
  <c r="F33" i="5"/>
  <c r="I76" i="35"/>
  <c r="G19" i="43"/>
  <c r="E24" i="31"/>
  <c r="D24" i="31"/>
  <c r="F19" i="43"/>
  <c r="E43" i="54"/>
  <c r="I16" i="42"/>
  <c r="F49" i="5"/>
  <c r="E66" i="23"/>
  <c r="G64" i="35"/>
  <c r="D56" i="54"/>
  <c r="G80" i="5"/>
  <c r="I80" i="5" s="1"/>
  <c r="G73" i="5"/>
  <c r="I73" i="5" s="1"/>
  <c r="I41" i="43"/>
  <c r="D65" i="42"/>
  <c r="L66" i="18"/>
  <c r="G77" i="15"/>
  <c r="M77" i="15"/>
  <c r="E77" i="39" s="1"/>
  <c r="I77" i="39" s="1"/>
  <c r="D22" i="5"/>
  <c r="E82" i="30"/>
  <c r="G25" i="4" s="1"/>
  <c r="H25" i="4" s="1"/>
  <c r="M61" i="24"/>
  <c r="F23" i="5"/>
  <c r="E27" i="27"/>
  <c r="I32" i="43"/>
  <c r="G36" i="43"/>
  <c r="E24" i="54"/>
  <c r="G19" i="52"/>
  <c r="F76" i="5"/>
  <c r="H76" i="5" s="1"/>
  <c r="E21" i="27"/>
  <c r="G21" i="39" s="1"/>
  <c r="I21" i="39" s="1"/>
  <c r="E24" i="23"/>
  <c r="G19" i="35"/>
  <c r="F71" i="5"/>
  <c r="D54" i="27"/>
  <c r="M36" i="13"/>
  <c r="E33" i="37"/>
  <c r="E36" i="37" s="1"/>
  <c r="D42" i="23"/>
  <c r="D43" i="23" s="1"/>
  <c r="F40" i="35"/>
  <c r="E22" i="5"/>
  <c r="H22" i="42"/>
  <c r="H24" i="42" s="1"/>
  <c r="F22" i="5"/>
  <c r="P16" i="27"/>
  <c r="E55" i="27"/>
  <c r="G55" i="39" s="1"/>
  <c r="H40" i="52"/>
  <c r="H42" i="52" s="1"/>
  <c r="H43" i="52" s="1"/>
  <c r="F42" i="52"/>
  <c r="F43" i="52" s="1"/>
  <c r="D71" i="5"/>
  <c r="F51" i="5"/>
  <c r="E36" i="23"/>
  <c r="G32" i="35"/>
  <c r="L36" i="13"/>
  <c r="D32" i="37"/>
  <c r="D36" i="37" s="1"/>
  <c r="I89" i="15"/>
  <c r="H24" i="27"/>
  <c r="D19" i="27"/>
  <c r="M82" i="25"/>
  <c r="M20" i="15"/>
  <c r="E20" i="39" s="1"/>
  <c r="G20" i="15"/>
  <c r="M24" i="27"/>
  <c r="Y72" i="27"/>
  <c r="D54" i="42"/>
  <c r="L56" i="18"/>
  <c r="F39" i="5"/>
  <c r="H39" i="5" s="1"/>
  <c r="E13" i="27"/>
  <c r="G13" i="39" s="1"/>
  <c r="L56" i="13"/>
  <c r="AE24" i="27"/>
  <c r="M61" i="27"/>
  <c r="N72" i="27"/>
  <c r="L24" i="14"/>
  <c r="F40" i="38"/>
  <c r="D42" i="26"/>
  <c r="D43" i="26" s="1"/>
  <c r="D12" i="5"/>
  <c r="AB644" i="44"/>
  <c r="AD91" i="25"/>
  <c r="N29" i="27"/>
  <c r="M36" i="27"/>
  <c r="S66" i="27"/>
  <c r="S82" i="27" s="1"/>
  <c r="G24" i="47"/>
  <c r="F82" i="27"/>
  <c r="F91" i="27" s="1"/>
  <c r="G89" i="13"/>
  <c r="G82" i="25"/>
  <c r="G91" i="25" s="1"/>
  <c r="J36" i="27"/>
  <c r="G70" i="38"/>
  <c r="E72" i="26"/>
  <c r="E72" i="37"/>
  <c r="L42" i="45"/>
  <c r="L43" i="45" s="1"/>
  <c r="D66" i="37"/>
  <c r="G82" i="14"/>
  <c r="D61" i="28"/>
  <c r="F59" i="40"/>
  <c r="X644" i="44"/>
  <c r="Z91" i="25"/>
  <c r="L66" i="16"/>
  <c r="G40" i="47"/>
  <c r="E42" i="46"/>
  <c r="E43" i="46" s="1"/>
  <c r="N36" i="27"/>
  <c r="G59" i="40"/>
  <c r="E61" i="28"/>
  <c r="F61" i="47"/>
  <c r="L16" i="45"/>
  <c r="L82" i="45" s="1"/>
  <c r="L61" i="13"/>
  <c r="F77" i="5"/>
  <c r="H77" i="5" s="1"/>
  <c r="D24" i="26"/>
  <c r="G13" i="15"/>
  <c r="M13" i="15"/>
  <c r="E13" i="39" s="1"/>
  <c r="D72" i="46"/>
  <c r="H77" i="38"/>
  <c r="I82" i="28"/>
  <c r="G648" i="44" s="1"/>
  <c r="T24" i="27"/>
  <c r="F82" i="26"/>
  <c r="E42" i="26"/>
  <c r="E43" i="26" s="1"/>
  <c r="G40" i="38"/>
  <c r="H82" i="14"/>
  <c r="Y82" i="28"/>
  <c r="W648" i="44" s="1"/>
  <c r="D42" i="25"/>
  <c r="D43" i="25" s="1"/>
  <c r="G24" i="38"/>
  <c r="M36" i="49"/>
  <c r="E32" i="50"/>
  <c r="E36" i="50" s="1"/>
  <c r="E28" i="50"/>
  <c r="E29" i="50" s="1"/>
  <c r="M29" i="49"/>
  <c r="E27" i="57"/>
  <c r="E29" i="57" s="1"/>
  <c r="M29" i="56"/>
  <c r="E72" i="32"/>
  <c r="I71" i="32"/>
  <c r="E71" i="5"/>
  <c r="H13" i="57"/>
  <c r="I28" i="36"/>
  <c r="Q640" i="44"/>
  <c r="S91" i="21"/>
  <c r="I29" i="24"/>
  <c r="H66" i="24"/>
  <c r="D64" i="24"/>
  <c r="N24" i="24"/>
  <c r="N82" i="24" s="1"/>
  <c r="E40" i="35"/>
  <c r="E42" i="35" s="1"/>
  <c r="E43" i="35" s="1"/>
  <c r="M42" i="11"/>
  <c r="M43" i="11" s="1"/>
  <c r="M88" i="12"/>
  <c r="E88" i="36" s="1"/>
  <c r="E88" i="33"/>
  <c r="I88" i="33" s="1"/>
  <c r="O651" i="44"/>
  <c r="Q91" i="31"/>
  <c r="F59" i="33"/>
  <c r="D61" i="21"/>
  <c r="D29" i="35"/>
  <c r="D28" i="5"/>
  <c r="AA651" i="44"/>
  <c r="AC91" i="31"/>
  <c r="D23" i="5"/>
  <c r="D64" i="52"/>
  <c r="D66" i="52" s="1"/>
  <c r="L66" i="53"/>
  <c r="AC651" i="44"/>
  <c r="AE91" i="31"/>
  <c r="E74" i="24"/>
  <c r="G74" i="36" s="1"/>
  <c r="J651" i="44"/>
  <c r="L91" i="31"/>
  <c r="E66" i="31"/>
  <c r="G64" i="43"/>
  <c r="G12" i="5"/>
  <c r="G59" i="39"/>
  <c r="L27" i="15"/>
  <c r="H29" i="15"/>
  <c r="F27" i="15"/>
  <c r="E20" i="5"/>
  <c r="I20" i="5" s="1"/>
  <c r="F16" i="52"/>
  <c r="I72" i="27"/>
  <c r="E70" i="27"/>
  <c r="W644" i="44"/>
  <c r="Y91" i="25"/>
  <c r="G59" i="37"/>
  <c r="E61" i="25"/>
  <c r="T644" i="44"/>
  <c r="V91" i="25"/>
  <c r="M12" i="15"/>
  <c r="E12" i="39" s="1"/>
  <c r="I12" i="39" s="1"/>
  <c r="G12" i="15"/>
  <c r="D82" i="40"/>
  <c r="D36" i="25"/>
  <c r="F32" i="37"/>
  <c r="D56" i="26"/>
  <c r="F54" i="38"/>
  <c r="D70" i="38"/>
  <c r="D72" i="38" s="1"/>
  <c r="L72" i="14"/>
  <c r="D24" i="25"/>
  <c r="F19" i="37"/>
  <c r="L24" i="10"/>
  <c r="D19" i="34"/>
  <c r="L36" i="10"/>
  <c r="D29" i="29"/>
  <c r="F27" i="41"/>
  <c r="D16" i="20"/>
  <c r="F11" i="32"/>
  <c r="D64" i="34"/>
  <c r="D66" i="34" s="1"/>
  <c r="L66" i="10"/>
  <c r="E36" i="20"/>
  <c r="G32" i="32"/>
  <c r="E42" i="20"/>
  <c r="E43" i="20" s="1"/>
  <c r="G40" i="32"/>
  <c r="E29" i="20"/>
  <c r="G27" i="32"/>
  <c r="G649" i="44"/>
  <c r="I91" i="55"/>
  <c r="L24" i="56"/>
  <c r="D19" i="57"/>
  <c r="D24" i="57" s="1"/>
  <c r="D82" i="57" s="1"/>
  <c r="L35" i="12"/>
  <c r="D35" i="36" s="1"/>
  <c r="H35" i="36" s="1"/>
  <c r="F35" i="12"/>
  <c r="D22" i="24"/>
  <c r="F22" i="36" s="1"/>
  <c r="H22" i="36" s="1"/>
  <c r="H86" i="57"/>
  <c r="H89" i="57" s="1"/>
  <c r="F89" i="57"/>
  <c r="AA24" i="24"/>
  <c r="G13" i="12"/>
  <c r="M13" i="12"/>
  <c r="E13" i="36" s="1"/>
  <c r="D32" i="32"/>
  <c r="D36" i="32" s="1"/>
  <c r="L36" i="8"/>
  <c r="L66" i="9"/>
  <c r="D64" i="33"/>
  <c r="D66" i="33" s="1"/>
  <c r="E89" i="21"/>
  <c r="G17" i="4" s="1"/>
  <c r="H17" i="4" s="1"/>
  <c r="G86" i="33"/>
  <c r="E19" i="21"/>
  <c r="G24" i="21"/>
  <c r="G59" i="43"/>
  <c r="E61" i="31"/>
  <c r="D36" i="31"/>
  <c r="F32" i="43"/>
  <c r="AE42" i="24"/>
  <c r="AE43" i="24" s="1"/>
  <c r="Q651" i="44"/>
  <c r="S91" i="31"/>
  <c r="AA82" i="54"/>
  <c r="Y653" i="44" s="1"/>
  <c r="E55" i="35"/>
  <c r="E56" i="35" s="1"/>
  <c r="M56" i="11"/>
  <c r="AD66" i="24"/>
  <c r="I20" i="43"/>
  <c r="G27" i="52"/>
  <c r="E29" i="54"/>
  <c r="D40" i="42"/>
  <c r="L42" i="18"/>
  <c r="L43" i="18" s="1"/>
  <c r="H34" i="43"/>
  <c r="F34" i="5"/>
  <c r="H34" i="5" s="1"/>
  <c r="M29" i="53"/>
  <c r="M82" i="53" s="1"/>
  <c r="B12" i="4" s="1"/>
  <c r="C12" i="4" s="1"/>
  <c r="E28" i="52"/>
  <c r="M75" i="15"/>
  <c r="E75" i="39" s="1"/>
  <c r="I75" i="39" s="1"/>
  <c r="G75" i="15"/>
  <c r="F79" i="5"/>
  <c r="H79" i="5" s="1"/>
  <c r="H82" i="27"/>
  <c r="Y36" i="27"/>
  <c r="Y82" i="27" s="1"/>
  <c r="I87" i="43"/>
  <c r="G89" i="43"/>
  <c r="G87" i="5"/>
  <c r="E77" i="5"/>
  <c r="H66" i="15"/>
  <c r="L64" i="15"/>
  <c r="F64" i="15"/>
  <c r="F66" i="15" s="1"/>
  <c r="AG82" i="25"/>
  <c r="AG91" i="25" s="1"/>
  <c r="E40" i="47"/>
  <c r="E42" i="47" s="1"/>
  <c r="E43" i="47" s="1"/>
  <c r="M42" i="45"/>
  <c r="M43" i="45" s="1"/>
  <c r="D29" i="25"/>
  <c r="F27" i="37"/>
  <c r="F54" i="37"/>
  <c r="D56" i="25"/>
  <c r="E23" i="5"/>
  <c r="F49" i="15"/>
  <c r="L49" i="15"/>
  <c r="D49" i="39" s="1"/>
  <c r="M72" i="45"/>
  <c r="E70" i="47"/>
  <c r="E61" i="26"/>
  <c r="G59" i="38"/>
  <c r="L12" i="15"/>
  <c r="D12" i="39" s="1"/>
  <c r="F12" i="15"/>
  <c r="E60" i="40"/>
  <c r="E61" i="40" s="1"/>
  <c r="M61" i="16"/>
  <c r="G40" i="40"/>
  <c r="E42" i="28"/>
  <c r="E43" i="28" s="1"/>
  <c r="M71" i="15"/>
  <c r="E71" i="39" s="1"/>
  <c r="G71" i="15"/>
  <c r="H70" i="47"/>
  <c r="H72" i="47" s="1"/>
  <c r="D66" i="48"/>
  <c r="F64" i="50"/>
  <c r="I22" i="50"/>
  <c r="M16" i="49"/>
  <c r="M82" i="49" s="1"/>
  <c r="B13" i="4" s="1"/>
  <c r="C13" i="4" s="1"/>
  <c r="AK82" i="29"/>
  <c r="D36" i="34"/>
  <c r="G82" i="48"/>
  <c r="L43" i="10"/>
  <c r="E29" i="29"/>
  <c r="G27" i="41"/>
  <c r="AH82" i="20"/>
  <c r="G66" i="41"/>
  <c r="I64" i="41"/>
  <c r="I66" i="41" s="1"/>
  <c r="E43" i="57"/>
  <c r="G61" i="57"/>
  <c r="I59" i="57"/>
  <c r="I61" i="57" s="1"/>
  <c r="L36" i="56"/>
  <c r="D32" i="57"/>
  <c r="D36" i="57" s="1"/>
  <c r="D59" i="57"/>
  <c r="D61" i="57" s="1"/>
  <c r="L61" i="56"/>
  <c r="G54" i="32"/>
  <c r="E56" i="20"/>
  <c r="M64" i="12"/>
  <c r="I66" i="12"/>
  <c r="G64" i="12"/>
  <c r="G66" i="12" s="1"/>
  <c r="E40" i="32"/>
  <c r="E42" i="32" s="1"/>
  <c r="E43" i="32" s="1"/>
  <c r="M42" i="8"/>
  <c r="M43" i="8" s="1"/>
  <c r="F47" i="12"/>
  <c r="L47" i="12"/>
  <c r="D47" i="36" s="1"/>
  <c r="H47" i="36" s="1"/>
  <c r="R24" i="24"/>
  <c r="E56" i="48"/>
  <c r="G54" i="50"/>
  <c r="E29" i="48"/>
  <c r="E19" i="50"/>
  <c r="E24" i="50" s="1"/>
  <c r="M24" i="49"/>
  <c r="I77" i="50"/>
  <c r="E28" i="34"/>
  <c r="M29" i="10"/>
  <c r="F43" i="10"/>
  <c r="F82" i="10" s="1"/>
  <c r="G82" i="10"/>
  <c r="AJ82" i="29"/>
  <c r="L61" i="10"/>
  <c r="D60" i="34"/>
  <c r="E24" i="29"/>
  <c r="G19" i="41"/>
  <c r="H82" i="29"/>
  <c r="F638" i="44" s="1"/>
  <c r="F66" i="34"/>
  <c r="D24" i="20"/>
  <c r="F19" i="32"/>
  <c r="G82" i="55"/>
  <c r="G91" i="55" s="1"/>
  <c r="H41" i="34"/>
  <c r="H42" i="34" s="1"/>
  <c r="H43" i="34" s="1"/>
  <c r="F42" i="34"/>
  <c r="F43" i="34" s="1"/>
  <c r="M72" i="8"/>
  <c r="H34" i="32"/>
  <c r="F36" i="56"/>
  <c r="I33" i="32"/>
  <c r="F82" i="24"/>
  <c r="H649" i="44"/>
  <c r="J91" i="55"/>
  <c r="I80" i="32"/>
  <c r="D55" i="32"/>
  <c r="D56" i="32" s="1"/>
  <c r="L56" i="8"/>
  <c r="G82" i="9"/>
  <c r="G91" i="9" s="1"/>
  <c r="M73" i="12"/>
  <c r="E73" i="36" s="1"/>
  <c r="I73" i="36" s="1"/>
  <c r="G73" i="12"/>
  <c r="D61" i="32"/>
  <c r="L11" i="12"/>
  <c r="H16" i="12"/>
  <c r="H82" i="12" s="1"/>
  <c r="H91" i="12" s="1"/>
  <c r="F11" i="12"/>
  <c r="D24" i="55"/>
  <c r="D82" i="55" s="1"/>
  <c r="D91" i="55" s="1"/>
  <c r="F19" i="57"/>
  <c r="D36" i="55"/>
  <c r="F32" i="57"/>
  <c r="I42" i="12"/>
  <c r="I43" i="12" s="1"/>
  <c r="G40" i="12"/>
  <c r="G42" i="12" s="1"/>
  <c r="M40" i="12"/>
  <c r="F55" i="12"/>
  <c r="L55" i="12"/>
  <c r="D55" i="36" s="1"/>
  <c r="Z24" i="24"/>
  <c r="H33" i="57"/>
  <c r="E36" i="33"/>
  <c r="E82" i="33" s="1"/>
  <c r="E14" i="24"/>
  <c r="G14" i="36" s="1"/>
  <c r="J42" i="24"/>
  <c r="J43" i="24" s="1"/>
  <c r="S61" i="24"/>
  <c r="G34" i="12"/>
  <c r="M34" i="12"/>
  <c r="E34" i="36" s="1"/>
  <c r="I34" i="36" s="1"/>
  <c r="W61" i="24"/>
  <c r="F22" i="12"/>
  <c r="L22" i="12"/>
  <c r="D22" i="36" s="1"/>
  <c r="L71" i="12"/>
  <c r="D71" i="36" s="1"/>
  <c r="F71" i="12"/>
  <c r="W16" i="24"/>
  <c r="W82" i="24" s="1"/>
  <c r="W649" i="44"/>
  <c r="Y91" i="55"/>
  <c r="I89" i="12"/>
  <c r="F32" i="12"/>
  <c r="F36" i="12" s="1"/>
  <c r="H36" i="12"/>
  <c r="L32" i="12"/>
  <c r="I21" i="33"/>
  <c r="O36" i="24"/>
  <c r="E87" i="57"/>
  <c r="M89" i="56"/>
  <c r="B24" i="4" s="1"/>
  <c r="C24" i="4" s="1"/>
  <c r="D20" i="24"/>
  <c r="F20" i="36" s="1"/>
  <c r="H20" i="36" s="1"/>
  <c r="AB42" i="24"/>
  <c r="AB43" i="24" s="1"/>
  <c r="F12" i="12"/>
  <c r="L12" i="12"/>
  <c r="D12" i="36" s="1"/>
  <c r="L64" i="12"/>
  <c r="H66" i="12"/>
  <c r="F64" i="12"/>
  <c r="AA82" i="21"/>
  <c r="P61" i="24"/>
  <c r="M29" i="24"/>
  <c r="M82" i="24" s="1"/>
  <c r="D61" i="55"/>
  <c r="L40" i="12"/>
  <c r="H42" i="12"/>
  <c r="H43" i="12" s="1"/>
  <c r="F40" i="12"/>
  <c r="F42" i="12" s="1"/>
  <c r="F43" i="12" s="1"/>
  <c r="T16" i="24"/>
  <c r="T82" i="24" s="1"/>
  <c r="Y82" i="21"/>
  <c r="I80" i="33"/>
  <c r="AD24" i="24"/>
  <c r="D75" i="24"/>
  <c r="F75" i="36" s="1"/>
  <c r="F16" i="11"/>
  <c r="F82" i="11" s="1"/>
  <c r="M21" i="12"/>
  <c r="E21" i="36" s="1"/>
  <c r="G21" i="12"/>
  <c r="AA66" i="24"/>
  <c r="E79" i="24"/>
  <c r="G79" i="36" s="1"/>
  <c r="I79" i="36" s="1"/>
  <c r="I13" i="43"/>
  <c r="G13" i="5"/>
  <c r="I13" i="5" s="1"/>
  <c r="E66" i="21"/>
  <c r="G64" i="33"/>
  <c r="T82" i="23"/>
  <c r="R641" i="44" s="1"/>
  <c r="D56" i="23"/>
  <c r="F54" i="35"/>
  <c r="AC42" i="24"/>
  <c r="AC43" i="24" s="1"/>
  <c r="AC82" i="24" s="1"/>
  <c r="H87" i="33"/>
  <c r="E42" i="43"/>
  <c r="E43" i="43" s="1"/>
  <c r="R16" i="24"/>
  <c r="AD61" i="24"/>
  <c r="D36" i="35"/>
  <c r="P72" i="24"/>
  <c r="P651" i="44"/>
  <c r="R91" i="31"/>
  <c r="R36" i="24"/>
  <c r="AI82" i="31"/>
  <c r="AI91" i="31" s="1"/>
  <c r="D29" i="54"/>
  <c r="F27" i="52"/>
  <c r="F11" i="43"/>
  <c r="D16" i="31"/>
  <c r="H74" i="43"/>
  <c r="W82" i="54"/>
  <c r="U653" i="44" s="1"/>
  <c r="D72" i="54"/>
  <c r="F70" i="52"/>
  <c r="M651" i="44"/>
  <c r="O91" i="31"/>
  <c r="M61" i="53"/>
  <c r="E59" i="52"/>
  <c r="E61" i="52" s="1"/>
  <c r="L61" i="9"/>
  <c r="D59" i="33"/>
  <c r="D61" i="33" s="1"/>
  <c r="I88" i="36"/>
  <c r="F82" i="54"/>
  <c r="I82" i="18"/>
  <c r="D24" i="30"/>
  <c r="D82" i="30" s="1"/>
  <c r="D66" i="21"/>
  <c r="F64" i="33"/>
  <c r="J72" i="24"/>
  <c r="L24" i="19"/>
  <c r="L82" i="19" s="1"/>
  <c r="L91" i="19" s="1"/>
  <c r="E16" i="6"/>
  <c r="E82" i="6" s="1"/>
  <c r="E72" i="54"/>
  <c r="G70" i="52"/>
  <c r="E74" i="5"/>
  <c r="I74" i="42"/>
  <c r="D36" i="52"/>
  <c r="G32" i="42"/>
  <c r="E36" i="30"/>
  <c r="M81" i="15"/>
  <c r="E81" i="39" s="1"/>
  <c r="I81" i="39" s="1"/>
  <c r="G81" i="15"/>
  <c r="H51" i="43"/>
  <c r="G74" i="5"/>
  <c r="U61" i="24"/>
  <c r="D15" i="5"/>
  <c r="F75" i="5"/>
  <c r="H75" i="5" s="1"/>
  <c r="E36" i="31"/>
  <c r="F36" i="52"/>
  <c r="D91" i="7"/>
  <c r="I54" i="52"/>
  <c r="I56" i="52" s="1"/>
  <c r="G56" i="52"/>
  <c r="H71" i="42"/>
  <c r="D11" i="27"/>
  <c r="G33" i="15"/>
  <c r="M33" i="15"/>
  <c r="E33" i="39" s="1"/>
  <c r="I33" i="39" s="1"/>
  <c r="G78" i="15"/>
  <c r="M78" i="15"/>
  <c r="E78" i="39" s="1"/>
  <c r="AA43" i="27"/>
  <c r="AA82" i="27" s="1"/>
  <c r="L66" i="27"/>
  <c r="Z72" i="27"/>
  <c r="F82" i="30"/>
  <c r="M27" i="15"/>
  <c r="G27" i="15"/>
  <c r="I29" i="15"/>
  <c r="D42" i="54"/>
  <c r="D43" i="54" s="1"/>
  <c r="D77" i="5"/>
  <c r="I54" i="42"/>
  <c r="I56" i="42" s="1"/>
  <c r="G56" i="42"/>
  <c r="L32" i="15"/>
  <c r="H36" i="15"/>
  <c r="F32" i="15"/>
  <c r="L82" i="25"/>
  <c r="AE82" i="25"/>
  <c r="W29" i="27"/>
  <c r="W82" i="27" s="1"/>
  <c r="R36" i="27"/>
  <c r="R82" i="27" s="1"/>
  <c r="E41" i="27"/>
  <c r="G41" i="39" s="1"/>
  <c r="F23" i="15"/>
  <c r="L23" i="15"/>
  <c r="D23" i="39" s="1"/>
  <c r="E54" i="37"/>
  <c r="E56" i="37" s="1"/>
  <c r="M56" i="13"/>
  <c r="M16" i="27"/>
  <c r="E71" i="27"/>
  <c r="G71" i="39" s="1"/>
  <c r="I71" i="39" s="1"/>
  <c r="G22" i="12"/>
  <c r="M22" i="12"/>
  <c r="E22" i="36" s="1"/>
  <c r="D70" i="27"/>
  <c r="G70" i="15"/>
  <c r="M70" i="15"/>
  <c r="I72" i="15"/>
  <c r="D13" i="27"/>
  <c r="F13" i="39" s="1"/>
  <c r="H13" i="39" s="1"/>
  <c r="U24" i="27"/>
  <c r="O36" i="27"/>
  <c r="E47" i="27"/>
  <c r="G47" i="39" s="1"/>
  <c r="L16" i="13"/>
  <c r="L82" i="13" s="1"/>
  <c r="L91" i="13" s="1"/>
  <c r="N24" i="27"/>
  <c r="N82" i="27" s="1"/>
  <c r="Z56" i="27"/>
  <c r="F35" i="5"/>
  <c r="G76" i="15"/>
  <c r="M76" i="15"/>
  <c r="E76" i="39" s="1"/>
  <c r="I76" i="39" s="1"/>
  <c r="AA82" i="25"/>
  <c r="AB36" i="27"/>
  <c r="U61" i="27"/>
  <c r="O66" i="27"/>
  <c r="I76" i="37"/>
  <c r="L51" i="15"/>
  <c r="D51" i="39" s="1"/>
  <c r="H51" i="39" s="1"/>
  <c r="F51" i="15"/>
  <c r="AD16" i="27"/>
  <c r="E40" i="27"/>
  <c r="I42" i="27"/>
  <c r="I43" i="27" s="1"/>
  <c r="H56" i="27"/>
  <c r="L36" i="14"/>
  <c r="D33" i="38"/>
  <c r="D36" i="38" s="1"/>
  <c r="M47" i="15"/>
  <c r="E47" i="39" s="1"/>
  <c r="G47" i="15"/>
  <c r="K56" i="27"/>
  <c r="G89" i="15"/>
  <c r="H33" i="37"/>
  <c r="K646" i="44"/>
  <c r="M91" i="46"/>
  <c r="D16" i="47"/>
  <c r="D82" i="47" s="1"/>
  <c r="D91" i="47" s="1"/>
  <c r="G82" i="26"/>
  <c r="D66" i="25"/>
  <c r="F64" i="37"/>
  <c r="E73" i="27"/>
  <c r="G73" i="39" s="1"/>
  <c r="I73" i="39" s="1"/>
  <c r="D42" i="47"/>
  <c r="D43" i="47" s="1"/>
  <c r="L66" i="13"/>
  <c r="H61" i="27"/>
  <c r="D59" i="27"/>
  <c r="M16" i="14"/>
  <c r="E11" i="38"/>
  <c r="E16" i="38" s="1"/>
  <c r="E82" i="38" s="1"/>
  <c r="AB82" i="28"/>
  <c r="Z648" i="44" s="1"/>
  <c r="L20" i="15"/>
  <c r="D20" i="39" s="1"/>
  <c r="H20" i="39" s="1"/>
  <c r="F20" i="15"/>
  <c r="V36" i="27"/>
  <c r="Z42" i="27"/>
  <c r="Z43" i="27" s="1"/>
  <c r="H12" i="47"/>
  <c r="H16" i="47" s="1"/>
  <c r="F16" i="47"/>
  <c r="H78" i="37"/>
  <c r="H65" i="38"/>
  <c r="G27" i="40"/>
  <c r="E29" i="28"/>
  <c r="F82" i="25"/>
  <c r="F91" i="25" s="1"/>
  <c r="H77" i="42"/>
  <c r="H23" i="38"/>
  <c r="AG82" i="28"/>
  <c r="D36" i="28"/>
  <c r="F32" i="40"/>
  <c r="F19" i="47"/>
  <c r="D24" i="46"/>
  <c r="D82" i="46" s="1"/>
  <c r="D91" i="46" s="1"/>
  <c r="D16" i="26"/>
  <c r="F11" i="38"/>
  <c r="E40" i="29"/>
  <c r="G42" i="29"/>
  <c r="G43" i="29" s="1"/>
  <c r="AL82" i="25"/>
  <c r="AL91" i="25" s="1"/>
  <c r="E82" i="46"/>
  <c r="F16" i="14"/>
  <c r="F82" i="14" s="1"/>
  <c r="AO82" i="28"/>
  <c r="L79" i="15"/>
  <c r="D79" i="39" s="1"/>
  <c r="H79" i="39" s="1"/>
  <c r="F79" i="15"/>
  <c r="F42" i="37"/>
  <c r="F43" i="37" s="1"/>
  <c r="H40" i="37"/>
  <c r="H42" i="37" s="1"/>
  <c r="H43" i="37" s="1"/>
  <c r="I24" i="38"/>
  <c r="M16" i="8"/>
  <c r="M82" i="8" s="1"/>
  <c r="B11" i="4" s="1"/>
  <c r="E11" i="32"/>
  <c r="E16" i="32" s="1"/>
  <c r="F28" i="12"/>
  <c r="L28" i="12"/>
  <c r="D28" i="36" s="1"/>
  <c r="H28" i="36" s="1"/>
  <c r="T640" i="44"/>
  <c r="V91" i="21"/>
  <c r="I51" i="43"/>
  <c r="G51" i="5"/>
  <c r="I51" i="5" s="1"/>
  <c r="D36" i="23"/>
  <c r="F32" i="35"/>
  <c r="M23" i="12"/>
  <c r="E23" i="36" s="1"/>
  <c r="G23" i="12"/>
  <c r="D72" i="21"/>
  <c r="F70" i="33"/>
  <c r="D29" i="31"/>
  <c r="F28" i="43"/>
  <c r="D89" i="31"/>
  <c r="F86" i="43"/>
  <c r="I651" i="44"/>
  <c r="K91" i="31"/>
  <c r="G651" i="44"/>
  <c r="I91" i="31"/>
  <c r="E29" i="23"/>
  <c r="G27" i="35"/>
  <c r="L36" i="19"/>
  <c r="D32" i="43"/>
  <c r="E60" i="5"/>
  <c r="E61" i="42"/>
  <c r="E61" i="21"/>
  <c r="G59" i="33"/>
  <c r="G80" i="15"/>
  <c r="M80" i="15"/>
  <c r="E80" i="39" s="1"/>
  <c r="I80" i="39" s="1"/>
  <c r="G65" i="15"/>
  <c r="M65" i="15"/>
  <c r="E65" i="39" s="1"/>
  <c r="I65" i="39" s="1"/>
  <c r="L71" i="15"/>
  <c r="D71" i="39" s="1"/>
  <c r="H71" i="39" s="1"/>
  <c r="F71" i="15"/>
  <c r="F15" i="15"/>
  <c r="L15" i="15"/>
  <c r="D15" i="39" s="1"/>
  <c r="H20" i="5"/>
  <c r="I23" i="5"/>
  <c r="L73" i="15"/>
  <c r="D73" i="39" s="1"/>
  <c r="H73" i="39" s="1"/>
  <c r="F73" i="15"/>
  <c r="D72" i="25"/>
  <c r="F70" i="37"/>
  <c r="X82" i="27"/>
  <c r="I82" i="45"/>
  <c r="L87" i="15"/>
  <c r="D87" i="39" s="1"/>
  <c r="H87" i="39" s="1"/>
  <c r="D87" i="37"/>
  <c r="D64" i="47"/>
  <c r="L66" i="45"/>
  <c r="E54" i="47"/>
  <c r="M56" i="45"/>
  <c r="E33" i="40"/>
  <c r="M36" i="16"/>
  <c r="F72" i="38"/>
  <c r="H70" i="38"/>
  <c r="H72" i="38" s="1"/>
  <c r="D42" i="48"/>
  <c r="D43" i="48" s="1"/>
  <c r="F40" i="50"/>
  <c r="M36" i="17"/>
  <c r="M82" i="17" s="1"/>
  <c r="B28" i="4" s="1"/>
  <c r="C28" i="4" s="1"/>
  <c r="H60" i="32"/>
  <c r="AN82" i="55"/>
  <c r="AN91" i="55" s="1"/>
  <c r="M54" i="12"/>
  <c r="I56" i="12"/>
  <c r="G54" i="12"/>
  <c r="G56" i="12" s="1"/>
  <c r="L649" i="44"/>
  <c r="N91" i="55"/>
  <c r="G70" i="12"/>
  <c r="M70" i="12"/>
  <c r="I72" i="12"/>
  <c r="G14" i="12"/>
  <c r="M14" i="12"/>
  <c r="E14" i="36" s="1"/>
  <c r="M27" i="12"/>
  <c r="I29" i="12"/>
  <c r="G27" i="12"/>
  <c r="M49" i="12"/>
  <c r="E49" i="36" s="1"/>
  <c r="I49" i="36" s="1"/>
  <c r="G49" i="12"/>
  <c r="AB24" i="24"/>
  <c r="K42" i="24"/>
  <c r="K43" i="24" s="1"/>
  <c r="S16" i="24"/>
  <c r="I51" i="33"/>
  <c r="I82" i="24"/>
  <c r="E59" i="24"/>
  <c r="I61" i="24"/>
  <c r="G40" i="35"/>
  <c r="E42" i="23"/>
  <c r="E43" i="23" s="1"/>
  <c r="J16" i="24"/>
  <c r="M29" i="19"/>
  <c r="E27" i="43"/>
  <c r="E29" i="43" s="1"/>
  <c r="G82" i="54"/>
  <c r="F11" i="15"/>
  <c r="H16" i="15"/>
  <c r="L11" i="15"/>
  <c r="M86" i="15"/>
  <c r="E86" i="37"/>
  <c r="M89" i="13"/>
  <c r="B21" i="4" s="1"/>
  <c r="C21" i="4" s="1"/>
  <c r="D40" i="27"/>
  <c r="E74" i="27"/>
  <c r="G74" i="39" s="1"/>
  <c r="I74" i="39" s="1"/>
  <c r="G86" i="39"/>
  <c r="E89" i="27"/>
  <c r="G64" i="37"/>
  <c r="E66" i="25"/>
  <c r="V16" i="27"/>
  <c r="F82" i="45"/>
  <c r="L41" i="15"/>
  <c r="D41" i="39" s="1"/>
  <c r="F41" i="15"/>
  <c r="G16" i="45"/>
  <c r="E35" i="27"/>
  <c r="G35" i="39" s="1"/>
  <c r="I35" i="39" s="1"/>
  <c r="I82" i="14"/>
  <c r="E33" i="42"/>
  <c r="M36" i="18"/>
  <c r="M56" i="14"/>
  <c r="E54" i="38"/>
  <c r="E56" i="38" s="1"/>
  <c r="G54" i="38"/>
  <c r="E56" i="26"/>
  <c r="AB24" i="27"/>
  <c r="AB82" i="27" s="1"/>
  <c r="D36" i="47"/>
  <c r="H33" i="47"/>
  <c r="D66" i="26"/>
  <c r="F64" i="38"/>
  <c r="E66" i="26"/>
  <c r="G64" i="38"/>
  <c r="Q82" i="28"/>
  <c r="O648" i="44" s="1"/>
  <c r="P82" i="48"/>
  <c r="N652" i="44" s="1"/>
  <c r="F24" i="49"/>
  <c r="L36" i="49"/>
  <c r="D82" i="50"/>
  <c r="E16" i="50"/>
  <c r="E82" i="50" s="1"/>
  <c r="AB82" i="29"/>
  <c r="Z638" i="44" s="1"/>
  <c r="F36" i="17"/>
  <c r="F82" i="17" s="1"/>
  <c r="M24" i="8"/>
  <c r="E19" i="32"/>
  <c r="E24" i="32" s="1"/>
  <c r="I45" i="32"/>
  <c r="E72" i="20"/>
  <c r="G70" i="32"/>
  <c r="Y649" i="44"/>
  <c r="AA91" i="55"/>
  <c r="J91" i="12"/>
  <c r="I47" i="57"/>
  <c r="I14" i="57"/>
  <c r="E42" i="55"/>
  <c r="E43" i="55" s="1"/>
  <c r="G40" i="57"/>
  <c r="O649" i="44"/>
  <c r="Q91" i="55"/>
  <c r="AJ91" i="24"/>
  <c r="G32" i="12"/>
  <c r="G36" i="12" s="1"/>
  <c r="I36" i="12"/>
  <c r="M32" i="12"/>
  <c r="I82" i="48"/>
  <c r="G652" i="44" s="1"/>
  <c r="X82" i="48"/>
  <c r="V652" i="44" s="1"/>
  <c r="E36" i="48"/>
  <c r="G32" i="50"/>
  <c r="Q82" i="48"/>
  <c r="O652" i="44" s="1"/>
  <c r="D16" i="48"/>
  <c r="F11" i="50"/>
  <c r="AF82" i="48"/>
  <c r="F82" i="48"/>
  <c r="H82" i="49"/>
  <c r="H33" i="50"/>
  <c r="H82" i="10"/>
  <c r="M61" i="10"/>
  <c r="E59" i="34"/>
  <c r="L82" i="17"/>
  <c r="E72" i="29"/>
  <c r="G70" i="41"/>
  <c r="E66" i="48"/>
  <c r="G64" i="50"/>
  <c r="I41" i="34"/>
  <c r="J82" i="20"/>
  <c r="H639" i="44" s="1"/>
  <c r="I82" i="17"/>
  <c r="F59" i="32"/>
  <c r="D61" i="20"/>
  <c r="H20" i="32"/>
  <c r="G82" i="20"/>
  <c r="I78" i="32"/>
  <c r="D56" i="20"/>
  <c r="F54" i="32"/>
  <c r="G43" i="56"/>
  <c r="E66" i="57"/>
  <c r="E72" i="55"/>
  <c r="G70" i="57"/>
  <c r="D11" i="24"/>
  <c r="H55" i="32"/>
  <c r="X649" i="44"/>
  <c r="Z91" i="55"/>
  <c r="E66" i="55"/>
  <c r="G64" i="57"/>
  <c r="G11" i="57"/>
  <c r="E16" i="55"/>
  <c r="M72" i="56"/>
  <c r="I82" i="9"/>
  <c r="I91" i="9" s="1"/>
  <c r="G77" i="12"/>
  <c r="M77" i="12"/>
  <c r="E77" i="36" s="1"/>
  <c r="H36" i="24"/>
  <c r="L61" i="8"/>
  <c r="E56" i="55"/>
  <c r="G54" i="57"/>
  <c r="L15" i="12"/>
  <c r="D15" i="36" s="1"/>
  <c r="H15" i="36" s="1"/>
  <c r="F15" i="12"/>
  <c r="M11" i="12"/>
  <c r="I16" i="12"/>
  <c r="G11" i="12"/>
  <c r="G16" i="12" s="1"/>
  <c r="M75" i="12"/>
  <c r="E75" i="36" s="1"/>
  <c r="G75" i="12"/>
  <c r="F65" i="12"/>
  <c r="L65" i="12"/>
  <c r="D65" i="36" s="1"/>
  <c r="F70" i="32"/>
  <c r="D72" i="20"/>
  <c r="I36" i="24"/>
  <c r="E32" i="24"/>
  <c r="R42" i="24"/>
  <c r="R43" i="24" s="1"/>
  <c r="F39" i="12"/>
  <c r="L39" i="12"/>
  <c r="D39" i="36" s="1"/>
  <c r="M29" i="9"/>
  <c r="AE82" i="21"/>
  <c r="E64" i="24"/>
  <c r="M71" i="12"/>
  <c r="E71" i="36" s="1"/>
  <c r="G71" i="12"/>
  <c r="M86" i="12"/>
  <c r="M89" i="9"/>
  <c r="B17" i="4" s="1"/>
  <c r="C17" i="4" s="1"/>
  <c r="E86" i="33"/>
  <c r="W36" i="24"/>
  <c r="D70" i="33"/>
  <c r="D72" i="33" s="1"/>
  <c r="L72" i="9"/>
  <c r="F41" i="12"/>
  <c r="L41" i="12"/>
  <c r="D41" i="36" s="1"/>
  <c r="H41" i="36" s="1"/>
  <c r="F81" i="12"/>
  <c r="L81" i="12"/>
  <c r="D81" i="36" s="1"/>
  <c r="H81" i="36" s="1"/>
  <c r="AI82" i="21"/>
  <c r="AI91" i="21" s="1"/>
  <c r="F34" i="12"/>
  <c r="L34" i="12"/>
  <c r="D34" i="36" s="1"/>
  <c r="H34" i="36" s="1"/>
  <c r="G60" i="12"/>
  <c r="M60" i="12"/>
  <c r="E60" i="36" s="1"/>
  <c r="I60" i="36" s="1"/>
  <c r="AB16" i="24"/>
  <c r="AB82" i="24" s="1"/>
  <c r="Y29" i="24"/>
  <c r="H56" i="24"/>
  <c r="D77" i="24"/>
  <c r="F77" i="36" s="1"/>
  <c r="E80" i="24"/>
  <c r="G80" i="36" s="1"/>
  <c r="I80" i="36" s="1"/>
  <c r="E20" i="24"/>
  <c r="G20" i="36" s="1"/>
  <c r="I20" i="36" s="1"/>
  <c r="N61" i="24"/>
  <c r="D24" i="21"/>
  <c r="F19" i="33"/>
  <c r="I65" i="33"/>
  <c r="E28" i="35"/>
  <c r="M29" i="11"/>
  <c r="L61" i="11"/>
  <c r="D59" i="35"/>
  <c r="D61" i="35" s="1"/>
  <c r="E35" i="21"/>
  <c r="G35" i="33" s="1"/>
  <c r="I35" i="33" s="1"/>
  <c r="G36" i="21"/>
  <c r="S36" i="24"/>
  <c r="L60" i="12"/>
  <c r="D60" i="36" s="1"/>
  <c r="F60" i="12"/>
  <c r="AB82" i="23"/>
  <c r="Z641" i="44" s="1"/>
  <c r="M42" i="19"/>
  <c r="M43" i="19" s="1"/>
  <c r="H81" i="43"/>
  <c r="L16" i="9"/>
  <c r="L54" i="12"/>
  <c r="H56" i="12"/>
  <c r="F54" i="12"/>
  <c r="F56" i="12" s="1"/>
  <c r="Z16" i="24"/>
  <c r="Z82" i="24" s="1"/>
  <c r="L36" i="11"/>
  <c r="AE82" i="23"/>
  <c r="AC641" i="44" s="1"/>
  <c r="I22" i="35"/>
  <c r="I82" i="19"/>
  <c r="I91" i="19" s="1"/>
  <c r="X651" i="44"/>
  <c r="Z91" i="31"/>
  <c r="D42" i="31"/>
  <c r="D43" i="31" s="1"/>
  <c r="F40" i="43"/>
  <c r="F40" i="5" s="1"/>
  <c r="E12" i="43"/>
  <c r="E16" i="43" s="1"/>
  <c r="M16" i="19"/>
  <c r="D51" i="5"/>
  <c r="I87" i="33"/>
  <c r="N82" i="31"/>
  <c r="H55" i="43"/>
  <c r="AE82" i="54"/>
  <c r="AC653" i="44" s="1"/>
  <c r="H74" i="52"/>
  <c r="H82" i="19"/>
  <c r="H91" i="19" s="1"/>
  <c r="E66" i="43"/>
  <c r="U651" i="44"/>
  <c r="W91" i="31"/>
  <c r="G72" i="53"/>
  <c r="G82" i="53" s="1"/>
  <c r="F59" i="12"/>
  <c r="H61" i="12"/>
  <c r="L59" i="12"/>
  <c r="J61" i="24"/>
  <c r="F16" i="35"/>
  <c r="H11" i="35"/>
  <c r="H16" i="35" s="1"/>
  <c r="H23" i="43"/>
  <c r="N82" i="54"/>
  <c r="L653" i="44" s="1"/>
  <c r="D24" i="43"/>
  <c r="D55" i="5"/>
  <c r="G15" i="5"/>
  <c r="I15" i="5" s="1"/>
  <c r="AG82" i="6"/>
  <c r="H76" i="52"/>
  <c r="I14" i="42"/>
  <c r="L36" i="53"/>
  <c r="E42" i="30"/>
  <c r="E43" i="30" s="1"/>
  <c r="G41" i="42"/>
  <c r="E36" i="54"/>
  <c r="G32" i="52"/>
  <c r="D49" i="5"/>
  <c r="E82" i="7"/>
  <c r="E91" i="7" s="1"/>
  <c r="G34" i="5"/>
  <c r="I34" i="5" s="1"/>
  <c r="H32" i="52"/>
  <c r="D32" i="27"/>
  <c r="E56" i="54"/>
  <c r="G81" i="5"/>
  <c r="I81" i="5" s="1"/>
  <c r="F35" i="15"/>
  <c r="L35" i="15"/>
  <c r="D35" i="39" s="1"/>
  <c r="L89" i="13"/>
  <c r="E19" i="27"/>
  <c r="I24" i="27"/>
  <c r="I20" i="42"/>
  <c r="I75" i="52"/>
  <c r="L61" i="53"/>
  <c r="D59" i="52"/>
  <c r="D61" i="52" s="1"/>
  <c r="L16" i="27"/>
  <c r="L82" i="27" s="1"/>
  <c r="X82" i="25"/>
  <c r="Z36" i="27"/>
  <c r="T72" i="27"/>
  <c r="F60" i="5"/>
  <c r="G54" i="15"/>
  <c r="G56" i="15" s="1"/>
  <c r="I56" i="15"/>
  <c r="M54" i="15"/>
  <c r="U82" i="25"/>
  <c r="U66" i="27"/>
  <c r="L42" i="11"/>
  <c r="L43" i="11" s="1"/>
  <c r="D41" i="35"/>
  <c r="E70" i="42"/>
  <c r="M72" i="18"/>
  <c r="F33" i="15"/>
  <c r="L33" i="15"/>
  <c r="D33" i="39" s="1"/>
  <c r="AC24" i="27"/>
  <c r="W36" i="27"/>
  <c r="D66" i="31"/>
  <c r="F64" i="43"/>
  <c r="L75" i="15"/>
  <c r="D75" i="39" s="1"/>
  <c r="H75" i="39" s="1"/>
  <c r="F75" i="15"/>
  <c r="V24" i="27"/>
  <c r="D35" i="27"/>
  <c r="F35" i="39" s="1"/>
  <c r="H35" i="39" s="1"/>
  <c r="F78" i="15"/>
  <c r="L78" i="15"/>
  <c r="D78" i="39" s="1"/>
  <c r="H78" i="39" s="1"/>
  <c r="E24" i="25"/>
  <c r="G19" i="37"/>
  <c r="F24" i="45"/>
  <c r="F28" i="15"/>
  <c r="L28" i="15"/>
  <c r="D28" i="39" s="1"/>
  <c r="H28" i="39" s="1"/>
  <c r="G79" i="5"/>
  <c r="I79" i="5" s="1"/>
  <c r="AD29" i="27"/>
  <c r="M24" i="45"/>
  <c r="E19" i="47"/>
  <c r="E24" i="47" s="1"/>
  <c r="E61" i="46"/>
  <c r="E22" i="27"/>
  <c r="G22" i="39" s="1"/>
  <c r="E16" i="42"/>
  <c r="D35" i="5"/>
  <c r="I29" i="27"/>
  <c r="AA66" i="27"/>
  <c r="H86" i="37"/>
  <c r="F89" i="37"/>
  <c r="E29" i="46"/>
  <c r="G27" i="47"/>
  <c r="R56" i="27"/>
  <c r="G11" i="37"/>
  <c r="E16" i="25"/>
  <c r="H40" i="47"/>
  <c r="H42" i="47" s="1"/>
  <c r="H43" i="47" s="1"/>
  <c r="F42" i="47"/>
  <c r="F43" i="47" s="1"/>
  <c r="E16" i="26"/>
  <c r="G11" i="38"/>
  <c r="I34" i="38"/>
  <c r="I88" i="43"/>
  <c r="G88" i="5"/>
  <c r="G78" i="5"/>
  <c r="I78" i="5" s="1"/>
  <c r="L74" i="15"/>
  <c r="D74" i="39" s="1"/>
  <c r="F74" i="15"/>
  <c r="N66" i="27"/>
  <c r="D21" i="27"/>
  <c r="F21" i="39" s="1"/>
  <c r="P61" i="27"/>
  <c r="AJ82" i="28"/>
  <c r="D42" i="28"/>
  <c r="D43" i="28" s="1"/>
  <c r="F40" i="40"/>
  <c r="D42" i="37"/>
  <c r="D43" i="37" s="1"/>
  <c r="L42" i="14"/>
  <c r="L43" i="14" s="1"/>
  <c r="D40" i="38"/>
  <c r="D42" i="38" s="1"/>
  <c r="D43" i="38" s="1"/>
  <c r="G19" i="40"/>
  <c r="E24" i="28"/>
  <c r="H73" i="40"/>
  <c r="E36" i="26"/>
  <c r="G32" i="38"/>
  <c r="I55" i="37"/>
  <c r="G45" i="15"/>
  <c r="M45" i="15"/>
  <c r="E45" i="39" s="1"/>
  <c r="H78" i="38"/>
  <c r="E64" i="40"/>
  <c r="M66" i="16"/>
  <c r="H12" i="37"/>
  <c r="D16" i="28"/>
  <c r="G23" i="15"/>
  <c r="M23" i="15"/>
  <c r="E23" i="39" s="1"/>
  <c r="I13" i="40"/>
  <c r="I60" i="40"/>
  <c r="G24" i="13"/>
  <c r="H45" i="37"/>
  <c r="G16" i="47"/>
  <c r="L16" i="14"/>
  <c r="D11" i="38"/>
  <c r="D16" i="38" s="1"/>
  <c r="P647" i="44" l="1"/>
  <c r="R91" i="27"/>
  <c r="W647" i="44"/>
  <c r="Y91" i="27"/>
  <c r="U647" i="44"/>
  <c r="W91" i="27"/>
  <c r="Y647" i="44"/>
  <c r="AA91" i="27"/>
  <c r="K643" i="44"/>
  <c r="M91" i="24"/>
  <c r="AA643" i="44"/>
  <c r="AC91" i="24"/>
  <c r="L643" i="44"/>
  <c r="N91" i="24"/>
  <c r="H647" i="44"/>
  <c r="J91" i="27"/>
  <c r="L647" i="44"/>
  <c r="N91" i="27"/>
  <c r="D82" i="35"/>
  <c r="Q647" i="44"/>
  <c r="S91" i="27"/>
  <c r="H41" i="5"/>
  <c r="I647" i="44"/>
  <c r="K91" i="27"/>
  <c r="F42" i="5"/>
  <c r="F43" i="5" s="1"/>
  <c r="H40" i="5"/>
  <c r="H42" i="5" s="1"/>
  <c r="H43" i="5" s="1"/>
  <c r="Z647" i="44"/>
  <c r="AB91" i="27"/>
  <c r="N643" i="44"/>
  <c r="P91" i="24"/>
  <c r="M647" i="44"/>
  <c r="O91" i="27"/>
  <c r="G29" i="40"/>
  <c r="I27" i="40"/>
  <c r="I29" i="40" s="1"/>
  <c r="E29" i="34"/>
  <c r="I28" i="34"/>
  <c r="I29" i="34" s="1"/>
  <c r="E89" i="24"/>
  <c r="G86" i="36"/>
  <c r="E42" i="40"/>
  <c r="E43" i="40" s="1"/>
  <c r="I41" i="40"/>
  <c r="Q644" i="44"/>
  <c r="S91" i="25"/>
  <c r="U82" i="24"/>
  <c r="I32" i="57"/>
  <c r="I36" i="57" s="1"/>
  <c r="G36" i="57"/>
  <c r="F29" i="50"/>
  <c r="H27" i="50"/>
  <c r="H29" i="50" s="1"/>
  <c r="D61" i="42"/>
  <c r="D59" i="5"/>
  <c r="H59" i="42"/>
  <c r="H61" i="42" s="1"/>
  <c r="K651" i="44"/>
  <c r="M91" i="31"/>
  <c r="Q82" i="24"/>
  <c r="H11" i="41"/>
  <c r="H16" i="41" s="1"/>
  <c r="F16" i="41"/>
  <c r="F29" i="32"/>
  <c r="H27" i="32"/>
  <c r="H29" i="32" s="1"/>
  <c r="F27" i="5"/>
  <c r="E36" i="21"/>
  <c r="G29" i="47"/>
  <c r="I27" i="47"/>
  <c r="I29" i="47" s="1"/>
  <c r="M82" i="19"/>
  <c r="AC640" i="44"/>
  <c r="AE91" i="21"/>
  <c r="H64" i="43"/>
  <c r="H66" i="43" s="1"/>
  <c r="F66" i="43"/>
  <c r="D42" i="35"/>
  <c r="D43" i="35" s="1"/>
  <c r="H41" i="35"/>
  <c r="D36" i="27"/>
  <c r="F32" i="39"/>
  <c r="I41" i="42"/>
  <c r="I42" i="42" s="1"/>
  <c r="I43" i="42" s="1"/>
  <c r="G41" i="5"/>
  <c r="G42" i="42"/>
  <c r="G43" i="42" s="1"/>
  <c r="E29" i="35"/>
  <c r="I28" i="35"/>
  <c r="G16" i="57"/>
  <c r="I11" i="57"/>
  <c r="M36" i="12"/>
  <c r="E32" i="36"/>
  <c r="E36" i="36" s="1"/>
  <c r="L16" i="15"/>
  <c r="D11" i="39"/>
  <c r="D16" i="39" s="1"/>
  <c r="D82" i="39" s="1"/>
  <c r="D91" i="39" s="1"/>
  <c r="G42" i="35"/>
  <c r="G43" i="35" s="1"/>
  <c r="I40" i="35"/>
  <c r="I42" i="35" s="1"/>
  <c r="I43" i="35" s="1"/>
  <c r="I33" i="40"/>
  <c r="I36" i="40" s="1"/>
  <c r="E36" i="40"/>
  <c r="V647" i="44"/>
  <c r="X91" i="27"/>
  <c r="E42" i="29"/>
  <c r="E43" i="29" s="1"/>
  <c r="G40" i="41"/>
  <c r="D61" i="27"/>
  <c r="F59" i="39"/>
  <c r="M72" i="15"/>
  <c r="E70" i="39"/>
  <c r="E72" i="39" s="1"/>
  <c r="F36" i="15"/>
  <c r="I59" i="43"/>
  <c r="I61" i="43" s="1"/>
  <c r="G61" i="43"/>
  <c r="H54" i="38"/>
  <c r="H56" i="38" s="1"/>
  <c r="F56" i="38"/>
  <c r="E61" i="27"/>
  <c r="G42" i="38"/>
  <c r="G43" i="38" s="1"/>
  <c r="I40" i="38"/>
  <c r="I42" i="38" s="1"/>
  <c r="I43" i="38" s="1"/>
  <c r="I19" i="35"/>
  <c r="I24" i="35" s="1"/>
  <c r="G24" i="35"/>
  <c r="E29" i="27"/>
  <c r="G27" i="39"/>
  <c r="P640" i="44"/>
  <c r="R91" i="21"/>
  <c r="M82" i="56"/>
  <c r="H64" i="40"/>
  <c r="H66" i="40" s="1"/>
  <c r="F66" i="40"/>
  <c r="I77" i="5"/>
  <c r="I11" i="52"/>
  <c r="I16" i="52" s="1"/>
  <c r="G16" i="52"/>
  <c r="F16" i="34"/>
  <c r="F82" i="34" s="1"/>
  <c r="H11" i="34"/>
  <c r="H16" i="34" s="1"/>
  <c r="H82" i="34" s="1"/>
  <c r="G66" i="15"/>
  <c r="E82" i="37"/>
  <c r="D87" i="36"/>
  <c r="L89" i="12"/>
  <c r="S651" i="44"/>
  <c r="U91" i="31"/>
  <c r="H16" i="57"/>
  <c r="G61" i="50"/>
  <c r="I59" i="50"/>
  <c r="I61" i="50" s="1"/>
  <c r="I20" i="39"/>
  <c r="H39" i="39"/>
  <c r="I40" i="37"/>
  <c r="I42" i="37" s="1"/>
  <c r="I43" i="37" s="1"/>
  <c r="G42" i="37"/>
  <c r="G43" i="37" s="1"/>
  <c r="G16" i="15"/>
  <c r="G82" i="15" s="1"/>
  <c r="G91" i="15" s="1"/>
  <c r="F72" i="42"/>
  <c r="H70" i="42"/>
  <c r="H72" i="42" s="1"/>
  <c r="F70" i="5"/>
  <c r="M82" i="11"/>
  <c r="B16" i="4" s="1"/>
  <c r="C16" i="4" s="1"/>
  <c r="H82" i="24"/>
  <c r="I64" i="32"/>
  <c r="I66" i="32" s="1"/>
  <c r="G66" i="32"/>
  <c r="I32" i="34"/>
  <c r="I36" i="34" s="1"/>
  <c r="E36" i="34"/>
  <c r="M24" i="15"/>
  <c r="E19" i="39"/>
  <c r="E24" i="39" s="1"/>
  <c r="H644" i="44"/>
  <c r="J91" i="25"/>
  <c r="H24" i="38"/>
  <c r="D82" i="25"/>
  <c r="D91" i="25" s="1"/>
  <c r="I14" i="5"/>
  <c r="G29" i="43"/>
  <c r="I27" i="43"/>
  <c r="I29" i="43" s="1"/>
  <c r="G27" i="5"/>
  <c r="G82" i="21"/>
  <c r="D72" i="57"/>
  <c r="H70" i="57"/>
  <c r="H72" i="57" s="1"/>
  <c r="F24" i="12"/>
  <c r="H64" i="32"/>
  <c r="H66" i="32" s="1"/>
  <c r="F66" i="32"/>
  <c r="E82" i="48"/>
  <c r="G13" i="4" s="1"/>
  <c r="H13" i="4" s="1"/>
  <c r="G29" i="36"/>
  <c r="I11" i="47"/>
  <c r="I16" i="47" s="1"/>
  <c r="D82" i="28"/>
  <c r="I32" i="38"/>
  <c r="I36" i="38" s="1"/>
  <c r="G36" i="38"/>
  <c r="H40" i="40"/>
  <c r="H42" i="40" s="1"/>
  <c r="H43" i="40" s="1"/>
  <c r="F42" i="40"/>
  <c r="F43" i="40" s="1"/>
  <c r="H36" i="52"/>
  <c r="F61" i="12"/>
  <c r="M89" i="12"/>
  <c r="E86" i="36"/>
  <c r="E89" i="36" s="1"/>
  <c r="I64" i="57"/>
  <c r="I66" i="57" s="1"/>
  <c r="G66" i="57"/>
  <c r="F61" i="32"/>
  <c r="H59" i="32"/>
  <c r="H61" i="32" s="1"/>
  <c r="H11" i="50"/>
  <c r="H16" i="50" s="1"/>
  <c r="F16" i="50"/>
  <c r="G82" i="45"/>
  <c r="G89" i="39"/>
  <c r="H82" i="15"/>
  <c r="H91" i="15" s="1"/>
  <c r="I55" i="35"/>
  <c r="M72" i="12"/>
  <c r="E70" i="36"/>
  <c r="E72" i="36" s="1"/>
  <c r="H70" i="37"/>
  <c r="H72" i="37" s="1"/>
  <c r="F72" i="37"/>
  <c r="H11" i="38"/>
  <c r="H16" i="38" s="1"/>
  <c r="F16" i="38"/>
  <c r="F82" i="38" s="1"/>
  <c r="G72" i="15"/>
  <c r="G29" i="15"/>
  <c r="F24" i="57"/>
  <c r="H19" i="57"/>
  <c r="H24" i="57" s="1"/>
  <c r="H64" i="34"/>
  <c r="H66" i="34" s="1"/>
  <c r="I54" i="50"/>
  <c r="I56" i="50" s="1"/>
  <c r="G56" i="50"/>
  <c r="L66" i="15"/>
  <c r="D64" i="39"/>
  <c r="D66" i="39" s="1"/>
  <c r="F647" i="44"/>
  <c r="H91" i="27"/>
  <c r="G36" i="32"/>
  <c r="I32" i="32"/>
  <c r="I36" i="32" s="1"/>
  <c r="H11" i="52"/>
  <c r="H16" i="52" s="1"/>
  <c r="G61" i="39"/>
  <c r="I59" i="39"/>
  <c r="I61" i="39" s="1"/>
  <c r="I13" i="39"/>
  <c r="K644" i="44"/>
  <c r="M91" i="25"/>
  <c r="H51" i="5"/>
  <c r="H23" i="5"/>
  <c r="H49" i="5"/>
  <c r="G24" i="43"/>
  <c r="I19" i="43"/>
  <c r="I24" i="43" s="1"/>
  <c r="F70" i="36"/>
  <c r="D72" i="24"/>
  <c r="AB640" i="44"/>
  <c r="AD91" i="21"/>
  <c r="U640" i="44"/>
  <c r="W91" i="21"/>
  <c r="E82" i="57"/>
  <c r="I54" i="35"/>
  <c r="G56" i="35"/>
  <c r="G72" i="43"/>
  <c r="I70" i="43"/>
  <c r="I72" i="43" s="1"/>
  <c r="G70" i="5"/>
  <c r="M66" i="15"/>
  <c r="E64" i="39"/>
  <c r="E66" i="39" s="1"/>
  <c r="E40" i="39"/>
  <c r="E42" i="39" s="1"/>
  <c r="E43" i="39" s="1"/>
  <c r="M42" i="15"/>
  <c r="M43" i="15" s="1"/>
  <c r="M82" i="13"/>
  <c r="H12" i="5"/>
  <c r="E41" i="5"/>
  <c r="G36" i="15"/>
  <c r="H19" i="35"/>
  <c r="H24" i="35" s="1"/>
  <c r="F24" i="35"/>
  <c r="F82" i="35" s="1"/>
  <c r="E56" i="24"/>
  <c r="G54" i="36"/>
  <c r="I27" i="33"/>
  <c r="I29" i="33" s="1"/>
  <c r="G29" i="33"/>
  <c r="K82" i="24"/>
  <c r="V82" i="24"/>
  <c r="AC649" i="44"/>
  <c r="AE91" i="55"/>
  <c r="I19" i="50"/>
  <c r="I24" i="50" s="1"/>
  <c r="G24" i="50"/>
  <c r="E66" i="47"/>
  <c r="I64" i="47"/>
  <c r="I82" i="27"/>
  <c r="M16" i="15"/>
  <c r="E11" i="39"/>
  <c r="E16" i="39" s="1"/>
  <c r="H55" i="5"/>
  <c r="E82" i="35"/>
  <c r="E56" i="21"/>
  <c r="G54" i="33"/>
  <c r="F54" i="36"/>
  <c r="D56" i="24"/>
  <c r="F66" i="41"/>
  <c r="H64" i="41"/>
  <c r="H66" i="41" s="1"/>
  <c r="H59" i="41"/>
  <c r="H61" i="41" s="1"/>
  <c r="F61" i="41"/>
  <c r="M82" i="18"/>
  <c r="B25" i="4" s="1"/>
  <c r="C25" i="4" s="1"/>
  <c r="I49" i="39"/>
  <c r="L82" i="53"/>
  <c r="H28" i="35"/>
  <c r="H29" i="35" s="1"/>
  <c r="F29" i="35"/>
  <c r="E16" i="21"/>
  <c r="G11" i="33"/>
  <c r="G11" i="5" s="1"/>
  <c r="M649" i="44"/>
  <c r="O91" i="55"/>
  <c r="D66" i="43"/>
  <c r="D64" i="5"/>
  <c r="E55" i="5"/>
  <c r="I55" i="5" s="1"/>
  <c r="E82" i="42"/>
  <c r="E66" i="40"/>
  <c r="I64" i="40"/>
  <c r="I66" i="40" s="1"/>
  <c r="J647" i="44"/>
  <c r="L91" i="27"/>
  <c r="M16" i="12"/>
  <c r="M82" i="12" s="1"/>
  <c r="M91" i="12" s="1"/>
  <c r="E11" i="36"/>
  <c r="E16" i="36" s="1"/>
  <c r="H64" i="38"/>
  <c r="H66" i="38" s="1"/>
  <c r="F66" i="38"/>
  <c r="G643" i="44"/>
  <c r="I91" i="24"/>
  <c r="F24" i="47"/>
  <c r="H19" i="47"/>
  <c r="H24" i="47" s="1"/>
  <c r="G40" i="39"/>
  <c r="E42" i="27"/>
  <c r="E43" i="27" s="1"/>
  <c r="U643" i="44"/>
  <c r="W91" i="24"/>
  <c r="M42" i="12"/>
  <c r="M43" i="12" s="1"/>
  <c r="E40" i="36"/>
  <c r="E42" i="36" s="1"/>
  <c r="E43" i="36" s="1"/>
  <c r="I19" i="41"/>
  <c r="I24" i="41" s="1"/>
  <c r="G24" i="41"/>
  <c r="I54" i="32"/>
  <c r="I56" i="32" s="1"/>
  <c r="G56" i="32"/>
  <c r="E72" i="47"/>
  <c r="I70" i="47"/>
  <c r="I72" i="47" s="1"/>
  <c r="H19" i="37"/>
  <c r="H24" i="37" s="1"/>
  <c r="F24" i="37"/>
  <c r="I19" i="52"/>
  <c r="I24" i="52" s="1"/>
  <c r="G24" i="52"/>
  <c r="G16" i="35"/>
  <c r="I11" i="35"/>
  <c r="I16" i="35" s="1"/>
  <c r="F59" i="36"/>
  <c r="D61" i="24"/>
  <c r="D29" i="27"/>
  <c r="F27" i="39"/>
  <c r="H40" i="33"/>
  <c r="H42" i="33" s="1"/>
  <c r="H43" i="33" s="1"/>
  <c r="F42" i="33"/>
  <c r="F43" i="33" s="1"/>
  <c r="B22" i="4"/>
  <c r="C22" i="4" s="1"/>
  <c r="M91" i="16"/>
  <c r="H11" i="4"/>
  <c r="H21" i="39"/>
  <c r="L82" i="14"/>
  <c r="G82" i="47"/>
  <c r="G91" i="47" s="1"/>
  <c r="E82" i="25"/>
  <c r="E91" i="25" s="1"/>
  <c r="G18" i="4" s="1"/>
  <c r="H18" i="4" s="1"/>
  <c r="G19" i="39"/>
  <c r="E24" i="27"/>
  <c r="G35" i="5"/>
  <c r="I35" i="5" s="1"/>
  <c r="L651" i="44"/>
  <c r="N91" i="31"/>
  <c r="L56" i="12"/>
  <c r="D54" i="36"/>
  <c r="D56" i="36" s="1"/>
  <c r="H19" i="33"/>
  <c r="H24" i="33" s="1"/>
  <c r="F24" i="33"/>
  <c r="Z643" i="44"/>
  <c r="AB91" i="24"/>
  <c r="E36" i="24"/>
  <c r="G32" i="36"/>
  <c r="E61" i="34"/>
  <c r="I59" i="34"/>
  <c r="I61" i="34" s="1"/>
  <c r="D82" i="48"/>
  <c r="G66" i="38"/>
  <c r="I64" i="38"/>
  <c r="I66" i="38" s="1"/>
  <c r="G56" i="38"/>
  <c r="I54" i="38"/>
  <c r="I56" i="38" s="1"/>
  <c r="F16" i="15"/>
  <c r="G72" i="12"/>
  <c r="I54" i="47"/>
  <c r="I56" i="47" s="1"/>
  <c r="E56" i="47"/>
  <c r="D82" i="26"/>
  <c r="D72" i="27"/>
  <c r="F70" i="39"/>
  <c r="L36" i="15"/>
  <c r="D32" i="39"/>
  <c r="D36" i="39" s="1"/>
  <c r="M29" i="15"/>
  <c r="E27" i="39"/>
  <c r="E29" i="39" s="1"/>
  <c r="G32" i="5"/>
  <c r="I32" i="42"/>
  <c r="I36" i="42" s="1"/>
  <c r="G36" i="42"/>
  <c r="W640" i="44"/>
  <c r="Y91" i="21"/>
  <c r="Y640" i="44"/>
  <c r="AA91" i="21"/>
  <c r="E64" i="36"/>
  <c r="E66" i="36" s="1"/>
  <c r="M66" i="12"/>
  <c r="G61" i="38"/>
  <c r="I59" i="38"/>
  <c r="I61" i="38" s="1"/>
  <c r="H54" i="37"/>
  <c r="H56" i="37" s="1"/>
  <c r="F56" i="37"/>
  <c r="D40" i="5"/>
  <c r="D42" i="42"/>
  <c r="D43" i="42" s="1"/>
  <c r="D82" i="42" s="1"/>
  <c r="E24" i="21"/>
  <c r="G19" i="33"/>
  <c r="D24" i="34"/>
  <c r="D82" i="34" s="1"/>
  <c r="H19" i="34"/>
  <c r="H24" i="34" s="1"/>
  <c r="H32" i="37"/>
  <c r="H36" i="37" s="1"/>
  <c r="F36" i="37"/>
  <c r="I12" i="5"/>
  <c r="F61" i="33"/>
  <c r="H59" i="33"/>
  <c r="H61" i="33" s="1"/>
  <c r="F64" i="36"/>
  <c r="D66" i="24"/>
  <c r="I40" i="47"/>
  <c r="I42" i="47" s="1"/>
  <c r="I43" i="47" s="1"/>
  <c r="G42" i="47"/>
  <c r="G43" i="47" s="1"/>
  <c r="D24" i="27"/>
  <c r="F19" i="39"/>
  <c r="H40" i="35"/>
  <c r="H42" i="35" s="1"/>
  <c r="H43" i="35" s="1"/>
  <c r="F42" i="35"/>
  <c r="F43" i="35" s="1"/>
  <c r="D66" i="42"/>
  <c r="D65" i="5"/>
  <c r="H65" i="42"/>
  <c r="G72" i="33"/>
  <c r="I71" i="33"/>
  <c r="I72" i="33" s="1"/>
  <c r="G71" i="5"/>
  <c r="I71" i="5" s="1"/>
  <c r="F36" i="50"/>
  <c r="H32" i="50"/>
  <c r="H36" i="50" s="1"/>
  <c r="F36" i="42"/>
  <c r="F82" i="42" s="1"/>
  <c r="F32" i="5"/>
  <c r="H32" i="42"/>
  <c r="H36" i="42" s="1"/>
  <c r="F72" i="35"/>
  <c r="H70" i="35"/>
  <c r="H72" i="35" s="1"/>
  <c r="L24" i="15"/>
  <c r="D19" i="39"/>
  <c r="D24" i="39" s="1"/>
  <c r="G42" i="15"/>
  <c r="G43" i="15" s="1"/>
  <c r="I59" i="52"/>
  <c r="I61" i="52" s="1"/>
  <c r="G61" i="52"/>
  <c r="G61" i="32"/>
  <c r="I59" i="32"/>
  <c r="I61" i="32" s="1"/>
  <c r="Y82" i="24"/>
  <c r="I11" i="34"/>
  <c r="I16" i="34" s="1"/>
  <c r="G16" i="34"/>
  <c r="H70" i="41"/>
  <c r="H72" i="41" s="1"/>
  <c r="F72" i="41"/>
  <c r="F61" i="50"/>
  <c r="H59" i="50"/>
  <c r="H61" i="50" s="1"/>
  <c r="I70" i="37"/>
  <c r="I72" i="37" s="1"/>
  <c r="G72" i="37"/>
  <c r="E16" i="27"/>
  <c r="G11" i="39"/>
  <c r="AA647" i="44"/>
  <c r="AC91" i="27"/>
  <c r="I82" i="15"/>
  <c r="I91" i="15" s="1"/>
  <c r="H59" i="35"/>
  <c r="H61" i="35" s="1"/>
  <c r="L82" i="56"/>
  <c r="L91" i="56" s="1"/>
  <c r="H32" i="32"/>
  <c r="H36" i="32" s="1"/>
  <c r="E28" i="5"/>
  <c r="I32" i="41"/>
  <c r="I36" i="41" s="1"/>
  <c r="G36" i="41"/>
  <c r="G24" i="15"/>
  <c r="F56" i="40"/>
  <c r="H54" i="40"/>
  <c r="H56" i="40" s="1"/>
  <c r="G54" i="39"/>
  <c r="E56" i="27"/>
  <c r="F24" i="52"/>
  <c r="H19" i="52"/>
  <c r="H24" i="52" s="1"/>
  <c r="I40" i="33"/>
  <c r="I42" i="33" s="1"/>
  <c r="I43" i="33" s="1"/>
  <c r="G42" i="33"/>
  <c r="G43" i="33" s="1"/>
  <c r="I39" i="36"/>
  <c r="L24" i="12"/>
  <c r="D19" i="36"/>
  <c r="D24" i="36" s="1"/>
  <c r="D56" i="34"/>
  <c r="H54" i="34"/>
  <c r="H56" i="34" s="1"/>
  <c r="G66" i="34"/>
  <c r="I64" i="34"/>
  <c r="I66" i="34" s="1"/>
  <c r="F66" i="57"/>
  <c r="H64" i="57"/>
  <c r="H66" i="57" s="1"/>
  <c r="I42" i="34"/>
  <c r="I43" i="34" s="1"/>
  <c r="P644" i="44"/>
  <c r="R91" i="25"/>
  <c r="H64" i="52"/>
  <c r="H66" i="52" s="1"/>
  <c r="F66" i="52"/>
  <c r="I11" i="37"/>
  <c r="I16" i="37" s="1"/>
  <c r="G16" i="37"/>
  <c r="S644" i="44"/>
  <c r="U91" i="25"/>
  <c r="V644" i="44"/>
  <c r="X91" i="25"/>
  <c r="L82" i="9"/>
  <c r="L91" i="9" s="1"/>
  <c r="I82" i="12"/>
  <c r="I91" i="12" s="1"/>
  <c r="H54" i="32"/>
  <c r="H56" i="32" s="1"/>
  <c r="F56" i="32"/>
  <c r="E61" i="24"/>
  <c r="G59" i="36"/>
  <c r="G29" i="12"/>
  <c r="H40" i="50"/>
  <c r="H42" i="50" s="1"/>
  <c r="H43" i="50" s="1"/>
  <c r="F42" i="50"/>
  <c r="F43" i="50" s="1"/>
  <c r="D36" i="43"/>
  <c r="D82" i="43" s="1"/>
  <c r="D91" i="43" s="1"/>
  <c r="D32" i="5"/>
  <c r="H86" i="43"/>
  <c r="H89" i="43" s="1"/>
  <c r="F89" i="43"/>
  <c r="F86" i="5"/>
  <c r="H32" i="35"/>
  <c r="H36" i="35" s="1"/>
  <c r="H82" i="35" s="1"/>
  <c r="F36" i="35"/>
  <c r="I47" i="39"/>
  <c r="I41" i="39"/>
  <c r="D16" i="27"/>
  <c r="F11" i="39"/>
  <c r="H64" i="33"/>
  <c r="H66" i="33" s="1"/>
  <c r="F66" i="33"/>
  <c r="D82" i="31"/>
  <c r="D91" i="31" s="1"/>
  <c r="H54" i="35"/>
  <c r="H56" i="35" s="1"/>
  <c r="F56" i="35"/>
  <c r="R643" i="44"/>
  <c r="T91" i="24"/>
  <c r="F66" i="12"/>
  <c r="I87" i="57"/>
  <c r="E89" i="57"/>
  <c r="F16" i="12"/>
  <c r="F82" i="12" s="1"/>
  <c r="F91" i="12" s="1"/>
  <c r="H27" i="37"/>
  <c r="H29" i="37" s="1"/>
  <c r="F29" i="37"/>
  <c r="I86" i="33"/>
  <c r="I89" i="33" s="1"/>
  <c r="G89" i="33"/>
  <c r="G86" i="5"/>
  <c r="G61" i="37"/>
  <c r="I59" i="37"/>
  <c r="I61" i="37" s="1"/>
  <c r="I64" i="43"/>
  <c r="I66" i="43" s="1"/>
  <c r="G66" i="43"/>
  <c r="G64" i="5"/>
  <c r="I19" i="47"/>
  <c r="I24" i="47" s="1"/>
  <c r="H40" i="38"/>
  <c r="H42" i="38" s="1"/>
  <c r="H43" i="38" s="1"/>
  <c r="F42" i="38"/>
  <c r="F43" i="38" s="1"/>
  <c r="D70" i="5"/>
  <c r="D72" i="5" s="1"/>
  <c r="H33" i="5"/>
  <c r="E36" i="43"/>
  <c r="E82" i="43" s="1"/>
  <c r="E91" i="43" s="1"/>
  <c r="E32" i="5"/>
  <c r="F24" i="15"/>
  <c r="H54" i="43"/>
  <c r="H56" i="43" s="1"/>
  <c r="F56" i="43"/>
  <c r="F54" i="5"/>
  <c r="H19" i="40"/>
  <c r="H24" i="40" s="1"/>
  <c r="F24" i="40"/>
  <c r="F82" i="40" s="1"/>
  <c r="E82" i="28"/>
  <c r="G22" i="4" s="1"/>
  <c r="H22" i="4" s="1"/>
  <c r="F29" i="38"/>
  <c r="H27" i="38"/>
  <c r="H29" i="38" s="1"/>
  <c r="L61" i="15"/>
  <c r="D59" i="39"/>
  <c r="D61" i="39" s="1"/>
  <c r="E27" i="5"/>
  <c r="E29" i="5" s="1"/>
  <c r="M36" i="15"/>
  <c r="E32" i="39"/>
  <c r="E36" i="39" s="1"/>
  <c r="N640" i="44"/>
  <c r="P91" i="21"/>
  <c r="I12" i="57"/>
  <c r="I40" i="43"/>
  <c r="I42" i="43" s="1"/>
  <c r="I43" i="43" s="1"/>
  <c r="G42" i="43"/>
  <c r="G43" i="43" s="1"/>
  <c r="E82" i="40"/>
  <c r="L644" i="44"/>
  <c r="N91" i="25"/>
  <c r="E64" i="5"/>
  <c r="E66" i="5" s="1"/>
  <c r="E66" i="42"/>
  <c r="I64" i="42"/>
  <c r="I66" i="42" s="1"/>
  <c r="I19" i="32"/>
  <c r="I24" i="32" s="1"/>
  <c r="I27" i="57"/>
  <c r="I29" i="57" s="1"/>
  <c r="I70" i="50"/>
  <c r="I72" i="50" s="1"/>
  <c r="G72" i="50"/>
  <c r="D72" i="34"/>
  <c r="H70" i="34"/>
  <c r="H72" i="34" s="1"/>
  <c r="H55" i="39"/>
  <c r="H33" i="39"/>
  <c r="L89" i="15"/>
  <c r="E16" i="29"/>
  <c r="G11" i="41"/>
  <c r="H65" i="5"/>
  <c r="I54" i="43"/>
  <c r="I56" i="43" s="1"/>
  <c r="G56" i="43"/>
  <c r="I81" i="36"/>
  <c r="I23" i="36"/>
  <c r="S640" i="44"/>
  <c r="U91" i="21"/>
  <c r="E61" i="32"/>
  <c r="E82" i="32" s="1"/>
  <c r="E59" i="5"/>
  <c r="E61" i="5" s="1"/>
  <c r="G16" i="32"/>
  <c r="I11" i="32"/>
  <c r="I16" i="32" s="1"/>
  <c r="D56" i="52"/>
  <c r="H54" i="52"/>
  <c r="H56" i="52" s="1"/>
  <c r="G36" i="33"/>
  <c r="I32" i="33"/>
  <c r="I36" i="33" s="1"/>
  <c r="E54" i="39"/>
  <c r="E56" i="39" s="1"/>
  <c r="M56" i="15"/>
  <c r="I32" i="50"/>
  <c r="I36" i="50" s="1"/>
  <c r="G36" i="50"/>
  <c r="D66" i="47"/>
  <c r="H64" i="47"/>
  <c r="H66" i="47" s="1"/>
  <c r="Y644" i="44"/>
  <c r="AA91" i="25"/>
  <c r="F16" i="43"/>
  <c r="F82" i="43" s="1"/>
  <c r="F91" i="43" s="1"/>
  <c r="H11" i="43"/>
  <c r="H16" i="43" s="1"/>
  <c r="F11" i="5"/>
  <c r="R644" i="44"/>
  <c r="T91" i="25"/>
  <c r="F640" i="44"/>
  <c r="H91" i="21"/>
  <c r="I19" i="40"/>
  <c r="I24" i="40" s="1"/>
  <c r="G24" i="40"/>
  <c r="E27" i="36"/>
  <c r="E29" i="36" s="1"/>
  <c r="M29" i="12"/>
  <c r="C11" i="4"/>
  <c r="AD82" i="27"/>
  <c r="H27" i="52"/>
  <c r="H29" i="52" s="1"/>
  <c r="F29" i="52"/>
  <c r="F82" i="52" s="1"/>
  <c r="L66" i="12"/>
  <c r="D64" i="36"/>
  <c r="D66" i="36" s="1"/>
  <c r="G43" i="12"/>
  <c r="I40" i="40"/>
  <c r="I42" i="40" s="1"/>
  <c r="I43" i="40" s="1"/>
  <c r="G42" i="40"/>
  <c r="G43" i="40" s="1"/>
  <c r="E29" i="52"/>
  <c r="I28" i="52"/>
  <c r="I28" i="5"/>
  <c r="H59" i="43"/>
  <c r="H61" i="43" s="1"/>
  <c r="F61" i="43"/>
  <c r="F59" i="5"/>
  <c r="Q82" i="27"/>
  <c r="M91" i="9"/>
  <c r="F42" i="57"/>
  <c r="F43" i="57" s="1"/>
  <c r="H40" i="57"/>
  <c r="H42" i="57" s="1"/>
  <c r="H43" i="57" s="1"/>
  <c r="D82" i="29"/>
  <c r="H40" i="42"/>
  <c r="H42" i="42" s="1"/>
  <c r="H43" i="42" s="1"/>
  <c r="G70" i="36"/>
  <c r="E72" i="24"/>
  <c r="L72" i="12"/>
  <c r="D70" i="36"/>
  <c r="D72" i="36" s="1"/>
  <c r="G24" i="12"/>
  <c r="G82" i="12" s="1"/>
  <c r="G91" i="12" s="1"/>
  <c r="H19" i="50"/>
  <c r="H24" i="50" s="1"/>
  <c r="F24" i="50"/>
  <c r="F89" i="33"/>
  <c r="H86" i="33"/>
  <c r="H89" i="33" s="1"/>
  <c r="F11" i="36"/>
  <c r="D16" i="24"/>
  <c r="E89" i="37"/>
  <c r="I86" i="37"/>
  <c r="I89" i="37" s="1"/>
  <c r="AC644" i="44"/>
  <c r="AE91" i="25"/>
  <c r="I70" i="52"/>
  <c r="I72" i="52" s="1"/>
  <c r="G72" i="52"/>
  <c r="L42" i="12"/>
  <c r="L43" i="12" s="1"/>
  <c r="D40" i="36"/>
  <c r="D42" i="36" s="1"/>
  <c r="D43" i="36" s="1"/>
  <c r="D32" i="36"/>
  <c r="D36" i="36" s="1"/>
  <c r="L36" i="12"/>
  <c r="I14" i="36"/>
  <c r="D61" i="34"/>
  <c r="H60" i="34"/>
  <c r="H61" i="34" s="1"/>
  <c r="D82" i="20"/>
  <c r="E72" i="27"/>
  <c r="G70" i="39"/>
  <c r="F61" i="40"/>
  <c r="H59" i="40"/>
  <c r="H61" i="40" s="1"/>
  <c r="P82" i="27"/>
  <c r="D56" i="27"/>
  <c r="F54" i="39"/>
  <c r="E12" i="5"/>
  <c r="H54" i="33"/>
  <c r="H56" i="33" s="1"/>
  <c r="F56" i="33"/>
  <c r="R640" i="44"/>
  <c r="T91" i="21"/>
  <c r="AA82" i="24"/>
  <c r="V643" i="44"/>
  <c r="X91" i="24"/>
  <c r="I27" i="37"/>
  <c r="I29" i="37" s="1"/>
  <c r="G29" i="37"/>
  <c r="H59" i="37"/>
  <c r="H61" i="37" s="1"/>
  <c r="F61" i="37"/>
  <c r="Z644" i="44"/>
  <c r="AB91" i="25"/>
  <c r="AC647" i="44"/>
  <c r="AE91" i="27"/>
  <c r="H66" i="42"/>
  <c r="E89" i="43"/>
  <c r="I86" i="43"/>
  <c r="I89" i="43" s="1"/>
  <c r="E86" i="5"/>
  <c r="E87" i="5"/>
  <c r="I87" i="5" s="1"/>
  <c r="D82" i="21"/>
  <c r="D91" i="21" s="1"/>
  <c r="AD82" i="24"/>
  <c r="E42" i="24"/>
  <c r="E43" i="24" s="1"/>
  <c r="G40" i="36"/>
  <c r="V649" i="44"/>
  <c r="X91" i="55"/>
  <c r="I54" i="40"/>
  <c r="I56" i="40" s="1"/>
  <c r="G56" i="40"/>
  <c r="F29" i="40"/>
  <c r="H27" i="40"/>
  <c r="H29" i="40" s="1"/>
  <c r="H82" i="40" s="1"/>
  <c r="H70" i="40"/>
  <c r="H72" i="40" s="1"/>
  <c r="F72" i="40"/>
  <c r="E66" i="27"/>
  <c r="G64" i="39"/>
  <c r="I54" i="37"/>
  <c r="I56" i="37" s="1"/>
  <c r="G56" i="37"/>
  <c r="G54" i="41"/>
  <c r="E56" i="29"/>
  <c r="H82" i="42"/>
  <c r="G16" i="43"/>
  <c r="I11" i="43"/>
  <c r="I16" i="43" s="1"/>
  <c r="I33" i="5"/>
  <c r="E16" i="24"/>
  <c r="G11" i="36"/>
  <c r="I640" i="44"/>
  <c r="K91" i="21"/>
  <c r="I77" i="36"/>
  <c r="H59" i="38"/>
  <c r="H61" i="38" s="1"/>
  <c r="F61" i="38"/>
  <c r="G61" i="15"/>
  <c r="H15" i="5"/>
  <c r="I70" i="35"/>
  <c r="I72" i="35" s="1"/>
  <c r="G72" i="35"/>
  <c r="I35" i="36"/>
  <c r="F72" i="12"/>
  <c r="AE82" i="24"/>
  <c r="F56" i="57"/>
  <c r="H54" i="57"/>
  <c r="H56" i="57" s="1"/>
  <c r="I59" i="41"/>
  <c r="I61" i="41" s="1"/>
  <c r="G61" i="41"/>
  <c r="I22" i="36"/>
  <c r="O82" i="24"/>
  <c r="H40" i="32"/>
  <c r="H42" i="32" s="1"/>
  <c r="H43" i="32" s="1"/>
  <c r="F42" i="32"/>
  <c r="F43" i="32" s="1"/>
  <c r="G42" i="50"/>
  <c r="G43" i="50" s="1"/>
  <c r="I40" i="50"/>
  <c r="I42" i="50" s="1"/>
  <c r="I43" i="50" s="1"/>
  <c r="G61" i="35"/>
  <c r="I59" i="35"/>
  <c r="I61" i="35" s="1"/>
  <c r="D66" i="27"/>
  <c r="K84" i="24"/>
  <c r="D33" i="5"/>
  <c r="E66" i="24"/>
  <c r="G64" i="36"/>
  <c r="D42" i="27"/>
  <c r="D43" i="27" s="1"/>
  <c r="F40" i="39"/>
  <c r="I27" i="52"/>
  <c r="G29" i="52"/>
  <c r="D56" i="42"/>
  <c r="D54" i="5"/>
  <c r="D56" i="5" s="1"/>
  <c r="H54" i="42"/>
  <c r="H56" i="42" s="1"/>
  <c r="D24" i="24"/>
  <c r="F19" i="36"/>
  <c r="G16" i="40"/>
  <c r="I11" i="40"/>
  <c r="I16" i="40" s="1"/>
  <c r="R647" i="44"/>
  <c r="T91" i="27"/>
  <c r="D19" i="5"/>
  <c r="D24" i="5" s="1"/>
  <c r="M24" i="12"/>
  <c r="E19" i="36"/>
  <c r="E24" i="36" s="1"/>
  <c r="E11" i="5"/>
  <c r="E16" i="5" s="1"/>
  <c r="F72" i="32"/>
  <c r="H70" i="32"/>
  <c r="H72" i="32" s="1"/>
  <c r="I64" i="50"/>
  <c r="I66" i="50" s="1"/>
  <c r="G66" i="50"/>
  <c r="G72" i="32"/>
  <c r="I70" i="32"/>
  <c r="I72" i="32" s="1"/>
  <c r="V82" i="27"/>
  <c r="H87" i="37"/>
  <c r="H89" i="37" s="1"/>
  <c r="D89" i="37"/>
  <c r="D91" i="37" s="1"/>
  <c r="G29" i="35"/>
  <c r="I27" i="35"/>
  <c r="I29" i="35" s="1"/>
  <c r="H28" i="43"/>
  <c r="H29" i="43" s="1"/>
  <c r="F29" i="43"/>
  <c r="F28" i="5"/>
  <c r="H28" i="5" s="1"/>
  <c r="G20" i="4"/>
  <c r="H20" i="4" s="1"/>
  <c r="E91" i="46"/>
  <c r="H32" i="40"/>
  <c r="H36" i="40" s="1"/>
  <c r="F36" i="40"/>
  <c r="F66" i="37"/>
  <c r="H64" i="37"/>
  <c r="H66" i="37" s="1"/>
  <c r="I74" i="5"/>
  <c r="L16" i="12"/>
  <c r="D11" i="36"/>
  <c r="D16" i="36" s="1"/>
  <c r="H32" i="43"/>
  <c r="H36" i="43" s="1"/>
  <c r="F36" i="43"/>
  <c r="I27" i="32"/>
  <c r="I29" i="32" s="1"/>
  <c r="G29" i="32"/>
  <c r="H11" i="32"/>
  <c r="H16" i="32" s="1"/>
  <c r="F16" i="32"/>
  <c r="F29" i="15"/>
  <c r="I70" i="38"/>
  <c r="I72" i="38" s="1"/>
  <c r="G72" i="38"/>
  <c r="I55" i="39"/>
  <c r="H19" i="43"/>
  <c r="H24" i="43" s="1"/>
  <c r="F24" i="43"/>
  <c r="F19" i="5"/>
  <c r="G16" i="4"/>
  <c r="H16" i="4" s="1"/>
  <c r="G19" i="36"/>
  <c r="E24" i="24"/>
  <c r="E88" i="5"/>
  <c r="I88" i="5" s="1"/>
  <c r="L72" i="15"/>
  <c r="D70" i="39"/>
  <c r="D72" i="39" s="1"/>
  <c r="F56" i="15"/>
  <c r="E24" i="42"/>
  <c r="E19" i="5"/>
  <c r="E24" i="5" s="1"/>
  <c r="I19" i="42"/>
  <c r="I24" i="42" s="1"/>
  <c r="I82" i="42" s="1"/>
  <c r="H59" i="52"/>
  <c r="H61" i="52" s="1"/>
  <c r="F61" i="52"/>
  <c r="H41" i="41"/>
  <c r="H42" i="41" s="1"/>
  <c r="H43" i="41" s="1"/>
  <c r="F42" i="41"/>
  <c r="F43" i="41" s="1"/>
  <c r="F16" i="33"/>
  <c r="H11" i="33"/>
  <c r="H16" i="33" s="1"/>
  <c r="H86" i="39"/>
  <c r="H89" i="39" s="1"/>
  <c r="F89" i="39"/>
  <c r="L42" i="15"/>
  <c r="L43" i="15" s="1"/>
  <c r="D40" i="39"/>
  <c r="D42" i="39" s="1"/>
  <c r="D43" i="39" s="1"/>
  <c r="E82" i="31"/>
  <c r="I33" i="36"/>
  <c r="F27" i="36"/>
  <c r="D29" i="24"/>
  <c r="M61" i="12"/>
  <c r="E59" i="36"/>
  <c r="E61" i="36" s="1"/>
  <c r="I27" i="38"/>
  <c r="I29" i="38" s="1"/>
  <c r="G29" i="38"/>
  <c r="F36" i="38"/>
  <c r="H32" i="38"/>
  <c r="H36" i="38" s="1"/>
  <c r="Z82" i="27"/>
  <c r="U82" i="27"/>
  <c r="L82" i="8"/>
  <c r="V640" i="44"/>
  <c r="X91" i="21"/>
  <c r="E56" i="42"/>
  <c r="E54" i="5"/>
  <c r="E56" i="5" s="1"/>
  <c r="F29" i="12"/>
  <c r="E40" i="5"/>
  <c r="E42" i="5" s="1"/>
  <c r="E43" i="5" s="1"/>
  <c r="G16" i="38"/>
  <c r="I11" i="38"/>
  <c r="I16" i="38" s="1"/>
  <c r="I22" i="39"/>
  <c r="G36" i="52"/>
  <c r="I32" i="52"/>
  <c r="I36" i="52" s="1"/>
  <c r="I40" i="57"/>
  <c r="I42" i="57" s="1"/>
  <c r="I43" i="57" s="1"/>
  <c r="G42" i="57"/>
  <c r="G43" i="57" s="1"/>
  <c r="E33" i="5"/>
  <c r="I33" i="42"/>
  <c r="E36" i="42"/>
  <c r="J82" i="24"/>
  <c r="S82" i="24"/>
  <c r="M82" i="27"/>
  <c r="G66" i="33"/>
  <c r="I64" i="33"/>
  <c r="I66" i="33" s="1"/>
  <c r="D82" i="38"/>
  <c r="I33" i="37"/>
  <c r="E82" i="26"/>
  <c r="G19" i="4" s="1"/>
  <c r="H19" i="4" s="1"/>
  <c r="I19" i="37"/>
  <c r="I24" i="37" s="1"/>
  <c r="G24" i="37"/>
  <c r="E70" i="5"/>
  <c r="E72" i="5" s="1"/>
  <c r="E72" i="42"/>
  <c r="I70" i="42"/>
  <c r="I72" i="42" s="1"/>
  <c r="L61" i="12"/>
  <c r="D59" i="36"/>
  <c r="D61" i="36" s="1"/>
  <c r="H40" i="43"/>
  <c r="H42" i="43" s="1"/>
  <c r="H43" i="43" s="1"/>
  <c r="F42" i="43"/>
  <c r="F43" i="43" s="1"/>
  <c r="X643" i="44"/>
  <c r="Z91" i="24"/>
  <c r="H77" i="36"/>
  <c r="E89" i="33"/>
  <c r="E91" i="33" s="1"/>
  <c r="E94" i="36" s="1"/>
  <c r="I54" i="57"/>
  <c r="I56" i="57" s="1"/>
  <c r="G56" i="57"/>
  <c r="E82" i="55"/>
  <c r="G72" i="57"/>
  <c r="I70" i="57"/>
  <c r="I72" i="57" s="1"/>
  <c r="I70" i="41"/>
  <c r="I72" i="41" s="1"/>
  <c r="G72" i="41"/>
  <c r="G66" i="37"/>
  <c r="I64" i="37"/>
  <c r="I66" i="37" s="1"/>
  <c r="M89" i="15"/>
  <c r="E86" i="39"/>
  <c r="E89" i="39" s="1"/>
  <c r="M56" i="12"/>
  <c r="E54" i="36"/>
  <c r="E56" i="36" s="1"/>
  <c r="G61" i="33"/>
  <c r="I59" i="33"/>
  <c r="I61" i="33" s="1"/>
  <c r="F72" i="33"/>
  <c r="H70" i="33"/>
  <c r="H72" i="33" s="1"/>
  <c r="F82" i="47"/>
  <c r="F91" i="47" s="1"/>
  <c r="M82" i="14"/>
  <c r="B19" i="4" s="1"/>
  <c r="C19" i="4" s="1"/>
  <c r="H35" i="5"/>
  <c r="J644" i="44"/>
  <c r="L91" i="25"/>
  <c r="F72" i="52"/>
  <c r="H70" i="52"/>
  <c r="H72" i="52" s="1"/>
  <c r="R82" i="24"/>
  <c r="H75" i="36"/>
  <c r="F36" i="57"/>
  <c r="H32" i="57"/>
  <c r="H36" i="57" s="1"/>
  <c r="F91" i="24"/>
  <c r="H19" i="32"/>
  <c r="H24" i="32" s="1"/>
  <c r="F24" i="32"/>
  <c r="G29" i="41"/>
  <c r="I27" i="41"/>
  <c r="I29" i="41" s="1"/>
  <c r="F66" i="50"/>
  <c r="H64" i="50"/>
  <c r="H66" i="50" s="1"/>
  <c r="I40" i="32"/>
  <c r="I42" i="32" s="1"/>
  <c r="I43" i="32" s="1"/>
  <c r="G42" i="32"/>
  <c r="G43" i="32" s="1"/>
  <c r="H27" i="41"/>
  <c r="H29" i="41" s="1"/>
  <c r="F29" i="41"/>
  <c r="D27" i="39"/>
  <c r="D29" i="39" s="1"/>
  <c r="L29" i="15"/>
  <c r="I74" i="36"/>
  <c r="G61" i="40"/>
  <c r="I59" i="40"/>
  <c r="I61" i="40" s="1"/>
  <c r="G36" i="35"/>
  <c r="I32" i="35"/>
  <c r="I36" i="35" s="1"/>
  <c r="H22" i="5"/>
  <c r="H71" i="5"/>
  <c r="I36" i="43"/>
  <c r="G66" i="35"/>
  <c r="I64" i="35"/>
  <c r="I66" i="35" s="1"/>
  <c r="Y651" i="44"/>
  <c r="AA91" i="31"/>
  <c r="H64" i="35"/>
  <c r="H66" i="35" s="1"/>
  <c r="F66" i="35"/>
  <c r="D41" i="5"/>
  <c r="G59" i="5"/>
  <c r="E82" i="54"/>
  <c r="G12" i="4" s="1"/>
  <c r="H12" i="4" s="1"/>
  <c r="I47" i="36"/>
  <c r="I32" i="37"/>
  <c r="I36" i="37" s="1"/>
  <c r="G36" i="37"/>
  <c r="D29" i="32"/>
  <c r="D82" i="32" s="1"/>
  <c r="D27" i="5"/>
  <c r="D29" i="5" s="1"/>
  <c r="M644" i="44"/>
  <c r="O91" i="25"/>
  <c r="F72" i="15"/>
  <c r="I59" i="47"/>
  <c r="I61" i="47" s="1"/>
  <c r="E61" i="47"/>
  <c r="E82" i="47" s="1"/>
  <c r="E91" i="47" s="1"/>
  <c r="I60" i="5"/>
  <c r="L56" i="15"/>
  <c r="D54" i="39"/>
  <c r="D56" i="39" s="1"/>
  <c r="G32" i="39"/>
  <c r="E36" i="27"/>
  <c r="F64" i="5"/>
  <c r="E42" i="52"/>
  <c r="E43" i="52" s="1"/>
  <c r="I40" i="52"/>
  <c r="I42" i="52" s="1"/>
  <c r="I43" i="52" s="1"/>
  <c r="D89" i="33"/>
  <c r="D91" i="33" s="1"/>
  <c r="D87" i="5"/>
  <c r="I51" i="36"/>
  <c r="H27" i="33"/>
  <c r="H29" i="33" s="1"/>
  <c r="F29" i="33"/>
  <c r="F82" i="57"/>
  <c r="H33" i="38"/>
  <c r="I65" i="47"/>
  <c r="G66" i="47"/>
  <c r="F42" i="15"/>
  <c r="F43" i="15" s="1"/>
  <c r="G65" i="5"/>
  <c r="I65" i="5" s="1"/>
  <c r="I65" i="42"/>
  <c r="G66" i="42"/>
  <c r="I64" i="52"/>
  <c r="I66" i="52" s="1"/>
  <c r="G66" i="52"/>
  <c r="I15" i="36"/>
  <c r="D36" i="24"/>
  <c r="F32" i="36"/>
  <c r="I19" i="57"/>
  <c r="G24" i="57"/>
  <c r="G61" i="12"/>
  <c r="H36" i="47"/>
  <c r="H82" i="47" s="1"/>
  <c r="H91" i="47" s="1"/>
  <c r="F16" i="37"/>
  <c r="H11" i="37"/>
  <c r="H16" i="37" s="1"/>
  <c r="H82" i="37" s="1"/>
  <c r="M61" i="15"/>
  <c r="E59" i="39"/>
  <c r="E61" i="39" s="1"/>
  <c r="G82" i="13"/>
  <c r="G91" i="13" s="1"/>
  <c r="F36" i="33"/>
  <c r="H32" i="33"/>
  <c r="H36" i="33" s="1"/>
  <c r="D42" i="24"/>
  <c r="D43" i="24" s="1"/>
  <c r="F40" i="36"/>
  <c r="I86" i="57"/>
  <c r="I89" i="57" s="1"/>
  <c r="G89" i="57"/>
  <c r="I20" i="57"/>
  <c r="I11" i="50"/>
  <c r="I16" i="50" s="1"/>
  <c r="G16" i="50"/>
  <c r="D89" i="24"/>
  <c r="F86" i="36"/>
  <c r="J643" i="44"/>
  <c r="L91" i="24"/>
  <c r="L29" i="12"/>
  <c r="D27" i="36"/>
  <c r="D29" i="36" s="1"/>
  <c r="F66" i="39"/>
  <c r="H64" i="39"/>
  <c r="H66" i="39" s="1"/>
  <c r="D60" i="5"/>
  <c r="H60" i="5" s="1"/>
  <c r="G16" i="5" l="1"/>
  <c r="I11" i="5"/>
  <c r="I16" i="5" s="1"/>
  <c r="H27" i="5"/>
  <c r="H29" i="5" s="1"/>
  <c r="F29" i="5"/>
  <c r="G61" i="5"/>
  <c r="I59" i="5"/>
  <c r="I61" i="5" s="1"/>
  <c r="H86" i="5"/>
  <c r="F89" i="5"/>
  <c r="H32" i="36"/>
  <c r="H36" i="36" s="1"/>
  <c r="F36" i="36"/>
  <c r="F29" i="36"/>
  <c r="H27" i="36"/>
  <c r="H29" i="36" s="1"/>
  <c r="H82" i="32"/>
  <c r="M643" i="44"/>
  <c r="O91" i="24"/>
  <c r="F56" i="39"/>
  <c r="H54" i="39"/>
  <c r="H56" i="39" s="1"/>
  <c r="F61" i="5"/>
  <c r="H59" i="5"/>
  <c r="H61" i="5" s="1"/>
  <c r="I82" i="32"/>
  <c r="G82" i="42"/>
  <c r="H54" i="36"/>
  <c r="H56" i="36" s="1"/>
  <c r="F56" i="36"/>
  <c r="I66" i="47"/>
  <c r="F72" i="5"/>
  <c r="H70" i="5"/>
  <c r="H72" i="5" s="1"/>
  <c r="B23" i="4"/>
  <c r="C23" i="4" s="1"/>
  <c r="M91" i="56"/>
  <c r="I16" i="57"/>
  <c r="O643" i="44"/>
  <c r="Q91" i="24"/>
  <c r="E91" i="55"/>
  <c r="G23" i="4"/>
  <c r="H23" i="4" s="1"/>
  <c r="G16" i="41"/>
  <c r="I11" i="41"/>
  <c r="I16" i="41" s="1"/>
  <c r="I82" i="41" s="1"/>
  <c r="H91" i="37"/>
  <c r="K647" i="44"/>
  <c r="M91" i="27"/>
  <c r="G26" i="4"/>
  <c r="H26" i="4" s="1"/>
  <c r="E91" i="31"/>
  <c r="AB643" i="44"/>
  <c r="AD91" i="24"/>
  <c r="H11" i="5"/>
  <c r="H16" i="5" s="1"/>
  <c r="H82" i="5" s="1"/>
  <c r="F16" i="5"/>
  <c r="G82" i="32"/>
  <c r="G66" i="5"/>
  <c r="I64" i="5"/>
  <c r="I66" i="5" s="1"/>
  <c r="I11" i="39"/>
  <c r="I16" i="39" s="1"/>
  <c r="G16" i="39"/>
  <c r="G82" i="34"/>
  <c r="H64" i="36"/>
  <c r="H66" i="36" s="1"/>
  <c r="F66" i="36"/>
  <c r="G56" i="33"/>
  <c r="I54" i="33"/>
  <c r="I56" i="33" s="1"/>
  <c r="G54" i="5"/>
  <c r="B18" i="4"/>
  <c r="M91" i="13"/>
  <c r="M85" i="13"/>
  <c r="H70" i="36"/>
  <c r="H72" i="36" s="1"/>
  <c r="F72" i="36"/>
  <c r="H59" i="39"/>
  <c r="H61" i="39" s="1"/>
  <c r="F61" i="39"/>
  <c r="G82" i="57"/>
  <c r="H40" i="36"/>
  <c r="H42" i="36" s="1"/>
  <c r="H43" i="36" s="1"/>
  <c r="F42" i="36"/>
  <c r="F43" i="36" s="1"/>
  <c r="F82" i="37"/>
  <c r="F91" i="37" s="1"/>
  <c r="Q643" i="44"/>
  <c r="S91" i="24"/>
  <c r="I82" i="40"/>
  <c r="I29" i="52"/>
  <c r="G16" i="36"/>
  <c r="I11" i="36"/>
  <c r="I16" i="36" s="1"/>
  <c r="I54" i="41"/>
  <c r="I56" i="41" s="1"/>
  <c r="G56" i="41"/>
  <c r="Y643" i="44"/>
  <c r="AA91" i="24"/>
  <c r="N647" i="44"/>
  <c r="P91" i="27"/>
  <c r="H82" i="43"/>
  <c r="H91" i="43" s="1"/>
  <c r="E36" i="5"/>
  <c r="E82" i="27"/>
  <c r="E91" i="27" s="1"/>
  <c r="I82" i="34"/>
  <c r="I19" i="33"/>
  <c r="I24" i="33" s="1"/>
  <c r="G24" i="33"/>
  <c r="G36" i="5"/>
  <c r="I32" i="5"/>
  <c r="I36" i="5" s="1"/>
  <c r="G24" i="39"/>
  <c r="I19" i="39"/>
  <c r="I24" i="39" s="1"/>
  <c r="F61" i="36"/>
  <c r="H59" i="36"/>
  <c r="H61" i="36" s="1"/>
  <c r="G56" i="36"/>
  <c r="I54" i="36"/>
  <c r="I56" i="36" s="1"/>
  <c r="I56" i="35"/>
  <c r="G19" i="5"/>
  <c r="H82" i="57"/>
  <c r="S643" i="44"/>
  <c r="U91" i="24"/>
  <c r="E82" i="34"/>
  <c r="F66" i="5"/>
  <c r="H64" i="5"/>
  <c r="H66" i="5" s="1"/>
  <c r="H643" i="44"/>
  <c r="J91" i="24"/>
  <c r="W643" i="44"/>
  <c r="Y91" i="24"/>
  <c r="E82" i="36"/>
  <c r="E91" i="36" s="1"/>
  <c r="I19" i="36"/>
  <c r="I24" i="36" s="1"/>
  <c r="G24" i="36"/>
  <c r="G56" i="39"/>
  <c r="I54" i="39"/>
  <c r="I56" i="39" s="1"/>
  <c r="E82" i="21"/>
  <c r="I40" i="41"/>
  <c r="I42" i="41" s="1"/>
  <c r="I43" i="41" s="1"/>
  <c r="G42" i="41"/>
  <c r="G43" i="41" s="1"/>
  <c r="G82" i="50"/>
  <c r="I82" i="38"/>
  <c r="D82" i="36"/>
  <c r="T647" i="44"/>
  <c r="V91" i="27"/>
  <c r="I64" i="36"/>
  <c r="I66" i="36" s="1"/>
  <c r="G66" i="36"/>
  <c r="I64" i="39"/>
  <c r="I66" i="39" s="1"/>
  <c r="G66" i="39"/>
  <c r="I70" i="39"/>
  <c r="I72" i="39" s="1"/>
  <c r="G72" i="39"/>
  <c r="D82" i="24"/>
  <c r="D91" i="24" s="1"/>
  <c r="E82" i="52"/>
  <c r="AB647" i="44"/>
  <c r="AD91" i="27"/>
  <c r="G40" i="5"/>
  <c r="D42" i="5"/>
  <c r="D43" i="5" s="1"/>
  <c r="F82" i="15"/>
  <c r="F91" i="15" s="1"/>
  <c r="D66" i="5"/>
  <c r="E82" i="39"/>
  <c r="E91" i="39" s="1"/>
  <c r="H82" i="52"/>
  <c r="I82" i="47"/>
  <c r="I91" i="47" s="1"/>
  <c r="L82" i="15"/>
  <c r="L91" i="15" s="1"/>
  <c r="I41" i="5"/>
  <c r="H86" i="36"/>
  <c r="H89" i="36" s="1"/>
  <c r="F89" i="36"/>
  <c r="F42" i="39"/>
  <c r="F43" i="39" s="1"/>
  <c r="H40" i="39"/>
  <c r="H42" i="39" s="1"/>
  <c r="H43" i="39" s="1"/>
  <c r="E82" i="24"/>
  <c r="E91" i="24" s="1"/>
  <c r="I82" i="35"/>
  <c r="I11" i="33"/>
  <c r="I16" i="33" s="1"/>
  <c r="I82" i="33" s="1"/>
  <c r="I91" i="33" s="1"/>
  <c r="G16" i="33"/>
  <c r="G82" i="33" s="1"/>
  <c r="G91" i="33" s="1"/>
  <c r="G94" i="36" s="1"/>
  <c r="G29" i="39"/>
  <c r="I27" i="39"/>
  <c r="I29" i="39" s="1"/>
  <c r="E82" i="5"/>
  <c r="H19" i="36"/>
  <c r="H24" i="36" s="1"/>
  <c r="F24" i="36"/>
  <c r="E82" i="29"/>
  <c r="G28" i="4" s="1"/>
  <c r="H28" i="4" s="1"/>
  <c r="G61" i="36"/>
  <c r="I59" i="36"/>
  <c r="I61" i="36" s="1"/>
  <c r="H19" i="39"/>
  <c r="H24" i="39" s="1"/>
  <c r="F24" i="39"/>
  <c r="G82" i="35"/>
  <c r="G42" i="39"/>
  <c r="G43" i="39" s="1"/>
  <c r="I40" i="39"/>
  <c r="I42" i="39" s="1"/>
  <c r="I43" i="39" s="1"/>
  <c r="H82" i="38"/>
  <c r="I86" i="39"/>
  <c r="I89" i="39" s="1"/>
  <c r="I82" i="52"/>
  <c r="D61" i="5"/>
  <c r="I32" i="39"/>
  <c r="I36" i="39" s="1"/>
  <c r="G36" i="39"/>
  <c r="P643" i="44"/>
  <c r="R91" i="24"/>
  <c r="I82" i="50"/>
  <c r="I24" i="57"/>
  <c r="G82" i="38"/>
  <c r="S647" i="44"/>
  <c r="U91" i="27"/>
  <c r="H82" i="33"/>
  <c r="H91" i="33" s="1"/>
  <c r="F82" i="32"/>
  <c r="L82" i="12"/>
  <c r="L91" i="12" s="1"/>
  <c r="AC643" i="44"/>
  <c r="AE91" i="24"/>
  <c r="I82" i="43"/>
  <c r="I91" i="43" s="1"/>
  <c r="H11" i="36"/>
  <c r="H16" i="36" s="1"/>
  <c r="H82" i="36" s="1"/>
  <c r="H91" i="36" s="1"/>
  <c r="F16" i="36"/>
  <c r="O647" i="44"/>
  <c r="Q91" i="27"/>
  <c r="H54" i="5"/>
  <c r="H56" i="5" s="1"/>
  <c r="F56" i="5"/>
  <c r="G89" i="5"/>
  <c r="I86" i="5"/>
  <c r="I89" i="5" s="1"/>
  <c r="F16" i="39"/>
  <c r="H11" i="39"/>
  <c r="H16" i="39" s="1"/>
  <c r="G82" i="37"/>
  <c r="G91" i="37" s="1"/>
  <c r="I32" i="36"/>
  <c r="I36" i="36" s="1"/>
  <c r="G36" i="36"/>
  <c r="M82" i="15"/>
  <c r="M91" i="15" s="1"/>
  <c r="T643" i="44"/>
  <c r="V91" i="24"/>
  <c r="I70" i="5"/>
  <c r="I72" i="5" s="1"/>
  <c r="G72" i="5"/>
  <c r="F82" i="50"/>
  <c r="I27" i="36"/>
  <c r="I29" i="36" s="1"/>
  <c r="G91" i="21"/>
  <c r="G84" i="24"/>
  <c r="F643" i="44"/>
  <c r="H91" i="24"/>
  <c r="H87" i="36"/>
  <c r="D89" i="36"/>
  <c r="F82" i="41"/>
  <c r="G82" i="40"/>
  <c r="G82" i="52"/>
  <c r="E89" i="5"/>
  <c r="H87" i="5"/>
  <c r="D89" i="5"/>
  <c r="X647" i="44"/>
  <c r="Z91" i="27"/>
  <c r="F82" i="33"/>
  <c r="F91" i="33" s="1"/>
  <c r="F24" i="5"/>
  <c r="H19" i="5"/>
  <c r="H24" i="5" s="1"/>
  <c r="G82" i="43"/>
  <c r="G91" i="43" s="1"/>
  <c r="G42" i="36"/>
  <c r="G43" i="36" s="1"/>
  <c r="I40" i="36"/>
  <c r="I42" i="36" s="1"/>
  <c r="I43" i="36" s="1"/>
  <c r="I70" i="36"/>
  <c r="I72" i="36" s="1"/>
  <c r="G72" i="36"/>
  <c r="D82" i="27"/>
  <c r="D91" i="27" s="1"/>
  <c r="D36" i="5"/>
  <c r="D82" i="5" s="1"/>
  <c r="D91" i="5" s="1"/>
  <c r="I82" i="37"/>
  <c r="I91" i="37" s="1"/>
  <c r="H32" i="5"/>
  <c r="H36" i="5" s="1"/>
  <c r="F36" i="5"/>
  <c r="H70" i="39"/>
  <c r="H72" i="39" s="1"/>
  <c r="F72" i="39"/>
  <c r="H27" i="39"/>
  <c r="H29" i="39" s="1"/>
  <c r="F29" i="39"/>
  <c r="G647" i="44"/>
  <c r="I91" i="27"/>
  <c r="I643" i="44"/>
  <c r="K91" i="24"/>
  <c r="H82" i="50"/>
  <c r="I27" i="5"/>
  <c r="I29" i="5" s="1"/>
  <c r="G29" i="5"/>
  <c r="E91" i="37"/>
  <c r="H32" i="39"/>
  <c r="H36" i="39" s="1"/>
  <c r="F36" i="39"/>
  <c r="B26" i="4"/>
  <c r="C26" i="4" s="1"/>
  <c r="M91" i="19"/>
  <c r="H82" i="41"/>
  <c r="I86" i="36"/>
  <c r="I89" i="36" s="1"/>
  <c r="G89" i="36"/>
  <c r="I40" i="5" l="1"/>
  <c r="I42" i="5" s="1"/>
  <c r="I43" i="5" s="1"/>
  <c r="G42" i="5"/>
  <c r="G43" i="5" s="1"/>
  <c r="H89" i="5"/>
  <c r="E91" i="5"/>
  <c r="B30" i="4" s="1"/>
  <c r="D91" i="36"/>
  <c r="I82" i="57"/>
  <c r="H82" i="39"/>
  <c r="H91" i="39" s="1"/>
  <c r="F82" i="39"/>
  <c r="F91" i="39" s="1"/>
  <c r="F82" i="36"/>
  <c r="F91" i="36" s="1"/>
  <c r="F82" i="5"/>
  <c r="F91" i="5" s="1"/>
  <c r="H91" i="5"/>
  <c r="G82" i="41"/>
  <c r="I94" i="36"/>
  <c r="I82" i="36"/>
  <c r="I91" i="36" s="1"/>
  <c r="C18" i="4"/>
  <c r="C29" i="4" s="1"/>
  <c r="B29" i="4"/>
  <c r="B32" i="4" s="1"/>
  <c r="G82" i="39"/>
  <c r="G91" i="39" s="1"/>
  <c r="E91" i="21"/>
  <c r="E84" i="24"/>
  <c r="G15" i="4"/>
  <c r="I19" i="5"/>
  <c r="I24" i="5" s="1"/>
  <c r="I82" i="5" s="1"/>
  <c r="I91" i="5" s="1"/>
  <c r="G24" i="5"/>
  <c r="G82" i="5" s="1"/>
  <c r="G91" i="5" s="1"/>
  <c r="G30" i="4" s="1"/>
  <c r="G82" i="36"/>
  <c r="G91" i="36" s="1"/>
  <c r="I54" i="5"/>
  <c r="I56" i="5" s="1"/>
  <c r="G56" i="5"/>
  <c r="I82" i="39"/>
  <c r="I91" i="39" s="1"/>
  <c r="C30" i="4" l="1"/>
  <c r="C32" i="4" s="1"/>
  <c r="H15" i="4"/>
  <c r="H29" i="4" s="1"/>
  <c r="H31" i="4" s="1"/>
  <c r="G29" i="4"/>
  <c r="G32" i="4" s="1"/>
</calcChain>
</file>

<file path=xl/comments1.xml><?xml version="1.0" encoding="utf-8"?>
<comments xmlns="http://schemas.openxmlformats.org/spreadsheetml/2006/main">
  <authors>
    <author>jlittle</author>
  </authors>
  <commentLis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1069500 is Devon Energy N75151.1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3058 is deal N70012.F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3/00 per roar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Savanah Foods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4177 is columbia gas
3305 is Dayton
1370 is TVSG
3043 is Entergy
6056 offsets reclass from STG BOOK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Reliant Energy; Public Utilities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IM deals E07001.A and EK1331.3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M13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</t>
        </r>
      </text>
    </comment>
    <comment ref="M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Southern Union</t>
        </r>
      </text>
    </comment>
    <comment ref="M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Intra - Tx Deal N66370.1</t>
        </r>
      </text>
    </commen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to Transport Desk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M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remove Liq PMA incorrectly included in Feb column
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M8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M5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Reclass with 12/99 per roar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<sst xmlns="http://schemas.openxmlformats.org/spreadsheetml/2006/main" count="6587" uniqueCount="222">
  <si>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</si>
  <si>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</si>
  <si>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</si>
  <si>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</si>
  <si>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</si>
  <si>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</si>
  <si>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</si>
  <si>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</si>
  <si>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</si>
  <si>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</si>
  <si>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</si>
  <si>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</si>
  <si>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</si>
  <si>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</si>
  <si>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</si>
  <si>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</si>
  <si>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</si>
  <si>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</si>
  <si>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</si>
  <si>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</si>
  <si>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</si>
  <si>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</si>
  <si>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</si>
  <si>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</si>
  <si>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</si>
  <si>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</si>
  <si>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</si>
  <si>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</si>
  <si>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</si>
  <si>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</si>
  <si>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</si>
  <si>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</si>
  <si>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</si>
  <si>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</si>
  <si>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</si>
  <si>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</si>
  <si>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</si>
  <si>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</si>
  <si>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</si>
  <si>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</si>
  <si>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</si>
  <si>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</si>
  <si>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</si>
  <si>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</si>
  <si>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</si>
  <si>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</si>
  <si>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</si>
  <si>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</si>
  <si>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</si>
  <si>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</si>
  <si>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</si>
  <si>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</si>
  <si>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</si>
  <si>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</si>
  <si>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</si>
  <si>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</si>
  <si>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</si>
  <si>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</si>
  <si>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</si>
  <si>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</si>
  <si>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</si>
  <si>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</si>
  <si>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</si>
  <si>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</si>
  <si>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</si>
  <si>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</si>
  <si>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</si>
  <si>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</si>
  <si>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</si>
  <si>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</si>
  <si>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</si>
  <si>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</si>
  <si>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</si>
  <si>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</si>
  <si>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</si>
  <si>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</si>
  <si>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</si>
  <si>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</si>
  <si>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</si>
  <si>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</si>
  <si>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</si>
  <si>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</si>
  <si>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</si>
  <si>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Southeast-EGM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</si>
  <si>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</si>
  <si>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</si>
  <si>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</si>
  <si>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</si>
  <si>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</si>
  <si>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</si>
  <si>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</si>
  <si>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</si>
  <si>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</si>
  <si>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</si>
  <si>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</si>
  <si>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</si>
  <si>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</si>
  <si>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</si>
  <si>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</si>
  <si>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</si>
  <si>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</si>
  <si>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</si>
  <si>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</si>
  <si>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</si>
  <si>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</si>
  <si>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</si>
  <si>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</si>
  <si>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</si>
  <si>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</si>
  <si>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</si>
  <si>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SOUTHEAST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</si>
  <si>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</si>
  <si>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</si>
  <si>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</si>
  <si>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</si>
  <si>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</si>
  <si>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</si>
  <si>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</si>
  <si>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</si>
  <si>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</si>
  <si>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</si>
  <si>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</si>
  <si>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</si>
  <si>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</si>
  <si>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</si>
  <si>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</si>
  <si>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</si>
  <si>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</si>
  <si>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</si>
  <si>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</si>
  <si>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</si>
  <si>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</si>
  <si>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</si>
  <si>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</si>
  <si>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</si>
  <si>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</si>
  <si>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</si>
  <si>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</si>
  <si>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</si>
  <si>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</si>
  <si>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</si>
  <si>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</si>
  <si>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</si>
  <si>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</si>
  <si>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</si>
  <si>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</si>
  <si>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</si>
  <si>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</si>
  <si>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</si>
  <si>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</si>
  <si>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</si>
  <si>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</si>
  <si>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</si>
  <si>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</si>
  <si>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</si>
  <si>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</si>
  <si>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East- EGM</t>
  </si>
  <si>
    <t>East-LRC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</si>
  <si>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</si>
  <si>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</si>
  <si>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</si>
  <si>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</si>
  <si>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</si>
  <si>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</si>
  <si>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</si>
  <si>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</si>
  <si>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</si>
  <si>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</si>
  <si>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</si>
  <si>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</si>
  <si>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</si>
  <si>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</si>
  <si>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</si>
  <si>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</si>
  <si>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</si>
  <si>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</si>
  <si>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</si>
  <si>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</si>
  <si>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</si>
  <si>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</si>
  <si>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</si>
  <si>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</si>
  <si>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</si>
  <si>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</si>
  <si>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</si>
  <si>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</si>
  <si>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</si>
  <si>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</si>
  <si>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</si>
  <si>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</si>
  <si>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</si>
  <si>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</si>
  <si>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</si>
  <si>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</si>
  <si>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</si>
  <si>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</si>
  <si>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</si>
  <si>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</si>
  <si>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January</t>
  </si>
  <si>
    <t>REGION:  DENVER</t>
  </si>
  <si>
    <t>Denver</t>
  </si>
  <si>
    <t>REGION: DENVER</t>
  </si>
  <si>
    <t>DENVER</t>
  </si>
  <si>
    <t>9912V</t>
  </si>
  <si>
    <t>9912A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</si>
  <si>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</si>
  <si>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</si>
  <si>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</si>
  <si>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</si>
  <si>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</si>
  <si>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</si>
  <si>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</si>
  <si>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</si>
  <si>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</si>
  <si>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</si>
  <si>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</si>
  <si>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PRODUCTION MONTH: 0001</t>
  </si>
  <si>
    <t>0001V</t>
  </si>
  <si>
    <t>0001A</t>
  </si>
  <si>
    <t>February</t>
  </si>
  <si>
    <t>March</t>
  </si>
  <si>
    <t>April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</si>
</sst>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7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19" fillId="5" borderId="23" xfId="1" applyNumberFormat="1" applyFont="1" applyFill="1" applyBorder="1" applyAlignment="1"/>
    <xf numFmtId="165" fontId="16" fillId="5" borderId="23" xfId="1" applyNumberFormat="1" applyFont="1" applyFill="1" applyBorder="1" applyAlignment="1"/>
    <xf numFmtId="165" fontId="16" fillId="0" borderId="1" xfId="1" applyNumberFormat="1" applyFont="1" applyBorder="1"/>
    <xf numFmtId="165" fontId="16" fillId="0" borderId="11" xfId="1" applyNumberFormat="1" applyFont="1" applyBorder="1"/>
    <xf numFmtId="165" fontId="27" fillId="0" borderId="1" xfId="1" applyNumberFormat="1" applyFont="1" applyBorder="1"/>
    <xf numFmtId="165" fontId="27" fillId="0" borderId="2" xfId="1" applyNumberFormat="1" applyFont="1" applyBorder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26" fillId="5" borderId="11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4</xdr:row>
          <xdr:rowOff>47625</xdr:rowOff>
        </xdr:from>
        <xdr:to>
          <xdr:col>4</xdr:col>
          <xdr:colOff>600075</xdr:colOff>
          <xdr:row>4</xdr:row>
          <xdr:rowOff>257175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5</xdr:row>
          <xdr:rowOff>47625</xdr:rowOff>
        </xdr:from>
        <xdr:to>
          <xdr:col>4</xdr:col>
          <xdr:colOff>600075</xdr:colOff>
          <xdr:row>5</xdr:row>
          <xdr:rowOff>257175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6</xdr:row>
          <xdr:rowOff>47625</xdr:rowOff>
        </xdr:from>
        <xdr:to>
          <xdr:col>4</xdr:col>
          <xdr:colOff>600075</xdr:colOff>
          <xdr:row>6</xdr:row>
          <xdr:rowOff>257175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7</xdr:row>
          <xdr:rowOff>47625</xdr:rowOff>
        </xdr:from>
        <xdr:to>
          <xdr:col>4</xdr:col>
          <xdr:colOff>600075</xdr:colOff>
          <xdr:row>7</xdr:row>
          <xdr:rowOff>257175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8</xdr:row>
          <xdr:rowOff>47625</xdr:rowOff>
        </xdr:from>
        <xdr:to>
          <xdr:col>4</xdr:col>
          <xdr:colOff>600075</xdr:colOff>
          <xdr:row>8</xdr:row>
          <xdr:rowOff>257175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9</xdr:row>
          <xdr:rowOff>47625</xdr:rowOff>
        </xdr:from>
        <xdr:to>
          <xdr:col>4</xdr:col>
          <xdr:colOff>600075</xdr:colOff>
          <xdr:row>9</xdr:row>
          <xdr:rowOff>257175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10</xdr:row>
          <xdr:rowOff>47625</xdr:rowOff>
        </xdr:from>
        <xdr:to>
          <xdr:col>4</xdr:col>
          <xdr:colOff>600075</xdr:colOff>
          <xdr:row>10</xdr:row>
          <xdr:rowOff>257175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11</xdr:row>
          <xdr:rowOff>47625</xdr:rowOff>
        </xdr:from>
        <xdr:to>
          <xdr:col>4</xdr:col>
          <xdr:colOff>600075</xdr:colOff>
          <xdr:row>11</xdr:row>
          <xdr:rowOff>257175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14</xdr:row>
          <xdr:rowOff>47625</xdr:rowOff>
        </xdr:from>
        <xdr:to>
          <xdr:col>4</xdr:col>
          <xdr:colOff>600075</xdr:colOff>
          <xdr:row>14</xdr:row>
          <xdr:rowOff>257175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104775</xdr:colOff>
          <xdr:row>17</xdr:row>
          <xdr:rowOff>47625</xdr:rowOff>
        </xdr:from>
        <xdr:to>
          <xdr:col>4</xdr:col>
          <xdr:colOff>600075</xdr:colOff>
          <xdr:row>17</xdr:row>
          <xdr:rowOff>257175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333375</xdr:colOff>
          <xdr:row>0</xdr:row>
          <xdr:rowOff>47625</xdr:rowOff>
        </xdr:from>
        <xdr:to>
          <xdr:col>3</xdr:col>
          <xdr:colOff>1476375</xdr:colOff>
          <xdr:row>0</xdr:row>
          <xdr:rowOff>276225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57">
          <cell r="G57">
            <v>5584978.2899999991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KT East"/>
      <sheetName val="Sithe"/>
      <sheetName val="Central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5">
          <cell r="B5">
            <v>3222000</v>
          </cell>
          <cell r="C5">
            <v>7551000</v>
          </cell>
          <cell r="D5">
            <v>-3743000</v>
          </cell>
          <cell r="E5">
            <v>478000</v>
          </cell>
          <cell r="G5">
            <v>3474000</v>
          </cell>
          <cell r="H5">
            <v>2827000</v>
          </cell>
          <cell r="I5">
            <v>-4000</v>
          </cell>
          <cell r="J5">
            <v>-56000</v>
          </cell>
          <cell r="K5">
            <v>532000</v>
          </cell>
          <cell r="L5">
            <v>6042000</v>
          </cell>
          <cell r="M5">
            <v>2719000</v>
          </cell>
          <cell r="N5">
            <v>119000</v>
          </cell>
          <cell r="O5">
            <v>666000</v>
          </cell>
          <cell r="P5">
            <v>-245000</v>
          </cell>
          <cell r="Q5">
            <v>-442000</v>
          </cell>
          <cell r="R5">
            <v>-63000</v>
          </cell>
          <cell r="S5">
            <v>-223000</v>
          </cell>
          <cell r="U5">
            <v>22854000</v>
          </cell>
        </row>
        <row r="22">
          <cell r="U22">
            <v>-3636627</v>
          </cell>
        </row>
        <row r="39">
          <cell r="B39">
            <v>3604127</v>
          </cell>
          <cell r="C39">
            <v>6985533</v>
          </cell>
          <cell r="D39">
            <v>-3743000</v>
          </cell>
          <cell r="E39">
            <v>478000</v>
          </cell>
          <cell r="G39">
            <v>3401333</v>
          </cell>
          <cell r="H39">
            <v>3136758</v>
          </cell>
          <cell r="I39">
            <v>-4000</v>
          </cell>
          <cell r="J39">
            <v>-56000</v>
          </cell>
          <cell r="K39">
            <v>532000</v>
          </cell>
          <cell r="L39">
            <v>2949291</v>
          </cell>
          <cell r="M39">
            <v>1918643</v>
          </cell>
          <cell r="N39">
            <v>271898</v>
          </cell>
          <cell r="O39">
            <v>596521</v>
          </cell>
          <cell r="P39">
            <v>-245000</v>
          </cell>
          <cell r="Q39">
            <v>-401363</v>
          </cell>
          <cell r="R39">
            <v>-63000</v>
          </cell>
          <cell r="S39">
            <v>-144368</v>
          </cell>
          <cell r="U39">
            <v>19217373</v>
          </cell>
        </row>
      </sheetData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4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/>
  </sheetViews>
  <sheetFormatPr defaultRowHeight="12.75" x14ac:dyDescent="0.2"/>
  <cols>
    <col min="1" max="1" width="3.42578125" customWidth="1"/>
    <col min="3" max="3" width="6.28515625" customWidth="1"/>
    <col min="4" max="4" width="14.42578125" customWidth="1"/>
    <col min="5" max="5" width="5.42578125" customWidth="1"/>
  </cols>
  <sheetData>
    <row r="1" spans="1:7" ht="18" x14ac:dyDescent="0.25">
      <c r="A1" s="100" t="s">
        <v>0</v>
      </c>
    </row>
    <row r="4" spans="1:7" x14ac:dyDescent="0.2">
      <c r="A4" s="2" t="s">
        <v>1</v>
      </c>
    </row>
    <row r="5" spans="1:7" ht="23.25" customHeight="1" x14ac:dyDescent="0.2"/>
    <row r="6" spans="1:7" ht="21" customHeight="1" x14ac:dyDescent="0.2"/>
    <row r="7" spans="1:7" ht="21" customHeight="1" x14ac:dyDescent="0.2">
      <c r="G7" t="s">
        <v>2</v>
      </c>
    </row>
    <row r="8" spans="1:7" ht="21" customHeight="1" x14ac:dyDescent="0.2"/>
    <row r="9" spans="1:7" ht="21" customHeight="1" x14ac:dyDescent="0.2"/>
    <row r="10" spans="1:7" ht="21" customHeight="1" x14ac:dyDescent="0.2"/>
    <row r="11" spans="1:7" ht="21" customHeight="1" x14ac:dyDescent="0.2"/>
    <row r="12" spans="1:7" ht="21" customHeight="1" x14ac:dyDescent="0.2"/>
    <row r="15" spans="1:7" ht="21" customHeight="1" x14ac:dyDescent="0.2">
      <c r="A15" s="2" t="s">
        <v>3</v>
      </c>
    </row>
    <row r="18" spans="1:1" ht="21" customHeight="1" x14ac:dyDescent="0.2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104775</xdr:colOff>
                    <xdr:row>4</xdr:row>
                    <xdr:rowOff>47625</xdr:rowOff>
                  </from>
                  <to>
                    <xdr:col>4</xdr:col>
                    <xdr:colOff>600075</xdr:colOff>
                    <xdr:row>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104775</xdr:colOff>
                    <xdr:row>5</xdr:row>
                    <xdr:rowOff>47625</xdr:rowOff>
                  </from>
                  <to>
                    <xdr:col>4</xdr:col>
                    <xdr:colOff>600075</xdr:colOff>
                    <xdr:row>5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104775</xdr:colOff>
                    <xdr:row>6</xdr:row>
                    <xdr:rowOff>47625</xdr:rowOff>
                  </from>
                  <to>
                    <xdr:col>4</xdr:col>
                    <xdr:colOff>600075</xdr:colOff>
                    <xdr:row>6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104775</xdr:colOff>
                    <xdr:row>7</xdr:row>
                    <xdr:rowOff>47625</xdr:rowOff>
                  </from>
                  <to>
                    <xdr:col>4</xdr:col>
                    <xdr:colOff>600075</xdr:colOff>
                    <xdr:row>7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104775</xdr:colOff>
                    <xdr:row>8</xdr:row>
                    <xdr:rowOff>47625</xdr:rowOff>
                  </from>
                  <to>
                    <xdr:col>4</xdr:col>
                    <xdr:colOff>600075</xdr:colOff>
                    <xdr:row>8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104775</xdr:colOff>
                    <xdr:row>9</xdr:row>
                    <xdr:rowOff>47625</xdr:rowOff>
                  </from>
                  <to>
                    <xdr:col>4</xdr:col>
                    <xdr:colOff>600075</xdr:colOff>
                    <xdr:row>9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104775</xdr:colOff>
                    <xdr:row>10</xdr:row>
                    <xdr:rowOff>47625</xdr:rowOff>
                  </from>
                  <to>
                    <xdr:col>4</xdr:col>
                    <xdr:colOff>600075</xdr:colOff>
                    <xdr:row>10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104775</xdr:colOff>
                    <xdr:row>11</xdr:row>
                    <xdr:rowOff>47625</xdr:rowOff>
                  </from>
                  <to>
                    <xdr:col>4</xdr:col>
                    <xdr:colOff>600075</xdr:colOff>
                    <xdr:row>11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104775</xdr:colOff>
                    <xdr:row>14</xdr:row>
                    <xdr:rowOff>47625</xdr:rowOff>
                  </from>
                  <to>
                    <xdr:col>4</xdr:col>
                    <xdr:colOff>600075</xdr:colOff>
                    <xdr:row>14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104775</xdr:colOff>
                    <xdr:row>17</xdr:row>
                    <xdr:rowOff>47625</xdr:rowOff>
                  </from>
                  <to>
                    <xdr:col>4</xdr:col>
                    <xdr:colOff>600075</xdr:colOff>
                    <xdr:row>17</xdr:row>
                    <xdr:rowOff>257175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6.140625" customWidth="1"/>
    <col min="7" max="7" width="15.42578125" customWidth="1"/>
    <col min="8" max="8" width="16.140625" customWidth="1"/>
    <col min="9" max="15" width="15.42578125" customWidth="1"/>
  </cols>
  <sheetData>
    <row r="1" spans="1:22" x14ac:dyDescent="0.2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</f>
        <v>486237746</v>
      </c>
      <c r="E11" s="65">
        <f>STG_VAR!E11+ONT_VAR!E11+'CE-VAR'!E11+'EAST-EGM-VAR'!E11+'BGC-EGM-VAR'!E11+'EAST-LRC-VAR'!E11+'TX-EGM-VAR'!E11+'TX-HPLR-VAR '!E11+'WE-VAR'!E11+BUG_VAR!E11+'TX-HPLC-VAR'!E11+'ARUBA-VAR'!E11+'SITHE-VAR'!E11+'DEN-VAR'!E11</f>
        <v>1159937374</v>
      </c>
      <c r="F11" s="65">
        <f>STG_VAR!F11+ONT_VAR!F11+'CE-VAR'!F11+'EAST-EGM-VAR'!F11+'BGC-EGM-VAR'!F11+'EAST-LRC-VAR'!F11+'TX-EGM-VAR'!F11+'TX-HPLR-VAR '!F11+'WE-VAR'!F11+BUG_VAR!F11+'TX-HPLC-VAR'!F11+'ARUBA-VAR'!F11+'SITHE-VAR'!F11+'DEN-VAR'!F11</f>
        <v>474928725</v>
      </c>
      <c r="G11" s="65">
        <f>STG_VAR!G11+ONT_VAR!G11+'CE-VAR'!G11+'EAST-EGM-VAR'!G11+'BGC-EGM-VAR'!G11+'EAST-LRC-VAR'!G11+'TX-EGM-VAR'!G11+'TX-HPLR-VAR '!G11+'WE-VAR'!G11+BUG_VAR!G11+'TX-HPLC-VAR'!G11+'ARUBA-VAR'!G11+'SITHE-VAR'!G11+'DEN-VAR'!G11</f>
        <v>1135833469.6200001</v>
      </c>
      <c r="H11" s="60">
        <f>F11-D11</f>
        <v>-11309021</v>
      </c>
      <c r="I11" s="38">
        <f>G11-E11</f>
        <v>-24103904.379999876</v>
      </c>
    </row>
    <row r="12" spans="1:22" x14ac:dyDescent="0.2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</f>
        <v>4964602</v>
      </c>
      <c r="F12" s="65">
        <f>STG_VAR!F12+ONT_VAR!F12+'CE-VAR'!F12+'EAST-EGM-VAR'!F12+'BGC-EGM-VAR'!F12+'EAST-LRC-VAR'!F12+'TX-EGM-VAR'!F12+'TX-HPLR-VAR '!F12+'WE-VAR'!F12+BUG_VAR!F12+'TX-HPLC-VAR'!F12+'ARUBA-VAR'!F12+'SITHE-VAR'!F12+'DEN-VAR'!F12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</f>
        <v>1392256.64</v>
      </c>
      <c r="H12" s="60">
        <f>F12-D12</f>
        <v>0</v>
      </c>
      <c r="I12" s="38">
        <f>G12-E12</f>
        <v>-3572345.3600000003</v>
      </c>
    </row>
    <row r="13" spans="1:22" x14ac:dyDescent="0.2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</f>
        <v>232351716</v>
      </c>
      <c r="E13" s="65">
        <f>STG_VAR!E13+ONT_VAR!E13+'CE-VAR'!E13+'EAST-EGM-VAR'!E13+'BGC-EGM-VAR'!E13+'EAST-LRC-VAR'!E13+'TX-EGM-VAR'!E13+'TX-HPLR-VAR '!E13+'WE-VAR'!E13+BUG_VAR!E13+'TX-HPLC-VAR'!E13+'ARUBA-VAR'!E13+'SITHE-VAR'!E13+'DEN-VAR'!E13</f>
        <v>646377598</v>
      </c>
      <c r="F13" s="65">
        <f>STG_VAR!F13+ONT_VAR!F13+'CE-VAR'!F13+'EAST-EGM-VAR'!F13+'BGC-EGM-VAR'!F13+'EAST-LRC-VAR'!F13+'TX-EGM-VAR'!F13+'TX-HPLR-VAR '!F13+'WE-VAR'!F13+BUG_VAR!F13+'TX-HPLC-VAR'!F13+'ARUBA-VAR'!F13+'SITHE-VAR'!F13+'DEN-VAR'!F13</f>
        <v>68058869</v>
      </c>
      <c r="G13" s="65">
        <f>STG_VAR!G13+ONT_VAR!G13+'CE-VAR'!G13+'EAST-EGM-VAR'!G13+'BGC-EGM-VAR'!G13+'EAST-LRC-VAR'!G13+'TX-EGM-VAR'!G13+'TX-HPLR-VAR '!G13+'WE-VAR'!G13+BUG_VAR!G13+'TX-HPLC-VAR'!G13+'ARUBA-VAR'!G13+'SITHE-VAR'!G13+'DEN-VAR'!G13</f>
        <v>176049473</v>
      </c>
      <c r="H13" s="60">
        <f t="shared" ref="H13:I15" si="0">F13-D13</f>
        <v>-164292847</v>
      </c>
      <c r="I13" s="38">
        <f t="shared" si="0"/>
        <v>-470328125</v>
      </c>
    </row>
    <row r="14" spans="1:22" x14ac:dyDescent="0.2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</f>
        <v>-496</v>
      </c>
      <c r="F14" s="65">
        <f>STG_VAR!F14+ONT_VAR!F14+'CE-VAR'!F14+'EAST-EGM-VAR'!F14+'BGC-EGM-VAR'!F14+'EAST-LRC-VAR'!F14+'TX-EGM-VAR'!F14+'TX-HPLR-VAR '!F14+'WE-VAR'!F14+BUG_VAR!F14+'TX-HPLC-VAR'!F14+'ARUBA-VAR'!F14+'SITHE-VAR'!F14+'DEN-VAR'!F14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</f>
        <v>10610859</v>
      </c>
      <c r="F15" s="65">
        <f>STG_VAR!F15+ONT_VAR!F15+'CE-VAR'!F15+'EAST-EGM-VAR'!F15+'BGC-EGM-VAR'!F15+'EAST-LRC-VAR'!F15+'TX-EGM-VAR'!F15+'TX-HPLR-VAR '!F15+'WE-VAR'!F15+BUG_VAR!F15+'TX-HPLC-VAR'!F15+'ARUBA-VAR'!F15+'SITHE-VAR'!F15+'DEN-VAR'!F15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</f>
        <v>25980515.950000003</v>
      </c>
      <c r="H15" s="60">
        <f t="shared" si="0"/>
        <v>0</v>
      </c>
      <c r="I15" s="38">
        <f t="shared" si="0"/>
        <v>15369656.950000003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718589462</v>
      </c>
      <c r="E16" s="39">
        <f t="shared" si="1"/>
        <v>1821889937</v>
      </c>
      <c r="F16" s="61">
        <f t="shared" si="1"/>
        <v>542987594</v>
      </c>
      <c r="G16" s="39">
        <f t="shared" si="1"/>
        <v>1339255715.2100003</v>
      </c>
      <c r="H16" s="61">
        <f t="shared" si="1"/>
        <v>-175601868</v>
      </c>
      <c r="I16" s="39">
        <f t="shared" si="1"/>
        <v>-482634221.7899999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</f>
        <v>-460693163</v>
      </c>
      <c r="E19" s="65">
        <f>STG_VAR!E19+ONT_VAR!E19+'CE-VAR'!E19+'EAST-EGM-VAR'!E19+'BGC-EGM-VAR'!E19+'EAST-LRC-VAR'!E19+'TX-EGM-VAR'!E19+'TX-HPLR-VAR '!E19+'WE-VAR'!E19+BUG_VAR!E19+'TX-HPLC-VAR'!E19+'ARUBA-VAR'!E19+'SITHE-VAR'!E19+'DEN-VAR'!E19</f>
        <v>-1090477961</v>
      </c>
      <c r="F19" s="65">
        <f>STG_VAR!F19+ONT_VAR!F19+'CE-VAR'!F19+'EAST-EGM-VAR'!F19+'BGC-EGM-VAR'!F19+'EAST-LRC-VAR'!F19+'TX-EGM-VAR'!F19+'TX-HPLR-VAR '!F19+'WE-VAR'!F19+BUG_VAR!F19+'TX-HPLC-VAR'!F19+'ARUBA-VAR'!F19+'SITHE-VAR'!F19+'DEN-VAR'!F19</f>
        <v>-450470529</v>
      </c>
      <c r="G19" s="65">
        <f>STG_VAR!G19+ONT_VAR!G19+'CE-VAR'!G19+'EAST-EGM-VAR'!G19+'BGC-EGM-VAR'!G19+'EAST-LRC-VAR'!G19+'TX-EGM-VAR'!G19+'TX-HPLR-VAR '!G19+'WE-VAR'!G19+BUG_VAR!G19+'TX-HPLC-VAR'!G19+'ARUBA-VAR'!G19+'SITHE-VAR'!G19+'DEN-VAR'!G19</f>
        <v>-1050970027.1500001</v>
      </c>
      <c r="H19" s="60">
        <f>F19-D19</f>
        <v>10222634</v>
      </c>
      <c r="I19" s="38">
        <f>G19-E19</f>
        <v>39507933.849999905</v>
      </c>
    </row>
    <row r="20" spans="1:9" x14ac:dyDescent="0.2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</f>
        <v>-12780415.889999999</v>
      </c>
      <c r="H20" s="60">
        <f>F20-D20</f>
        <v>0</v>
      </c>
      <c r="I20" s="38">
        <f>G20-E20</f>
        <v>-12780415.889999999</v>
      </c>
    </row>
    <row r="21" spans="1:9" x14ac:dyDescent="0.2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</f>
        <v>-233178536</v>
      </c>
      <c r="E21" s="65">
        <f>STG_VAR!E21+ONT_VAR!E21+'CE-VAR'!E21+'EAST-EGM-VAR'!E21+'BGC-EGM-VAR'!E21+'EAST-LRC-VAR'!E21+'TX-EGM-VAR'!E21+'TX-HPLR-VAR '!E21+'WE-VAR'!E21+BUG_VAR!E21+'TX-HPLC-VAR'!E21+'ARUBA-VAR'!E21+'SITHE-VAR'!E21+'DEN-VAR'!E21</f>
        <v>-647885082</v>
      </c>
      <c r="F21" s="65">
        <f>STG_VAR!F21+ONT_VAR!F21+'CE-VAR'!F21+'EAST-EGM-VAR'!F21+'BGC-EGM-VAR'!F21+'EAST-LRC-VAR'!F21+'TX-EGM-VAR'!F21+'TX-HPLR-VAR '!F21+'WE-VAR'!F21+BUG_VAR!F21+'TX-HPLC-VAR'!F21+'ARUBA-VAR'!F21+'SITHE-VAR'!F21+'DEN-VAR'!F21</f>
        <v>-68058869</v>
      </c>
      <c r="G21" s="65">
        <f>STG_VAR!G21+ONT_VAR!G21+'CE-VAR'!G21+'EAST-EGM-VAR'!G21+'BGC-EGM-VAR'!G21+'EAST-LRC-VAR'!G21+'TX-EGM-VAR'!G21+'TX-HPLR-VAR '!G21+'WE-VAR'!G21+BUG_VAR!G21+'TX-HPLC-VAR'!G21+'ARUBA-VAR'!G21+'SITHE-VAR'!G21+'DEN-VAR'!G21</f>
        <v>-172508002</v>
      </c>
      <c r="H21" s="60">
        <f t="shared" ref="H21:I23" si="2">F21-D21</f>
        <v>165119667</v>
      </c>
      <c r="I21" s="38">
        <f t="shared" si="2"/>
        <v>475377080</v>
      </c>
    </row>
    <row r="22" spans="1:9" x14ac:dyDescent="0.2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</f>
        <v>2677044</v>
      </c>
      <c r="E23" s="65">
        <f>STG_VAR!E23+ONT_VAR!E23+'CE-VAR'!E23+'EAST-EGM-VAR'!E23+'BGC-EGM-VAR'!E23+'EAST-LRC-VAR'!E23+'TX-EGM-VAR'!E23+'TX-HPLR-VAR '!E23+'WE-VAR'!E23+BUG_VAR!E23+'TX-HPLC-VAR'!E23+'ARUBA-VAR'!E23+'SITHE-VAR'!E23+'DEN-VAR'!E23</f>
        <v>6717034</v>
      </c>
      <c r="F23" s="65">
        <f>STG_VAR!F23+ONT_VAR!F23+'CE-VAR'!F23+'EAST-EGM-VAR'!F23+'BGC-EGM-VAR'!F23+'EAST-LRC-VAR'!F23+'TX-EGM-VAR'!F23+'TX-HPLR-VAR '!F23+'WE-VAR'!F23+BUG_VAR!F23+'TX-HPLC-VAR'!F23+'ARUBA-VAR'!F23+'SITHE-VAR'!F23+'DEN-VAR'!F23</f>
        <v>3024744</v>
      </c>
      <c r="G23" s="65">
        <f>STG_VAR!G23+ONT_VAR!G23+'CE-VAR'!G23+'EAST-EGM-VAR'!G23+'BGC-EGM-VAR'!G23+'EAST-LRC-VAR'!G23+'TX-EGM-VAR'!G23+'TX-HPLR-VAR '!G23+'WE-VAR'!G23+BUG_VAR!G23+'TX-HPLC-VAR'!G23+'ARUBA-VAR'!G23+'SITHE-VAR'!G23+'DEN-VAR'!G23</f>
        <v>6912400.7079999996</v>
      </c>
      <c r="H23" s="60">
        <f t="shared" si="2"/>
        <v>347700</v>
      </c>
      <c r="I23" s="38">
        <f t="shared" si="2"/>
        <v>195366.70799999963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-691194655</v>
      </c>
      <c r="E24" s="39">
        <f t="shared" si="3"/>
        <v>-1731646009</v>
      </c>
      <c r="F24" s="61">
        <f t="shared" si="3"/>
        <v>-515504654</v>
      </c>
      <c r="G24" s="39">
        <f t="shared" si="3"/>
        <v>-1229346044.332</v>
      </c>
      <c r="H24" s="61">
        <f t="shared" si="3"/>
        <v>175690001</v>
      </c>
      <c r="I24" s="39">
        <f t="shared" si="3"/>
        <v>502299964.66799992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</f>
        <v>91862022</v>
      </c>
      <c r="E27" s="65">
        <f>STG_VAR!E27+ONT_VAR!E27+'CE-VAR'!E27+'EAST-EGM-VAR'!E27+'BGC-EGM-VAR'!E27+'EAST-LRC-VAR'!E27+'TX-EGM-VAR'!E27+'TX-HPLR-VAR '!E27+'WE-VAR'!E27+BUG_VAR!E27+'TX-HPLC-VAR'!E27+'ARUBA-VAR'!E27+'SITHE-VAR'!E27+'DEN-VAR'!E27</f>
        <v>215996358</v>
      </c>
      <c r="F27" s="65">
        <f>STG_VAR!F27+ONT_VAR!F27+'CE-VAR'!F27+'EAST-EGM-VAR'!F27+'BGC-EGM-VAR'!F27+'EAST-LRC-VAR'!F27+'TX-EGM-VAR'!F27+'TX-HPLR-VAR '!F27+'WE-VAR'!F27+BUG_VAR!F27+'TX-HPLC-VAR'!F27+'ARUBA-VAR'!F27+'SITHE-VAR'!F27+'DEN-VAR'!F27</f>
        <v>47244260</v>
      </c>
      <c r="G27" s="65">
        <f>STG_VAR!G27+ONT_VAR!G27+'CE-VAR'!G27+'EAST-EGM-VAR'!G27+'BGC-EGM-VAR'!G27+'EAST-LRC-VAR'!G27+'TX-EGM-VAR'!G27+'TX-HPLR-VAR '!G27+'WE-VAR'!G27+BUG_VAR!G27+'TX-HPLC-VAR'!G27+'ARUBA-VAR'!G27+'SITHE-VAR'!G27+'DEN-VAR'!G27</f>
        <v>111387087.31999999</v>
      </c>
      <c r="H27" s="60">
        <f>F27-D27</f>
        <v>-44617762</v>
      </c>
      <c r="I27" s="38">
        <f>G27-E27</f>
        <v>-104609270.68000001</v>
      </c>
    </row>
    <row r="28" spans="1:9" x14ac:dyDescent="0.2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</f>
        <v>-91086157</v>
      </c>
      <c r="E28" s="65">
        <f>STG_VAR!E28+ONT_VAR!E28+'CE-VAR'!E28+'EAST-EGM-VAR'!E28+'BGC-EGM-VAR'!E28+'EAST-LRC-VAR'!E28+'TX-EGM-VAR'!E28+'TX-HPLR-VAR '!E28+'WE-VAR'!E28+BUG_VAR!E28+'TX-HPLC-VAR'!E28+'ARUBA-VAR'!E28+'SITHE-VAR'!E28+'DEN-VAR'!E28</f>
        <v>-214181338</v>
      </c>
      <c r="F28" s="65">
        <f>STG_VAR!F28+ONT_VAR!F28+'CE-VAR'!F28+'EAST-EGM-VAR'!F28+'BGC-EGM-VAR'!F28+'EAST-LRC-VAR'!F28+'TX-EGM-VAR'!F28+'TX-HPLR-VAR '!F28+'WE-VAR'!F28+BUG_VAR!F28+'TX-HPLC-VAR'!F28+'ARUBA-VAR'!F28+'SITHE-VAR'!F28+'DEN-VAR'!F28</f>
        <v>-47190641</v>
      </c>
      <c r="G28" s="65">
        <f>STG_VAR!G28+ONT_VAR!G28+'CE-VAR'!G28+'EAST-EGM-VAR'!G28+'BGC-EGM-VAR'!G28+'EAST-LRC-VAR'!G28+'TX-EGM-VAR'!G28+'TX-HPLR-VAR '!G28+'WE-VAR'!G28+BUG_VAR!G28+'TX-HPLC-VAR'!G28+'ARUBA-VAR'!G28+'SITHE-VAR'!G28+'DEN-VAR'!G28</f>
        <v>-111230569.86000001</v>
      </c>
      <c r="H28" s="60">
        <f>F28-D28</f>
        <v>43895516</v>
      </c>
      <c r="I28" s="38">
        <f>G28-E28</f>
        <v>102950768.13999999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53619</v>
      </c>
      <c r="G29" s="70">
        <f t="shared" si="4"/>
        <v>156517.45999997854</v>
      </c>
      <c r="H29" s="69">
        <f t="shared" si="4"/>
        <v>-722246</v>
      </c>
      <c r="I29" s="70">
        <f t="shared" si="4"/>
        <v>-1658502.5400000215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</f>
        <v>-2137343</v>
      </c>
      <c r="E32" s="65">
        <f>STG_VAR!E32+ONT_VAR!E32+'CE-VAR'!E32+'EAST-EGM-VAR'!E32+'BGC-EGM-VAR'!E32+'EAST-LRC-VAR'!E32+'TX-EGM-VAR'!E32+'TX-HPLR-VAR '!E32+'WE-VAR'!E32+BUG_VAR!E32+'TX-HPLC-VAR'!E32+'ARUBA-VAR'!E32+'SITHE-VAR'!E32+'DEN-VAR'!E32</f>
        <v>-5208429</v>
      </c>
      <c r="F32" s="65">
        <f>STG_VAR!F32+ONT_VAR!F32+'CE-VAR'!F32+'EAST-EGM-VAR'!F32+'BGC-EGM-VAR'!F32+'EAST-LRC-VAR'!F32+'TX-EGM-VAR'!F32+'TX-HPLR-VAR '!F32+'WE-VAR'!F32+BUG_VAR!F32+'TX-HPLC-VAR'!F32+'ARUBA-VAR'!F32+'SITHE-VAR'!F32+'DEN-VAR'!F32</f>
        <v>-1160371</v>
      </c>
      <c r="G32" s="65">
        <f>STG_VAR!G32+ONT_VAR!G32+'CE-VAR'!G32+'EAST-EGM-VAR'!G32+'BGC-EGM-VAR'!G32+'EAST-LRC-VAR'!G32+'TX-EGM-VAR'!G32+'TX-HPLR-VAR '!G32+'WE-VAR'!G32+BUG_VAR!G32+'TX-HPLC-VAR'!G32+'ARUBA-VAR'!G32+'SITHE-VAR'!G32+'DEN-VAR'!G32</f>
        <v>-2394839.0429999987</v>
      </c>
      <c r="H32" s="60">
        <f>F32-D32</f>
        <v>976972</v>
      </c>
      <c r="I32" s="38">
        <f>G32-E32</f>
        <v>2813589.9570000013</v>
      </c>
    </row>
    <row r="33" spans="1:9" x14ac:dyDescent="0.2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</f>
        <v>407133</v>
      </c>
      <c r="E33" s="65">
        <f>STG_VAR!E33+ONT_VAR!E33+'CE-VAR'!E33+'EAST-EGM-VAR'!E33+'BGC-EGM-VAR'!E33+'EAST-LRC-VAR'!E33+'TX-EGM-VAR'!E33+'TX-HPLR-VAR '!E33+'WE-VAR'!E33+BUG_VAR!E33+'TX-HPLC-VAR'!E33+'ARUBA-VAR'!E33+'SITHE-VAR'!E33+'DEN-VAR'!E33</f>
        <v>929952</v>
      </c>
      <c r="F33" s="65">
        <f>STG_VAR!F33+ONT_VAR!F33+'CE-VAR'!F33+'EAST-EGM-VAR'!F33+'BGC-EGM-VAR'!F33+'EAST-LRC-VAR'!F33+'TX-EGM-VAR'!F33+'TX-HPLR-VAR '!F33+'WE-VAR'!F33+BUG_VAR!F33+'TX-HPLC-VAR'!F33+'ARUBA-VAR'!F33+'SITHE-VAR'!F33+'DEN-VAR'!F33</f>
        <v>-3190136</v>
      </c>
      <c r="G33" s="65">
        <f>STG_VAR!G33+ONT_VAR!G33+'CE-VAR'!G33+'EAST-EGM-VAR'!G33+'BGC-EGM-VAR'!G33+'EAST-LRC-VAR'!G33+'TX-EGM-VAR'!G33+'TX-HPLR-VAR '!G33+'WE-VAR'!G33+BUG_VAR!G33+'TX-HPLC-VAR'!G33+'ARUBA-VAR'!G33+'SITHE-VAR'!G33+'DEN-VAR'!G33</f>
        <v>-2410591.61</v>
      </c>
      <c r="H33" s="60">
        <f t="shared" ref="H33:I35" si="5">F33-D33</f>
        <v>-3597269</v>
      </c>
      <c r="I33" s="38">
        <f t="shared" si="5"/>
        <v>-3340543.61</v>
      </c>
    </row>
    <row r="34" spans="1:9" x14ac:dyDescent="0.2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</f>
        <v>-816595</v>
      </c>
      <c r="E34" s="65">
        <f>STG_VAR!E34+ONT_VAR!E34+'CE-VAR'!E34+'EAST-EGM-VAR'!E34+'BGC-EGM-VAR'!E34+'EAST-LRC-VAR'!E34+'TX-EGM-VAR'!E34+'TX-HPLR-VAR '!E34+'WE-VAR'!E34+BUG_VAR!E34+'TX-HPLC-VAR'!E34+'ARUBA-VAR'!E34+'SITHE-VAR'!E34+'DEN-VAR'!E34</f>
        <v>-1863552</v>
      </c>
      <c r="F34" s="65">
        <f>STG_VAR!F34+ONT_VAR!F34+'CE-VAR'!F34+'EAST-EGM-VAR'!F34+'BGC-EGM-VAR'!F34+'EAST-LRC-VAR'!F34+'TX-EGM-VAR'!F34+'TX-HPLR-VAR '!F34+'WE-VAR'!F34+BUG_VAR!F34+'TX-HPLC-VAR'!F34+'ARUBA-VAR'!F34+'SITHE-VAR'!F34+'DEN-VAR'!F34</f>
        <v>2593850</v>
      </c>
      <c r="G34" s="65">
        <f>STG_VAR!G34+ONT_VAR!G34+'CE-VAR'!G34+'EAST-EGM-VAR'!G34+'BGC-EGM-VAR'!G34+'EAST-LRC-VAR'!G34+'TX-EGM-VAR'!G34+'TX-HPLR-VAR '!G34+'WE-VAR'!G34+BUG_VAR!G34+'TX-HPLC-VAR'!G34+'ARUBA-VAR'!G34+'SITHE-VAR'!G34+'DEN-VAR'!G34</f>
        <v>1174897.73</v>
      </c>
      <c r="H34" s="60">
        <f t="shared" si="5"/>
        <v>3410445</v>
      </c>
      <c r="I34" s="38">
        <f t="shared" si="5"/>
        <v>3038449.73</v>
      </c>
    </row>
    <row r="35" spans="1:9" x14ac:dyDescent="0.2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</f>
        <v>-523483</v>
      </c>
      <c r="E35" s="65">
        <f>STG_VAR!E35+ONT_VAR!E35+'CE-VAR'!E35+'EAST-EGM-VAR'!E35+'BGC-EGM-VAR'!E35+'EAST-LRC-VAR'!E35+'TX-EGM-VAR'!E35+'TX-HPLR-VAR '!E35+'WE-VAR'!E35+BUG_VAR!E35+'TX-HPLC-VAR'!E35+'ARUBA-VAR'!E35+'SITHE-VAR'!E35+'DEN-VAR'!E35</f>
        <v>-1291028</v>
      </c>
      <c r="F35" s="65">
        <f>STG_VAR!F35+ONT_VAR!F35+'CE-VAR'!F35+'EAST-EGM-VAR'!F35+'BGC-EGM-VAR'!F35+'EAST-LRC-VAR'!F35+'TX-EGM-VAR'!F35+'TX-HPLR-VAR '!F35+'WE-VAR'!F35+BUG_VAR!F35+'TX-HPLC-VAR'!F35+'ARUBA-VAR'!F35+'SITHE-VAR'!F35+'DEN-VAR'!F35</f>
        <v>-1520039</v>
      </c>
      <c r="G35" s="65">
        <f>STG_VAR!G35+ONT_VAR!G35+'CE-VAR'!G35+'EAST-EGM-VAR'!G35+'BGC-EGM-VAR'!G35+'EAST-LRC-VAR'!G35+'TX-EGM-VAR'!G35+'TX-HPLR-VAR '!G35+'WE-VAR'!G35+BUG_VAR!G35+'TX-HPLC-VAR'!G35+'ARUBA-VAR'!G35+'SITHE-VAR'!G35+'DEN-VAR'!G35</f>
        <v>-4708067.01</v>
      </c>
      <c r="H35" s="60">
        <f t="shared" si="5"/>
        <v>-996556</v>
      </c>
      <c r="I35" s="38">
        <f t="shared" si="5"/>
        <v>-3417039.01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-3070288</v>
      </c>
      <c r="E36" s="39">
        <f t="shared" si="6"/>
        <v>-7433057</v>
      </c>
      <c r="F36" s="61">
        <f t="shared" si="6"/>
        <v>-3276696</v>
      </c>
      <c r="G36" s="39">
        <f t="shared" si="6"/>
        <v>-8338599.9329999983</v>
      </c>
      <c r="H36" s="61">
        <f t="shared" si="6"/>
        <v>-206408</v>
      </c>
      <c r="I36" s="39">
        <f t="shared" si="6"/>
        <v>-905542.93299999833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</f>
        <v>12448344</v>
      </c>
      <c r="E39" s="65">
        <f>STG_VAR!E39+ONT_VAR!E39+'CE-VAR'!E39+'EAST-EGM-VAR'!E39+'BGC-EGM-VAR'!E39+'EAST-LRC-VAR'!E39+'TX-EGM-VAR'!E39+'TX-HPLR-VAR '!E39+'WE-VAR'!E39+BUG_VAR!E39+'TX-HPLC-VAR'!E39+'ARUBA-VAR'!E39+'SITHE-VAR'!E39+'DEN-VAR'!E39</f>
        <v>30327462</v>
      </c>
      <c r="F39" s="65">
        <f>STG_VAR!F39+ONT_VAR!F39+'CE-VAR'!F39+'EAST-EGM-VAR'!F39+'BGC-EGM-VAR'!F39+'EAST-LRC-VAR'!F39+'TX-EGM-VAR'!F39+'TX-HPLR-VAR '!F39+'WE-VAR'!F39+BUG_VAR!F39+'TX-HPLC-VAR'!F39+'ARUBA-VAR'!F39+'SITHE-VAR'!F39+'DEN-VAR'!F39</f>
        <v>1493677</v>
      </c>
      <c r="G39" s="65">
        <f>STG_VAR!G39+ONT_VAR!G39+'CE-VAR'!G39+'EAST-EGM-VAR'!G39+'BGC-EGM-VAR'!G39+'EAST-LRC-VAR'!G39+'TX-EGM-VAR'!G39+'TX-HPLR-VAR '!G39+'WE-VAR'!G39+BUG_VAR!G39+'TX-HPLC-VAR'!G39+'ARUBA-VAR'!G39+'SITHE-VAR'!G39+'DEN-VAR'!G39</f>
        <v>3099186.3800000004</v>
      </c>
      <c r="H39" s="60">
        <f t="shared" ref="H39:I41" si="7">F39-D39</f>
        <v>-10954667</v>
      </c>
      <c r="I39" s="38">
        <f t="shared" si="7"/>
        <v>-27228275.620000001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</f>
        <v>-38681888</v>
      </c>
      <c r="E40" s="65">
        <f>STG_VAR!E40+ONT_VAR!E40+'CE-VAR'!E40+'EAST-EGM-VAR'!E40+'BGC-EGM-VAR'!E40+'EAST-LRC-VAR'!E40+'TX-EGM-VAR'!E40+'TX-HPLR-VAR '!E40+'WE-VAR'!E40+BUG_VAR!E40+'TX-HPLC-VAR'!E40+'ARUBA-VAR'!E40+'SITHE-VAR'!E40+'DEN-VAR'!E40</f>
        <v>-73128924</v>
      </c>
      <c r="F40" s="65">
        <f>STG_VAR!F40+ONT_VAR!F40+'CE-VAR'!F40+'EAST-EGM-VAR'!F40+'BGC-EGM-VAR'!F40+'EAST-LRC-VAR'!F40+'TX-EGM-VAR'!F40+'TX-HPLR-VAR '!F40+'WE-VAR'!F40+BUG_VAR!F40+'TX-HPLC-VAR'!F40+'ARUBA-VAR'!F40+'SITHE-VAR'!F40+'DEN-VAR'!F40</f>
        <v>-26439012</v>
      </c>
      <c r="G40" s="65">
        <f>STG_VAR!G40+ONT_VAR!G40+'CE-VAR'!G40+'EAST-EGM-VAR'!G40+'BGC-EGM-VAR'!G40+'EAST-LRC-VAR'!G40+'TX-EGM-VAR'!G40+'TX-HPLR-VAR '!G40+'WE-VAR'!G40+BUG_VAR!G40+'TX-HPLC-VAR'!G40+'ARUBA-VAR'!G40+'SITHE-VAR'!G40+'DEN-VAR'!G40</f>
        <v>-41916069.829999998</v>
      </c>
      <c r="H40" s="60">
        <f t="shared" si="7"/>
        <v>12242876</v>
      </c>
      <c r="I40" s="38">
        <f t="shared" si="7"/>
        <v>31212854.170000002</v>
      </c>
    </row>
    <row r="41" spans="1:9" x14ac:dyDescent="0.2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</f>
        <v>0</v>
      </c>
      <c r="G41" s="65">
        <f>STG_VAR!G41+ONT_VAR!G41+'CE-VAR'!G41+'EAST-EGM-VAR'!G41+'BGC-EGM-VAR'!G41+'EAST-LRC-VAR'!G41+'TX-EGM-VAR'!G41+'TX-HPLR-VAR '!G41+'WE-VAR'!G41+BUG_VAR!G41+'TX-HPLC-VAR'!G41+'ARUBA-VAR'!G41+'SITHE-VAR'!G41+'DEN-VAR'!G41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-38681888</v>
      </c>
      <c r="E42" s="70">
        <f t="shared" si="8"/>
        <v>-73128924</v>
      </c>
      <c r="F42" s="69">
        <f t="shared" si="8"/>
        <v>-26439012</v>
      </c>
      <c r="G42" s="70">
        <f t="shared" si="8"/>
        <v>-41916069.829999998</v>
      </c>
      <c r="H42" s="69">
        <f t="shared" si="8"/>
        <v>12242876</v>
      </c>
      <c r="I42" s="70">
        <f t="shared" si="8"/>
        <v>31212854.170000002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-26233544</v>
      </c>
      <c r="E43" s="39">
        <f t="shared" si="9"/>
        <v>-42801462</v>
      </c>
      <c r="F43" s="61">
        <f t="shared" si="9"/>
        <v>-24945335</v>
      </c>
      <c r="G43" s="39">
        <f t="shared" si="9"/>
        <v>-38816883.449999996</v>
      </c>
      <c r="H43" s="61">
        <f t="shared" si="9"/>
        <v>1288209</v>
      </c>
      <c r="I43" s="39">
        <f t="shared" si="9"/>
        <v>3984578.5500000007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</f>
        <v>4326</v>
      </c>
      <c r="G45" s="65">
        <f>STG_VAR!G45+ONT_VAR!G45+'CE-VAR'!G45+'EAST-EGM-VAR'!G45+'BGC-EGM-VAR'!G45+'EAST-LRC-VAR'!G45+'TX-EGM-VAR'!G45+'TX-HPLR-VAR '!G45+'WE-VAR'!G45+BUG_VAR!G45+'TX-HPLC-VAR'!G45+'ARUBA-VAR'!G45+'SITHE-VAR'!G45+'DEN-VAR'!G45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</f>
        <v>113410.16</v>
      </c>
      <c r="H47" s="60">
        <f>F47-D47</f>
        <v>0</v>
      </c>
      <c r="I47" s="38">
        <f>G47-E47</f>
        <v>113410.16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</f>
        <v>1133160</v>
      </c>
      <c r="E49" s="65">
        <f>STG_VAR!E49+ONT_VAR!E49+'CE-VAR'!E49+'EAST-EGM-VAR'!E49+'BGC-EGM-VAR'!E49+'EAST-LRC-VAR'!E49+'TX-EGM-VAR'!E49+'TX-HPLR-VAR '!E49+'WE-VAR'!E49+BUG_VAR!E49+'TX-HPLC-VAR'!E49+'ARUBA-VAR'!E49+'SITHE-VAR'!E49+'DEN-VAR'!E49</f>
        <v>2954769.3072397043</v>
      </c>
      <c r="F49" s="65">
        <f>STG_VAR!F49+ONT_VAR!F49+'CE-VAR'!F49+'EAST-EGM-VAR'!F49+'BGC-EGM-VAR'!F49+'EAST-LRC-VAR'!F49+'TX-EGM-VAR'!F49+'TX-HPLR-VAR '!F49+'WE-VAR'!F49+BUG_VAR!F49+'TX-HPLC-VAR'!F49+'ARUBA-VAR'!F49+'SITHE-VAR'!F49+'DEN-VAR'!F49</f>
        <v>681146</v>
      </c>
      <c r="G49" s="65">
        <f>STG_VAR!G49+ONT_VAR!G49+'CE-VAR'!G49+'EAST-EGM-VAR'!G49+'BGC-EGM-VAR'!G49+'EAST-LRC-VAR'!G49+'TX-EGM-VAR'!G49+'TX-HPLR-VAR '!G49+'WE-VAR'!G49+BUG_VAR!G49+'TX-HPLC-VAR'!G49+'ARUBA-VAR'!G49+'SITHE-VAR'!G49+'DEN-VAR'!G49</f>
        <v>2279517.4720000024</v>
      </c>
      <c r="H49" s="60">
        <f>F49-D49</f>
        <v>-452014</v>
      </c>
      <c r="I49" s="38">
        <f>G49-E49</f>
        <v>-675251.8352397019</v>
      </c>
    </row>
    <row r="50" spans="1:9" x14ac:dyDescent="0.2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</f>
        <v>-2663681</v>
      </c>
      <c r="E51" s="65">
        <f>STG_VAR!E51+ONT_VAR!E51+'CE-VAR'!E51+'EAST-EGM-VAR'!E51+'BGC-EGM-VAR'!E51+'EAST-LRC-VAR'!E51+'TX-EGM-VAR'!E51+'TX-HPLR-VAR '!E51+'WE-VAR'!E51+BUG_VAR!E51+'TX-HPLC-VAR'!E51+'ARUBA-VAR'!E51+'SITHE-VAR'!E51+'DEN-VAR'!E51</f>
        <v>-6685586</v>
      </c>
      <c r="F51" s="65">
        <f>STG_VAR!F51+ONT_VAR!F51+'CE-VAR'!F51+'EAST-EGM-VAR'!F51+'BGC-EGM-VAR'!F51+'EAST-LRC-VAR'!F51+'TX-EGM-VAR'!F51+'TX-HPLR-VAR '!F51+'WE-VAR'!F51+BUG_VAR!F51+'TX-HPLC-VAR'!F51+'ARUBA-VAR'!F51+'SITHE-VAR'!F51+'DEN-VAR'!F51</f>
        <v>-3106658</v>
      </c>
      <c r="G51" s="65">
        <f>STG_VAR!G51+ONT_VAR!G51+'CE-VAR'!G51+'EAST-EGM-VAR'!G51+'BGC-EGM-VAR'!G51+'EAST-LRC-VAR'!G51+'TX-EGM-VAR'!G51+'TX-HPLR-VAR '!G51+'WE-VAR'!G51+BUG_VAR!G51+'TX-HPLC-VAR'!G51+'ARUBA-VAR'!G51+'SITHE-VAR'!G51+'DEN-VAR'!G51</f>
        <v>-7087298.1880000001</v>
      </c>
      <c r="H51" s="60">
        <f>F51-D51</f>
        <v>-442977</v>
      </c>
      <c r="I51" s="38">
        <f>G51-E51</f>
        <v>-401712.18800000008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</f>
        <v>-4906493.05</v>
      </c>
      <c r="F54" s="65">
        <f>STG_VAR!F54+ONT_VAR!F54+'CE-VAR'!F54+'EAST-EGM-VAR'!F54+'BGC-EGM-VAR'!F54+'EAST-LRC-VAR'!F54+'TX-EGM-VAR'!F54+'TX-HPLR-VAR '!F54+'WE-VAR'!F54+BUG_VAR!F54+'TX-HPLC-VAR'!F54+'ARUBA-VAR'!F54+'SITHE-VAR'!F54+'DEN-VAR'!F54</f>
        <v>-283990546</v>
      </c>
      <c r="G54" s="65">
        <f>STG_VAR!G54+ONT_VAR!G54+'CE-VAR'!G54+'EAST-EGM-VAR'!G54+'BGC-EGM-VAR'!G54+'EAST-LRC-VAR'!G54+'TX-EGM-VAR'!G54+'TX-HPLR-VAR '!G54+'WE-VAR'!G54+BUG_VAR!G54+'TX-HPLC-VAR'!G54+'ARUBA-VAR'!G54+'SITHE-VAR'!G54+'DEN-VAR'!G54</f>
        <v>-7368244.4799999995</v>
      </c>
      <c r="H54" s="60">
        <f>F54-D54</f>
        <v>-283990546</v>
      </c>
      <c r="I54" s="38">
        <f>G54-E54</f>
        <v>-2461751.4299999997</v>
      </c>
    </row>
    <row r="55" spans="1:9" x14ac:dyDescent="0.2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</f>
        <v>16</v>
      </c>
      <c r="E55" s="65">
        <f>STG_VAR!E55+ONT_VAR!E55+'CE-VAR'!E55+'EAST-EGM-VAR'!E55+'BGC-EGM-VAR'!E55+'EAST-LRC-VAR'!E55+'TX-EGM-VAR'!E55+'TX-HPLR-VAR '!E55+'WE-VAR'!E55+BUG_VAR!E55+'TX-HPLC-VAR'!E55+'ARUBA-VAR'!E55+'SITHE-VAR'!E55+'DEN-VAR'!E55</f>
        <v>-15953698.539999999</v>
      </c>
      <c r="F55" s="65">
        <f>STG_VAR!F55+ONT_VAR!F55+'CE-VAR'!F55+'EAST-EGM-VAR'!F55+'BGC-EGM-VAR'!F55+'EAST-LRC-VAR'!F55+'TX-EGM-VAR'!F55+'TX-HPLR-VAR '!F55+'WE-VAR'!F55+BUG_VAR!F55+'TX-HPLC-VAR'!F55+'ARUBA-VAR'!F55+'SITHE-VAR'!F55+'DEN-VAR'!F55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</f>
        <v>-28947949.920000002</v>
      </c>
      <c r="H55" s="60">
        <f>F55-D55</f>
        <v>-16</v>
      </c>
      <c r="I55" s="38">
        <f>G55-E55</f>
        <v>-12994251.380000003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-20860191.59</v>
      </c>
      <c r="F56" s="61">
        <f t="shared" si="10"/>
        <v>-283990546</v>
      </c>
      <c r="G56" s="39">
        <f t="shared" si="10"/>
        <v>-36316194.399999999</v>
      </c>
      <c r="H56" s="61">
        <f t="shared" si="10"/>
        <v>-283990562</v>
      </c>
      <c r="I56" s="39">
        <f t="shared" si="10"/>
        <v>-15456002.810000002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</f>
        <v>2838395</v>
      </c>
      <c r="G59" s="65">
        <f>STG_VAR!G59+ONT_VAR!G59+'CE-VAR'!G59+'EAST-EGM-VAR'!G59+'BGC-EGM-VAR'!G59+'EAST-LRC-VAR'!G59+'TX-EGM-VAR'!G59+'TX-HPLR-VAR '!G59+'WE-VAR'!G59+BUG_VAR!G59+'TX-HPLC-VAR'!G59+'ARUBA-VAR'!G59+'SITHE-VAR'!G59+'DEN-VAR'!G59</f>
        <v>-65989.340000000011</v>
      </c>
      <c r="H59" s="60">
        <f>F59-D59</f>
        <v>2838395</v>
      </c>
      <c r="I59" s="38">
        <f>G59-E59</f>
        <v>-65989.340000000011</v>
      </c>
    </row>
    <row r="60" spans="1:9" x14ac:dyDescent="0.2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</f>
        <v>50000</v>
      </c>
      <c r="F60" s="65">
        <f>STG_VAR!F60+ONT_VAR!F60+'CE-VAR'!F60+'EAST-EGM-VAR'!F60+'BGC-EGM-VAR'!F60+'EAST-LRC-VAR'!F60+'TX-EGM-VAR'!F60+'TX-HPLR-VAR '!F60+'WE-VAR'!F60+BUG_VAR!F60+'TX-HPLC-VAR'!F60+'ARUBA-VAR'!F60+'SITHE-VAR'!F60+'DEN-VAR'!F60</f>
        <v>954</v>
      </c>
      <c r="G60" s="65">
        <f>STG_VAR!G60+ONT_VAR!G60+'CE-VAR'!G60+'EAST-EGM-VAR'!G60+'BGC-EGM-VAR'!G60+'EAST-LRC-VAR'!G60+'TX-EGM-VAR'!G60+'TX-HPLR-VAR '!G60+'WE-VAR'!G60+BUG_VAR!G60+'TX-HPLC-VAR'!G60+'ARUBA-VAR'!G60+'SITHE-VAR'!G60+'DEN-VAR'!G60</f>
        <v>211274</v>
      </c>
      <c r="H60" s="60">
        <f>F60-D60</f>
        <v>954</v>
      </c>
      <c r="I60" s="38">
        <f>G60-E60</f>
        <v>161274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2839349</v>
      </c>
      <c r="G61" s="70">
        <f t="shared" si="11"/>
        <v>145284.65999999997</v>
      </c>
      <c r="H61" s="69">
        <f t="shared" si="11"/>
        <v>2839349</v>
      </c>
      <c r="I61" s="70">
        <f t="shared" si="11"/>
        <v>95284.659999999989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</f>
        <v>55220</v>
      </c>
      <c r="F64" s="65">
        <f>STG_VAR!F64+ONT_VAR!F64+'CE-VAR'!F64+'EAST-EGM-VAR'!F64+'BGC-EGM-VAR'!F64+'EAST-LRC-VAR'!F64+'TX-EGM-VAR'!F64+'TX-HPLR-VAR '!F64+'WE-VAR'!F64+BUG_VAR!F64+'TX-HPLC-VAR'!F64+'ARUBA-VAR'!F64+'SITHE-VAR'!F64+'DEN-VAR'!F64</f>
        <v>-24119525</v>
      </c>
      <c r="G64" s="65">
        <f>STG_VAR!G64+ONT_VAR!G64+'CE-VAR'!G64+'EAST-EGM-VAR'!G64+'BGC-EGM-VAR'!G64+'EAST-LRC-VAR'!G64+'TX-EGM-VAR'!G64+'TX-HPLR-VAR '!G64+'WE-VAR'!G64+BUG_VAR!G64+'TX-HPLC-VAR'!G64+'ARUBA-VAR'!G64+'SITHE-VAR'!G64+'DEN-VAR'!G64</f>
        <v>-2912497</v>
      </c>
      <c r="H64" s="60">
        <f>F64-D64</f>
        <v>-24119525</v>
      </c>
      <c r="I64" s="38">
        <f>G64-E64</f>
        <v>-2967717</v>
      </c>
    </row>
    <row r="65" spans="1:9" x14ac:dyDescent="0.2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</f>
        <v>24119525</v>
      </c>
      <c r="G65" s="65">
        <f>STG_VAR!G65+ONT_VAR!G65+'CE-VAR'!G65+'EAST-EGM-VAR'!G65+'BGC-EGM-VAR'!G65+'EAST-LRC-VAR'!G65+'TX-EGM-VAR'!G65+'TX-HPLR-VAR '!G65+'WE-VAR'!G65+BUG_VAR!G65+'TX-HPLC-VAR'!G65+'ARUBA-VAR'!G65+'SITHE-VAR'!G65+'DEN-VAR'!G65</f>
        <v>2911525.15</v>
      </c>
      <c r="H65" s="60">
        <f>F65-D65</f>
        <v>24119525</v>
      </c>
      <c r="I65" s="38">
        <f>G65-E65</f>
        <v>2911525.15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-971.85000000009313</v>
      </c>
      <c r="H66" s="61">
        <f t="shared" si="12"/>
        <v>0</v>
      </c>
      <c r="I66" s="39">
        <f t="shared" si="12"/>
        <v>-56191.850000000093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</f>
        <v>40326779.789599083</v>
      </c>
      <c r="F70" s="65">
        <f>STG_VAR!F70+ONT_VAR!F70+'CE-VAR'!F70+'EAST-EGM-VAR'!F70+'BGC-EGM-VAR'!F70+'EAST-LRC-VAR'!F70+'TX-EGM-VAR'!F70+'TX-HPLR-VAR '!F70+'WE-VAR'!F70+BUG_VAR!F70+'TX-HPLC-VAR'!F70+'ARUBA-VAR'!F70+'SITHE-VAR'!F70+'DEN-VAR'!F70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</f>
        <v>34984252.850000001</v>
      </c>
      <c r="H70" s="60">
        <f>F70-D70</f>
        <v>0</v>
      </c>
      <c r="I70" s="38">
        <f>G70-E70</f>
        <v>-5342526.9395990819</v>
      </c>
    </row>
    <row r="71" spans="1:9" x14ac:dyDescent="0.2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</f>
        <v>-29499400.814000003</v>
      </c>
      <c r="F71" s="65">
        <f>STG_VAR!F71+ONT_VAR!F71+'CE-VAR'!F71+'EAST-EGM-VAR'!F71+'BGC-EGM-VAR'!F71+'EAST-LRC-VAR'!F71+'TX-EGM-VAR'!F71+'TX-HPLR-VAR '!F71+'WE-VAR'!F71+BUG_VAR!F71+'TX-HPLC-VAR'!F71+'ARUBA-VAR'!F71+'SITHE-VAR'!F71+'DEN-VAR'!F71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</f>
        <v>-24156871.739999998</v>
      </c>
      <c r="H71" s="60">
        <f>F71-D71</f>
        <v>0</v>
      </c>
      <c r="I71" s="38">
        <f>G71-E71</f>
        <v>5342529.0740000047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10827378.97559908</v>
      </c>
      <c r="F72" s="69">
        <f t="shared" si="13"/>
        <v>0</v>
      </c>
      <c r="G72" s="70">
        <f t="shared" si="13"/>
        <v>10827381.110000003</v>
      </c>
      <c r="H72" s="69">
        <f t="shared" si="13"/>
        <v>0</v>
      </c>
      <c r="I72" s="70">
        <f t="shared" si="13"/>
        <v>2.1344009228050709</v>
      </c>
    </row>
    <row r="73" spans="1:9" x14ac:dyDescent="0.2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</f>
        <v>0</v>
      </c>
      <c r="F73" s="65">
        <f>STG_VAR!F73+ONT_VAR!F73+'CE-VAR'!F73+'EAST-EGM-VAR'!F73+'BGC-EGM-VAR'!F73+'EAST-LRC-VAR'!F73+'TX-EGM-VAR'!F73+'TX-HPLR-VAR '!F73+'WE-VAR'!F73+BUG_VAR!F73+'TX-HPLC-VAR'!F73+'ARUBA-VAR'!F73+'SITHE-VAR'!F73+'DEN-VAR'!F73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</f>
        <v>-281</v>
      </c>
      <c r="H73" s="60">
        <f>F73-D73</f>
        <v>0</v>
      </c>
      <c r="I73" s="38">
        <f>G73-E73</f>
        <v>-281</v>
      </c>
    </row>
    <row r="74" spans="1:9" x14ac:dyDescent="0.2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</f>
        <v>-3542321.2492999989</v>
      </c>
      <c r="F74" s="65">
        <f>STG_VAR!F74+ONT_VAR!F74+'CE-VAR'!F74+'EAST-EGM-VAR'!F74+'BGC-EGM-VAR'!F74+'EAST-LRC-VAR'!F74+'TX-EGM-VAR'!F74+'TX-HPLR-VAR '!F74+'WE-VAR'!F74+BUG_VAR!F74+'TX-HPLC-VAR'!F74+'ARUBA-VAR'!F74+'SITHE-VAR'!F74+'DEN-VAR'!F74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</f>
        <v>-7061193.2300000014</v>
      </c>
      <c r="H74" s="60">
        <f t="shared" ref="H74:I79" si="14">F74-D74</f>
        <v>0</v>
      </c>
      <c r="I74" s="38">
        <f t="shared" si="14"/>
        <v>-3518871.9807000025</v>
      </c>
    </row>
    <row r="75" spans="1:9" x14ac:dyDescent="0.2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</f>
        <v>733260</v>
      </c>
      <c r="F75" s="65">
        <f>STG_VAR!F75+ONT_VAR!F75+'CE-VAR'!F75+'EAST-EGM-VAR'!F75+'BGC-EGM-VAR'!F75+'EAST-LRC-VAR'!F75+'TX-EGM-VAR'!F75+'TX-HPLR-VAR '!F75+'WE-VAR'!F75+BUG_VAR!F75+'TX-HPLC-VAR'!F75+'ARUBA-VAR'!F75+'SITHE-VAR'!F75+'DEN-VAR'!F75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</f>
        <v>747400</v>
      </c>
      <c r="H75" s="60">
        <f t="shared" si="14"/>
        <v>0</v>
      </c>
      <c r="I75" s="38">
        <f t="shared" si="14"/>
        <v>14140</v>
      </c>
    </row>
    <row r="76" spans="1:9" x14ac:dyDescent="0.2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</f>
        <v>-39855</v>
      </c>
      <c r="F76" s="65">
        <f>STG_VAR!F76+ONT_VAR!F76+'CE-VAR'!F76+'EAST-EGM-VAR'!F76+'BGC-EGM-VAR'!F76+'EAST-LRC-VAR'!F76+'TX-EGM-VAR'!F76+'TX-HPLR-VAR '!F76+'WE-VAR'!F76+BUG_VAR!F76+'TX-HPLC-VAR'!F76+'ARUBA-VAR'!F76+'SITHE-VAR'!F76+'DEN-VAR'!F76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</f>
        <v>-40522.85</v>
      </c>
      <c r="H76" s="60">
        <f t="shared" si="14"/>
        <v>0</v>
      </c>
      <c r="I76" s="38">
        <f t="shared" si="14"/>
        <v>-667.84999999999854</v>
      </c>
    </row>
    <row r="77" spans="1:9" x14ac:dyDescent="0.2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</f>
        <v>-4414536</v>
      </c>
      <c r="F77" s="65">
        <f>STG_VAR!F77+ONT_VAR!F77+'CE-VAR'!F77+'EAST-EGM-VAR'!F77+'BGC-EGM-VAR'!F77+'EAST-LRC-VAR'!F77+'TX-EGM-VAR'!F77+'TX-HPLR-VAR '!F77+'WE-VAR'!F77+BUG_VAR!F77+'TX-HPLC-VAR'!F77+'ARUBA-VAR'!F77+'SITHE-VAR'!F77+'DEN-VAR'!F77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</f>
        <v>-3133217</v>
      </c>
      <c r="H77" s="60">
        <f t="shared" si="14"/>
        <v>0</v>
      </c>
      <c r="I77" s="38">
        <f t="shared" si="14"/>
        <v>1281319</v>
      </c>
    </row>
    <row r="78" spans="1:9" x14ac:dyDescent="0.2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</f>
        <v>844523.94499999995</v>
      </c>
      <c r="F78" s="65">
        <f>STG_VAR!F78+ONT_VAR!F78+'CE-VAR'!F78+'EAST-EGM-VAR'!F78+'BGC-EGM-VAR'!F78+'EAST-LRC-VAR'!F78+'TX-EGM-VAR'!F78+'TX-HPLR-VAR '!F78+'WE-VAR'!F78+BUG_VAR!F78+'TX-HPLC-VAR'!F78+'ARUBA-VAR'!F78+'SITHE-VAR'!F78+'DEN-VAR'!F78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</f>
        <v>845279</v>
      </c>
      <c r="H78" s="60">
        <f t="shared" si="14"/>
        <v>0</v>
      </c>
      <c r="I78" s="38">
        <f t="shared" si="14"/>
        <v>755.05500000005122</v>
      </c>
    </row>
    <row r="79" spans="1:9" x14ac:dyDescent="0.2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</f>
        <v>708059.94</v>
      </c>
      <c r="F79" s="65">
        <f>STG_VAR!F79+ONT_VAR!F79+'CE-VAR'!F79+'EAST-EGM-VAR'!F79+'BGC-EGM-VAR'!F79+'EAST-LRC-VAR'!F79+'TX-EGM-VAR'!F79+'TX-HPLR-VAR '!F79+'WE-VAR'!F79+BUG_VAR!F79+'TX-HPLC-VAR'!F79+'ARUBA-VAR'!F79+'SITHE-VAR'!F79+'DEN-VAR'!F79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</f>
        <v>-89995</v>
      </c>
      <c r="H79" s="60">
        <f t="shared" si="14"/>
        <v>0</v>
      </c>
      <c r="I79" s="38">
        <f t="shared" si="14"/>
        <v>-798054.94</v>
      </c>
    </row>
    <row r="80" spans="1:9" x14ac:dyDescent="0.2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</f>
        <v>-455702</v>
      </c>
      <c r="F80" s="65">
        <f>STG_VAR!F80+ONT_VAR!F80+'CE-VAR'!F80+'EAST-EGM-VAR'!F80+'BGC-EGM-VAR'!F80+'EAST-LRC-VAR'!F80+'TX-EGM-VAR'!F80+'TX-HPLR-VAR '!F80+'WE-VAR'!F80+BUG_VAR!F80+'TX-HPLC-VAR'!F80+'ARUBA-VAR'!F80+'SITHE-VAR'!F80+'DEN-VAR'!F80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</f>
        <v>-98257</v>
      </c>
      <c r="H80" s="60">
        <f>F80-D80</f>
        <v>0</v>
      </c>
      <c r="I80" s="38">
        <f>G80-E80</f>
        <v>357445</v>
      </c>
    </row>
    <row r="81" spans="1:9" x14ac:dyDescent="0.2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</f>
        <v>282470</v>
      </c>
      <c r="F81" s="65">
        <f>STG_VAR!F81+ONT_VAR!F81+'CE-VAR'!F81+'EAST-EGM-VAR'!F81+'BGC-EGM-VAR'!F81+'EAST-LRC-VAR'!F81+'TX-EGM-VAR'!F81+'TX-HPLR-VAR '!F81+'WE-VAR'!F81+BUG_VAR!F81+'TX-HPLC-VAR'!F81+'ARUBA-VAR'!F81+'SITHE-VAR'!F81+'DEN-VAR'!F81</f>
        <v>0</v>
      </c>
      <c r="G81" s="65">
        <f>STG_VAR!G81+ONT_VAR!G81+'CE-VAR'!G81+'EAST-EGM-VAR'!G81+'BGC-EGM-VAR'!G81+'EAST-LRC-VAR'!G81+'TX-EGM-VAR'!G81+'TX-HPLR-VAR '!G81+'WE-VAR'!G81+BUG_VAR!G81+'TX-HPLC-VAR'!G81+'ARUBA-VAR'!G81+'SITHE-VAR'!G81+'DEN-VAR'!G81</f>
        <v>99288.45</v>
      </c>
      <c r="H81" s="60">
        <f>F81-D81</f>
        <v>0</v>
      </c>
      <c r="I81" s="38">
        <f>G81-E81</f>
        <v>-183181.55</v>
      </c>
    </row>
    <row r="82" spans="1:9" s="49" customFormat="1" ht="20.25" customHeight="1" thickBot="1" x14ac:dyDescent="0.25">
      <c r="A82" s="88"/>
      <c r="B82" s="89"/>
      <c r="C82" s="90" t="s">
        <v>79</v>
      </c>
      <c r="D82" s="91">
        <f>D16+D24+D29+D36+D43+D45+D47+D49</f>
        <v>0</v>
      </c>
      <c r="E82" s="92">
        <f>SUM(E72:E81)+E16+E24+E29+E36+E43+E45+E47+E49+E51+E56+E61+E66</f>
        <v>22281919.328538742</v>
      </c>
      <c r="F82" s="91">
        <f>F16+F24+F29+F36+F43+F45+F47+F49</f>
        <v>0</v>
      </c>
      <c r="G82" s="92">
        <f>SUM(G72:G81)+G16+G24+G29+G36+G43+G45+G47+G49+G51+G56+G61+G66</f>
        <v>24140352.299000259</v>
      </c>
      <c r="H82" s="91">
        <f>H16+H24+H29+H36+H43+H45+H47+H49</f>
        <v>0</v>
      </c>
      <c r="I82" s="92">
        <f>SUM(I72:I81)+I16+I24+I29+I36+I43+I45+I47+I49+I51+I56+I61+I66</f>
        <v>1858432.9704612207</v>
      </c>
    </row>
    <row r="83" spans="1:9" ht="13.5" thickTop="1" x14ac:dyDescent="0.2">
      <c r="A83" s="4"/>
      <c r="B83" s="3"/>
      <c r="D83"/>
      <c r="E83"/>
    </row>
    <row r="84" spans="1:9" x14ac:dyDescent="0.2">
      <c r="A84" s="4"/>
      <c r="B84" s="3"/>
      <c r="D84"/>
      <c r="E84" s="45"/>
      <c r="G84" s="45"/>
      <c r="I84" s="45"/>
    </row>
    <row r="85" spans="1:9" x14ac:dyDescent="0.2">
      <c r="A85" s="4" t="s">
        <v>163</v>
      </c>
      <c r="B85" s="3"/>
      <c r="D85" s="181"/>
      <c r="E85" s="181"/>
      <c r="F85" s="181"/>
      <c r="G85" s="181"/>
      <c r="H85" s="31"/>
      <c r="I85" s="31"/>
    </row>
    <row r="86" spans="1:9" x14ac:dyDescent="0.2">
      <c r="A86" s="144"/>
      <c r="B86" s="3"/>
      <c r="C86" s="10" t="s">
        <v>166</v>
      </c>
      <c r="D86" s="65">
        <f>STG_VAR!D86+ONT_VAR!D86+'CE-VAR'!D86+'EAST-EGM-VAR'!D86+'BGC-EGM-VAR'!D86+'EAST-LRC-VAR'!D86+'TX-EGM-VAR'!D86+'TX-HPLR-VAR '!D86+'WE-VAR'!D86+BUG_VAR!D86+'TX-HPLC-VAR'!D86+'ARUBA-VAR'!D86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</f>
        <v>2816092</v>
      </c>
      <c r="F86" s="65">
        <f>STG_VAR!F86+ONT_VAR!F86+'CE-VAR'!F86+'EAST-EGM-VAR'!F86+'BGC-EGM-VAR'!F86+'EAST-LRC-VAR'!F86+'TX-EGM-VAR'!F86+'TX-HPLR-VAR '!F86+'WE-VAR'!F86+BUG_VAR!F86+'TX-HPLC-VAR'!F86+'ARUBA-VAR'!F86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</f>
        <v>2819095.3200000003</v>
      </c>
      <c r="H86" s="145">
        <f t="shared" ref="H86:I88" si="15">F86-D86</f>
        <v>0</v>
      </c>
      <c r="I86" s="145">
        <f t="shared" si="15"/>
        <v>3003.320000000298</v>
      </c>
    </row>
    <row r="87" spans="1:9" x14ac:dyDescent="0.2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</f>
        <v>0</v>
      </c>
      <c r="F87" s="65">
        <f>STG_VAR!F87+ONT_VAR!F87+'CE-VAR'!F87+'EAST-EGM-VAR'!F87+'BGC-EGM-VAR'!F87+'EAST-LRC-VAR'!F87+'TX-EGM-VAR'!F87+'TX-HPLR-VAR '!F87+'WE-VAR'!F87+BUG_VAR!F87+'TX-HPLC-VAR'!F87+'ARUBA-VAR'!F87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</f>
        <v>-9697</v>
      </c>
      <c r="H87" s="146">
        <f t="shared" si="15"/>
        <v>0</v>
      </c>
      <c r="I87" s="146">
        <f t="shared" si="15"/>
        <v>-9697</v>
      </c>
    </row>
    <row r="88" spans="1:9" x14ac:dyDescent="0.2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</f>
        <v>-2114953</v>
      </c>
      <c r="F88" s="65">
        <f>STG_VAR!F88+ONT_VAR!F88+'CE-VAR'!F88+'EAST-EGM-VAR'!F88+'BGC-EGM-VAR'!F88+'EAST-LRC-VAR'!F88+'TX-EGM-VAR'!F88+'TX-HPLR-VAR '!F88+'WE-VAR'!F88+BUG_VAR!F88+'TX-HPLC-VAR'!F88+'ARUBA-VAR'!F88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</f>
        <v>-2147419</v>
      </c>
      <c r="H88" s="147">
        <f t="shared" si="15"/>
        <v>0</v>
      </c>
      <c r="I88" s="147">
        <f t="shared" si="15"/>
        <v>-32466</v>
      </c>
    </row>
    <row r="89" spans="1:9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701139</v>
      </c>
      <c r="F89" s="160">
        <f t="shared" si="16"/>
        <v>0</v>
      </c>
      <c r="G89" s="160">
        <f t="shared" si="16"/>
        <v>661979.3200000003</v>
      </c>
      <c r="H89" s="160">
        <f t="shared" si="16"/>
        <v>0</v>
      </c>
      <c r="I89" s="160">
        <f t="shared" si="16"/>
        <v>-39159.679999999702</v>
      </c>
    </row>
    <row r="90" spans="1:9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22983058.328538742</v>
      </c>
      <c r="F91" s="160">
        <f t="shared" si="17"/>
        <v>0</v>
      </c>
      <c r="G91" s="160">
        <f t="shared" si="17"/>
        <v>24802331.61900026</v>
      </c>
      <c r="H91" s="160">
        <f t="shared" si="17"/>
        <v>0</v>
      </c>
      <c r="I91" s="160">
        <f t="shared" si="17"/>
        <v>1819273.290461221</v>
      </c>
    </row>
    <row r="92" spans="1:9" x14ac:dyDescent="0.2">
      <c r="A92" s="4"/>
      <c r="B92" s="3"/>
    </row>
    <row r="93" spans="1:9" x14ac:dyDescent="0.2">
      <c r="A93" s="4"/>
      <c r="B93" s="3"/>
    </row>
    <row r="94" spans="1:9" x14ac:dyDescent="0.2">
      <c r="A94" s="4"/>
      <c r="B94" s="3"/>
    </row>
    <row r="95" spans="1:9" x14ac:dyDescent="0.2">
      <c r="A95" s="4"/>
      <c r="B95" s="3"/>
    </row>
    <row r="96" spans="1:9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88"/>
  <sheetViews>
    <sheetView tabSelected="1" topLeftCell="A3" zoomScale="75" workbookViewId="0">
      <pane xSplit="1" ySplit="8" topLeftCell="E16" activePane="bottomRight" state="frozen"/>
      <selection activeCell="D10" sqref="D10"/>
      <selection pane="topRight" activeCell="D10" sqref="D10"/>
      <selection pane="bottomLeft" activeCell="D10" sqref="D10"/>
      <selection pane="bottomRight" activeCell="G21" sqref="G21"/>
    </sheetView>
  </sheetViews>
  <sheetFormatPr defaultRowHeight="12.75" x14ac:dyDescent="0.2"/>
  <cols>
    <col min="1" max="1" width="21.7109375" customWidth="1"/>
    <col min="2" max="2" width="21.28515625" customWidth="1"/>
    <col min="3" max="3" width="20" customWidth="1"/>
    <col min="4" max="7" width="17" customWidth="1"/>
    <col min="8" max="8" width="25.7109375" customWidth="1"/>
  </cols>
  <sheetData>
    <row r="1" spans="1:10" s="33" customFormat="1" x14ac:dyDescent="0.2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">
      <c r="A5" s="5" t="s">
        <v>216</v>
      </c>
      <c r="B5" s="50"/>
      <c r="C5" s="50"/>
      <c r="D5" s="50"/>
      <c r="E5" s="50"/>
      <c r="F5" s="50"/>
      <c r="G5" s="50"/>
      <c r="H5" s="50"/>
    </row>
    <row r="9" spans="1:10" ht="13.5" thickBot="1" x14ac:dyDescent="0.25"/>
    <row r="10" spans="1:10" s="87" customFormat="1" ht="36.75" thickBot="1" x14ac:dyDescent="0.3">
      <c r="A10" s="104" t="s">
        <v>12</v>
      </c>
      <c r="B10" s="105" t="s">
        <v>192</v>
      </c>
      <c r="C10" s="167" t="s">
        <v>188</v>
      </c>
      <c r="D10" s="106" t="s">
        <v>185</v>
      </c>
      <c r="E10" s="106" t="s">
        <v>186</v>
      </c>
      <c r="F10" s="106" t="s">
        <v>187</v>
      </c>
      <c r="G10" s="106" t="s">
        <v>8</v>
      </c>
      <c r="H10" s="106" t="s">
        <v>9</v>
      </c>
    </row>
    <row r="11" spans="1:10" x14ac:dyDescent="0.2">
      <c r="A11" s="101" t="s">
        <v>13</v>
      </c>
      <c r="B11" s="124">
        <f>'CE-FLSH'!$M$82</f>
        <v>3221380.6430000141</v>
      </c>
      <c r="C11" s="65">
        <f t="shared" ref="C11:C27" si="0">+D11-B11</f>
        <v>619.3569999858737</v>
      </c>
      <c r="D11" s="124">
        <f>+'[2]ST Warroom 99'!$B$5</f>
        <v>3222000</v>
      </c>
      <c r="E11" s="124">
        <f>+F11-D11</f>
        <v>382127</v>
      </c>
      <c r="F11" s="124">
        <f>+'[2]ST Warroom 99'!$B$39</f>
        <v>3604127</v>
      </c>
      <c r="G11" s="168">
        <f>CE_GL!$E$82</f>
        <v>7288462.9480000511</v>
      </c>
      <c r="H11" s="107">
        <f t="shared" ref="H11:H28" si="1">G11-F11</f>
        <v>3684335.9480000511</v>
      </c>
      <c r="I11" s="31"/>
      <c r="J11" s="31"/>
    </row>
    <row r="12" spans="1:10" x14ac:dyDescent="0.2">
      <c r="A12" s="101" t="s">
        <v>195</v>
      </c>
      <c r="B12" s="124">
        <f>'SITHE-FLSH'!$M$82</f>
        <v>271897.66353996878</v>
      </c>
      <c r="C12" s="65">
        <f>+D12-B12</f>
        <v>-152897.66353996878</v>
      </c>
      <c r="D12" s="124">
        <f>+'[2]ST Warroom 99'!$N$5</f>
        <v>119000</v>
      </c>
      <c r="E12" s="124">
        <f>+F12-D12</f>
        <v>152898</v>
      </c>
      <c r="F12" s="124">
        <f>+'[2]ST Warroom 99'!$N$39</f>
        <v>271898</v>
      </c>
      <c r="G12" s="168">
        <f>SITHE_GL!$E$82</f>
        <v>240369.44600000139</v>
      </c>
      <c r="H12" s="107">
        <f>G12-F12</f>
        <v>-31528.553999998607</v>
      </c>
      <c r="I12" s="31"/>
      <c r="J12" s="31"/>
    </row>
    <row r="13" spans="1:10" x14ac:dyDescent="0.2">
      <c r="A13" s="101" t="s">
        <v>189</v>
      </c>
      <c r="B13" s="124">
        <f>'ARUBA-FLSH'!$M$82</f>
        <v>-442333.36262470006</v>
      </c>
      <c r="C13" s="65">
        <f>+D13-B13</f>
        <v>333.36262470006477</v>
      </c>
      <c r="D13" s="124">
        <f>+'[2]ST Warroom 99'!$Q$5</f>
        <v>-442000</v>
      </c>
      <c r="E13" s="124">
        <f>+F13-D13</f>
        <v>40637</v>
      </c>
      <c r="F13" s="124">
        <f>+'[2]ST Warroom 99'!$Q$39</f>
        <v>-401363</v>
      </c>
      <c r="G13" s="168">
        <f>ARUBA_GL!$E$82</f>
        <v>-500590.88199999975</v>
      </c>
      <c r="H13" s="107">
        <f>G13-F13</f>
        <v>-99227.88199999975</v>
      </c>
      <c r="I13" s="31"/>
      <c r="J13" s="31"/>
    </row>
    <row r="14" spans="1:10" x14ac:dyDescent="0.2">
      <c r="A14" s="101" t="s">
        <v>14</v>
      </c>
      <c r="B14" s="124">
        <v>0</v>
      </c>
      <c r="C14" s="65">
        <f t="shared" si="0"/>
        <v>0</v>
      </c>
      <c r="D14" s="124">
        <v>0</v>
      </c>
      <c r="E14" s="124">
        <f t="shared" ref="E14:E28" si="2">+F14-D14</f>
        <v>0</v>
      </c>
      <c r="F14" s="124">
        <v>0</v>
      </c>
      <c r="G14" s="168">
        <v>0</v>
      </c>
      <c r="H14" s="107">
        <f t="shared" si="1"/>
        <v>0</v>
      </c>
      <c r="I14" s="31"/>
      <c r="J14" s="31"/>
    </row>
    <row r="15" spans="1:10" x14ac:dyDescent="0.2">
      <c r="A15" s="101" t="s">
        <v>156</v>
      </c>
      <c r="B15" s="123">
        <f>'BGC-EGM-FLSH'!$M$82+'EAST-EGM-FLSH'!M82</f>
        <v>7528788.2751381285</v>
      </c>
      <c r="C15" s="65">
        <f t="shared" si="0"/>
        <v>22211.724861871451</v>
      </c>
      <c r="D15" s="123">
        <f>+'[2]ST Warroom 99'!$C$5</f>
        <v>7551000</v>
      </c>
      <c r="E15" s="124">
        <f t="shared" si="2"/>
        <v>-565467</v>
      </c>
      <c r="F15" s="123">
        <f>+'[2]ST Warroom 99'!$C$39</f>
        <v>6985533</v>
      </c>
      <c r="G15" s="168">
        <f>'BGC-EGM-GL'!$E$82+'EAST-EGM-GL'!E82</f>
        <v>2231167.6219999818</v>
      </c>
      <c r="H15" s="107">
        <f t="shared" si="1"/>
        <v>-4754365.3780000182</v>
      </c>
      <c r="I15" s="31"/>
      <c r="J15" s="31"/>
    </row>
    <row r="16" spans="1:10" x14ac:dyDescent="0.2">
      <c r="A16" s="101" t="s">
        <v>157</v>
      </c>
      <c r="B16" s="123">
        <f>'EAST-LRC-FLSH'!$M$82</f>
        <v>-3743312.0742380759</v>
      </c>
      <c r="C16" s="65">
        <f t="shared" si="0"/>
        <v>312.07423807587475</v>
      </c>
      <c r="D16" s="123">
        <f>+'[2]ST Warroom 99'!$D$5</f>
        <v>-3743000</v>
      </c>
      <c r="E16" s="124">
        <f t="shared" si="2"/>
        <v>0</v>
      </c>
      <c r="F16" s="123">
        <f>+'[2]ST Warroom 99'!$D$39</f>
        <v>-3743000</v>
      </c>
      <c r="G16" s="168">
        <f>'EAST-LRC-GL'!$E$82</f>
        <v>1288484.8459999976</v>
      </c>
      <c r="H16" s="107">
        <f t="shared" si="1"/>
        <v>5031484.8459999971</v>
      </c>
      <c r="I16" s="31"/>
      <c r="J16" s="31"/>
    </row>
    <row r="17" spans="1:10" x14ac:dyDescent="0.2">
      <c r="A17" s="101" t="s">
        <v>164</v>
      </c>
      <c r="B17" s="123">
        <f>+'EAST-EGM-FLSH'!M89</f>
        <v>477104</v>
      </c>
      <c r="C17" s="65">
        <f t="shared" si="0"/>
        <v>896</v>
      </c>
      <c r="D17" s="123">
        <f>+'[2]ST Warroom 99'!$E$5</f>
        <v>478000</v>
      </c>
      <c r="E17" s="124">
        <f t="shared" si="2"/>
        <v>0</v>
      </c>
      <c r="F17" s="123">
        <f>+'[2]ST Warroom 99'!$E$39</f>
        <v>478000</v>
      </c>
      <c r="G17" s="168">
        <f>+'EAST-EGM-GL'!E89</f>
        <v>477103</v>
      </c>
      <c r="H17" s="107">
        <f t="shared" si="1"/>
        <v>-897</v>
      </c>
      <c r="I17" s="31"/>
      <c r="J17" s="31"/>
    </row>
    <row r="18" spans="1:10" x14ac:dyDescent="0.2">
      <c r="A18" s="101" t="s">
        <v>16</v>
      </c>
      <c r="B18" s="123">
        <f>'TX-EGM-FLSH'!$M$82</f>
        <v>2827021.6329189576</v>
      </c>
      <c r="C18" s="65">
        <f t="shared" si="0"/>
        <v>-21.632918957620859</v>
      </c>
      <c r="D18" s="123">
        <f>+'[2]ST Warroom 99'!$H$5</f>
        <v>2827000</v>
      </c>
      <c r="E18" s="124">
        <f t="shared" si="2"/>
        <v>309758</v>
      </c>
      <c r="F18" s="123">
        <f>+'[2]ST Warroom 99'!$H$39</f>
        <v>3136758</v>
      </c>
      <c r="G18" s="168">
        <f>'TX-EGM-GL'!$E$91</f>
        <v>882218.84300000279</v>
      </c>
      <c r="H18" s="107">
        <f t="shared" si="1"/>
        <v>-2254539.1569999973</v>
      </c>
      <c r="I18" s="31"/>
      <c r="J18" s="31"/>
    </row>
    <row r="19" spans="1:10" x14ac:dyDescent="0.2">
      <c r="A19" s="101" t="s">
        <v>182</v>
      </c>
      <c r="B19" s="123">
        <f>'TX-HPLR-FLSH'!$M$82</f>
        <v>-4367.5629122105311</v>
      </c>
      <c r="C19" s="65">
        <f t="shared" si="0"/>
        <v>367.56291221053107</v>
      </c>
      <c r="D19" s="123">
        <f>+'[2]ST Warroom 99'!$I$5</f>
        <v>-4000</v>
      </c>
      <c r="E19" s="124">
        <f t="shared" si="2"/>
        <v>0</v>
      </c>
      <c r="F19" s="123">
        <f>+'[2]ST Warroom 99'!$I$39</f>
        <v>-4000</v>
      </c>
      <c r="G19" s="168">
        <f>'TX-HPLR-GL '!$E$82</f>
        <v>98133.360000000015</v>
      </c>
      <c r="H19" s="107">
        <f t="shared" si="1"/>
        <v>102133.36000000002</v>
      </c>
      <c r="I19" s="31"/>
      <c r="J19" s="31"/>
    </row>
    <row r="20" spans="1:10" x14ac:dyDescent="0.2">
      <c r="A20" s="101" t="s">
        <v>183</v>
      </c>
      <c r="B20" s="123">
        <f>'TX-HPLC-FLSH'!$M$82</f>
        <v>-55509.348336984171</v>
      </c>
      <c r="C20" s="65">
        <f t="shared" si="0"/>
        <v>-490.6516630158294</v>
      </c>
      <c r="D20" s="123">
        <f>+'[2]ST Warroom 99'!$J$5</f>
        <v>-56000</v>
      </c>
      <c r="E20" s="124">
        <f t="shared" si="2"/>
        <v>0</v>
      </c>
      <c r="F20" s="123">
        <f>+'[2]ST Warroom 99'!$J$39</f>
        <v>-56000</v>
      </c>
      <c r="G20" s="168">
        <f>'TX-HPLC-GL'!$E$82</f>
        <v>117847.01000000536</v>
      </c>
      <c r="H20" s="107">
        <f t="shared" si="1"/>
        <v>173847.01000000536</v>
      </c>
      <c r="I20" s="31"/>
      <c r="J20" s="31"/>
    </row>
    <row r="21" spans="1:10" x14ac:dyDescent="0.2">
      <c r="A21" s="101" t="s">
        <v>176</v>
      </c>
      <c r="B21" s="123">
        <f>'TX-EGM-FLSH'!$M$89</f>
        <v>532111</v>
      </c>
      <c r="C21" s="65">
        <f t="shared" si="0"/>
        <v>-111</v>
      </c>
      <c r="D21" s="60">
        <f>+'[2]ST Warroom 99'!$K$5</f>
        <v>532000</v>
      </c>
      <c r="E21" s="124">
        <f t="shared" si="2"/>
        <v>0</v>
      </c>
      <c r="F21" s="60">
        <f>+'[2]ST Warroom 99'!$K$39</f>
        <v>532000</v>
      </c>
      <c r="G21" s="168">
        <f>'TX-HPLC-GL'!$E$89</f>
        <v>531999.91000000015</v>
      </c>
      <c r="H21" s="107">
        <f t="shared" si="1"/>
        <v>-8.9999999850988388E-2</v>
      </c>
      <c r="I21" s="31"/>
      <c r="J21" s="31"/>
    </row>
    <row r="22" spans="1:10" x14ac:dyDescent="0.2">
      <c r="A22" s="101" t="s">
        <v>17</v>
      </c>
      <c r="B22" s="123">
        <f>'WE-FLSH'!$M$82</f>
        <v>6042496.219242271</v>
      </c>
      <c r="C22" s="65">
        <f t="shared" si="0"/>
        <v>-496.21924227103591</v>
      </c>
      <c r="D22" s="123">
        <f>+'[2]ST Warroom 99'!$L$5</f>
        <v>6042000</v>
      </c>
      <c r="E22" s="124">
        <f t="shared" si="2"/>
        <v>-3092709</v>
      </c>
      <c r="F22" s="123">
        <f>+'[2]ST Warroom 99'!$L$39</f>
        <v>2949291</v>
      </c>
      <c r="G22" s="168">
        <f>'WE-GL '!$E$82</f>
        <v>2637047.0920000458</v>
      </c>
      <c r="H22" s="107">
        <f t="shared" si="1"/>
        <v>-312243.90799995419</v>
      </c>
      <c r="I22" s="31"/>
      <c r="J22" s="31"/>
    </row>
    <row r="23" spans="1:10" x14ac:dyDescent="0.2">
      <c r="A23" s="101" t="s">
        <v>200</v>
      </c>
      <c r="B23" s="123">
        <f>'DEN-FLSH'!$M$82</f>
        <v>-223009.9902875796</v>
      </c>
      <c r="C23" s="65">
        <f>+D23-B23</f>
        <v>9.9902875795960426</v>
      </c>
      <c r="D23" s="123">
        <f>+'[2]ST Warroom 99'!$S$5</f>
        <v>-223000</v>
      </c>
      <c r="E23" s="124">
        <f>+F23-D23</f>
        <v>78632</v>
      </c>
      <c r="F23" s="123">
        <f>+'[2]ST Warroom 99'!$S$39</f>
        <v>-144368</v>
      </c>
      <c r="G23" s="168">
        <f>'DEN-GL'!$E$82</f>
        <v>-183496.76000000036</v>
      </c>
      <c r="H23" s="107">
        <f>G23-F23</f>
        <v>-39128.760000000359</v>
      </c>
      <c r="I23" s="31"/>
      <c r="J23" s="31"/>
    </row>
    <row r="24" spans="1:10" x14ac:dyDescent="0.2">
      <c r="A24" s="101" t="s">
        <v>214</v>
      </c>
      <c r="B24" s="123">
        <f>'DEN-FLSH'!$M$89</f>
        <v>-63196</v>
      </c>
      <c r="C24" s="65">
        <f>+D24-B24</f>
        <v>196</v>
      </c>
      <c r="D24" s="123">
        <f>+'[2]ST Warroom 99'!$R$5</f>
        <v>-63000</v>
      </c>
      <c r="E24" s="124">
        <f>+F24-D24</f>
        <v>0</v>
      </c>
      <c r="F24" s="123">
        <f>+'[2]ST Warroom 99'!$R$39</f>
        <v>-63000</v>
      </c>
      <c r="G24" s="168">
        <f>'DEN-GL'!$E$89</f>
        <v>-102124</v>
      </c>
      <c r="H24" s="107">
        <f>G24-F24</f>
        <v>-39124</v>
      </c>
      <c r="I24" s="31"/>
      <c r="J24" s="31"/>
    </row>
    <row r="25" spans="1:10" x14ac:dyDescent="0.2">
      <c r="A25" s="101" t="s">
        <v>18</v>
      </c>
      <c r="B25" s="123">
        <f>STG_FLSH!$M$82</f>
        <v>2718631</v>
      </c>
      <c r="C25" s="65">
        <f t="shared" si="0"/>
        <v>369</v>
      </c>
      <c r="D25" s="123">
        <f>+'[2]ST Warroom 99'!$M$5</f>
        <v>2719000</v>
      </c>
      <c r="E25" s="124">
        <f t="shared" si="2"/>
        <v>-800357</v>
      </c>
      <c r="F25" s="123">
        <f>+'[2]ST Warroom 99'!$M$39</f>
        <v>1918643</v>
      </c>
      <c r="G25" s="168">
        <f>STG_GL!$E$82</f>
        <v>4080570.3</v>
      </c>
      <c r="H25" s="107">
        <f t="shared" si="1"/>
        <v>2161927.2999999998</v>
      </c>
      <c r="I25" s="31"/>
      <c r="J25" s="31"/>
    </row>
    <row r="26" spans="1:10" x14ac:dyDescent="0.2">
      <c r="A26" s="101" t="s">
        <v>158</v>
      </c>
      <c r="B26" s="123">
        <f>ONT_FLSH!$M$82</f>
        <v>665966.12289828656</v>
      </c>
      <c r="C26" s="65">
        <f t="shared" si="0"/>
        <v>33.877101713442244</v>
      </c>
      <c r="D26" s="123">
        <f>+'[2]ST Warroom 99'!$O$5</f>
        <v>666000</v>
      </c>
      <c r="E26" s="124">
        <f t="shared" si="2"/>
        <v>-69479</v>
      </c>
      <c r="F26" s="123">
        <f>+'[2]ST Warroom 99'!$O$39</f>
        <v>596521</v>
      </c>
      <c r="G26" s="168">
        <f>'ONT_GL '!$E$82</f>
        <v>686165.81999999552</v>
      </c>
      <c r="H26" s="107">
        <f t="shared" si="1"/>
        <v>89644.819999995525</v>
      </c>
      <c r="I26" s="31"/>
      <c r="J26" s="31"/>
    </row>
    <row r="27" spans="1:10" x14ac:dyDescent="0.2">
      <c r="A27" s="101" t="s">
        <v>163</v>
      </c>
      <c r="B27" s="123">
        <f>ONT_FLSH!$M$89</f>
        <v>-244880</v>
      </c>
      <c r="C27" s="65">
        <f t="shared" si="0"/>
        <v>-120</v>
      </c>
      <c r="D27" s="168">
        <f>+'[2]ST Warroom 99'!$P$5</f>
        <v>-245000</v>
      </c>
      <c r="E27" s="124">
        <f t="shared" si="2"/>
        <v>0</v>
      </c>
      <c r="F27" s="168">
        <f>+'[2]ST Warroom 99'!$P$39</f>
        <v>-245000</v>
      </c>
      <c r="G27" s="168">
        <f>+'ONT_GL '!E89</f>
        <v>-244999.59</v>
      </c>
      <c r="H27" s="107">
        <f t="shared" si="1"/>
        <v>0.41000000000349246</v>
      </c>
      <c r="I27" s="31"/>
      <c r="J27" s="31"/>
    </row>
    <row r="28" spans="1:10" x14ac:dyDescent="0.2">
      <c r="A28" s="138" t="s">
        <v>113</v>
      </c>
      <c r="B28" s="123">
        <f>+BUG_FLSH!M82</f>
        <v>3474270.1102007926</v>
      </c>
      <c r="C28" s="65">
        <f>+D28-B28</f>
        <v>-270.11020079255104</v>
      </c>
      <c r="D28" s="123">
        <f>+'[2]ST Warroom 99'!$G$5</f>
        <v>3474000</v>
      </c>
      <c r="E28" s="124">
        <f t="shared" si="2"/>
        <v>-72667</v>
      </c>
      <c r="F28" s="123">
        <f>+'[2]ST Warroom 99'!$G$39</f>
        <v>3401333</v>
      </c>
      <c r="G28" s="168">
        <f>+BUG_GL!E82</f>
        <v>5273972.6539999992</v>
      </c>
      <c r="H28" s="107">
        <f t="shared" si="1"/>
        <v>1872639.6539999992</v>
      </c>
      <c r="I28" s="31"/>
      <c r="J28" s="31"/>
    </row>
    <row r="29" spans="1:10" ht="21.75" customHeight="1" thickBot="1" x14ac:dyDescent="0.25">
      <c r="A29" s="101" t="s">
        <v>10</v>
      </c>
      <c r="B29" s="61">
        <f t="shared" ref="B29:H29" si="3">SUM(B11:B28)</f>
        <v>22983058.328538872</v>
      </c>
      <c r="C29" s="61">
        <f t="shared" si="3"/>
        <v>-129058.32853886898</v>
      </c>
      <c r="D29" s="61">
        <f t="shared" si="3"/>
        <v>22854000</v>
      </c>
      <c r="E29" s="61">
        <f t="shared" si="3"/>
        <v>-3636627</v>
      </c>
      <c r="F29" s="61">
        <f t="shared" si="3"/>
        <v>19217373</v>
      </c>
      <c r="G29" s="61">
        <f t="shared" si="3"/>
        <v>24802331.619000077</v>
      </c>
      <c r="H29" s="108">
        <f t="shared" si="3"/>
        <v>5584958.61900008</v>
      </c>
      <c r="I29" s="31"/>
      <c r="J29" s="31"/>
    </row>
    <row r="30" spans="1:10" ht="21" customHeight="1" thickBot="1" x14ac:dyDescent="0.25">
      <c r="A30" s="102" t="s">
        <v>19</v>
      </c>
      <c r="B30" s="103">
        <f>TOTAL!$E$91</f>
        <v>22983058.328538742</v>
      </c>
      <c r="C30" s="103">
        <f>+C29</f>
        <v>-129058.32853886898</v>
      </c>
      <c r="D30" s="103">
        <f>+'[2]ST Warroom 99'!$U$5</f>
        <v>22854000</v>
      </c>
      <c r="E30" s="103">
        <f>+'[2]ST Warroom 99'!$U$22</f>
        <v>-3636627</v>
      </c>
      <c r="F30" s="103">
        <f>+'[2]ST Warroom 99'!$U$39</f>
        <v>19217373</v>
      </c>
      <c r="G30" s="103">
        <f>TOTAL!$G$91</f>
        <v>24802331.61900026</v>
      </c>
      <c r="H30" s="179">
        <f>+[1]OAvsACT!$G$57</f>
        <v>5584978.2899999991</v>
      </c>
      <c r="I30" s="31"/>
      <c r="J30" s="31"/>
    </row>
    <row r="31" spans="1:10" x14ac:dyDescent="0.2">
      <c r="B31" s="45"/>
      <c r="C31" s="45"/>
      <c r="D31" s="45"/>
      <c r="E31" s="45"/>
      <c r="F31" s="45"/>
      <c r="G31" s="45"/>
      <c r="H31" s="45">
        <f>+H30-H29</f>
        <v>19.670999919064343</v>
      </c>
      <c r="I31" s="45"/>
      <c r="J31" s="45"/>
    </row>
    <row r="32" spans="1:10" x14ac:dyDescent="0.2">
      <c r="B32" s="45">
        <f t="shared" ref="B32:G32" si="4">+B29-B30</f>
        <v>1.3038516044616699E-7</v>
      </c>
      <c r="C32" s="45">
        <f t="shared" si="4"/>
        <v>0</v>
      </c>
      <c r="D32" s="45">
        <f t="shared" si="4"/>
        <v>0</v>
      </c>
      <c r="E32" s="45">
        <f t="shared" si="4"/>
        <v>0</v>
      </c>
      <c r="F32" s="45">
        <f t="shared" si="4"/>
        <v>0</v>
      </c>
      <c r="G32" s="14">
        <f t="shared" si="4"/>
        <v>-1.8253922462463379E-7</v>
      </c>
      <c r="H32" s="45">
        <v>0</v>
      </c>
      <c r="I32" s="45"/>
      <c r="J32" s="45"/>
    </row>
    <row r="34" hidden="1" x14ac:dyDescent="0.2"/>
    <row r="35" hidden="1" x14ac:dyDescent="0.2"/>
    <row r="36" hidden="1" x14ac:dyDescent="0.2"/>
    <row r="37" hidden="1" x14ac:dyDescent="0.2"/>
    <row r="38" hidden="1" x14ac:dyDescent="0.2"/>
    <row r="39" hidden="1" x14ac:dyDescent="0.2"/>
    <row r="40" hidden="1" x14ac:dyDescent="0.2"/>
    <row r="41" hidden="1" x14ac:dyDescent="0.2"/>
    <row r="42" hidden="1" x14ac:dyDescent="0.2"/>
    <row r="43" hidden="1" x14ac:dyDescent="0.2"/>
    <row r="44" hidden="1" x14ac:dyDescent="0.2"/>
    <row r="45" hidden="1" x14ac:dyDescent="0.2"/>
    <row r="46" hidden="1" x14ac:dyDescent="0.2"/>
    <row r="47" hidden="1" x14ac:dyDescent="0.2"/>
    <row r="48" hidden="1" x14ac:dyDescent="0.2"/>
    <row r="49" spans="3:7" hidden="1" x14ac:dyDescent="0.2"/>
    <row r="50" spans="3:7" hidden="1" x14ac:dyDescent="0.2"/>
    <row r="51" spans="3:7" hidden="1" x14ac:dyDescent="0.2"/>
    <row r="52" spans="3:7" hidden="1" x14ac:dyDescent="0.2"/>
    <row r="53" spans="3:7" hidden="1" x14ac:dyDescent="0.2"/>
    <row r="54" spans="3:7" hidden="1" x14ac:dyDescent="0.2"/>
    <row r="55" spans="3:7" hidden="1" x14ac:dyDescent="0.2"/>
    <row r="56" spans="3:7" hidden="1" x14ac:dyDescent="0.2"/>
    <row r="57" spans="3:7" hidden="1" x14ac:dyDescent="0.2"/>
    <row r="58" spans="3:7" hidden="1" x14ac:dyDescent="0.2"/>
    <row r="59" spans="3:7" hidden="1" x14ac:dyDescent="0.2"/>
    <row r="60" spans="3:7" hidden="1" x14ac:dyDescent="0.2"/>
    <row r="61" spans="3:7" hidden="1" x14ac:dyDescent="0.2">
      <c r="C61" s="2"/>
      <c r="D61" s="2"/>
      <c r="E61" s="2"/>
      <c r="F61" s="2"/>
      <c r="G61" s="2"/>
    </row>
    <row r="62" spans="3:7" hidden="1" x14ac:dyDescent="0.2"/>
    <row r="63" spans="3:7" hidden="1" x14ac:dyDescent="0.2"/>
    <row r="64" spans="3:7" hidden="1" x14ac:dyDescent="0.2"/>
    <row r="65" hidden="1" x14ac:dyDescent="0.2"/>
    <row r="66" hidden="1" x14ac:dyDescent="0.2"/>
    <row r="67" hidden="1" x14ac:dyDescent="0.2"/>
    <row r="68" hidden="1" x14ac:dyDescent="0.2"/>
    <row r="69" hidden="1" x14ac:dyDescent="0.2"/>
    <row r="70" hidden="1" x14ac:dyDescent="0.2"/>
    <row r="71" hidden="1" x14ac:dyDescent="0.2"/>
    <row r="72" hidden="1" x14ac:dyDescent="0.2"/>
    <row r="73" hidden="1" x14ac:dyDescent="0.2"/>
    <row r="74" hidden="1" x14ac:dyDescent="0.2"/>
    <row r="75" hidden="1" x14ac:dyDescent="0.2"/>
    <row r="76" hidden="1" x14ac:dyDescent="0.2"/>
    <row r="77" hidden="1" x14ac:dyDescent="0.2"/>
    <row r="78" hidden="1" x14ac:dyDescent="0.2"/>
    <row r="79" hidden="1" x14ac:dyDescent="0.2"/>
    <row r="80" hidden="1" x14ac:dyDescent="0.2"/>
    <row r="81" spans="7:7" hidden="1" x14ac:dyDescent="0.2"/>
    <row r="82" spans="7:7" hidden="1" x14ac:dyDescent="0.2"/>
    <row r="83" spans="7:7" hidden="1" x14ac:dyDescent="0.2"/>
    <row r="84" spans="7:7" hidden="1" x14ac:dyDescent="0.2"/>
    <row r="86" spans="7:7" x14ac:dyDescent="0.2">
      <c r="G86" s="45"/>
    </row>
    <row r="88" spans="7:7" x14ac:dyDescent="0.2">
      <c r="G88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H187"/>
  <sheetViews>
    <sheetView zoomScale="75" workbookViewId="0">
      <pane xSplit="3" ySplit="9" topLeftCell="D26" activePane="bottomRight" state="frozen"/>
      <selection activeCell="D10" sqref="D10"/>
      <selection pane="topRight" activeCell="D10" sqref="D10"/>
      <selection pane="bottomLeft" activeCell="D10" sqref="D10"/>
      <selection pane="bottomRight" activeCell="C3" sqref="C3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5" width="15" style="31" customWidth="1"/>
    <col min="6" max="33" width="15" customWidth="1"/>
  </cols>
  <sheetData>
    <row r="1" spans="1:33" x14ac:dyDescent="0.2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0001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83</v>
      </c>
      <c r="M8" s="27"/>
      <c r="N8" s="26" t="s">
        <v>17</v>
      </c>
      <c r="O8" s="27"/>
      <c r="P8" s="26" t="s">
        <v>200</v>
      </c>
      <c r="Q8" s="27"/>
      <c r="R8" s="26" t="s">
        <v>182</v>
      </c>
      <c r="S8" s="27"/>
      <c r="T8" s="26" t="s">
        <v>16</v>
      </c>
      <c r="U8" s="27"/>
      <c r="V8" s="26" t="s">
        <v>183</v>
      </c>
      <c r="W8" s="27"/>
      <c r="X8" s="26" t="s">
        <v>18</v>
      </c>
      <c r="Y8" s="27"/>
      <c r="Z8" s="26" t="s">
        <v>158</v>
      </c>
      <c r="AA8" s="27"/>
      <c r="AB8" s="26" t="s">
        <v>189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6">
        <f t="shared" ref="D11:E15" si="0">F11+H11+J11+L11+N11+R11+T11+X11+Z11+AF11+P11+V11+AB11+AD11</f>
        <v>0</v>
      </c>
      <c r="E11" s="66">
        <f t="shared" si="0"/>
        <v>-18644520</v>
      </c>
      <c r="F11" s="60"/>
      <c r="G11" s="38">
        <v>0</v>
      </c>
      <c r="H11" s="60"/>
      <c r="I11" s="38">
        <f>-929671+201135+4177000+1770197+625394</f>
        <v>5844055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265657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/>
      <c r="AG11" s="38">
        <f>-24807112+3993609-3924785-15944</f>
        <v>-24754232</v>
      </c>
    </row>
    <row r="12" spans="1:33" x14ac:dyDescent="0.2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-765000</v>
      </c>
      <c r="F12" s="60"/>
      <c r="G12" s="38">
        <v>0</v>
      </c>
      <c r="H12" s="60"/>
      <c r="I12" s="38">
        <v>0</v>
      </c>
      <c r="J12" s="60"/>
      <c r="K12" s="38">
        <v>170000</v>
      </c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>
        <f>-940000+5000</f>
        <v>-935000</v>
      </c>
      <c r="X12" s="60"/>
      <c r="Y12" s="38"/>
      <c r="Z12" s="60"/>
      <c r="AA12" s="38"/>
      <c r="AB12" s="60"/>
      <c r="AC12" s="38"/>
      <c r="AD12" s="60"/>
      <c r="AE12" s="38"/>
      <c r="AF12" s="60"/>
      <c r="AG12" s="38"/>
    </row>
    <row r="13" spans="1:33" x14ac:dyDescent="0.2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-4698191</v>
      </c>
      <c r="F15" s="60"/>
      <c r="G15" s="38">
        <v>0</v>
      </c>
      <c r="H15" s="60"/>
      <c r="I15" s="38">
        <f>-10486107+929671-1770197</f>
        <v>-11326633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>
        <f>940000-820000</f>
        <v>120000</v>
      </c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f>10486107-3993609+15944</f>
        <v>6508442</v>
      </c>
    </row>
    <row r="16" spans="1:33" x14ac:dyDescent="0.2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-24107711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-5482578</v>
      </c>
      <c r="J16" s="61">
        <f t="shared" si="1"/>
        <v>0</v>
      </c>
      <c r="K16" s="39">
        <f t="shared" si="1"/>
        <v>170000</v>
      </c>
      <c r="L16" s="61">
        <f t="shared" si="1"/>
        <v>0</v>
      </c>
      <c r="M16" s="39">
        <f t="shared" si="1"/>
        <v>0</v>
      </c>
      <c r="N16" s="61">
        <f t="shared" ref="N16:AG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-549343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>SUM(AB11:AB15)</f>
        <v>0</v>
      </c>
      <c r="AC16" s="39">
        <f>SUM(AC11:AC15)</f>
        <v>0</v>
      </c>
      <c r="AD16" s="61">
        <f>SUM(AD11:AD15)</f>
        <v>0</v>
      </c>
      <c r="AE16" s="39">
        <f>SUM(AE11:AE15)</f>
        <v>0</v>
      </c>
      <c r="AF16" s="61">
        <f t="shared" si="2"/>
        <v>0</v>
      </c>
      <c r="AG16" s="39">
        <f t="shared" si="2"/>
        <v>-18245790</v>
      </c>
    </row>
    <row r="17" spans="1:3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6">
        <f t="shared" ref="D19:E23" si="3">F19+H19+J19+L19+N19+R19+T19+X19+Z19+AF19+P19+V19+AB19+AD19</f>
        <v>0</v>
      </c>
      <c r="E19" s="66">
        <f t="shared" si="3"/>
        <v>6319481</v>
      </c>
      <c r="F19" s="60"/>
      <c r="G19" s="38">
        <v>0</v>
      </c>
      <c r="H19" s="60"/>
      <c r="I19" s="38">
        <f>2137655+400478+1310</f>
        <v>2539443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>
        <v>-144747</v>
      </c>
      <c r="X19" s="60"/>
      <c r="Y19" s="38"/>
      <c r="Z19" s="60"/>
      <c r="AA19" s="38"/>
      <c r="AB19" s="60"/>
      <c r="AC19" s="38"/>
      <c r="AD19" s="60"/>
      <c r="AE19" s="38"/>
      <c r="AF19" s="60"/>
      <c r="AG19" s="38">
        <v>3924785</v>
      </c>
    </row>
    <row r="20" spans="1:33" x14ac:dyDescent="0.2">
      <c r="A20" s="9">
        <v>7</v>
      </c>
      <c r="B20" s="7"/>
      <c r="C20" s="18" t="s">
        <v>26</v>
      </c>
      <c r="D20" s="66">
        <f t="shared" si="3"/>
        <v>0</v>
      </c>
      <c r="E20" s="66">
        <f t="shared" si="3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</row>
    <row r="21" spans="1:33" x14ac:dyDescent="0.2">
      <c r="A21" s="9">
        <v>8</v>
      </c>
      <c r="B21" s="7"/>
      <c r="C21" s="18" t="s">
        <v>27</v>
      </c>
      <c r="D21" s="66">
        <f t="shared" si="3"/>
        <v>0</v>
      </c>
      <c r="E21" s="66">
        <f t="shared" si="3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6">
        <f t="shared" si="3"/>
        <v>0</v>
      </c>
      <c r="E22" s="66">
        <f t="shared" si="3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6">
        <f t="shared" si="3"/>
        <v>0</v>
      </c>
      <c r="E23" s="66">
        <f t="shared" si="3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M24" si="4">SUM(D19:D23)</f>
        <v>0</v>
      </c>
      <c r="E24" s="39">
        <f t="shared" si="4"/>
        <v>6319481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2539443</v>
      </c>
      <c r="J24" s="61">
        <f t="shared" si="4"/>
        <v>0</v>
      </c>
      <c r="K24" s="39">
        <f t="shared" si="4"/>
        <v>0</v>
      </c>
      <c r="L24" s="61">
        <f t="shared" si="4"/>
        <v>0</v>
      </c>
      <c r="M24" s="39">
        <f t="shared" si="4"/>
        <v>0</v>
      </c>
      <c r="N24" s="61">
        <f t="shared" ref="N24:AG24" si="5">SUM(N19:N23)</f>
        <v>0</v>
      </c>
      <c r="O24" s="39">
        <f t="shared" si="5"/>
        <v>0</v>
      </c>
      <c r="P24" s="61">
        <f>SUM(P19:P23)</f>
        <v>0</v>
      </c>
      <c r="Q24" s="39">
        <f>SUM(Q19:Q23)</f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>SUM(V19:V23)</f>
        <v>0</v>
      </c>
      <c r="W24" s="39">
        <f>SUM(W19:W23)</f>
        <v>-144747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>SUM(AB19:AB23)</f>
        <v>0</v>
      </c>
      <c r="AC24" s="39">
        <f>SUM(AC19:AC23)</f>
        <v>0</v>
      </c>
      <c r="AD24" s="61">
        <f>SUM(AD19:AD23)</f>
        <v>0</v>
      </c>
      <c r="AE24" s="39">
        <f>SUM(AE19:AE23)</f>
        <v>0</v>
      </c>
      <c r="AF24" s="61">
        <f t="shared" si="5"/>
        <v>0</v>
      </c>
      <c r="AG24" s="39">
        <f t="shared" si="5"/>
        <v>3924785</v>
      </c>
    </row>
    <row r="25" spans="1:3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6">
        <f>F27+H27+J27+L27+N27+R27+T27+X27+Z27+AF27+P27+V27+AB27+AD27</f>
        <v>0</v>
      </c>
      <c r="E27" s="66">
        <f>G27+I27+K27+M27+O27+S27+U27+Y27+AA27+AG27+Q27+W27+AC27+AE27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6">
        <f>F28+H28+J28+L28+N28+R28+T28+X28+Z28+AF28+P28+V28+AB28+AD28</f>
        <v>0</v>
      </c>
      <c r="E28" s="66">
        <f>G28+I28+K28+M28+O28+S28+U28+Y28+AA28+AG28+Q28+W28+AC28+AE28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M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ref="N29:AG29" si="7">SUM(N27:N28)</f>
        <v>0</v>
      </c>
      <c r="O29" s="39">
        <f t="shared" si="7"/>
        <v>0</v>
      </c>
      <c r="P29" s="61">
        <f>SUM(P27:P28)</f>
        <v>0</v>
      </c>
      <c r="Q29" s="39">
        <f>SUM(Q27:Q28)</f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>SUM(V27:V28)</f>
        <v>0</v>
      </c>
      <c r="W29" s="39">
        <f>SUM(W27:W28)</f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>SUM(AB27:AB28)</f>
        <v>0</v>
      </c>
      <c r="AC29" s="39">
        <f>SUM(AC27:AC28)</f>
        <v>0</v>
      </c>
      <c r="AD29" s="61">
        <f>SUM(AD27:AD28)</f>
        <v>0</v>
      </c>
      <c r="AE29" s="39">
        <f>SUM(AE27:AE28)</f>
        <v>0</v>
      </c>
      <c r="AF29" s="61">
        <f t="shared" si="7"/>
        <v>0</v>
      </c>
      <c r="AG29" s="39">
        <f t="shared" si="7"/>
        <v>0</v>
      </c>
    </row>
    <row r="30" spans="1:3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6">
        <f t="shared" ref="D32:E35" si="8">F32+H32+J32+L32+N32+R32+T32+X32+Z32+AF32+P32+V32+AB32+AD32</f>
        <v>0</v>
      </c>
      <c r="E32" s="66">
        <f t="shared" si="8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6">
        <f t="shared" si="8"/>
        <v>0</v>
      </c>
      <c r="E33" s="66">
        <f t="shared" si="8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6">
        <f t="shared" si="8"/>
        <v>0</v>
      </c>
      <c r="E34" s="66">
        <f t="shared" si="8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6">
        <f t="shared" si="8"/>
        <v>-790039</v>
      </c>
      <c r="E35" s="66">
        <f t="shared" si="8"/>
        <v>-4708067</v>
      </c>
      <c r="F35" s="60"/>
      <c r="G35" s="38"/>
      <c r="H35" s="60">
        <v>-730000</v>
      </c>
      <c r="I35" s="38">
        <f>-2137655-1854200-400478</f>
        <v>-4392333</v>
      </c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>
        <v>-60039</v>
      </c>
      <c r="AG35" s="38">
        <v>-315734</v>
      </c>
    </row>
    <row r="36" spans="1:33" x14ac:dyDescent="0.2">
      <c r="A36" s="9"/>
      <c r="B36" s="7" t="s">
        <v>43</v>
      </c>
      <c r="C36" s="6"/>
      <c r="D36" s="61">
        <f t="shared" ref="D36:I36" si="9">SUM(D32:D35)</f>
        <v>-790039</v>
      </c>
      <c r="E36" s="39">
        <f t="shared" si="9"/>
        <v>-4708067</v>
      </c>
      <c r="F36" s="61">
        <f t="shared" si="9"/>
        <v>0</v>
      </c>
      <c r="G36" s="39">
        <f t="shared" si="9"/>
        <v>0</v>
      </c>
      <c r="H36" s="61">
        <f t="shared" si="9"/>
        <v>-730000</v>
      </c>
      <c r="I36" s="39">
        <f t="shared" si="9"/>
        <v>-4392333</v>
      </c>
      <c r="J36" s="61">
        <f t="shared" ref="J36:Q36" si="10">SUM(J32:J34)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ref="R36:AG36" si="11">SUM(R32:R34)</f>
        <v>0</v>
      </c>
      <c r="S36" s="39">
        <f t="shared" si="11"/>
        <v>0</v>
      </c>
      <c r="T36" s="61">
        <f t="shared" si="11"/>
        <v>0</v>
      </c>
      <c r="U36" s="39">
        <f t="shared" si="11"/>
        <v>0</v>
      </c>
      <c r="V36" s="61">
        <f>SUM(V32:V34)</f>
        <v>0</v>
      </c>
      <c r="W36" s="39">
        <f>SUM(W32:W34)</f>
        <v>0</v>
      </c>
      <c r="X36" s="61">
        <f t="shared" si="11"/>
        <v>0</v>
      </c>
      <c r="Y36" s="39">
        <f t="shared" si="11"/>
        <v>0</v>
      </c>
      <c r="Z36" s="61">
        <f t="shared" si="11"/>
        <v>0</v>
      </c>
      <c r="AA36" s="39">
        <f t="shared" si="11"/>
        <v>0</v>
      </c>
      <c r="AB36" s="61">
        <f>SUM(AB32:AB34)</f>
        <v>0</v>
      </c>
      <c r="AC36" s="39">
        <f>SUM(AC32:AC34)</f>
        <v>0</v>
      </c>
      <c r="AD36" s="61">
        <f>SUM(AD32:AD34)</f>
        <v>0</v>
      </c>
      <c r="AE36" s="39">
        <f>SUM(AE32:AE34)</f>
        <v>0</v>
      </c>
      <c r="AF36" s="61">
        <f t="shared" si="11"/>
        <v>0</v>
      </c>
      <c r="AG36" s="39">
        <f t="shared" si="11"/>
        <v>0</v>
      </c>
    </row>
    <row r="37" spans="1:3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6">
        <f t="shared" ref="D39:E41" si="12">F39+H39+J39+L39+N39+R39+T39+X39+Z39+AF39+P39+V39+AB39+AD39</f>
        <v>0</v>
      </c>
      <c r="E39" s="66">
        <f t="shared" si="12"/>
        <v>-120910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>
        <f>-265657+144747</f>
        <v>-120910</v>
      </c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6">
        <f t="shared" si="12"/>
        <v>790039</v>
      </c>
      <c r="E40" s="66">
        <f t="shared" si="12"/>
        <v>26977046</v>
      </c>
      <c r="F40" s="60"/>
      <c r="G40" s="38"/>
      <c r="H40" s="60">
        <v>730000</v>
      </c>
      <c r="I40" s="38">
        <v>1854200</v>
      </c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>
        <v>60039</v>
      </c>
      <c r="AG40" s="38">
        <f>24807112+315734</f>
        <v>25122846</v>
      </c>
    </row>
    <row r="41" spans="1:33" x14ac:dyDescent="0.2">
      <c r="A41" s="9">
        <v>19</v>
      </c>
      <c r="B41" s="7"/>
      <c r="C41" s="18" t="s">
        <v>47</v>
      </c>
      <c r="D41" s="66">
        <f t="shared" si="12"/>
        <v>0</v>
      </c>
      <c r="E41" s="66">
        <f t="shared" si="12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-146152</v>
      </c>
      <c r="X41" s="60"/>
      <c r="Y41" s="38">
        <v>146152</v>
      </c>
      <c r="Z41" s="60"/>
      <c r="AA41" s="38"/>
      <c r="AB41" s="60"/>
      <c r="AC41" s="38"/>
      <c r="AD41" s="60"/>
      <c r="AE41" s="38"/>
      <c r="AF41" s="60"/>
      <c r="AG41" s="38"/>
    </row>
    <row r="42" spans="1:33" x14ac:dyDescent="0.2">
      <c r="A42" s="9"/>
      <c r="B42" s="7"/>
      <c r="C42" s="53" t="s">
        <v>48</v>
      </c>
      <c r="D42" s="61">
        <f t="shared" ref="D42:M42" si="13">SUM(D40:D41)</f>
        <v>790039</v>
      </c>
      <c r="E42" s="39">
        <f t="shared" si="13"/>
        <v>26977046</v>
      </c>
      <c r="F42" s="61">
        <f t="shared" si="13"/>
        <v>0</v>
      </c>
      <c r="G42" s="39">
        <f t="shared" si="13"/>
        <v>0</v>
      </c>
      <c r="H42" s="61">
        <f t="shared" si="13"/>
        <v>730000</v>
      </c>
      <c r="I42" s="39">
        <f t="shared" si="13"/>
        <v>1854200</v>
      </c>
      <c r="J42" s="61">
        <f t="shared" si="13"/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 t="shared" ref="N42:AG42" si="14">SUM(N40:N41)</f>
        <v>0</v>
      </c>
      <c r="O42" s="39">
        <f t="shared" si="14"/>
        <v>0</v>
      </c>
      <c r="P42" s="61">
        <f>SUM(P40:P41)</f>
        <v>0</v>
      </c>
      <c r="Q42" s="39">
        <f>SUM(Q40:Q41)</f>
        <v>0</v>
      </c>
      <c r="R42" s="61">
        <f t="shared" si="14"/>
        <v>0</v>
      </c>
      <c r="S42" s="39">
        <f t="shared" si="14"/>
        <v>0</v>
      </c>
      <c r="T42" s="61">
        <f t="shared" si="14"/>
        <v>0</v>
      </c>
      <c r="U42" s="39">
        <f t="shared" si="14"/>
        <v>0</v>
      </c>
      <c r="V42" s="61">
        <f>SUM(V40:V41)</f>
        <v>0</v>
      </c>
      <c r="W42" s="39">
        <f>SUM(W40:W41)</f>
        <v>-146152</v>
      </c>
      <c r="X42" s="61">
        <f t="shared" si="14"/>
        <v>0</v>
      </c>
      <c r="Y42" s="39">
        <f t="shared" si="14"/>
        <v>146152</v>
      </c>
      <c r="Z42" s="61">
        <f t="shared" si="14"/>
        <v>0</v>
      </c>
      <c r="AA42" s="39">
        <f t="shared" si="14"/>
        <v>0</v>
      </c>
      <c r="AB42" s="61">
        <f>SUM(AB40:AB41)</f>
        <v>0</v>
      </c>
      <c r="AC42" s="39">
        <f>SUM(AC40:AC41)</f>
        <v>0</v>
      </c>
      <c r="AD42" s="61">
        <f>SUM(AD40:AD41)</f>
        <v>0</v>
      </c>
      <c r="AE42" s="39">
        <f>SUM(AE40:AE41)</f>
        <v>0</v>
      </c>
      <c r="AF42" s="61">
        <f t="shared" si="14"/>
        <v>60039</v>
      </c>
      <c r="AG42" s="39">
        <f t="shared" si="14"/>
        <v>25122846</v>
      </c>
    </row>
    <row r="43" spans="1:33" ht="21" customHeight="1" x14ac:dyDescent="0.2">
      <c r="A43" s="9"/>
      <c r="B43" s="7" t="s">
        <v>49</v>
      </c>
      <c r="C43" s="6"/>
      <c r="D43" s="61">
        <f t="shared" ref="D43:M43" si="15">D42+D39</f>
        <v>790039</v>
      </c>
      <c r="E43" s="39">
        <f t="shared" si="15"/>
        <v>26856136</v>
      </c>
      <c r="F43" s="61">
        <f t="shared" si="15"/>
        <v>0</v>
      </c>
      <c r="G43" s="39">
        <f t="shared" si="15"/>
        <v>0</v>
      </c>
      <c r="H43" s="61">
        <f t="shared" si="15"/>
        <v>730000</v>
      </c>
      <c r="I43" s="39">
        <f t="shared" si="15"/>
        <v>1854200</v>
      </c>
      <c r="J43" s="61">
        <f t="shared" si="15"/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 t="shared" ref="N43:AG43" si="16">N42+N39</f>
        <v>0</v>
      </c>
      <c r="O43" s="39">
        <f t="shared" si="16"/>
        <v>0</v>
      </c>
      <c r="P43" s="61">
        <f>P42+P39</f>
        <v>0</v>
      </c>
      <c r="Q43" s="39">
        <f>Q42+Q39</f>
        <v>0</v>
      </c>
      <c r="R43" s="61">
        <f t="shared" si="16"/>
        <v>0</v>
      </c>
      <c r="S43" s="39">
        <f t="shared" si="16"/>
        <v>0</v>
      </c>
      <c r="T43" s="61">
        <f t="shared" si="16"/>
        <v>0</v>
      </c>
      <c r="U43" s="39">
        <f t="shared" si="16"/>
        <v>0</v>
      </c>
      <c r="V43" s="61">
        <f>V42+V39</f>
        <v>0</v>
      </c>
      <c r="W43" s="39">
        <f>W42+W39</f>
        <v>-267062</v>
      </c>
      <c r="X43" s="61">
        <f t="shared" si="16"/>
        <v>0</v>
      </c>
      <c r="Y43" s="39">
        <f t="shared" si="16"/>
        <v>146152</v>
      </c>
      <c r="Z43" s="61">
        <f t="shared" si="16"/>
        <v>0</v>
      </c>
      <c r="AA43" s="39">
        <f t="shared" si="16"/>
        <v>0</v>
      </c>
      <c r="AB43" s="61">
        <f>AB42+AB39</f>
        <v>0</v>
      </c>
      <c r="AC43" s="39">
        <f>AC42+AC39</f>
        <v>0</v>
      </c>
      <c r="AD43" s="61">
        <f>AD42+AD39</f>
        <v>0</v>
      </c>
      <c r="AE43" s="39">
        <f>AE42+AE39</f>
        <v>0</v>
      </c>
      <c r="AF43" s="61">
        <f t="shared" si="16"/>
        <v>60039</v>
      </c>
      <c r="AG43" s="39">
        <f t="shared" si="16"/>
        <v>25122846</v>
      </c>
    </row>
    <row r="44" spans="1:3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6">
        <f>F45+H45+J45+L45+N45+R45+T45+X45+Z45+AF45+P45+V45+AB45+AD45</f>
        <v>0</v>
      </c>
      <c r="E45" s="66">
        <f>G45+I45+K45+M45+O45+S45+U45+Y45+AA45+AG45+Q45+W45+AC45+AE45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6">
        <f>F47+H47+J47+L47+N47+R47+T47+X47+Z47+AF47+P47+V47+AB47+AD47</f>
        <v>0</v>
      </c>
      <c r="E47" s="66">
        <f>G47+I47+K47+M47+O47+S47+U47+Y47+AA47+AG47+Q47+W47+AC47+AE47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6">
        <f>F49+H49+J49+L49+N49+R49+T49+X49+Z49+AF49+P49+V49+AB49+AD49</f>
        <v>0</v>
      </c>
      <c r="E49" s="66">
        <f>G49+I49+K49+M49+O49+S49+U49+Y49+AA49+AG49+Q49+W49+AC49+AE49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6">
        <f>F51+H51+J51+L51+N51+R51+T51+X51+Z51+AF51+P51+V51+AB51+AD51</f>
        <v>0</v>
      </c>
      <c r="E51" s="66">
        <f>G51+I51+K51+M51+O51+S51+U51+Y51+AA51+AG51+Q51+W51+AC51+AE51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6">
        <f>F54+H54+J54+L54+N54+R54+T54+X54+Z54+AF54+P54+V54+AB54+AD54</f>
        <v>0</v>
      </c>
      <c r="E54" s="66">
        <f>G54+I54+K54+M54+O54+S54+U54+Y54+AA54+AG54+Q54+W54+AC54+AE54</f>
        <v>-1310</v>
      </c>
      <c r="F54" s="60"/>
      <c r="G54" s="38"/>
      <c r="H54" s="60"/>
      <c r="I54" s="38">
        <f>54248+2646+356-1310</f>
        <v>55940</v>
      </c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>
        <f>-54248-2646-356</f>
        <v>-57250</v>
      </c>
    </row>
    <row r="55" spans="1:33" x14ac:dyDescent="0.2">
      <c r="A55" s="9">
        <v>25</v>
      </c>
      <c r="B55" s="7"/>
      <c r="C55" s="18" t="s">
        <v>56</v>
      </c>
      <c r="D55" s="66">
        <f>F55+H55+J55+L55+N55+R55+T55+X55+Z55+AF55+P55+V55+AB55+AD55</f>
        <v>0</v>
      </c>
      <c r="E55" s="66">
        <f>G55+I55+K55+M55+O55+S55+U55+Y55+AA55+AG55+Q55+W55+AC55+AE55</f>
        <v>553015</v>
      </c>
      <c r="F55" s="60"/>
      <c r="G55" s="38">
        <v>97061</v>
      </c>
      <c r="H55" s="60"/>
      <c r="I55" s="38">
        <f>35136+2646</f>
        <v>37782</v>
      </c>
      <c r="J55" s="60"/>
      <c r="K55" s="38"/>
      <c r="L55" s="60"/>
      <c r="M55" s="38"/>
      <c r="N55" s="60"/>
      <c r="O55" s="38">
        <v>0</v>
      </c>
      <c r="P55" s="60"/>
      <c r="Q55" s="38">
        <v>362654</v>
      </c>
      <c r="R55" s="60"/>
      <c r="S55" s="38"/>
      <c r="T55" s="60"/>
      <c r="U55" s="38"/>
      <c r="V55" s="60"/>
      <c r="W55" s="38">
        <v>93300</v>
      </c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>
        <f>-35136-2646</f>
        <v>-37782</v>
      </c>
    </row>
    <row r="56" spans="1:33" x14ac:dyDescent="0.2">
      <c r="A56" s="9"/>
      <c r="B56" s="7" t="s">
        <v>57</v>
      </c>
      <c r="C56" s="6"/>
      <c r="D56" s="61">
        <f t="shared" ref="D56:M56" si="17">SUM(D54:D55)</f>
        <v>0</v>
      </c>
      <c r="E56" s="39">
        <f t="shared" si="17"/>
        <v>551705</v>
      </c>
      <c r="F56" s="61">
        <f t="shared" si="17"/>
        <v>0</v>
      </c>
      <c r="G56" s="39">
        <f t="shared" si="17"/>
        <v>97061</v>
      </c>
      <c r="H56" s="61">
        <f t="shared" si="17"/>
        <v>0</v>
      </c>
      <c r="I56" s="39">
        <f t="shared" si="17"/>
        <v>93722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 t="shared" ref="N56:AG56" si="18">SUM(N54:N55)</f>
        <v>0</v>
      </c>
      <c r="O56" s="39">
        <f t="shared" si="18"/>
        <v>0</v>
      </c>
      <c r="P56" s="61">
        <f>SUM(P54:P55)</f>
        <v>0</v>
      </c>
      <c r="Q56" s="39">
        <f>SUM(Q54:Q55)</f>
        <v>362654</v>
      </c>
      <c r="R56" s="61">
        <f t="shared" si="18"/>
        <v>0</v>
      </c>
      <c r="S56" s="39">
        <f t="shared" si="18"/>
        <v>0</v>
      </c>
      <c r="T56" s="61">
        <f t="shared" si="18"/>
        <v>0</v>
      </c>
      <c r="U56" s="39">
        <f t="shared" si="18"/>
        <v>0</v>
      </c>
      <c r="V56" s="61">
        <f>SUM(V54:V55)</f>
        <v>0</v>
      </c>
      <c r="W56" s="39">
        <f>SUM(W54:W55)</f>
        <v>93300</v>
      </c>
      <c r="X56" s="61">
        <f t="shared" si="18"/>
        <v>0</v>
      </c>
      <c r="Y56" s="39">
        <f t="shared" si="18"/>
        <v>0</v>
      </c>
      <c r="Z56" s="61">
        <f t="shared" si="18"/>
        <v>0</v>
      </c>
      <c r="AA56" s="39">
        <f t="shared" si="18"/>
        <v>0</v>
      </c>
      <c r="AB56" s="61">
        <f>SUM(AB54:AB55)</f>
        <v>0</v>
      </c>
      <c r="AC56" s="39">
        <f>SUM(AC54:AC55)</f>
        <v>0</v>
      </c>
      <c r="AD56" s="61">
        <f>SUM(AD54:AD55)</f>
        <v>0</v>
      </c>
      <c r="AE56" s="39">
        <f>SUM(AE54:AE55)</f>
        <v>0</v>
      </c>
      <c r="AF56" s="61">
        <f t="shared" si="18"/>
        <v>0</v>
      </c>
      <c r="AG56" s="39">
        <f t="shared" si="18"/>
        <v>-95032</v>
      </c>
    </row>
    <row r="57" spans="1:33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6">
        <f>F59+H59+J59+L59+N59+R59+T59+X59+Z59+AF59+P59+V59+AB59+AD59</f>
        <v>0</v>
      </c>
      <c r="E59" s="66">
        <f>G59+I59+K59+M59+O59+S59+U59+Y59+AA59+AG59+Q59+W59+AC59+AE59</f>
        <v>-170000</v>
      </c>
      <c r="F59" s="60"/>
      <c r="G59" s="38"/>
      <c r="H59" s="60"/>
      <c r="I59" s="38"/>
      <c r="J59" s="60"/>
      <c r="K59" s="38">
        <v>-170000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</row>
    <row r="60" spans="1:33" x14ac:dyDescent="0.2">
      <c r="A60" s="9">
        <v>27</v>
      </c>
      <c r="B60" s="11"/>
      <c r="C60" s="18" t="s">
        <v>60</v>
      </c>
      <c r="D60" s="66">
        <f>F60+H60+J60+L60+N60+R60+T60+X60+Z60+AF60+P60+V60+AB60+AD60</f>
        <v>0</v>
      </c>
      <c r="E60" s="66">
        <f>G60+I60+K60+M60+O60+S60+U60+Y60+AA60+AG60+Q60+W60+AC60+AE60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M61" si="19">SUM(D59:D60)</f>
        <v>0</v>
      </c>
      <c r="E61" s="39">
        <f t="shared" si="19"/>
        <v>-170000</v>
      </c>
      <c r="F61" s="61">
        <f t="shared" si="19"/>
        <v>0</v>
      </c>
      <c r="G61" s="39">
        <f t="shared" si="19"/>
        <v>0</v>
      </c>
      <c r="H61" s="61">
        <f t="shared" si="19"/>
        <v>0</v>
      </c>
      <c r="I61" s="39">
        <f t="shared" si="19"/>
        <v>0</v>
      </c>
      <c r="J61" s="61">
        <f t="shared" si="19"/>
        <v>0</v>
      </c>
      <c r="K61" s="39">
        <f t="shared" si="19"/>
        <v>-170000</v>
      </c>
      <c r="L61" s="61">
        <f t="shared" si="19"/>
        <v>0</v>
      </c>
      <c r="M61" s="39">
        <f t="shared" si="19"/>
        <v>0</v>
      </c>
      <c r="N61" s="61">
        <f t="shared" ref="N61:AG61" si="20">SUM(N59:N60)</f>
        <v>0</v>
      </c>
      <c r="O61" s="39">
        <f t="shared" si="20"/>
        <v>0</v>
      </c>
      <c r="P61" s="61">
        <f>SUM(P59:P60)</f>
        <v>0</v>
      </c>
      <c r="Q61" s="39">
        <f>SUM(Q59:Q60)</f>
        <v>0</v>
      </c>
      <c r="R61" s="61">
        <f t="shared" si="20"/>
        <v>0</v>
      </c>
      <c r="S61" s="39">
        <f t="shared" si="20"/>
        <v>0</v>
      </c>
      <c r="T61" s="61">
        <f t="shared" si="20"/>
        <v>0</v>
      </c>
      <c r="U61" s="39">
        <f t="shared" si="20"/>
        <v>0</v>
      </c>
      <c r="V61" s="61">
        <f>SUM(V59:V60)</f>
        <v>0</v>
      </c>
      <c r="W61" s="39">
        <f>SUM(W59:W60)</f>
        <v>0</v>
      </c>
      <c r="X61" s="61">
        <f t="shared" si="20"/>
        <v>0</v>
      </c>
      <c r="Y61" s="39">
        <f t="shared" si="20"/>
        <v>0</v>
      </c>
      <c r="Z61" s="61">
        <f t="shared" si="20"/>
        <v>0</v>
      </c>
      <c r="AA61" s="39">
        <f t="shared" si="20"/>
        <v>0</v>
      </c>
      <c r="AB61" s="61">
        <f>SUM(AB59:AB60)</f>
        <v>0</v>
      </c>
      <c r="AC61" s="39">
        <f>SUM(AC59:AC60)</f>
        <v>0</v>
      </c>
      <c r="AD61" s="61">
        <f>SUM(AD59:AD60)</f>
        <v>0</v>
      </c>
      <c r="AE61" s="39">
        <f>SUM(AE59:AE60)</f>
        <v>0</v>
      </c>
      <c r="AF61" s="61">
        <f t="shared" si="20"/>
        <v>0</v>
      </c>
      <c r="AG61" s="39">
        <f t="shared" si="20"/>
        <v>0</v>
      </c>
    </row>
    <row r="62" spans="1:33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6">
        <f>F64+H64+J64+L64+N64+R64+T64+X64+Z64+AF64+P64+V64+AB64+AD64</f>
        <v>0</v>
      </c>
      <c r="E64" s="66">
        <f>G64+I64+K64+M64+O64+S64+U64+Y64+AA64+AG64+Q64+W64+AC64+AE64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6">
        <f>F65+H65+J65+L65+N65+R65+T65+X65+Z65+AF65+P65+V65+AB65+AD65</f>
        <v>0</v>
      </c>
      <c r="E65" s="66">
        <f>G65+I65+K65+M65+O65+S65+U65+Y65+AA65+AG65+Q65+W65+AC65+AE65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M66" si="21">SUM(D64:D65)</f>
        <v>0</v>
      </c>
      <c r="E66" s="39">
        <f t="shared" si="21"/>
        <v>0</v>
      </c>
      <c r="F66" s="61">
        <f t="shared" si="21"/>
        <v>0</v>
      </c>
      <c r="G66" s="39">
        <f t="shared" si="21"/>
        <v>0</v>
      </c>
      <c r="H66" s="61">
        <f t="shared" si="21"/>
        <v>0</v>
      </c>
      <c r="I66" s="39">
        <f t="shared" si="21"/>
        <v>0</v>
      </c>
      <c r="J66" s="61">
        <f t="shared" si="21"/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 t="shared" ref="N66:AG66" si="22">SUM(N64:N65)</f>
        <v>0</v>
      </c>
      <c r="O66" s="39">
        <f t="shared" si="22"/>
        <v>0</v>
      </c>
      <c r="P66" s="61">
        <f>SUM(P64:P65)</f>
        <v>0</v>
      </c>
      <c r="Q66" s="39">
        <f>SUM(Q64:Q65)</f>
        <v>0</v>
      </c>
      <c r="R66" s="61">
        <f t="shared" si="22"/>
        <v>0</v>
      </c>
      <c r="S66" s="39">
        <f t="shared" si="22"/>
        <v>0</v>
      </c>
      <c r="T66" s="61">
        <f t="shared" si="22"/>
        <v>0</v>
      </c>
      <c r="U66" s="39">
        <f t="shared" si="22"/>
        <v>0</v>
      </c>
      <c r="V66" s="61">
        <f>SUM(V64:V65)</f>
        <v>0</v>
      </c>
      <c r="W66" s="39">
        <f>SUM(W64:W65)</f>
        <v>0</v>
      </c>
      <c r="X66" s="61">
        <f t="shared" si="22"/>
        <v>0</v>
      </c>
      <c r="Y66" s="39">
        <f t="shared" si="22"/>
        <v>0</v>
      </c>
      <c r="Z66" s="61">
        <f t="shared" si="22"/>
        <v>0</v>
      </c>
      <c r="AA66" s="39">
        <f t="shared" si="22"/>
        <v>0</v>
      </c>
      <c r="AB66" s="61">
        <f>SUM(AB64:AB65)</f>
        <v>0</v>
      </c>
      <c r="AC66" s="39">
        <f>SUM(AC64:AC65)</f>
        <v>0</v>
      </c>
      <c r="AD66" s="61">
        <f>SUM(AD64:AD65)</f>
        <v>0</v>
      </c>
      <c r="AE66" s="39">
        <f>SUM(AE64:AE65)</f>
        <v>0</v>
      </c>
      <c r="AF66" s="61">
        <f t="shared" si="22"/>
        <v>0</v>
      </c>
      <c r="AG66" s="39">
        <f t="shared" si="22"/>
        <v>0</v>
      </c>
    </row>
    <row r="67" spans="1:3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6">
        <f>F70+H70+J70+L70+N70+R70+T70+X70+Z70+AF70+P70+V70+AB70+AD70</f>
        <v>0</v>
      </c>
      <c r="E70" s="66">
        <f>G70+I70+K70+M70+O70+S70+U70+Y70+AA70+AG70+Q70+W70+AC70+AE70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/>
    </row>
    <row r="71" spans="1:33" x14ac:dyDescent="0.2">
      <c r="A71" s="9">
        <v>31</v>
      </c>
      <c r="B71" s="3"/>
      <c r="C71" s="10" t="s">
        <v>68</v>
      </c>
      <c r="D71" s="66">
        <f>F71+H71+J71+L71+N71+R71+T71+X71+Z71+AF71+P71+V71+AB71+AD71</f>
        <v>0</v>
      </c>
      <c r="E71" s="66">
        <f>G71+I71+K71+M71+O71+S71+U71+Y71+AA71+AG71+Q71+W71+AC71+AE71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</row>
    <row r="72" spans="1:33" x14ac:dyDescent="0.2">
      <c r="A72" s="9"/>
      <c r="B72" s="3"/>
      <c r="C72" s="55" t="s">
        <v>69</v>
      </c>
      <c r="D72" s="61">
        <f t="shared" ref="D72:M72" si="23">SUM(D70:D71)</f>
        <v>0</v>
      </c>
      <c r="E72" s="39">
        <f t="shared" si="23"/>
        <v>0</v>
      </c>
      <c r="F72" s="61">
        <f t="shared" si="23"/>
        <v>0</v>
      </c>
      <c r="G72" s="39">
        <f t="shared" si="23"/>
        <v>0</v>
      </c>
      <c r="H72" s="61">
        <f t="shared" si="23"/>
        <v>0</v>
      </c>
      <c r="I72" s="39">
        <f t="shared" si="23"/>
        <v>0</v>
      </c>
      <c r="J72" s="61">
        <f t="shared" si="23"/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 t="shared" ref="N72:AG72" si="24">SUM(N70:N71)</f>
        <v>0</v>
      </c>
      <c r="O72" s="39">
        <f t="shared" si="24"/>
        <v>0</v>
      </c>
      <c r="P72" s="61">
        <f>SUM(P70:P71)</f>
        <v>0</v>
      </c>
      <c r="Q72" s="39">
        <f>SUM(Q70:Q71)</f>
        <v>0</v>
      </c>
      <c r="R72" s="61">
        <f t="shared" si="24"/>
        <v>0</v>
      </c>
      <c r="S72" s="39">
        <f t="shared" si="24"/>
        <v>0</v>
      </c>
      <c r="T72" s="61">
        <f t="shared" si="24"/>
        <v>0</v>
      </c>
      <c r="U72" s="39">
        <f t="shared" si="24"/>
        <v>0</v>
      </c>
      <c r="V72" s="61">
        <f>SUM(V70:V71)</f>
        <v>0</v>
      </c>
      <c r="W72" s="39">
        <f>SUM(W70:W71)</f>
        <v>0</v>
      </c>
      <c r="X72" s="61">
        <f t="shared" si="24"/>
        <v>0</v>
      </c>
      <c r="Y72" s="39">
        <f t="shared" si="24"/>
        <v>0</v>
      </c>
      <c r="Z72" s="61">
        <f t="shared" si="24"/>
        <v>0</v>
      </c>
      <c r="AA72" s="39">
        <f t="shared" si="24"/>
        <v>0</v>
      </c>
      <c r="AB72" s="61">
        <f>SUM(AB70:AB71)</f>
        <v>0</v>
      </c>
      <c r="AC72" s="39">
        <f>SUM(AC70:AC71)</f>
        <v>0</v>
      </c>
      <c r="AD72" s="61">
        <f>SUM(AD70:AD71)</f>
        <v>0</v>
      </c>
      <c r="AE72" s="39">
        <f>SUM(AE70:AE71)</f>
        <v>0</v>
      </c>
      <c r="AF72" s="61">
        <f t="shared" si="24"/>
        <v>0</v>
      </c>
      <c r="AG72" s="39">
        <f t="shared" si="24"/>
        <v>0</v>
      </c>
    </row>
    <row r="73" spans="1:33" x14ac:dyDescent="0.2">
      <c r="A73" s="9">
        <v>32</v>
      </c>
      <c r="B73" s="3"/>
      <c r="C73" s="10" t="s">
        <v>70</v>
      </c>
      <c r="D73" s="66">
        <f t="shared" ref="D73:D81" si="25">F73+H73+J73+L73+N73+R73+T73+X73+Z73+AF73+P73+V73+AB73+AD73</f>
        <v>0</v>
      </c>
      <c r="E73" s="66">
        <f t="shared" ref="E73:E81" si="26">G73+I73+K73+M73+O73+S73+U73+Y73+AA73+AG73+Q73+W73+AC73+AE73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6">
        <f t="shared" si="25"/>
        <v>0</v>
      </c>
      <c r="E74" s="66">
        <f t="shared" si="26"/>
        <v>-4899455</v>
      </c>
      <c r="F74" s="60"/>
      <c r="G74" s="38">
        <f>930794-280150-163880-100000+75000+26765-3058087-97061</f>
        <v>-2666619</v>
      </c>
      <c r="H74" s="60"/>
      <c r="I74" s="38">
        <f>-142200-75000-6056175-4177000-625394</f>
        <v>-11075769</v>
      </c>
      <c r="J74" s="60"/>
      <c r="K74" s="38"/>
      <c r="L74" s="60"/>
      <c r="M74" s="38"/>
      <c r="N74" s="60"/>
      <c r="O74" s="38">
        <v>91764</v>
      </c>
      <c r="P74" s="60"/>
      <c r="Q74" s="38">
        <v>-91764</v>
      </c>
      <c r="R74" s="60"/>
      <c r="S74" s="38"/>
      <c r="T74" s="60"/>
      <c r="U74" s="38">
        <v>0</v>
      </c>
      <c r="V74" s="60"/>
      <c r="W74" s="38">
        <f>142200+100000-56790</f>
        <v>185410</v>
      </c>
      <c r="X74" s="60"/>
      <c r="Y74" s="38">
        <f>56790+6056175+3058087</f>
        <v>9171052</v>
      </c>
      <c r="Z74" s="60"/>
      <c r="AA74" s="38">
        <f>163880-26765</f>
        <v>137115</v>
      </c>
      <c r="AB74" s="60"/>
      <c r="AC74" s="38">
        <f>-930794+280150</f>
        <v>-650644</v>
      </c>
      <c r="AD74" s="60"/>
      <c r="AE74" s="38">
        <v>0</v>
      </c>
      <c r="AF74" s="60"/>
      <c r="AG74" s="38">
        <v>0</v>
      </c>
    </row>
    <row r="75" spans="1:33" x14ac:dyDescent="0.2">
      <c r="A75" s="9">
        <v>34</v>
      </c>
      <c r="B75" s="3"/>
      <c r="C75" s="10" t="s">
        <v>72</v>
      </c>
      <c r="D75" s="66">
        <f t="shared" si="25"/>
        <v>0</v>
      </c>
      <c r="E75" s="66">
        <f t="shared" si="26"/>
        <v>0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</row>
    <row r="76" spans="1:33" x14ac:dyDescent="0.2">
      <c r="A76" s="9">
        <v>35</v>
      </c>
      <c r="B76" s="3"/>
      <c r="C76" s="10" t="s">
        <v>73</v>
      </c>
      <c r="D76" s="66">
        <f t="shared" si="25"/>
        <v>0</v>
      </c>
      <c r="E76" s="66">
        <f t="shared" si="26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6">
        <f t="shared" si="25"/>
        <v>0</v>
      </c>
      <c r="E77" s="66">
        <f t="shared" si="26"/>
        <v>-98300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>
        <f>-93300-5000</f>
        <v>-98300</v>
      </c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</row>
    <row r="78" spans="1:33" x14ac:dyDescent="0.2">
      <c r="A78" s="9">
        <v>37</v>
      </c>
      <c r="B78" s="3"/>
      <c r="C78" s="10" t="s">
        <v>75</v>
      </c>
      <c r="D78" s="66">
        <f t="shared" si="25"/>
        <v>0</v>
      </c>
      <c r="E78" s="66">
        <f t="shared" si="26"/>
        <v>845279</v>
      </c>
      <c r="F78" s="60"/>
      <c r="G78" s="38"/>
      <c r="H78" s="60"/>
      <c r="I78" s="38">
        <v>25279</v>
      </c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>
        <v>820000</v>
      </c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6">
        <f t="shared" si="25"/>
        <v>0</v>
      </c>
      <c r="E79" s="66">
        <f t="shared" si="26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6">
        <f t="shared" si="25"/>
        <v>0</v>
      </c>
      <c r="E80" s="66">
        <f t="shared" si="26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6">
        <f t="shared" si="25"/>
        <v>0</v>
      </c>
      <c r="E81" s="66">
        <f t="shared" si="26"/>
        <v>-589068</v>
      </c>
      <c r="F81" s="60"/>
      <c r="G81" s="38"/>
      <c r="H81" s="60"/>
      <c r="I81" s="38">
        <f>-201135-25279</f>
        <v>-226414</v>
      </c>
      <c r="J81" s="60"/>
      <c r="K81" s="38"/>
      <c r="L81" s="60"/>
      <c r="M81" s="38"/>
      <c r="N81" s="60"/>
      <c r="O81" s="38"/>
      <c r="P81" s="60"/>
      <c r="Q81" s="38">
        <v>-362654</v>
      </c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/>
    </row>
    <row r="82" spans="1:34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-2569558</v>
      </c>
      <c r="H82" s="91">
        <f>H16+H24+H29+H36+H43+H45+H47+H49</f>
        <v>0</v>
      </c>
      <c r="I82" s="92">
        <f>SUM(I72:I81)+I16+I24+I29+I36+I43+I45+I47+I49+I51+I56+I61+I66</f>
        <v>-16664450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91764</v>
      </c>
      <c r="P82" s="91">
        <f>P16+P24+P29+P36+P43+P45+P47+P49</f>
        <v>0</v>
      </c>
      <c r="Q82" s="92">
        <f>SUM(Q72:Q81)+Q16+Q24+Q29+Q36+Q43+Q45+Q47+Q49+Q51+Q56+Q61+Q66</f>
        <v>-91764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-780742</v>
      </c>
      <c r="X82" s="91">
        <f>X16+X24+X29+X36+X43+X45+X47+X49</f>
        <v>0</v>
      </c>
      <c r="Y82" s="92">
        <f>SUM(Y72:Y81)+Y16+Y24+Y29+Y36+Y43+Y45+Y47+Y49+Y51+Y56+Y61+Y66</f>
        <v>10137204</v>
      </c>
      <c r="Z82" s="91">
        <f>Z16+Z24+Z29+Z36+Z43+Z45+Z47+Z49</f>
        <v>0</v>
      </c>
      <c r="AA82" s="92">
        <f>SUM(AA72:AA81)+AA16+AA24+AA29+AA36+AA43+AA45+AA47+AA49+AA51+AA56+AA61+AA66</f>
        <v>137115</v>
      </c>
      <c r="AB82" s="91">
        <f>AB16+AB24+AB29+AB36+AB43+AB45+AB47+AB49</f>
        <v>0</v>
      </c>
      <c r="AC82" s="92">
        <f>SUM(AC72:AC81)+AC16+AC24+AC29+AC36+AC43+AC45+AC47+AC49+AC51+AC56+AC61+AC66</f>
        <v>-650644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60039</v>
      </c>
      <c r="AG82" s="92">
        <f>SUM(AG72:AG81)+AG16+AG24+AG29+AG36+AG43+AG45+AG47+AG49+AG51+AG56+AG61+AG66</f>
        <v>10706809</v>
      </c>
      <c r="AH82" s="96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M84" s="45"/>
    </row>
    <row r="85" spans="1:34" x14ac:dyDescent="0.2">
      <c r="A85" s="4"/>
      <c r="B85" s="3"/>
      <c r="U85" s="45"/>
      <c r="W85" s="45"/>
    </row>
    <row r="86" spans="1:34" x14ac:dyDescent="0.2">
      <c r="A86" s="4"/>
      <c r="B86" s="3"/>
    </row>
    <row r="87" spans="1:34" x14ac:dyDescent="0.2">
      <c r="A87" s="4"/>
      <c r="B87" s="3"/>
    </row>
    <row r="88" spans="1:34" x14ac:dyDescent="0.2">
      <c r="A88" s="4"/>
      <c r="B88" s="3"/>
    </row>
    <row r="89" spans="1:34" x14ac:dyDescent="0.2">
      <c r="A89" s="4"/>
      <c r="B89" s="3"/>
    </row>
    <row r="90" spans="1:34" x14ac:dyDescent="0.2">
      <c r="A90" s="4"/>
      <c r="B90" s="3"/>
    </row>
    <row r="91" spans="1:34" x14ac:dyDescent="0.2">
      <c r="A91" s="4"/>
      <c r="B91" s="3"/>
    </row>
    <row r="92" spans="1:34" x14ac:dyDescent="0.2">
      <c r="A92" s="4"/>
      <c r="B92" s="3"/>
    </row>
    <row r="93" spans="1:34" x14ac:dyDescent="0.2">
      <c r="A93" s="4"/>
      <c r="B93" s="3"/>
    </row>
    <row r="94" spans="1:34" x14ac:dyDescent="0.2">
      <c r="A94" s="4"/>
      <c r="B94" s="3"/>
    </row>
    <row r="95" spans="1:34" x14ac:dyDescent="0.2">
      <c r="A95" s="4"/>
      <c r="B95" s="3"/>
    </row>
    <row r="96" spans="1:34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5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H187"/>
  <sheetViews>
    <sheetView zoomScale="75" workbookViewId="0">
      <pane xSplit="3" ySplit="9" topLeftCell="Q74" activePane="bottomRight" state="frozen"/>
      <selection activeCell="D10" sqref="D10"/>
      <selection pane="topRight" activeCell="D10" sqref="D10"/>
      <selection pane="bottomLeft" activeCell="D10" sqref="D10"/>
      <selection pane="bottomRight" activeCell="S74" sqref="S74"/>
    </sheetView>
  </sheetViews>
  <sheetFormatPr defaultRowHeight="12.75" x14ac:dyDescent="0.2"/>
  <cols>
    <col min="1" max="1" width="4.85546875" style="2" customWidth="1"/>
    <col min="2" max="2" width="2.5703125" customWidth="1"/>
    <col min="3" max="3" width="27.7109375" customWidth="1"/>
    <col min="4" max="4" width="15" style="31" customWidth="1"/>
    <col min="5" max="5" width="16.140625" style="171" bestFit="1" customWidth="1"/>
    <col min="6" max="10" width="15" customWidth="1"/>
    <col min="11" max="11" width="16.140625" bestFit="1" customWidth="1"/>
    <col min="12" max="33" width="15" customWidth="1"/>
  </cols>
  <sheetData>
    <row r="1" spans="1:33" x14ac:dyDescent="0.2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</row>
    <row r="2" spans="1:33" x14ac:dyDescent="0.2">
      <c r="A2" s="47" t="s">
        <v>84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</row>
    <row r="3" spans="1:33" x14ac:dyDescent="0.2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</row>
    <row r="4" spans="1:33" x14ac:dyDescent="0.2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</row>
    <row r="5" spans="1:33" x14ac:dyDescent="0.2">
      <c r="A5" s="48" t="str">
        <f>Check!A5</f>
        <v>PRODUCTION MONTH: 0001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</row>
    <row r="6" spans="1:33" x14ac:dyDescent="0.2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3" x14ac:dyDescent="0.2">
      <c r="A7" s="4"/>
      <c r="B7" s="19"/>
      <c r="C7" s="19"/>
    </row>
    <row r="8" spans="1:33" x14ac:dyDescent="0.2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189</v>
      </c>
      <c r="I8" s="27"/>
      <c r="J8" s="26" t="s">
        <v>14</v>
      </c>
      <c r="K8" s="27"/>
      <c r="L8" s="26" t="s">
        <v>15</v>
      </c>
      <c r="M8" s="27"/>
      <c r="N8" s="26" t="s">
        <v>83</v>
      </c>
      <c r="O8" s="27"/>
      <c r="P8" s="26" t="s">
        <v>17</v>
      </c>
      <c r="Q8" s="27"/>
      <c r="R8" s="26" t="s">
        <v>200</v>
      </c>
      <c r="S8" s="27"/>
      <c r="T8" s="26" t="s">
        <v>182</v>
      </c>
      <c r="U8" s="27"/>
      <c r="V8" s="26" t="s">
        <v>16</v>
      </c>
      <c r="W8" s="27"/>
      <c r="X8" s="26" t="s">
        <v>183</v>
      </c>
      <c r="Y8" s="27"/>
      <c r="Z8" s="26" t="s">
        <v>18</v>
      </c>
      <c r="AA8" s="27"/>
      <c r="AB8" s="26" t="s">
        <v>158</v>
      </c>
      <c r="AC8" s="27"/>
      <c r="AD8" s="26" t="s">
        <v>195</v>
      </c>
      <c r="AE8" s="27"/>
      <c r="AF8" s="26" t="s">
        <v>113</v>
      </c>
      <c r="AG8" s="27"/>
    </row>
    <row r="9" spans="1:33" s="80" customFormat="1" x14ac:dyDescent="0.2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</row>
    <row r="10" spans="1:33" x14ac:dyDescent="0.2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</row>
    <row r="11" spans="1:33" x14ac:dyDescent="0.2">
      <c r="A11" s="9">
        <v>1</v>
      </c>
      <c r="B11" s="7"/>
      <c r="C11" s="18" t="s">
        <v>25</v>
      </c>
      <c r="D11" s="60">
        <f t="shared" ref="D11:E15" si="0">F11+J11+L11+N11+P11+T11+V11+Z11+AB11+AF11+X11+H11+AD11+R11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</row>
    <row r="12" spans="1:33" x14ac:dyDescent="0.2">
      <c r="A12" s="9">
        <v>2</v>
      </c>
      <c r="B12" s="7"/>
      <c r="C12" s="18" t="s">
        <v>26</v>
      </c>
      <c r="D12" s="60">
        <f t="shared" si="0"/>
        <v>0</v>
      </c>
      <c r="E12" s="123">
        <f t="shared" si="0"/>
        <v>891063.28</v>
      </c>
      <c r="F12" s="65"/>
      <c r="G12" s="38">
        <v>3950820.88</v>
      </c>
      <c r="H12" s="65"/>
      <c r="I12" s="38">
        <v>497314.76</v>
      </c>
      <c r="J12" s="65">
        <v>0</v>
      </c>
      <c r="K12" s="38">
        <v>-3883840.07</v>
      </c>
      <c r="L12" s="65"/>
      <c r="M12" s="38">
        <v>-158335.73000000001</v>
      </c>
      <c r="N12" s="65"/>
      <c r="O12" s="38">
        <v>0</v>
      </c>
      <c r="P12" s="65"/>
      <c r="Q12" s="38">
        <v>2551788.73</v>
      </c>
      <c r="R12" s="65"/>
      <c r="S12" s="38">
        <v>-386881.57</v>
      </c>
      <c r="T12" s="65"/>
      <c r="U12" s="38">
        <v>-4575.6000000000004</v>
      </c>
      <c r="V12" s="65"/>
      <c r="W12" s="38">
        <v>-6216367.9299999997</v>
      </c>
      <c r="X12" s="65">
        <v>0</v>
      </c>
      <c r="Y12" s="38">
        <v>-485122.48</v>
      </c>
      <c r="Z12" s="65"/>
      <c r="AA12" s="38">
        <v>0</v>
      </c>
      <c r="AB12" s="65">
        <v>0</v>
      </c>
      <c r="AC12" s="38">
        <v>5720848.6699999999</v>
      </c>
      <c r="AD12" s="65"/>
      <c r="AE12" s="38">
        <v>-694586.38</v>
      </c>
      <c r="AF12" s="65"/>
      <c r="AG12" s="38">
        <v>0</v>
      </c>
    </row>
    <row r="13" spans="1:33" x14ac:dyDescent="0.2">
      <c r="A13" s="9">
        <v>3</v>
      </c>
      <c r="B13" s="7"/>
      <c r="C13" s="18" t="s">
        <v>27</v>
      </c>
      <c r="D13" s="60">
        <f t="shared" si="0"/>
        <v>0</v>
      </c>
      <c r="E13" s="123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</row>
    <row r="14" spans="1:33" x14ac:dyDescent="0.2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</row>
    <row r="15" spans="1:33" x14ac:dyDescent="0.2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</row>
    <row r="16" spans="1:33" x14ac:dyDescent="0.2">
      <c r="A16" s="9"/>
      <c r="B16" s="7" t="s">
        <v>30</v>
      </c>
      <c r="C16" s="6"/>
      <c r="D16" s="61">
        <f t="shared" ref="D16:AG16" si="1">SUM(D11:D15)</f>
        <v>0</v>
      </c>
      <c r="E16" s="175">
        <f t="shared" si="1"/>
        <v>891063.28</v>
      </c>
      <c r="F16" s="61">
        <f t="shared" si="1"/>
        <v>0</v>
      </c>
      <c r="G16" s="39">
        <f t="shared" si="1"/>
        <v>3950820.88</v>
      </c>
      <c r="H16" s="61">
        <f>SUM(H11:H15)</f>
        <v>0</v>
      </c>
      <c r="I16" s="39">
        <f>SUM(I11:I15)</f>
        <v>497314.76</v>
      </c>
      <c r="J16" s="61">
        <f t="shared" si="1"/>
        <v>0</v>
      </c>
      <c r="K16" s="39">
        <f t="shared" si="1"/>
        <v>-3883840.07</v>
      </c>
      <c r="L16" s="61">
        <f t="shared" si="1"/>
        <v>0</v>
      </c>
      <c r="M16" s="39">
        <f t="shared" si="1"/>
        <v>-158335.73000000001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2551788.73</v>
      </c>
      <c r="R16" s="61">
        <f>SUM(R11:R15)</f>
        <v>0</v>
      </c>
      <c r="S16" s="39">
        <f>SUM(S11:S15)</f>
        <v>-386881.57</v>
      </c>
      <c r="T16" s="61">
        <f t="shared" si="1"/>
        <v>0</v>
      </c>
      <c r="U16" s="39">
        <f t="shared" si="1"/>
        <v>-4575.6000000000004</v>
      </c>
      <c r="V16" s="61">
        <f t="shared" si="1"/>
        <v>0</v>
      </c>
      <c r="W16" s="39">
        <f t="shared" si="1"/>
        <v>-6216367.9299999997</v>
      </c>
      <c r="X16" s="61">
        <f>SUM(X11:X15)</f>
        <v>0</v>
      </c>
      <c r="Y16" s="39">
        <f>SUM(Y11:Y15)</f>
        <v>-485122.48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5720848.6699999999</v>
      </c>
      <c r="AD16" s="61">
        <f>SUM(AD11:AD15)</f>
        <v>0</v>
      </c>
      <c r="AE16" s="39">
        <f>SUM(AE11:AE15)</f>
        <v>-694586.38</v>
      </c>
      <c r="AF16" s="61">
        <f t="shared" si="1"/>
        <v>0</v>
      </c>
      <c r="AG16" s="39">
        <f t="shared" si="1"/>
        <v>0</v>
      </c>
    </row>
    <row r="17" spans="1:33" x14ac:dyDescent="0.2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</row>
    <row r="18" spans="1:33" x14ac:dyDescent="0.2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</row>
    <row r="19" spans="1:33" x14ac:dyDescent="0.2">
      <c r="A19" s="9">
        <v>6</v>
      </c>
      <c r="B19" s="7"/>
      <c r="C19" s="18" t="s">
        <v>25</v>
      </c>
      <c r="D19" s="60">
        <f t="shared" ref="D19:E23" si="2">F19+J19+L19+N19+P19+T19+V19+Z19+AB19+AF19+X19+H19+AD19+R19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</row>
    <row r="20" spans="1:33" x14ac:dyDescent="0.2">
      <c r="A20" s="9">
        <v>7</v>
      </c>
      <c r="B20" s="7"/>
      <c r="C20" s="18" t="s">
        <v>26</v>
      </c>
      <c r="D20" s="60">
        <f t="shared" si="2"/>
        <v>0</v>
      </c>
      <c r="E20" s="123">
        <f t="shared" si="2"/>
        <v>-11600144.439999999</v>
      </c>
      <c r="F20" s="65"/>
      <c r="G20" s="38">
        <v>985339.05</v>
      </c>
      <c r="H20" s="65"/>
      <c r="I20" s="38">
        <v>-336602.09</v>
      </c>
      <c r="J20" s="65"/>
      <c r="K20" s="38">
        <v>-9176533.7799999993</v>
      </c>
      <c r="L20" s="65"/>
      <c r="M20" s="38">
        <v>0</v>
      </c>
      <c r="N20" s="65"/>
      <c r="O20" s="38">
        <v>0</v>
      </c>
      <c r="P20" s="65"/>
      <c r="Q20" s="38">
        <v>-76977.850000000006</v>
      </c>
      <c r="R20" s="65"/>
      <c r="S20" s="38">
        <v>263447.03999999998</v>
      </c>
      <c r="T20" s="65"/>
      <c r="U20" s="38">
        <v>0</v>
      </c>
      <c r="V20" s="65"/>
      <c r="W20" s="38">
        <v>1882156.23</v>
      </c>
      <c r="X20" s="65"/>
      <c r="Y20" s="38">
        <v>-11462.19</v>
      </c>
      <c r="Z20" s="65"/>
      <c r="AA20" s="38">
        <v>0</v>
      </c>
      <c r="AB20" s="65">
        <v>0</v>
      </c>
      <c r="AC20" s="38">
        <v>-4881100.3499999996</v>
      </c>
      <c r="AD20" s="65"/>
      <c r="AE20" s="38">
        <v>-6889.5</v>
      </c>
      <c r="AF20" s="65"/>
      <c r="AG20" s="38">
        <v>-241521</v>
      </c>
    </row>
    <row r="21" spans="1:33" x14ac:dyDescent="0.2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</row>
    <row r="22" spans="1:33" x14ac:dyDescent="0.2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</row>
    <row r="23" spans="1:33" x14ac:dyDescent="0.2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</row>
    <row r="24" spans="1:33" x14ac:dyDescent="0.2">
      <c r="A24" s="9"/>
      <c r="B24" s="7" t="s">
        <v>33</v>
      </c>
      <c r="C24" s="6"/>
      <c r="D24" s="61">
        <f t="shared" ref="D24:AG24" si="3">SUM(D19:D23)</f>
        <v>0</v>
      </c>
      <c r="E24" s="175">
        <f t="shared" si="3"/>
        <v>-11600144.439999999</v>
      </c>
      <c r="F24" s="61">
        <f t="shared" si="3"/>
        <v>0</v>
      </c>
      <c r="G24" s="39">
        <f t="shared" si="3"/>
        <v>985339.05</v>
      </c>
      <c r="H24" s="61">
        <f>SUM(H19:H23)</f>
        <v>0</v>
      </c>
      <c r="I24" s="39">
        <f>SUM(I19:I23)</f>
        <v>-336602.09</v>
      </c>
      <c r="J24" s="61">
        <f t="shared" si="3"/>
        <v>0</v>
      </c>
      <c r="K24" s="39">
        <f t="shared" si="3"/>
        <v>-9176533.7799999993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-76977.850000000006</v>
      </c>
      <c r="R24" s="61">
        <f>SUM(R19:R23)</f>
        <v>0</v>
      </c>
      <c r="S24" s="39">
        <f>SUM(S19:S23)</f>
        <v>263447.03999999998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1882156.23</v>
      </c>
      <c r="X24" s="61">
        <f>SUM(X19:X23)</f>
        <v>0</v>
      </c>
      <c r="Y24" s="39">
        <f>SUM(Y19:Y23)</f>
        <v>-11462.19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-4881100.3499999996</v>
      </c>
      <c r="AD24" s="61">
        <f>SUM(AD19:AD23)</f>
        <v>0</v>
      </c>
      <c r="AE24" s="39">
        <f>SUM(AE19:AE23)</f>
        <v>-6889.5</v>
      </c>
      <c r="AF24" s="61">
        <f t="shared" si="3"/>
        <v>0</v>
      </c>
      <c r="AG24" s="39">
        <f t="shared" si="3"/>
        <v>-241521</v>
      </c>
    </row>
    <row r="25" spans="1:33" x14ac:dyDescent="0.2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</row>
    <row r="26" spans="1:33" x14ac:dyDescent="0.2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</row>
    <row r="27" spans="1:33" x14ac:dyDescent="0.2">
      <c r="A27" s="9">
        <v>11</v>
      </c>
      <c r="B27" s="7"/>
      <c r="C27" s="18" t="s">
        <v>35</v>
      </c>
      <c r="D27" s="60">
        <f>F27+J27+L27+N27+P27+T27+V27+Z27+AB27+AF27+X27+H27+AD27+R27</f>
        <v>0</v>
      </c>
      <c r="E27" s="123">
        <f>G27+K27+M27+O27+Q27+U27+W27+AA27+AC27+AG27+Y27+I27+AE27+S27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</row>
    <row r="28" spans="1:33" x14ac:dyDescent="0.2">
      <c r="A28" s="9">
        <v>12</v>
      </c>
      <c r="B28" s="7"/>
      <c r="C28" s="18" t="s">
        <v>36</v>
      </c>
      <c r="D28" s="60">
        <f>F28+J28+L28+N28+P28+T28+V28+Z28+AB28+AF28+X28+H28+AD28+R28</f>
        <v>0</v>
      </c>
      <c r="E28" s="123">
        <f>G28+K28+M28+O28+Q28+U28+W28+AA28+AC28+AG28+Y28+I28+AE28+S28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</row>
    <row r="29" spans="1:33" x14ac:dyDescent="0.2">
      <c r="A29" s="9"/>
      <c r="B29" s="7" t="s">
        <v>37</v>
      </c>
      <c r="C29" s="6"/>
      <c r="D29" s="61">
        <f t="shared" ref="D29:AG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 t="shared" si="4"/>
        <v>0</v>
      </c>
      <c r="AG29" s="39">
        <f t="shared" si="4"/>
        <v>0</v>
      </c>
    </row>
    <row r="30" spans="1:33" x14ac:dyDescent="0.2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</row>
    <row r="31" spans="1:33" x14ac:dyDescent="0.2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</row>
    <row r="32" spans="1:33" x14ac:dyDescent="0.2">
      <c r="A32" s="9">
        <v>13</v>
      </c>
      <c r="B32" s="7"/>
      <c r="C32" s="18" t="s">
        <v>39</v>
      </c>
      <c r="D32" s="60">
        <f t="shared" ref="D32:E35" si="5">F32+J32+L32+N32+P32+T32+V32+Z32+AB32+AF32+X32+H32+AD32+R32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</row>
    <row r="33" spans="1:33" x14ac:dyDescent="0.2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</row>
    <row r="34" spans="1:33" x14ac:dyDescent="0.2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</row>
    <row r="35" spans="1:33" x14ac:dyDescent="0.2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</row>
    <row r="36" spans="1:33" x14ac:dyDescent="0.2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G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 t="shared" si="6"/>
        <v>0</v>
      </c>
      <c r="AG36" s="39">
        <f t="shared" si="6"/>
        <v>0</v>
      </c>
    </row>
    <row r="37" spans="1:33" x14ac:dyDescent="0.2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</row>
    <row r="38" spans="1:33" x14ac:dyDescent="0.2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</row>
    <row r="39" spans="1:33" x14ac:dyDescent="0.2">
      <c r="A39" s="9">
        <v>17</v>
      </c>
      <c r="B39" s="7"/>
      <c r="C39" s="18" t="s">
        <v>45</v>
      </c>
      <c r="D39" s="60">
        <f t="shared" ref="D39:E41" si="7">F39+J39+L39+N39+P39+T39+V39+Z39+AB39+AF39+X39+H39+AD39+R39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</row>
    <row r="40" spans="1:33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</row>
    <row r="41" spans="1:33" x14ac:dyDescent="0.2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</row>
    <row r="42" spans="1:33" x14ac:dyDescent="0.2">
      <c r="A42" s="9"/>
      <c r="B42" s="7"/>
      <c r="C42" s="53" t="s">
        <v>48</v>
      </c>
      <c r="D42" s="61">
        <f t="shared" ref="D42:AG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 t="shared" si="8"/>
        <v>0</v>
      </c>
      <c r="AG42" s="39">
        <f t="shared" si="8"/>
        <v>0</v>
      </c>
    </row>
    <row r="43" spans="1:33" ht="21" customHeight="1" x14ac:dyDescent="0.2">
      <c r="A43" s="9"/>
      <c r="B43" s="7" t="s">
        <v>49</v>
      </c>
      <c r="C43" s="6"/>
      <c r="D43" s="61">
        <f t="shared" ref="D43:AG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 t="shared" si="9"/>
        <v>0</v>
      </c>
      <c r="AG43" s="39">
        <f t="shared" si="9"/>
        <v>0</v>
      </c>
    </row>
    <row r="44" spans="1:33" x14ac:dyDescent="0.2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</row>
    <row r="45" spans="1:33" x14ac:dyDescent="0.2">
      <c r="A45" s="9">
        <v>20</v>
      </c>
      <c r="B45" s="11" t="s">
        <v>50</v>
      </c>
      <c r="C45" s="6"/>
      <c r="D45" s="60">
        <f>F45+J45+L45+N45+P45+T45+V45+Z45+AB45+AF45+X45+H45+AD45+R45</f>
        <v>0</v>
      </c>
      <c r="E45" s="123">
        <f>G45+K45+M45+O45+Q45+U45+W45+AA45+AC45+AG45+Y45+I45+AE45+S45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</row>
    <row r="46" spans="1:33" x14ac:dyDescent="0.2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</row>
    <row r="47" spans="1:33" x14ac:dyDescent="0.2">
      <c r="A47" s="9">
        <v>21</v>
      </c>
      <c r="B47" s="11" t="s">
        <v>51</v>
      </c>
      <c r="C47" s="6"/>
      <c r="D47" s="60">
        <f>F47+J47+L47+N47+P47+T47+V47+Z47+AB47+AF47+X47+H47+AD47+R47</f>
        <v>0</v>
      </c>
      <c r="E47" s="123">
        <f>G47+K47+M47+O47+Q47+U47+W47+AA47+AC47+AG47+Y47+I47+AE47+S47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</row>
    <row r="48" spans="1:33" x14ac:dyDescent="0.2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</row>
    <row r="49" spans="1:33" x14ac:dyDescent="0.2">
      <c r="A49" s="9">
        <v>22</v>
      </c>
      <c r="B49" s="11" t="s">
        <v>52</v>
      </c>
      <c r="C49" s="6"/>
      <c r="D49" s="60">
        <f>F49+J49+L49+N49+P49+T49+V49+Z49+AB49+AF49+X49+H49+AD49+R49</f>
        <v>0</v>
      </c>
      <c r="E49" s="123">
        <f>G49+K49+M49+O49+Q49+U49+W49+AA49+AC49+AG49+Y49+I49+AE49+S49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</row>
    <row r="50" spans="1:33" x14ac:dyDescent="0.2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</row>
    <row r="51" spans="1:33" x14ac:dyDescent="0.2">
      <c r="A51" s="9">
        <v>23</v>
      </c>
      <c r="B51" s="11" t="s">
        <v>53</v>
      </c>
      <c r="C51" s="6"/>
      <c r="D51" s="60">
        <f>F51+J51+L51+N51+P51+T51+V51+Z51+AB51+AF51+X51+H51+AD51+R51</f>
        <v>0</v>
      </c>
      <c r="E51" s="123">
        <f>G51+K51+M51+O51+Q51+U51+W51+AA51+AC51+AG51+Y51+I51+AE51+S51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</row>
    <row r="52" spans="1:33" x14ac:dyDescent="0.2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</row>
    <row r="53" spans="1:33" x14ac:dyDescent="0.2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</row>
    <row r="54" spans="1:33" x14ac:dyDescent="0.2">
      <c r="A54" s="9">
        <v>24</v>
      </c>
      <c r="B54" s="7"/>
      <c r="C54" s="18" t="s">
        <v>55</v>
      </c>
      <c r="D54" s="60">
        <f>F54+J54+L54+N54+P54+T54+V54+Z54+AB54+AF54+X54+H54+AD54+R54</f>
        <v>0</v>
      </c>
      <c r="E54" s="182">
        <f>G54+K54+M54+O54+Q54+U54+W54+AA54+AC54+AG54+Y54+I54+AE54+S54</f>
        <v>-1365278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-1365278</v>
      </c>
      <c r="Z54" s="60"/>
      <c r="AA54" s="38"/>
      <c r="AB54" s="60"/>
      <c r="AC54" s="38"/>
      <c r="AD54" s="60"/>
      <c r="AE54" s="38"/>
      <c r="AF54" s="60"/>
      <c r="AG54" s="38"/>
    </row>
    <row r="55" spans="1:33" x14ac:dyDescent="0.2">
      <c r="A55" s="9">
        <v>25</v>
      </c>
      <c r="B55" s="7"/>
      <c r="C55" s="18" t="s">
        <v>56</v>
      </c>
      <c r="D55" s="60">
        <f>F55+J55+L55+N55+P55+T55+V55+Z55+AB55+AF55+X55+H55+AD55+R55</f>
        <v>0</v>
      </c>
      <c r="E55" s="123">
        <f>G55+K55+M55+O55+Q55+U55+W55+AA55+AC55+AG55+Y55+I55+AE55+S55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</row>
    <row r="56" spans="1:33" x14ac:dyDescent="0.2">
      <c r="A56" s="9"/>
      <c r="B56" s="7" t="s">
        <v>57</v>
      </c>
      <c r="C56" s="6"/>
      <c r="D56" s="61">
        <f t="shared" ref="D56:AG56" si="10">SUM(D54:D55)</f>
        <v>0</v>
      </c>
      <c r="E56" s="175">
        <f t="shared" si="10"/>
        <v>-1365278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-1365278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 t="shared" si="10"/>
        <v>0</v>
      </c>
      <c r="AG56" s="39">
        <f t="shared" si="10"/>
        <v>0</v>
      </c>
    </row>
    <row r="57" spans="1:33" x14ac:dyDescent="0.2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</row>
    <row r="58" spans="1:33" x14ac:dyDescent="0.2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</row>
    <row r="59" spans="1:33" x14ac:dyDescent="0.2">
      <c r="A59" s="9">
        <v>26</v>
      </c>
      <c r="B59" s="11"/>
      <c r="C59" s="18" t="s">
        <v>59</v>
      </c>
      <c r="D59" s="60">
        <f>F59+J59+L59+N59+P59+T59+V59+Z59+AB59+AF59+X59+H59+AD59+R59</f>
        <v>0</v>
      </c>
      <c r="E59" s="123">
        <f>G59+K59+M59+O59+Q59+U59+W59+AA59+AC59+AG59+Y59+I59+AE59+S59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</row>
    <row r="60" spans="1:33" x14ac:dyDescent="0.2">
      <c r="A60" s="9">
        <v>27</v>
      </c>
      <c r="B60" s="11"/>
      <c r="C60" s="18" t="s">
        <v>60</v>
      </c>
      <c r="D60" s="60">
        <f>F60+J60+L60+N60+P60+T60+V60+Z60+AB60+AF60+X60+H60+AD60+R60</f>
        <v>0</v>
      </c>
      <c r="E60" s="123">
        <f>G60+K60+M60+O60+Q60+U60+W60+AA60+AC60+AG60+Y60+I60+AE60+S60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</row>
    <row r="61" spans="1:33" x14ac:dyDescent="0.2">
      <c r="A61" s="9"/>
      <c r="B61" s="62" t="s">
        <v>61</v>
      </c>
      <c r="C61" s="6"/>
      <c r="D61" s="61">
        <f t="shared" ref="D61:AG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 t="shared" si="11"/>
        <v>0</v>
      </c>
      <c r="AG61" s="39">
        <f t="shared" si="11"/>
        <v>0</v>
      </c>
    </row>
    <row r="62" spans="1:33" x14ac:dyDescent="0.2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</row>
    <row r="63" spans="1:33" x14ac:dyDescent="0.2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</row>
    <row r="64" spans="1:33" x14ac:dyDescent="0.2">
      <c r="A64" s="9">
        <v>28</v>
      </c>
      <c r="B64" s="7"/>
      <c r="C64" s="18" t="s">
        <v>62</v>
      </c>
      <c r="D64" s="60">
        <f>F64+J64+L64+N64+P64+T64+V64+Z64+AB64+AF64+X64+H64+AD64+R64</f>
        <v>0</v>
      </c>
      <c r="E64" s="123">
        <f>G64+K64+M64+O64+Q64+U64+W64+AA64+AC64+AG64+Y64+I64+AE64+S64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</row>
    <row r="65" spans="1:33" x14ac:dyDescent="0.2">
      <c r="A65" s="9">
        <v>29</v>
      </c>
      <c r="B65" s="11"/>
      <c r="C65" s="18" t="s">
        <v>63</v>
      </c>
      <c r="D65" s="60">
        <f>F65+J65+L65+N65+P65+T65+V65+Z65+AB65+AF65+X65+H65+AD65+R65</f>
        <v>0</v>
      </c>
      <c r="E65" s="123">
        <f>G65+K65+M65+O65+Q65+U65+W65+AA65+AC65+AG65+Y65+I65+AE65+S65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</row>
    <row r="66" spans="1:33" x14ac:dyDescent="0.2">
      <c r="A66" s="9"/>
      <c r="B66" s="7" t="s">
        <v>64</v>
      </c>
      <c r="C66" s="6"/>
      <c r="D66" s="61">
        <f t="shared" ref="D66:AG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 t="shared" si="12"/>
        <v>0</v>
      </c>
      <c r="AG66" s="39">
        <f t="shared" si="12"/>
        <v>0</v>
      </c>
    </row>
    <row r="67" spans="1:33" x14ac:dyDescent="0.2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</row>
    <row r="68" spans="1:33" x14ac:dyDescent="0.2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</row>
    <row r="69" spans="1:33" x14ac:dyDescent="0.2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</row>
    <row r="70" spans="1:33" x14ac:dyDescent="0.2">
      <c r="A70" s="9">
        <v>30</v>
      </c>
      <c r="B70" s="3"/>
      <c r="C70" s="10" t="s">
        <v>67</v>
      </c>
      <c r="D70" s="60">
        <f>F70+J70+L70+N70+P70+T70+V70+Z70+AB70+AF70+X70+H70+AD70+R70</f>
        <v>0</v>
      </c>
      <c r="E70" s="123">
        <f>G70+K70+M70+O70+Q70+U70+W70+AA70+AC70+AG70+Y70+I70+AE70+S70</f>
        <v>38202754.850000001</v>
      </c>
      <c r="F70" s="60"/>
      <c r="G70" s="38">
        <v>7591856.8799999999</v>
      </c>
      <c r="H70" s="60"/>
      <c r="I70" s="38">
        <v>12261468.49</v>
      </c>
      <c r="J70" s="60"/>
      <c r="K70" s="38">
        <v>13133657.73</v>
      </c>
      <c r="L70" s="60"/>
      <c r="M70" s="38">
        <v>0</v>
      </c>
      <c r="N70" s="60"/>
      <c r="O70" s="38">
        <v>0</v>
      </c>
      <c r="P70" s="60">
        <v>0</v>
      </c>
      <c r="Q70" s="38">
        <v>6953222</v>
      </c>
      <c r="R70" s="60"/>
      <c r="S70" s="38">
        <v>0</v>
      </c>
      <c r="T70" s="60"/>
      <c r="U70" s="38">
        <v>0</v>
      </c>
      <c r="V70" s="60">
        <v>0</v>
      </c>
      <c r="W70" s="38">
        <v>-2639306.77</v>
      </c>
      <c r="X70" s="60">
        <v>0</v>
      </c>
      <c r="Y70" s="38">
        <v>0</v>
      </c>
      <c r="Z70" s="60">
        <v>0</v>
      </c>
      <c r="AA70" s="38">
        <v>207406</v>
      </c>
      <c r="AB70" s="60"/>
      <c r="AC70" s="38">
        <v>1508208.52</v>
      </c>
      <c r="AD70" s="60"/>
      <c r="AE70" s="38">
        <v>-400747</v>
      </c>
      <c r="AF70" s="60"/>
      <c r="AG70" s="38">
        <v>-413011</v>
      </c>
    </row>
    <row r="71" spans="1:33" x14ac:dyDescent="0.2">
      <c r="A71" s="9">
        <v>31</v>
      </c>
      <c r="B71" s="3"/>
      <c r="C71" s="10" t="s">
        <v>68</v>
      </c>
      <c r="D71" s="60">
        <f>F71+J71+L71+N71+P71+T71+V71+Z71+AB71+AF71+X71+H71+AD71+R71</f>
        <v>0</v>
      </c>
      <c r="E71" s="123">
        <f>G71+K71+M71+O71+Q71+U71+W71+AA71+AC71+AG71+Y71+I71+AE71+S71</f>
        <v>-24156871.739999998</v>
      </c>
      <c r="F71" s="60"/>
      <c r="G71" s="38">
        <v>-1768212</v>
      </c>
      <c r="H71" s="60"/>
      <c r="I71" s="38">
        <v>-14085867</v>
      </c>
      <c r="J71" s="60"/>
      <c r="K71" s="38">
        <v>-5194257</v>
      </c>
      <c r="L71" s="60"/>
      <c r="M71" s="38">
        <v>0</v>
      </c>
      <c r="N71" s="60"/>
      <c r="O71" s="38">
        <v>0</v>
      </c>
      <c r="P71" s="60"/>
      <c r="Q71" s="38">
        <v>-2053660</v>
      </c>
      <c r="R71" s="60"/>
      <c r="S71" s="38">
        <v>0</v>
      </c>
      <c r="T71" s="60"/>
      <c r="U71" s="38">
        <v>0</v>
      </c>
      <c r="V71" s="60"/>
      <c r="W71" s="38">
        <v>739518.78</v>
      </c>
      <c r="X71" s="60"/>
      <c r="Y71" s="38">
        <v>0</v>
      </c>
      <c r="Z71" s="60"/>
      <c r="AA71" s="38">
        <v>-1085483</v>
      </c>
      <c r="AB71" s="60"/>
      <c r="AC71" s="38">
        <v>-708911.52</v>
      </c>
      <c r="AD71" s="60"/>
      <c r="AE71" s="38">
        <v>0</v>
      </c>
      <c r="AF71" s="60"/>
      <c r="AG71" s="38">
        <v>0</v>
      </c>
    </row>
    <row r="72" spans="1:33" x14ac:dyDescent="0.2">
      <c r="A72" s="9"/>
      <c r="B72" s="3"/>
      <c r="C72" s="55" t="s">
        <v>69</v>
      </c>
      <c r="D72" s="61">
        <f t="shared" ref="D72:AG72" si="13">SUM(D70:D71)</f>
        <v>0</v>
      </c>
      <c r="E72" s="226">
        <f t="shared" si="13"/>
        <v>14045883.110000003</v>
      </c>
      <c r="F72" s="61">
        <f t="shared" si="13"/>
        <v>0</v>
      </c>
      <c r="G72" s="183">
        <f t="shared" si="13"/>
        <v>5823644.8799999999</v>
      </c>
      <c r="H72" s="61">
        <f>SUM(H70:H71)</f>
        <v>0</v>
      </c>
      <c r="I72" s="183">
        <f>SUM(I70:I71)</f>
        <v>-1824398.5099999998</v>
      </c>
      <c r="J72" s="61">
        <f t="shared" si="13"/>
        <v>0</v>
      </c>
      <c r="K72" s="183">
        <f t="shared" si="13"/>
        <v>7939400.7300000004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4899562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-1899787.99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-878077</v>
      </c>
      <c r="AB72" s="61">
        <f t="shared" si="13"/>
        <v>0</v>
      </c>
      <c r="AC72" s="39">
        <f t="shared" si="13"/>
        <v>799297</v>
      </c>
      <c r="AD72" s="61">
        <f>SUM(AD70:AD71)</f>
        <v>0</v>
      </c>
      <c r="AE72" s="183">
        <f>SUM(AE70:AE71)</f>
        <v>-400747</v>
      </c>
      <c r="AF72" s="61">
        <f t="shared" si="13"/>
        <v>0</v>
      </c>
      <c r="AG72" s="183">
        <f t="shared" si="13"/>
        <v>-413011</v>
      </c>
    </row>
    <row r="73" spans="1:33" x14ac:dyDescent="0.2">
      <c r="A73" s="9">
        <v>32</v>
      </c>
      <c r="B73" s="3"/>
      <c r="C73" s="10" t="s">
        <v>70</v>
      </c>
      <c r="D73" s="60">
        <f t="shared" ref="D73:D81" si="14">F73+J73+L73+N73+P73+T73+V73+Z73+AB73+AF73+X73+H73+AD73+R73</f>
        <v>0</v>
      </c>
      <c r="E73" s="123">
        <f t="shared" ref="E73:E81" si="15">G73+K73+M73+O73+Q73+U73+W73+AA73+AC73+AG73+Y73+I73+AE73+S73</f>
        <v>0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</row>
    <row r="74" spans="1:33" x14ac:dyDescent="0.2">
      <c r="A74" s="9">
        <v>33</v>
      </c>
      <c r="B74" s="3"/>
      <c r="C74" s="10" t="s">
        <v>71</v>
      </c>
      <c r="D74" s="60">
        <f t="shared" si="14"/>
        <v>0</v>
      </c>
      <c r="E74" s="182">
        <f t="shared" si="15"/>
        <v>-26326449.240000002</v>
      </c>
      <c r="F74" s="65"/>
      <c r="G74" s="66">
        <v>580965.77</v>
      </c>
      <c r="H74" s="65"/>
      <c r="I74" s="66">
        <v>1333966.53</v>
      </c>
      <c r="J74" s="65"/>
      <c r="K74" s="66">
        <v>-14311349.35</v>
      </c>
      <c r="L74" s="65"/>
      <c r="M74" s="66">
        <v>0</v>
      </c>
      <c r="N74" s="65"/>
      <c r="O74" s="66">
        <v>0</v>
      </c>
      <c r="P74" s="65"/>
      <c r="Q74" s="66">
        <v>1329493.44</v>
      </c>
      <c r="R74" s="65"/>
      <c r="S74" s="66">
        <v>12423</v>
      </c>
      <c r="T74" s="65"/>
      <c r="U74" s="66">
        <v>0</v>
      </c>
      <c r="V74" s="65"/>
      <c r="W74" s="66">
        <v>-169890.73</v>
      </c>
      <c r="X74" s="65"/>
      <c r="Y74" s="66">
        <v>-945496.32</v>
      </c>
      <c r="Z74" s="65"/>
      <c r="AA74" s="180">
        <v>-7514776.7000000002</v>
      </c>
      <c r="AB74" s="65"/>
      <c r="AC74" s="180">
        <v>-455424.51</v>
      </c>
      <c r="AD74" s="65"/>
      <c r="AE74" s="66">
        <v>451953.34</v>
      </c>
      <c r="AF74" s="65"/>
      <c r="AG74" s="180">
        <v>-6638313.71</v>
      </c>
    </row>
    <row r="75" spans="1:33" x14ac:dyDescent="0.2">
      <c r="A75" s="9">
        <v>34</v>
      </c>
      <c r="B75" s="3"/>
      <c r="C75" s="10" t="s">
        <v>72</v>
      </c>
      <c r="D75" s="60">
        <f t="shared" si="14"/>
        <v>0</v>
      </c>
      <c r="E75" s="182">
        <f t="shared" si="15"/>
        <v>747400</v>
      </c>
      <c r="F75" s="65"/>
      <c r="G75" s="38">
        <v>51500</v>
      </c>
      <c r="H75" s="65"/>
      <c r="I75" s="38">
        <v>0</v>
      </c>
      <c r="J75" s="65"/>
      <c r="K75" s="38">
        <v>323400</v>
      </c>
      <c r="L75" s="65"/>
      <c r="M75" s="38">
        <v>0</v>
      </c>
      <c r="N75" s="65"/>
      <c r="O75" s="38">
        <v>0</v>
      </c>
      <c r="P75" s="65"/>
      <c r="Q75" s="38">
        <v>354800</v>
      </c>
      <c r="R75" s="65"/>
      <c r="S75" s="38"/>
      <c r="T75" s="65"/>
      <c r="U75" s="38"/>
      <c r="V75" s="65"/>
      <c r="W75" s="38">
        <v>17700</v>
      </c>
      <c r="X75" s="65"/>
      <c r="Y75" s="38">
        <v>0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0</v>
      </c>
    </row>
    <row r="76" spans="1:33" x14ac:dyDescent="0.2">
      <c r="A76" s="9">
        <v>35</v>
      </c>
      <c r="B76" s="3"/>
      <c r="C76" s="10" t="s">
        <v>73</v>
      </c>
      <c r="D76" s="60">
        <f t="shared" si="14"/>
        <v>0</v>
      </c>
      <c r="E76" s="123">
        <f t="shared" si="15"/>
        <v>-9625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>
        <v>-9625</v>
      </c>
      <c r="AB76" s="60"/>
      <c r="AC76" s="38"/>
      <c r="AD76" s="60"/>
      <c r="AE76" s="38"/>
      <c r="AF76" s="60"/>
      <c r="AG76" s="38"/>
    </row>
    <row r="77" spans="1:33" x14ac:dyDescent="0.2">
      <c r="A77" s="9">
        <v>36</v>
      </c>
      <c r="B77" s="3"/>
      <c r="C77" s="10" t="s">
        <v>74</v>
      </c>
      <c r="D77" s="60">
        <f t="shared" si="14"/>
        <v>0</v>
      </c>
      <c r="E77" s="182">
        <f t="shared" si="15"/>
        <v>-2658334</v>
      </c>
      <c r="F77" s="65"/>
      <c r="G77" s="38"/>
      <c r="H77" s="65"/>
      <c r="I77" s="38"/>
      <c r="J77" s="65"/>
      <c r="K77" s="38">
        <v>-2658334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</row>
    <row r="78" spans="1:33" x14ac:dyDescent="0.2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</row>
    <row r="79" spans="1:33" x14ac:dyDescent="0.2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</row>
    <row r="80" spans="1:33" x14ac:dyDescent="0.2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</row>
    <row r="81" spans="1:34" x14ac:dyDescent="0.2">
      <c r="A81" s="9">
        <v>40</v>
      </c>
      <c r="B81" s="3"/>
      <c r="C81" s="10" t="s">
        <v>78</v>
      </c>
      <c r="D81" s="60">
        <f t="shared" si="14"/>
        <v>0</v>
      </c>
      <c r="E81" s="123">
        <f t="shared" si="15"/>
        <v>779146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>
        <v>779146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/>
      <c r="AD81" s="60"/>
      <c r="AE81" s="38"/>
      <c r="AF81" s="60"/>
      <c r="AG81" s="38"/>
    </row>
    <row r="82" spans="1:34" s="49" customFormat="1" ht="20.25" customHeight="1" thickBot="1" x14ac:dyDescent="0.25">
      <c r="A82" s="88"/>
      <c r="B82" s="89"/>
      <c r="C82" s="90" t="s">
        <v>168</v>
      </c>
      <c r="D82" s="91">
        <f>D16+D24+D29+D36+D43+D45+D47+D49</f>
        <v>0</v>
      </c>
      <c r="E82" s="177">
        <f>SUM(E72:E81)+E16+E24+E29+E36+E43+E45+E47+E49+E51+E56+E61+E66</f>
        <v>-25496338.289999999</v>
      </c>
      <c r="F82" s="91">
        <f>F16+F24+F29+F36+F43+F45+F47+F49</f>
        <v>0</v>
      </c>
      <c r="G82" s="92">
        <f>SUM(G72:G81)+G16+G24+G29+G36+G43+G45+G47+G49+G51+G56+G61+G66</f>
        <v>11392270.580000002</v>
      </c>
      <c r="H82" s="91">
        <f>H16+H24+H29+H36+H43+H45+H47+H49</f>
        <v>0</v>
      </c>
      <c r="I82" s="92">
        <f>SUM(I72:I81)+I16+I24+I29+I36+I43+I45+I47+I49+I51+I56+I61+I66</f>
        <v>-329719.30999999976</v>
      </c>
      <c r="J82" s="91">
        <f>J16+J24+J29+J36+J43+J45+J47+J49</f>
        <v>0</v>
      </c>
      <c r="K82" s="92">
        <f>SUM(K72:K81)+K16+K24+K29+K36+K43+K45+K47+K49+K51+K56+K61+K66</f>
        <v>-21767256.469999999</v>
      </c>
      <c r="L82" s="91">
        <f>L16+L24+L29+L36+L43+L45+L47+L49</f>
        <v>0</v>
      </c>
      <c r="M82" s="92">
        <f>SUM(M72:M81)+M16+M24+M29+M36+M43+M45+M47+M49+M51+M56+M61+M66</f>
        <v>-158335.73000000001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9058666.3200000003</v>
      </c>
      <c r="R82" s="91">
        <f>R16+R24+R29+R36+R43+R45+R47+R49</f>
        <v>0</v>
      </c>
      <c r="S82" s="92">
        <f>SUM(S72:S81)+S16+S24+S29+S36+S43+S45+S47+S49+S51+S56+S61+S66</f>
        <v>668134.47</v>
      </c>
      <c r="T82" s="91">
        <f>T16+T24+T29+T36+T43+T45+T47+T49</f>
        <v>0</v>
      </c>
      <c r="U82" s="92">
        <f>SUM(U72:U81)+U16+U24+U29+U36+U43+U45+U47+U49+U51+U56+U61+U66</f>
        <v>-4575.6000000000004</v>
      </c>
      <c r="V82" s="91">
        <f>V16+V24+V29+V36+V43+V45+V47+V49</f>
        <v>0</v>
      </c>
      <c r="W82" s="92">
        <f>SUM(W72:W81)+W16+W24+W29+W36+W43+W45+W47+W49+W51+W56+W61+W66</f>
        <v>-6386190.4199999999</v>
      </c>
      <c r="X82" s="91">
        <f>X16+X24+X29+X36+X43+X45+X47+X49</f>
        <v>0</v>
      </c>
      <c r="Y82" s="92">
        <f>SUM(Y72:Y81)+Y16+Y24+Y29+Y36+Y43+Y45+Y47+Y49+Y51+Y56+Y61+Y66</f>
        <v>-2807358.9899999998</v>
      </c>
      <c r="Z82" s="91">
        <f>Z16+Z24+Z29+Z36+Z43+Z45+Z47+Z49</f>
        <v>0</v>
      </c>
      <c r="AA82" s="92">
        <f>SUM(AA72:AA81)+AA16+AA24+AA29+AA36+AA43+AA45+AA47+AA49+AA51+AA56+AA61+AA66</f>
        <v>-8402478.6999999993</v>
      </c>
      <c r="AB82" s="91">
        <f>AB16+AB24+AB29+AB36+AB43+AB45+AB47+AB49</f>
        <v>0</v>
      </c>
      <c r="AC82" s="92">
        <f>SUM(AC72:AC81)+AC16+AC24+AC29+AC36+AC43+AC45+AC47+AC49+AC51+AC56+AC61+AC66</f>
        <v>1183620.8100000005</v>
      </c>
      <c r="AD82" s="91">
        <f>AD16+AD24+AD29+AD36+AD43+AD45+AD47+AD49</f>
        <v>0</v>
      </c>
      <c r="AE82" s="92">
        <f>SUM(AE72:AE81)+AE16+AE24+AE29+AE36+AE43+AE45+AE47+AE49+AE51+AE56+AE61+AE66</f>
        <v>-650269.54</v>
      </c>
      <c r="AF82" s="91">
        <f>AF16+AF24+AF29+AF36+AF43+AF45+AF47+AF49</f>
        <v>0</v>
      </c>
      <c r="AG82" s="92">
        <f>SUM(AG72:AG81)+AG16+AG24+AG29+AG36+AG43+AG45+AG47+AG49+AG51+AG56+AG61+AG66</f>
        <v>-7292845.71</v>
      </c>
      <c r="AH82" s="93"/>
    </row>
    <row r="83" spans="1:34" ht="13.5" thickTop="1" x14ac:dyDescent="0.2">
      <c r="A83" s="4" t="s">
        <v>2</v>
      </c>
      <c r="B83" s="3"/>
    </row>
    <row r="84" spans="1:34" x14ac:dyDescent="0.2">
      <c r="A84" s="4"/>
      <c r="B84" s="3"/>
      <c r="O84" s="45"/>
    </row>
    <row r="85" spans="1:34" x14ac:dyDescent="0.2">
      <c r="A85" s="4" t="s">
        <v>184</v>
      </c>
      <c r="B85" s="3"/>
      <c r="F85" s="31"/>
      <c r="G85" s="31"/>
      <c r="H85" s="31"/>
      <c r="I85" s="31"/>
      <c r="J85" s="31"/>
      <c r="K85" s="31"/>
      <c r="N85" s="45"/>
    </row>
    <row r="86" spans="1:34" s="3" customFormat="1" x14ac:dyDescent="0.2">
      <c r="A86" s="144"/>
      <c r="C86" s="10" t="s">
        <v>166</v>
      </c>
      <c r="D86" s="60">
        <f t="shared" ref="D86:E88" si="16">F86+J86+L86+N86+P86+T86+V86+Z86+AB86+AF86+X86+H86+AD86+R86</f>
        <v>0</v>
      </c>
      <c r="E86" s="182">
        <f t="shared" si="16"/>
        <v>2776671</v>
      </c>
      <c r="F86" s="145"/>
      <c r="G86" s="145">
        <v>0</v>
      </c>
      <c r="H86" s="145"/>
      <c r="I86" s="145">
        <v>0</v>
      </c>
      <c r="J86" s="145"/>
      <c r="K86" s="184">
        <v>477103</v>
      </c>
      <c r="L86" s="145"/>
      <c r="M86" s="145"/>
      <c r="N86" s="145"/>
      <c r="O86" s="145"/>
      <c r="P86" s="145"/>
      <c r="Q86" s="145"/>
      <c r="R86" s="145"/>
      <c r="S86" s="145">
        <v>-101722</v>
      </c>
      <c r="T86" s="145"/>
      <c r="U86" s="145"/>
      <c r="V86" s="145"/>
      <c r="W86" s="145">
        <v>0</v>
      </c>
      <c r="X86" s="145"/>
      <c r="Y86" s="145">
        <v>2598320</v>
      </c>
      <c r="Z86" s="145"/>
      <c r="AA86" s="145"/>
      <c r="AB86" s="145"/>
      <c r="AC86" s="145">
        <v>-197030</v>
      </c>
      <c r="AD86" s="145"/>
      <c r="AE86" s="145"/>
      <c r="AF86" s="145"/>
      <c r="AG86" s="145"/>
    </row>
    <row r="87" spans="1:34" s="3" customFormat="1" x14ac:dyDescent="0.2">
      <c r="A87" s="144"/>
      <c r="C87" s="10" t="s">
        <v>71</v>
      </c>
      <c r="D87" s="60">
        <f t="shared" si="16"/>
        <v>0</v>
      </c>
      <c r="E87" s="182">
        <f t="shared" si="16"/>
        <v>-9697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-402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f>AB87+AF87+AH87+AJ87+AL87+AN87+AP87+AR87+AT87+AV87</f>
        <v>0</v>
      </c>
      <c r="AA87" s="146"/>
      <c r="AB87" s="146"/>
      <c r="AC87" s="146">
        <v>-9295</v>
      </c>
      <c r="AD87" s="146"/>
      <c r="AE87" s="146"/>
      <c r="AF87" s="146"/>
      <c r="AG87" s="146"/>
    </row>
    <row r="88" spans="1:34" s="3" customFormat="1" x14ac:dyDescent="0.2">
      <c r="A88" s="144"/>
      <c r="C88" s="10" t="s">
        <v>72</v>
      </c>
      <c r="D88" s="60">
        <f t="shared" si="16"/>
        <v>0</v>
      </c>
      <c r="E88" s="182">
        <f t="shared" si="16"/>
        <v>-2057500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-2057500</v>
      </c>
      <c r="Z88" s="147">
        <f>AB88+AF88+AH88+AJ88+AL88+AN88+AP88+AR88+AT88+AV88</f>
        <v>0</v>
      </c>
      <c r="AA88" s="147"/>
      <c r="AB88" s="147"/>
      <c r="AC88" s="147">
        <v>0</v>
      </c>
      <c r="AD88" s="147"/>
      <c r="AE88" s="147"/>
      <c r="AF88" s="147"/>
      <c r="AG88" s="147"/>
    </row>
    <row r="89" spans="1:34" s="127" customFormat="1" ht="20.25" customHeight="1" x14ac:dyDescent="0.2">
      <c r="A89" s="158"/>
      <c r="B89" s="159"/>
      <c r="C89" s="161" t="s">
        <v>174</v>
      </c>
      <c r="D89" s="160">
        <f>SUM(D86:D88)</f>
        <v>0</v>
      </c>
      <c r="E89" s="178">
        <f t="shared" ref="E89:O89" si="17">SUM(E86:E88)</f>
        <v>709474</v>
      </c>
      <c r="F89" s="160">
        <f t="shared" si="17"/>
        <v>0</v>
      </c>
      <c r="G89" s="160">
        <f t="shared" si="17"/>
        <v>0</v>
      </c>
      <c r="H89" s="160">
        <f>SUM(H86:H88)</f>
        <v>0</v>
      </c>
      <c r="I89" s="160">
        <f>SUM(I86:I88)</f>
        <v>0</v>
      </c>
      <c r="J89" s="160">
        <f t="shared" si="17"/>
        <v>0</v>
      </c>
      <c r="K89" s="160">
        <f t="shared" si="17"/>
        <v>477103</v>
      </c>
      <c r="L89" s="160">
        <f t="shared" si="17"/>
        <v>0</v>
      </c>
      <c r="M89" s="160">
        <f t="shared" si="17"/>
        <v>0</v>
      </c>
      <c r="N89" s="160">
        <f t="shared" si="17"/>
        <v>0</v>
      </c>
      <c r="O89" s="160">
        <f t="shared" si="17"/>
        <v>0</v>
      </c>
      <c r="P89" s="160">
        <f t="shared" ref="P89:AG89" si="18">SUM(P86:P88)</f>
        <v>0</v>
      </c>
      <c r="Q89" s="160">
        <f t="shared" si="18"/>
        <v>0</v>
      </c>
      <c r="R89" s="160">
        <f>SUM(R86:R88)</f>
        <v>0</v>
      </c>
      <c r="S89" s="160">
        <f>SUM(S86:S88)</f>
        <v>-102124</v>
      </c>
      <c r="T89" s="160">
        <f t="shared" si="18"/>
        <v>0</v>
      </c>
      <c r="U89" s="160">
        <f t="shared" si="18"/>
        <v>0</v>
      </c>
      <c r="V89" s="160">
        <f t="shared" si="18"/>
        <v>0</v>
      </c>
      <c r="W89" s="160">
        <f t="shared" si="18"/>
        <v>0</v>
      </c>
      <c r="X89" s="160">
        <f>SUM(X86:X88)</f>
        <v>0</v>
      </c>
      <c r="Y89" s="160">
        <f>SUM(Y86:Y88)</f>
        <v>540820</v>
      </c>
      <c r="Z89" s="160">
        <f t="shared" si="18"/>
        <v>0</v>
      </c>
      <c r="AA89" s="160">
        <f t="shared" si="18"/>
        <v>0</v>
      </c>
      <c r="AB89" s="160">
        <f t="shared" si="18"/>
        <v>0</v>
      </c>
      <c r="AC89" s="160">
        <f t="shared" si="18"/>
        <v>-206325</v>
      </c>
      <c r="AD89" s="160">
        <f>SUM(AD86:AD88)</f>
        <v>0</v>
      </c>
      <c r="AE89" s="160">
        <f>SUM(AE86:AE88)</f>
        <v>0</v>
      </c>
      <c r="AF89" s="160">
        <f t="shared" si="18"/>
        <v>0</v>
      </c>
      <c r="AG89" s="160">
        <f t="shared" si="18"/>
        <v>0</v>
      </c>
    </row>
    <row r="90" spans="1:34" x14ac:dyDescent="0.2">
      <c r="A90" s="4"/>
      <c r="B90" s="3"/>
      <c r="F90" s="31"/>
      <c r="G90" s="31"/>
      <c r="H90" s="31"/>
      <c r="I90" s="31"/>
      <c r="J90" s="31"/>
      <c r="K90" s="31"/>
    </row>
    <row r="91" spans="1:34" s="127" customFormat="1" ht="20.25" customHeight="1" x14ac:dyDescent="0.2">
      <c r="A91" s="158"/>
      <c r="B91" s="159"/>
      <c r="C91" s="157" t="s">
        <v>175</v>
      </c>
      <c r="D91" s="160">
        <f>+D82+D89</f>
        <v>0</v>
      </c>
      <c r="E91" s="178">
        <f t="shared" ref="E91:O91" si="19">+E82+E89</f>
        <v>-24786864.289999999</v>
      </c>
      <c r="F91" s="160">
        <f t="shared" si="19"/>
        <v>0</v>
      </c>
      <c r="G91" s="160">
        <f t="shared" si="19"/>
        <v>11392270.580000002</v>
      </c>
      <c r="H91" s="160">
        <f>+H82+H89</f>
        <v>0</v>
      </c>
      <c r="I91" s="160">
        <f>+I82+I89</f>
        <v>-329719.30999999976</v>
      </c>
      <c r="J91" s="160">
        <f t="shared" si="19"/>
        <v>0</v>
      </c>
      <c r="K91" s="160">
        <f t="shared" si="19"/>
        <v>-21290153.469999999</v>
      </c>
      <c r="L91" s="160">
        <f t="shared" si="19"/>
        <v>0</v>
      </c>
      <c r="M91" s="160">
        <f t="shared" si="19"/>
        <v>-158335.73000000001</v>
      </c>
      <c r="N91" s="160">
        <f t="shared" si="19"/>
        <v>0</v>
      </c>
      <c r="O91" s="160">
        <f t="shared" si="19"/>
        <v>0</v>
      </c>
      <c r="P91" s="160">
        <f t="shared" ref="P91:AG91" si="20">+P82+P89</f>
        <v>0</v>
      </c>
      <c r="Q91" s="160">
        <f t="shared" si="20"/>
        <v>9058666.3200000003</v>
      </c>
      <c r="R91" s="160">
        <f>+R82+R89</f>
        <v>0</v>
      </c>
      <c r="S91" s="160">
        <f>+S82+S89</f>
        <v>566010.47</v>
      </c>
      <c r="T91" s="160">
        <f t="shared" si="20"/>
        <v>0</v>
      </c>
      <c r="U91" s="160">
        <f t="shared" si="20"/>
        <v>-4575.6000000000004</v>
      </c>
      <c r="V91" s="160">
        <f t="shared" si="20"/>
        <v>0</v>
      </c>
      <c r="W91" s="160">
        <f t="shared" si="20"/>
        <v>-6386190.4199999999</v>
      </c>
      <c r="X91" s="160">
        <f>+X82+X89</f>
        <v>0</v>
      </c>
      <c r="Y91" s="160">
        <f>+Y82+Y89</f>
        <v>-2266538.9899999998</v>
      </c>
      <c r="Z91" s="160">
        <f t="shared" si="20"/>
        <v>0</v>
      </c>
      <c r="AA91" s="160">
        <f t="shared" si="20"/>
        <v>-8402478.6999999993</v>
      </c>
      <c r="AB91" s="160">
        <f t="shared" si="20"/>
        <v>0</v>
      </c>
      <c r="AC91" s="160">
        <f t="shared" si="20"/>
        <v>977295.81000000052</v>
      </c>
      <c r="AD91" s="160">
        <f>+AD82+AD89</f>
        <v>0</v>
      </c>
      <c r="AE91" s="160">
        <f>+AE82+AE89</f>
        <v>-650269.54</v>
      </c>
      <c r="AF91" s="160">
        <f t="shared" si="20"/>
        <v>0</v>
      </c>
      <c r="AG91" s="160">
        <f t="shared" si="20"/>
        <v>-7292845.71</v>
      </c>
    </row>
    <row r="92" spans="1:34" x14ac:dyDescent="0.2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</row>
    <row r="93" spans="1:34" x14ac:dyDescent="0.2">
      <c r="A93" s="4"/>
      <c r="B93" s="3"/>
    </row>
    <row r="94" spans="1:34" x14ac:dyDescent="0.2">
      <c r="A94" s="4"/>
      <c r="B94" s="3"/>
      <c r="E94" s="171">
        <f>+E74+E12+E20</f>
        <v>-37035530.399999999</v>
      </c>
      <c r="G94" s="163">
        <f>+G12+G20+G74</f>
        <v>5517125.6999999993</v>
      </c>
      <c r="I94" s="163">
        <f>+I12+I20+I74</f>
        <v>1494679.2</v>
      </c>
      <c r="K94" s="163">
        <f>+K12+K20+K74</f>
        <v>-27371723.199999999</v>
      </c>
      <c r="M94" s="163">
        <f>+M12+M20+M74</f>
        <v>-158335.73000000001</v>
      </c>
      <c r="O94" s="163">
        <f>+O12+O20+O74</f>
        <v>0</v>
      </c>
      <c r="Q94" s="163">
        <f>+Q12+Q20+Q74</f>
        <v>3804304.32</v>
      </c>
      <c r="S94" s="163">
        <f>+S12+S20+S74</f>
        <v>-111011.53000000003</v>
      </c>
      <c r="U94" s="163">
        <f>+U12+U20+U74</f>
        <v>-4575.6000000000004</v>
      </c>
      <c r="W94" s="163">
        <f>+W12+W20+W74</f>
        <v>-4504102.43</v>
      </c>
      <c r="Y94" s="163">
        <f>+Y12+Y20+Y74</f>
        <v>-1442080.99</v>
      </c>
      <c r="AA94" s="163">
        <f>+AA12+AA20+AA74</f>
        <v>-7514776.7000000002</v>
      </c>
      <c r="AC94" s="163">
        <f>+AC12+AC20+AC74</f>
        <v>384323.81000000029</v>
      </c>
      <c r="AE94" s="163">
        <f>+AE12+AE20+AE74</f>
        <v>-249522.53999999998</v>
      </c>
      <c r="AG94" s="163">
        <f>+AG12+AG20+AG74</f>
        <v>-6879834.71</v>
      </c>
    </row>
    <row r="95" spans="1:34" x14ac:dyDescent="0.2">
      <c r="A95" s="4"/>
      <c r="B95" s="3"/>
      <c r="E95" s="171">
        <v>-37035522</v>
      </c>
    </row>
    <row r="96" spans="1:34" x14ac:dyDescent="0.2">
      <c r="A96" s="4"/>
      <c r="B96" s="3"/>
      <c r="E96" s="171">
        <f>+E94-E95</f>
        <v>-8.3999999985098839</v>
      </c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86480259</v>
      </c>
      <c r="E11" s="146">
        <v>202895435</v>
      </c>
      <c r="F11" s="60">
        <f>H11-D11</f>
        <v>0</v>
      </c>
      <c r="G11" s="37">
        <f>I11-E11</f>
        <v>0</v>
      </c>
      <c r="H11" s="65">
        <f t="shared" ref="H11:I15" si="0">D11</f>
        <v>86480259</v>
      </c>
      <c r="I11" s="66">
        <f t="shared" si="0"/>
        <v>202895435</v>
      </c>
      <c r="J11" s="37"/>
      <c r="K11" s="38"/>
      <c r="L11" s="60">
        <f t="shared" ref="L11:M15" si="1">H11+J11</f>
        <v>86480259</v>
      </c>
      <c r="M11" s="38">
        <f t="shared" si="1"/>
        <v>202895435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41011971</v>
      </c>
      <c r="E13" s="146">
        <v>97311530</v>
      </c>
      <c r="F13" s="60">
        <f t="shared" si="2"/>
        <v>0</v>
      </c>
      <c r="G13" s="37">
        <f t="shared" si="2"/>
        <v>0</v>
      </c>
      <c r="H13" s="65">
        <f t="shared" si="0"/>
        <v>41011971</v>
      </c>
      <c r="I13" s="66">
        <f t="shared" si="0"/>
        <v>97311530</v>
      </c>
      <c r="J13" s="37"/>
      <c r="K13" s="38"/>
      <c r="L13" s="60">
        <f t="shared" si="1"/>
        <v>41011971</v>
      </c>
      <c r="M13" s="38">
        <f t="shared" si="1"/>
        <v>97311530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127492230</v>
      </c>
      <c r="E16" s="166">
        <v>300206965</v>
      </c>
      <c r="F16" s="61">
        <f t="shared" ref="F16:M16" si="3">SUM(F11:F15)</f>
        <v>0</v>
      </c>
      <c r="G16" s="39">
        <f t="shared" si="3"/>
        <v>0</v>
      </c>
      <c r="H16" s="61">
        <f>SUM(H11:H15)</f>
        <v>127492230</v>
      </c>
      <c r="I16" s="39">
        <f>SUM(I11:I15)</f>
        <v>300206965</v>
      </c>
      <c r="J16" s="133">
        <f t="shared" si="3"/>
        <v>0</v>
      </c>
      <c r="K16" s="39">
        <f t="shared" si="3"/>
        <v>0</v>
      </c>
      <c r="L16" s="61">
        <f t="shared" si="3"/>
        <v>127492230</v>
      </c>
      <c r="M16" s="39">
        <f t="shared" si="3"/>
        <v>300206965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-95357565</v>
      </c>
      <c r="E19" s="146">
        <v>-222705101</v>
      </c>
      <c r="F19" s="60">
        <f>H19-D19</f>
        <v>0</v>
      </c>
      <c r="G19" s="37">
        <f>I19-E19</f>
        <v>0</v>
      </c>
      <c r="H19" s="65">
        <f t="shared" si="4"/>
        <v>-95357565</v>
      </c>
      <c r="I19" s="66">
        <f t="shared" si="4"/>
        <v>-222705101</v>
      </c>
      <c r="J19" s="37">
        <v>0</v>
      </c>
      <c r="K19" s="38">
        <v>0</v>
      </c>
      <c r="L19" s="60">
        <f t="shared" ref="L19:M23" si="5">H19+J19</f>
        <v>-95357565</v>
      </c>
      <c r="M19" s="38">
        <f t="shared" si="5"/>
        <v>-222705101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-32340740</v>
      </c>
      <c r="E21" s="146">
        <v>-77121536</v>
      </c>
      <c r="F21" s="60">
        <f t="shared" si="6"/>
        <v>0</v>
      </c>
      <c r="G21" s="37">
        <f t="shared" si="6"/>
        <v>0</v>
      </c>
      <c r="H21" s="65">
        <f t="shared" si="4"/>
        <v>-32340740</v>
      </c>
      <c r="I21" s="66">
        <f t="shared" si="4"/>
        <v>-77121536</v>
      </c>
      <c r="J21" s="37"/>
      <c r="K21" s="38"/>
      <c r="L21" s="60">
        <f t="shared" si="5"/>
        <v>-32340740</v>
      </c>
      <c r="M21" s="38">
        <f t="shared" si="5"/>
        <v>-77121536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331530</v>
      </c>
      <c r="E23" s="146">
        <v>764277</v>
      </c>
      <c r="F23" s="60">
        <f t="shared" si="6"/>
        <v>0</v>
      </c>
      <c r="G23" s="37">
        <f t="shared" si="6"/>
        <v>0</v>
      </c>
      <c r="H23" s="65">
        <f t="shared" si="4"/>
        <v>331530</v>
      </c>
      <c r="I23" s="66">
        <f t="shared" si="4"/>
        <v>764277</v>
      </c>
      <c r="J23" s="37"/>
      <c r="K23" s="38"/>
      <c r="L23" s="60">
        <f t="shared" si="5"/>
        <v>331530</v>
      </c>
      <c r="M23" s="38">
        <f t="shared" si="5"/>
        <v>764277</v>
      </c>
    </row>
    <row r="24" spans="1:13" x14ac:dyDescent="0.2">
      <c r="A24" s="9"/>
      <c r="B24" s="7" t="s">
        <v>33</v>
      </c>
      <c r="C24" s="6"/>
      <c r="D24" s="166">
        <v>-127366775</v>
      </c>
      <c r="E24" s="166">
        <v>-299062360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-127366775</v>
      </c>
      <c r="I24" s="39">
        <f>SUM(I19:I23)</f>
        <v>-299062360</v>
      </c>
      <c r="J24" s="133">
        <f t="shared" si="7"/>
        <v>0</v>
      </c>
      <c r="K24" s="39">
        <f t="shared" si="7"/>
        <v>0</v>
      </c>
      <c r="L24" s="61">
        <f t="shared" si="7"/>
        <v>-127366775</v>
      </c>
      <c r="M24" s="39">
        <f t="shared" si="7"/>
        <v>-299062360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16861</v>
      </c>
      <c r="E32" s="146">
        <v>16125</v>
      </c>
      <c r="F32" s="60">
        <f>H32-D32</f>
        <v>0</v>
      </c>
      <c r="G32" s="37">
        <f>I32-E32</f>
        <v>0</v>
      </c>
      <c r="H32" s="65">
        <f t="shared" ref="H32:I35" si="9">D32</f>
        <v>16861</v>
      </c>
      <c r="I32" s="66">
        <f t="shared" si="9"/>
        <v>16125</v>
      </c>
      <c r="J32" s="37"/>
      <c r="K32" s="38"/>
      <c r="L32" s="60">
        <f t="shared" ref="L32:M35" si="10">H32+J32</f>
        <v>16861</v>
      </c>
      <c r="M32" s="38">
        <f t="shared" si="10"/>
        <v>16125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252323</v>
      </c>
      <c r="E35" s="146">
        <v>582089</v>
      </c>
      <c r="F35" s="60">
        <f t="shared" si="11"/>
        <v>0</v>
      </c>
      <c r="G35" s="37">
        <f t="shared" si="11"/>
        <v>0</v>
      </c>
      <c r="H35" s="65">
        <f t="shared" si="9"/>
        <v>252323</v>
      </c>
      <c r="I35" s="66">
        <f t="shared" si="9"/>
        <v>582089</v>
      </c>
      <c r="J35" s="37">
        <v>0</v>
      </c>
      <c r="K35" s="38">
        <v>0</v>
      </c>
      <c r="L35" s="60">
        <f t="shared" si="10"/>
        <v>252323</v>
      </c>
      <c r="M35" s="38">
        <f t="shared" si="10"/>
        <v>582089</v>
      </c>
    </row>
    <row r="36" spans="1:13" x14ac:dyDescent="0.2">
      <c r="A36" s="9"/>
      <c r="B36" s="7" t="s">
        <v>43</v>
      </c>
      <c r="C36" s="6"/>
      <c r="D36" s="166">
        <v>269184</v>
      </c>
      <c r="E36" s="166">
        <v>598214</v>
      </c>
      <c r="F36" s="61">
        <f>SUM(F32:F35)</f>
        <v>0</v>
      </c>
      <c r="G36" s="39">
        <f>SUM(G32:G35)</f>
        <v>0</v>
      </c>
      <c r="H36" s="61">
        <f>SUM(H32:H35)</f>
        <v>269184</v>
      </c>
      <c r="I36" s="39">
        <f>SUM(I32:I35)</f>
        <v>598214</v>
      </c>
      <c r="J36" s="133">
        <f>SUM(J32:J34)</f>
        <v>0</v>
      </c>
      <c r="K36" s="39">
        <f>SUM(K32:K34)</f>
        <v>0</v>
      </c>
      <c r="L36" s="61">
        <f>SUM(L32:L35)</f>
        <v>269184</v>
      </c>
      <c r="M36" s="39">
        <f>SUM(M32:M35)</f>
        <v>598214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15000</v>
      </c>
      <c r="E39" s="146">
        <v>40875</v>
      </c>
      <c r="F39" s="60">
        <f t="shared" ref="F39:G41" si="13">H39-D39</f>
        <v>0</v>
      </c>
      <c r="G39" s="37">
        <f t="shared" si="13"/>
        <v>0</v>
      </c>
      <c r="H39" s="65">
        <f t="shared" si="12"/>
        <v>15000</v>
      </c>
      <c r="I39" s="66">
        <f t="shared" si="12"/>
        <v>40875</v>
      </c>
      <c r="J39" s="37"/>
      <c r="K39" s="38"/>
      <c r="L39" s="60">
        <f t="shared" ref="L39:M41" si="14">H39+J39</f>
        <v>15000</v>
      </c>
      <c r="M39" s="38">
        <f t="shared" si="14"/>
        <v>40875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-396449</v>
      </c>
      <c r="E40" s="146">
        <v>-952639</v>
      </c>
      <c r="F40" s="60">
        <f t="shared" si="13"/>
        <v>0</v>
      </c>
      <c r="G40" s="37">
        <f t="shared" si="13"/>
        <v>0</v>
      </c>
      <c r="H40" s="65">
        <f t="shared" si="12"/>
        <v>-396449</v>
      </c>
      <c r="I40" s="66">
        <f t="shared" si="12"/>
        <v>-952639</v>
      </c>
      <c r="J40" s="37"/>
      <c r="K40" s="38"/>
      <c r="L40" s="60">
        <f t="shared" si="14"/>
        <v>-396449</v>
      </c>
      <c r="M40" s="38">
        <f t="shared" si="14"/>
        <v>-952639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-396449</v>
      </c>
      <c r="E42" s="166">
        <v>-952639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-396449</v>
      </c>
      <c r="I42" s="39">
        <f>SUM(I40:I41)</f>
        <v>-952639</v>
      </c>
      <c r="J42" s="133">
        <f t="shared" si="15"/>
        <v>0</v>
      </c>
      <c r="K42" s="39">
        <f t="shared" si="15"/>
        <v>0</v>
      </c>
      <c r="L42" s="61">
        <f t="shared" si="15"/>
        <v>-396449</v>
      </c>
      <c r="M42" s="39">
        <f t="shared" si="15"/>
        <v>-952639</v>
      </c>
    </row>
    <row r="43" spans="1:13" ht="21" customHeight="1" x14ac:dyDescent="0.2">
      <c r="A43" s="9"/>
      <c r="B43" s="7" t="s">
        <v>49</v>
      </c>
      <c r="C43" s="6"/>
      <c r="D43" s="166">
        <v>-381449</v>
      </c>
      <c r="E43" s="166">
        <v>-911764</v>
      </c>
      <c r="F43" s="61">
        <f t="shared" ref="F43:M43" si="16">F42+F39</f>
        <v>0</v>
      </c>
      <c r="G43" s="39">
        <f t="shared" si="16"/>
        <v>0</v>
      </c>
      <c r="H43" s="61">
        <f>H42+H39</f>
        <v>-381449</v>
      </c>
      <c r="I43" s="39">
        <f>I42+I39</f>
        <v>-911764</v>
      </c>
      <c r="J43" s="133">
        <f t="shared" si="16"/>
        <v>0</v>
      </c>
      <c r="K43" s="39">
        <f t="shared" si="16"/>
        <v>0</v>
      </c>
      <c r="L43" s="61">
        <f t="shared" si="16"/>
        <v>-381449</v>
      </c>
      <c r="M43" s="39">
        <f t="shared" si="16"/>
        <v>-911764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-13190</v>
      </c>
      <c r="E49" s="146">
        <v>-30627.18</v>
      </c>
      <c r="F49" s="60">
        <f>H49-D49</f>
        <v>0</v>
      </c>
      <c r="G49" s="37">
        <f>I49-E49</f>
        <v>0</v>
      </c>
      <c r="H49" s="65">
        <f>D49</f>
        <v>-13190</v>
      </c>
      <c r="I49" s="66">
        <f>E49</f>
        <v>-30627.18</v>
      </c>
      <c r="J49" s="37"/>
      <c r="K49" s="38"/>
      <c r="L49" s="60">
        <f>H49+J49</f>
        <v>-13190</v>
      </c>
      <c r="M49" s="38">
        <f>I49+K49</f>
        <v>-30627.18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-331530</v>
      </c>
      <c r="E51" s="146">
        <v>-764277</v>
      </c>
      <c r="F51" s="60">
        <f>H51-D51</f>
        <v>0</v>
      </c>
      <c r="G51" s="37">
        <f>I51-E51</f>
        <v>0</v>
      </c>
      <c r="H51" s="65">
        <f>D51</f>
        <v>-331530</v>
      </c>
      <c r="I51" s="66">
        <f>E51</f>
        <v>-764277</v>
      </c>
      <c r="J51" s="37"/>
      <c r="K51" s="38"/>
      <c r="L51" s="60">
        <f>H51+J51</f>
        <v>-331530</v>
      </c>
      <c r="M51" s="38">
        <f>I51+K51</f>
        <v>-764277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-195130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-195130</v>
      </c>
      <c r="J54" s="37"/>
      <c r="K54" s="38"/>
      <c r="L54" s="60">
        <f>H54+J54</f>
        <v>0</v>
      </c>
      <c r="M54" s="38">
        <f>I54+K54</f>
        <v>-195130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-2688464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-2688464</v>
      </c>
      <c r="J55" s="37"/>
      <c r="K55" s="38"/>
      <c r="L55" s="60">
        <f>H55+J55</f>
        <v>0</v>
      </c>
      <c r="M55" s="38">
        <f>I55+K55</f>
        <v>-2688464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-2883594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-2883594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-2883594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7591856.8829999994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7591856.8829999994</v>
      </c>
      <c r="J70" s="37"/>
      <c r="K70" s="38"/>
      <c r="L70" s="60">
        <f t="shared" si="20"/>
        <v>0</v>
      </c>
      <c r="M70" s="38">
        <f t="shared" si="20"/>
        <v>7591856.8829999994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-1768211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-1768211</v>
      </c>
      <c r="J71" s="37"/>
      <c r="K71" s="38"/>
      <c r="L71" s="60">
        <f t="shared" si="20"/>
        <v>0</v>
      </c>
      <c r="M71" s="38">
        <f t="shared" si="20"/>
        <v>-1768211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5823645.8829999994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5823645.8829999994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5823645.8829999994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H81" si="22">D73</f>
        <v>0</v>
      </c>
      <c r="I73" s="66">
        <f t="shared" ref="I73:I81" si="23">E73</f>
        <v>0</v>
      </c>
      <c r="J73" s="37"/>
      <c r="K73" s="38"/>
      <c r="L73" s="60">
        <f t="shared" ref="L73:M81" si="24">H73+J73</f>
        <v>0</v>
      </c>
      <c r="M73" s="38">
        <f t="shared" si="24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-1002755</v>
      </c>
      <c r="F74" s="60">
        <f t="shared" ref="F74:G81" si="25">H74-D74</f>
        <v>0</v>
      </c>
      <c r="G74" s="37">
        <f t="shared" si="25"/>
        <v>0</v>
      </c>
      <c r="H74" s="65">
        <f t="shared" si="22"/>
        <v>0</v>
      </c>
      <c r="I74" s="66">
        <f t="shared" si="23"/>
        <v>-1002755</v>
      </c>
      <c r="J74" s="37"/>
      <c r="K74" s="38"/>
      <c r="L74" s="60">
        <f t="shared" si="24"/>
        <v>0</v>
      </c>
      <c r="M74" s="38">
        <f t="shared" si="24"/>
        <v>-1002755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49575</v>
      </c>
      <c r="F75" s="60">
        <f t="shared" si="25"/>
        <v>0</v>
      </c>
      <c r="G75" s="37">
        <f t="shared" si="25"/>
        <v>0</v>
      </c>
      <c r="H75" s="65">
        <f t="shared" si="22"/>
        <v>0</v>
      </c>
      <c r="I75" s="66">
        <f t="shared" si="23"/>
        <v>49575</v>
      </c>
      <c r="J75" s="37"/>
      <c r="K75" s="38"/>
      <c r="L75" s="60">
        <f t="shared" si="24"/>
        <v>0</v>
      </c>
      <c r="M75" s="38">
        <f t="shared" si="24"/>
        <v>49575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-8354</v>
      </c>
      <c r="F76" s="60">
        <f t="shared" si="25"/>
        <v>0</v>
      </c>
      <c r="G76" s="37">
        <f t="shared" si="25"/>
        <v>0</v>
      </c>
      <c r="H76" s="65">
        <f t="shared" si="22"/>
        <v>0</v>
      </c>
      <c r="I76" s="66">
        <f t="shared" si="23"/>
        <v>-8354</v>
      </c>
      <c r="J76" s="37"/>
      <c r="K76" s="38"/>
      <c r="L76" s="60">
        <f t="shared" si="24"/>
        <v>0</v>
      </c>
      <c r="M76" s="38">
        <f t="shared" si="24"/>
        <v>-8354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5"/>
        <v>0</v>
      </c>
      <c r="G77" s="37">
        <f t="shared" si="25"/>
        <v>0</v>
      </c>
      <c r="H77" s="65">
        <f t="shared" si="22"/>
        <v>0</v>
      </c>
      <c r="I77" s="66">
        <f t="shared" si="23"/>
        <v>0</v>
      </c>
      <c r="J77" s="37"/>
      <c r="K77" s="38"/>
      <c r="L77" s="60">
        <f t="shared" si="24"/>
        <v>0</v>
      </c>
      <c r="M77" s="38">
        <f t="shared" si="24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5"/>
        <v>0</v>
      </c>
      <c r="G78" s="37">
        <f t="shared" si="25"/>
        <v>0</v>
      </c>
      <c r="H78" s="65">
        <f t="shared" si="22"/>
        <v>0</v>
      </c>
      <c r="I78" s="66">
        <f t="shared" si="23"/>
        <v>0</v>
      </c>
      <c r="J78" s="37"/>
      <c r="K78" s="38"/>
      <c r="L78" s="60">
        <f t="shared" si="24"/>
        <v>0</v>
      </c>
      <c r="M78" s="38">
        <f t="shared" si="24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1211768.94</v>
      </c>
      <c r="F79" s="60">
        <f t="shared" si="25"/>
        <v>0</v>
      </c>
      <c r="G79" s="37">
        <f t="shared" si="25"/>
        <v>0</v>
      </c>
      <c r="H79" s="65">
        <f t="shared" si="22"/>
        <v>0</v>
      </c>
      <c r="I79" s="66">
        <f t="shared" si="23"/>
        <v>1211768.94</v>
      </c>
      <c r="J79" s="37"/>
      <c r="K79" s="38"/>
      <c r="L79" s="60">
        <f t="shared" si="24"/>
        <v>0</v>
      </c>
      <c r="M79" s="38">
        <f t="shared" si="24"/>
        <v>1211768.94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5"/>
        <v>0</v>
      </c>
      <c r="G80" s="37">
        <f t="shared" si="25"/>
        <v>0</v>
      </c>
      <c r="H80" s="65">
        <f t="shared" si="22"/>
        <v>0</v>
      </c>
      <c r="I80" s="66">
        <f t="shared" si="23"/>
        <v>0</v>
      </c>
      <c r="J80" s="37"/>
      <c r="K80" s="38"/>
      <c r="L80" s="60">
        <f t="shared" si="24"/>
        <v>0</v>
      </c>
      <c r="M80" s="38">
        <f t="shared" si="24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-5057</v>
      </c>
      <c r="F81" s="60">
        <f t="shared" si="25"/>
        <v>0</v>
      </c>
      <c r="G81" s="37">
        <f t="shared" si="25"/>
        <v>0</v>
      </c>
      <c r="H81" s="65">
        <f t="shared" si="22"/>
        <v>0</v>
      </c>
      <c r="I81" s="136">
        <f t="shared" si="23"/>
        <v>-5057</v>
      </c>
      <c r="J81" s="37"/>
      <c r="K81" s="38"/>
      <c r="L81" s="60">
        <f t="shared" si="24"/>
        <v>0</v>
      </c>
      <c r="M81" s="38">
        <f t="shared" si="24"/>
        <v>-5057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3221380.6430000141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3221380.6430000141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3221380.6430000141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7555750</v>
      </c>
      <c r="E11" s="146">
        <v>17429803</v>
      </c>
      <c r="F11" s="60">
        <f>H11-D11</f>
        <v>0</v>
      </c>
      <c r="G11" s="37">
        <f>I11-E11</f>
        <v>0</v>
      </c>
      <c r="H11" s="65">
        <f t="shared" ref="H11:I15" si="0">D11</f>
        <v>7555750</v>
      </c>
      <c r="I11" s="66">
        <f t="shared" si="0"/>
        <v>17429803</v>
      </c>
      <c r="J11" s="37"/>
      <c r="K11" s="38"/>
      <c r="L11" s="60">
        <f t="shared" ref="L11:M15" si="1">H11+J11</f>
        <v>7555750</v>
      </c>
      <c r="M11" s="38">
        <f t="shared" si="1"/>
        <v>17429803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3927553</v>
      </c>
      <c r="E13" s="146">
        <v>9502443</v>
      </c>
      <c r="F13" s="60">
        <f t="shared" si="2"/>
        <v>0</v>
      </c>
      <c r="G13" s="37">
        <f t="shared" si="2"/>
        <v>0</v>
      </c>
      <c r="H13" s="65">
        <f t="shared" si="0"/>
        <v>3927553</v>
      </c>
      <c r="I13" s="66">
        <f t="shared" si="0"/>
        <v>9502443</v>
      </c>
      <c r="J13" s="37"/>
      <c r="K13" s="38"/>
      <c r="L13" s="60">
        <f t="shared" si="1"/>
        <v>3927553</v>
      </c>
      <c r="M13" s="38">
        <f t="shared" si="1"/>
        <v>9502443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11483303</v>
      </c>
      <c r="E16" s="166">
        <v>26932246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11483303</v>
      </c>
      <c r="I16" s="39">
        <f>SUM(I11:I15)</f>
        <v>26932246</v>
      </c>
      <c r="J16" s="133">
        <f t="shared" si="3"/>
        <v>0</v>
      </c>
      <c r="K16" s="39">
        <f t="shared" si="3"/>
        <v>0</v>
      </c>
      <c r="L16" s="61">
        <f t="shared" si="3"/>
        <v>11483303</v>
      </c>
      <c r="M16" s="39">
        <f t="shared" si="3"/>
        <v>26932246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-4678366</v>
      </c>
      <c r="E19" s="146">
        <v>-11156729</v>
      </c>
      <c r="F19" s="60">
        <f>H19-D19</f>
        <v>0</v>
      </c>
      <c r="G19" s="37">
        <f>I19-E19</f>
        <v>0</v>
      </c>
      <c r="H19" s="65">
        <f t="shared" si="4"/>
        <v>-4678366</v>
      </c>
      <c r="I19" s="66">
        <f t="shared" si="4"/>
        <v>-11156729</v>
      </c>
      <c r="J19" s="37">
        <v>0</v>
      </c>
      <c r="K19" s="38">
        <v>0</v>
      </c>
      <c r="L19" s="60">
        <f t="shared" ref="L19:M23" si="5">H19+J19</f>
        <v>-4678366</v>
      </c>
      <c r="M19" s="38">
        <f t="shared" si="5"/>
        <v>-11156729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-6777912</v>
      </c>
      <c r="E21" s="146">
        <v>-15769833</v>
      </c>
      <c r="F21" s="60">
        <f t="shared" si="6"/>
        <v>0</v>
      </c>
      <c r="G21" s="37">
        <f t="shared" si="6"/>
        <v>0</v>
      </c>
      <c r="H21" s="65">
        <f t="shared" si="4"/>
        <v>-6777912</v>
      </c>
      <c r="I21" s="66">
        <f t="shared" si="4"/>
        <v>-15769833</v>
      </c>
      <c r="J21" s="37"/>
      <c r="K21" s="38"/>
      <c r="L21" s="60">
        <f t="shared" si="5"/>
        <v>-6777912</v>
      </c>
      <c r="M21" s="38">
        <f t="shared" si="5"/>
        <v>-15769833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84</v>
      </c>
      <c r="E23" s="146">
        <v>200</v>
      </c>
      <c r="F23" s="60">
        <f t="shared" si="6"/>
        <v>0</v>
      </c>
      <c r="G23" s="37">
        <f t="shared" si="6"/>
        <v>0</v>
      </c>
      <c r="H23" s="65">
        <f t="shared" si="4"/>
        <v>84</v>
      </c>
      <c r="I23" s="66">
        <f t="shared" si="4"/>
        <v>200</v>
      </c>
      <c r="J23" s="37"/>
      <c r="K23" s="38"/>
      <c r="L23" s="60">
        <f t="shared" si="5"/>
        <v>84</v>
      </c>
      <c r="M23" s="38">
        <f t="shared" si="5"/>
        <v>200</v>
      </c>
    </row>
    <row r="24" spans="1:13" x14ac:dyDescent="0.2">
      <c r="A24" s="9"/>
      <c r="B24" s="7" t="s">
        <v>33</v>
      </c>
      <c r="C24" s="6"/>
      <c r="D24" s="166">
        <v>-11456194</v>
      </c>
      <c r="E24" s="166">
        <v>-26926362</v>
      </c>
      <c r="F24" s="61">
        <f t="shared" ref="F24:M24" si="7">SUM(F19:F23)</f>
        <v>0</v>
      </c>
      <c r="G24" s="39">
        <f t="shared" si="7"/>
        <v>0</v>
      </c>
      <c r="H24" s="61">
        <f>SUM(H19:H23)</f>
        <v>-11456194</v>
      </c>
      <c r="I24" s="39">
        <f>SUM(I19:I23)</f>
        <v>-26926362</v>
      </c>
      <c r="J24" s="133">
        <f t="shared" si="7"/>
        <v>0</v>
      </c>
      <c r="K24" s="39">
        <f t="shared" si="7"/>
        <v>0</v>
      </c>
      <c r="L24" s="61">
        <f t="shared" si="7"/>
        <v>-11456194</v>
      </c>
      <c r="M24" s="39">
        <f t="shared" si="7"/>
        <v>-26926362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-56791</v>
      </c>
      <c r="E32" s="146">
        <v>-58</v>
      </c>
      <c r="F32" s="60">
        <f>H32-D32</f>
        <v>0</v>
      </c>
      <c r="G32" s="37">
        <f>I32-E32</f>
        <v>0</v>
      </c>
      <c r="H32" s="65">
        <f t="shared" ref="H32:I35" si="9">D32</f>
        <v>-56791</v>
      </c>
      <c r="I32" s="66">
        <f t="shared" si="9"/>
        <v>-58</v>
      </c>
      <c r="J32" s="37"/>
      <c r="K32" s="38"/>
      <c r="L32" s="60">
        <f t="shared" ref="L32:M35" si="10">H32+J32</f>
        <v>-56791</v>
      </c>
      <c r="M32" s="38">
        <f t="shared" si="10"/>
        <v>-58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-56791</v>
      </c>
      <c r="E36" s="166">
        <v>-58</v>
      </c>
      <c r="F36" s="61">
        <f>SUM(F32:F35)</f>
        <v>0</v>
      </c>
      <c r="G36" s="39">
        <f>SUM(G32:G35)</f>
        <v>0</v>
      </c>
      <c r="H36" s="61">
        <f>SUM(H32:H35)</f>
        <v>-56791</v>
      </c>
      <c r="I36" s="39">
        <f>SUM(I32:I35)</f>
        <v>-58</v>
      </c>
      <c r="J36" s="133">
        <f>SUM(J32:J34)</f>
        <v>0</v>
      </c>
      <c r="K36" s="39">
        <f>SUM(K32:K34)</f>
        <v>0</v>
      </c>
      <c r="L36" s="61">
        <f>SUM(L32:L35)</f>
        <v>-56791</v>
      </c>
      <c r="M36" s="39">
        <f>SUM(M32:M35)</f>
        <v>-58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29682</v>
      </c>
      <c r="E49" s="146">
        <v>67877.929239970021</v>
      </c>
      <c r="F49" s="60">
        <f>H49-D49</f>
        <v>0</v>
      </c>
      <c r="G49" s="37">
        <f>I49-E49</f>
        <v>0</v>
      </c>
      <c r="H49" s="65">
        <f>D49</f>
        <v>29682</v>
      </c>
      <c r="I49" s="66">
        <f>E49</f>
        <v>67877.929239970021</v>
      </c>
      <c r="J49" s="37"/>
      <c r="K49" s="38"/>
      <c r="L49" s="60">
        <f>H49+J49</f>
        <v>29682</v>
      </c>
      <c r="M49" s="38">
        <f>I49+K49</f>
        <v>67877.929239970021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-84</v>
      </c>
      <c r="E51" s="146">
        <v>-200</v>
      </c>
      <c r="F51" s="60">
        <f>H51-D51</f>
        <v>0</v>
      </c>
      <c r="G51" s="37">
        <f>I51-E51</f>
        <v>0</v>
      </c>
      <c r="H51" s="65">
        <f>D51</f>
        <v>-84</v>
      </c>
      <c r="I51" s="66">
        <f>E51</f>
        <v>-200</v>
      </c>
      <c r="J51" s="37"/>
      <c r="K51" s="38"/>
      <c r="L51" s="60">
        <f>H51+J51</f>
        <v>-84</v>
      </c>
      <c r="M51" s="38">
        <f>I51+K51</f>
        <v>-200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-64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-64</v>
      </c>
      <c r="J54" s="37"/>
      <c r="K54" s="38"/>
      <c r="L54" s="60">
        <f>H54+J54</f>
        <v>0</v>
      </c>
      <c r="M54" s="38">
        <f>I54+K54</f>
        <v>-64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-7483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-7483</v>
      </c>
      <c r="J55" s="37"/>
      <c r="K55" s="38"/>
      <c r="L55" s="60">
        <f>H55+J55</f>
        <v>0</v>
      </c>
      <c r="M55" s="38">
        <f>I55+K55</f>
        <v>-7483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-7547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-7547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-7547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-322863.26569999999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-322863.26569999999</v>
      </c>
      <c r="J70" s="37"/>
      <c r="K70" s="38"/>
      <c r="L70" s="60">
        <f t="shared" si="20"/>
        <v>0</v>
      </c>
      <c r="M70" s="38">
        <f t="shared" si="20"/>
        <v>-322863.26569999999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-77884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-77884</v>
      </c>
      <c r="J71" s="37"/>
      <c r="K71" s="38"/>
      <c r="L71" s="60">
        <f t="shared" si="20"/>
        <v>0</v>
      </c>
      <c r="M71" s="38">
        <f t="shared" si="20"/>
        <v>-77884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-400747.26569999999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-400747.26569999999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-400747.26569999999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453414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453414</v>
      </c>
      <c r="J74" s="37"/>
      <c r="K74" s="38"/>
      <c r="L74" s="60">
        <f t="shared" si="23"/>
        <v>0</v>
      </c>
      <c r="M74" s="38">
        <f t="shared" si="23"/>
        <v>453414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153274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153274</v>
      </c>
      <c r="J81" s="37"/>
      <c r="K81" s="38"/>
      <c r="L81" s="60">
        <f t="shared" si="23"/>
        <v>0</v>
      </c>
      <c r="M81" s="38">
        <f t="shared" si="23"/>
        <v>153274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271897.66353996878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271897.66353996878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271897.66353996878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16545855</v>
      </c>
      <c r="E11" s="146">
        <v>40536583</v>
      </c>
      <c r="F11" s="60">
        <f>H11-D11</f>
        <v>0</v>
      </c>
      <c r="G11" s="37">
        <f>I11-E11</f>
        <v>0</v>
      </c>
      <c r="H11" s="65">
        <f t="shared" ref="H11:I15" si="0">D11</f>
        <v>16545855</v>
      </c>
      <c r="I11" s="66">
        <f t="shared" si="0"/>
        <v>40536583</v>
      </c>
      <c r="J11" s="37"/>
      <c r="K11" s="38"/>
      <c r="L11" s="60">
        <f t="shared" ref="L11:M15" si="1">H11+J11</f>
        <v>16545855</v>
      </c>
      <c r="M11" s="38">
        <f t="shared" si="1"/>
        <v>40536583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">
      <c r="A13" s="9">
        <v>3</v>
      </c>
      <c r="B13" s="7"/>
      <c r="C13" s="18" t="s">
        <v>27</v>
      </c>
      <c r="D13" s="146">
        <v>25646524</v>
      </c>
      <c r="E13" s="146">
        <v>62333419</v>
      </c>
      <c r="F13" s="60">
        <f t="shared" si="2"/>
        <v>0</v>
      </c>
      <c r="G13" s="37">
        <f t="shared" si="2"/>
        <v>0</v>
      </c>
      <c r="H13" s="65">
        <f t="shared" si="0"/>
        <v>25646524</v>
      </c>
      <c r="I13" s="66">
        <f t="shared" si="0"/>
        <v>62333419</v>
      </c>
      <c r="J13" s="37"/>
      <c r="K13" s="38"/>
      <c r="L13" s="60">
        <f t="shared" si="1"/>
        <v>25646524</v>
      </c>
      <c r="M13" s="38">
        <f t="shared" si="1"/>
        <v>62333419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">
      <c r="A16" s="9"/>
      <c r="B16" s="7" t="s">
        <v>30</v>
      </c>
      <c r="C16" s="6"/>
      <c r="D16" s="166">
        <v>42192379</v>
      </c>
      <c r="E16" s="166">
        <v>102870002</v>
      </c>
      <c r="F16" s="61">
        <f t="shared" ref="F16:M16" si="3">SUM(F11:F15)</f>
        <v>0</v>
      </c>
      <c r="G16" s="39">
        <f t="shared" si="3"/>
        <v>0</v>
      </c>
      <c r="H16" s="61">
        <f>SUM(H11:H15)</f>
        <v>42192379</v>
      </c>
      <c r="I16" s="39">
        <f>SUM(I11:I15)</f>
        <v>102870002</v>
      </c>
      <c r="J16" s="133">
        <f t="shared" si="3"/>
        <v>0</v>
      </c>
      <c r="K16" s="39">
        <f t="shared" si="3"/>
        <v>0</v>
      </c>
      <c r="L16" s="61">
        <f t="shared" si="3"/>
        <v>42192379</v>
      </c>
      <c r="M16" s="39">
        <f t="shared" si="3"/>
        <v>102870002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-11681391</v>
      </c>
      <c r="E19" s="146">
        <v>-27562027</v>
      </c>
      <c r="F19" s="60">
        <f>H19-D19</f>
        <v>0</v>
      </c>
      <c r="G19" s="37">
        <f>I19-E19</f>
        <v>0</v>
      </c>
      <c r="H19" s="65">
        <f t="shared" si="4"/>
        <v>-11681391</v>
      </c>
      <c r="I19" s="66">
        <f t="shared" si="4"/>
        <v>-27562027</v>
      </c>
      <c r="J19" s="37">
        <v>0</v>
      </c>
      <c r="K19" s="38">
        <v>0</v>
      </c>
      <c r="L19" s="60">
        <f t="shared" ref="L19:M23" si="5">H19+J19</f>
        <v>-11681391</v>
      </c>
      <c r="M19" s="38">
        <f t="shared" si="5"/>
        <v>-27562027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-30848646</v>
      </c>
      <c r="E21" s="146">
        <v>-74567387</v>
      </c>
      <c r="F21" s="60">
        <f t="shared" si="6"/>
        <v>0</v>
      </c>
      <c r="G21" s="37">
        <f t="shared" si="6"/>
        <v>0</v>
      </c>
      <c r="H21" s="65">
        <f t="shared" si="4"/>
        <v>-30848646</v>
      </c>
      <c r="I21" s="66">
        <f t="shared" si="4"/>
        <v>-74567387</v>
      </c>
      <c r="J21" s="37"/>
      <c r="K21" s="38"/>
      <c r="L21" s="60">
        <f t="shared" si="5"/>
        <v>-30848646</v>
      </c>
      <c r="M21" s="38">
        <f t="shared" si="5"/>
        <v>-74567387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325104</v>
      </c>
      <c r="E23" s="146">
        <v>773031</v>
      </c>
      <c r="F23" s="60">
        <f t="shared" si="6"/>
        <v>0</v>
      </c>
      <c r="G23" s="37">
        <f t="shared" si="6"/>
        <v>0</v>
      </c>
      <c r="H23" s="65">
        <f t="shared" si="4"/>
        <v>325104</v>
      </c>
      <c r="I23" s="66">
        <f t="shared" si="4"/>
        <v>773031</v>
      </c>
      <c r="J23" s="37"/>
      <c r="K23" s="38"/>
      <c r="L23" s="60">
        <f t="shared" si="5"/>
        <v>325104</v>
      </c>
      <c r="M23" s="38">
        <f t="shared" si="5"/>
        <v>773031</v>
      </c>
    </row>
    <row r="24" spans="1:13" x14ac:dyDescent="0.2">
      <c r="A24" s="9"/>
      <c r="B24" s="7" t="s">
        <v>33</v>
      </c>
      <c r="C24" s="6"/>
      <c r="D24" s="166">
        <v>-42204933</v>
      </c>
      <c r="E24" s="166">
        <v>-101356383</v>
      </c>
      <c r="F24" s="61">
        <f t="shared" ref="F24:M24" si="7">SUM(F19:F23)</f>
        <v>0</v>
      </c>
      <c r="G24" s="39">
        <f t="shared" si="7"/>
        <v>0</v>
      </c>
      <c r="H24" s="61">
        <f>SUM(H19:H23)</f>
        <v>-42204933</v>
      </c>
      <c r="I24" s="39">
        <f>SUM(I19:I23)</f>
        <v>-101356383</v>
      </c>
      <c r="J24" s="133">
        <f t="shared" si="7"/>
        <v>0</v>
      </c>
      <c r="K24" s="39">
        <f t="shared" si="7"/>
        <v>0</v>
      </c>
      <c r="L24" s="61">
        <f t="shared" si="7"/>
        <v>-42204933</v>
      </c>
      <c r="M24" s="39">
        <f t="shared" si="7"/>
        <v>-101356383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12554</v>
      </c>
      <c r="E49" s="146">
        <v>29721.637375299964</v>
      </c>
      <c r="F49" s="60">
        <f>H49-D49</f>
        <v>0</v>
      </c>
      <c r="G49" s="37">
        <f>I49-E49</f>
        <v>0</v>
      </c>
      <c r="H49" s="65">
        <f>D49</f>
        <v>12554</v>
      </c>
      <c r="I49" s="66">
        <f>E49</f>
        <v>29721.637375299964</v>
      </c>
      <c r="J49" s="37"/>
      <c r="K49" s="38"/>
      <c r="L49" s="60">
        <f>H49+J49</f>
        <v>12554</v>
      </c>
      <c r="M49" s="38">
        <f>I49+K49</f>
        <v>29721.637375299964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-325104</v>
      </c>
      <c r="E51" s="146">
        <v>-773031</v>
      </c>
      <c r="F51" s="60">
        <f>H51-D51</f>
        <v>0</v>
      </c>
      <c r="G51" s="37">
        <f>I51-E51</f>
        <v>0</v>
      </c>
      <c r="H51" s="65">
        <f>D51</f>
        <v>-325104</v>
      </c>
      <c r="I51" s="66">
        <f>E51</f>
        <v>-773031</v>
      </c>
      <c r="J51" s="37"/>
      <c r="K51" s="38"/>
      <c r="L51" s="60">
        <f>H51+J51</f>
        <v>-325104</v>
      </c>
      <c r="M51" s="38">
        <f>I51+K51</f>
        <v>-773031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-71026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-71026</v>
      </c>
      <c r="J54" s="37"/>
      <c r="K54" s="38"/>
      <c r="L54" s="60">
        <f>H54+J54</f>
        <v>0</v>
      </c>
      <c r="M54" s="38">
        <f>I54+K54</f>
        <v>-71026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-71026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-71026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-71026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12261468.489899993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12261468.489899993</v>
      </c>
      <c r="J70" s="37"/>
      <c r="K70" s="38"/>
      <c r="L70" s="60">
        <f t="shared" si="20"/>
        <v>0</v>
      </c>
      <c r="M70" s="38">
        <f t="shared" si="20"/>
        <v>12261468.489899993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-14085870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-14085870</v>
      </c>
      <c r="J71" s="37"/>
      <c r="K71" s="38"/>
      <c r="L71" s="60">
        <f t="shared" si="20"/>
        <v>0</v>
      </c>
      <c r="M71" s="38">
        <f t="shared" si="20"/>
        <v>-14085870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-1824401.5101000071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-1824401.5101000071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-1824401.5101000071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670073.51010000007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670073.51010000007</v>
      </c>
      <c r="J74" s="37"/>
      <c r="K74" s="38"/>
      <c r="L74" s="60">
        <f t="shared" si="23"/>
        <v>0</v>
      </c>
      <c r="M74" s="38">
        <f t="shared" si="23"/>
        <v>670073.51010000007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146">
        <v>0</v>
      </c>
      <c r="E81" s="146">
        <v>12711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12711</v>
      </c>
      <c r="J81" s="37"/>
      <c r="K81" s="38"/>
      <c r="L81" s="60">
        <f t="shared" si="23"/>
        <v>0</v>
      </c>
      <c r="M81" s="38">
        <f t="shared" si="23"/>
        <v>12711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-442333.36262470006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-442333.36262470006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-442333.36262470006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2"/>
  <sheetViews>
    <sheetView zoomScale="75" workbookViewId="0">
      <pane xSplit="3" ySplit="9" topLeftCell="D45" activePane="bottomRight" state="frozen"/>
      <selection activeCell="D10" sqref="D10"/>
      <selection pane="topRight" activeCell="D10" sqref="D10"/>
      <selection pane="bottomLeft" activeCell="D10" sqref="D10"/>
      <selection pane="bottomRight" activeCell="C54" sqref="C54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217">
        <v>196234304</v>
      </c>
      <c r="E11" s="217">
        <v>490071985.8439247</v>
      </c>
      <c r="F11" s="60">
        <f>H11-D11</f>
        <v>0</v>
      </c>
      <c r="G11" s="37">
        <f>I11-E11</f>
        <v>0</v>
      </c>
      <c r="H11" s="65">
        <f>D11</f>
        <v>196234304</v>
      </c>
      <c r="I11" s="66">
        <f>E11</f>
        <v>490071985.8439247</v>
      </c>
      <c r="J11" s="60"/>
      <c r="K11" s="38"/>
      <c r="L11" s="60">
        <f t="shared" ref="L11:M15" si="0">H11+J11</f>
        <v>196234304</v>
      </c>
      <c r="M11" s="38">
        <f t="shared" si="0"/>
        <v>490071985.8439247</v>
      </c>
    </row>
    <row r="12" spans="1:26" x14ac:dyDescent="0.2">
      <c r="A12" s="9">
        <v>2</v>
      </c>
      <c r="B12" s="7"/>
      <c r="C12" s="18" t="s">
        <v>26</v>
      </c>
      <c r="D12" s="217">
        <v>0</v>
      </c>
      <c r="E12" s="217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217">
        <v>78004071</v>
      </c>
      <c r="E13" s="217">
        <v>201341832</v>
      </c>
      <c r="F13" s="60">
        <f t="shared" si="1"/>
        <v>0</v>
      </c>
      <c r="G13" s="37">
        <f t="shared" si="1"/>
        <v>0</v>
      </c>
      <c r="H13" s="65">
        <f t="shared" si="2"/>
        <v>78004071</v>
      </c>
      <c r="I13" s="66">
        <f t="shared" si="2"/>
        <v>201341832</v>
      </c>
      <c r="J13" s="60"/>
      <c r="K13" s="38"/>
      <c r="L13" s="60">
        <f t="shared" si="0"/>
        <v>78004071</v>
      </c>
      <c r="M13" s="38">
        <f t="shared" si="0"/>
        <v>201341832</v>
      </c>
    </row>
    <row r="14" spans="1:26" x14ac:dyDescent="0.2">
      <c r="A14" s="9">
        <v>4</v>
      </c>
      <c r="B14" s="7"/>
      <c r="C14" s="18" t="s">
        <v>28</v>
      </c>
      <c r="D14" s="217">
        <v>0</v>
      </c>
      <c r="E14" s="217">
        <v>-496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-496</v>
      </c>
      <c r="J14" s="60"/>
      <c r="K14" s="38"/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217">
        <v>0</v>
      </c>
      <c r="E15" s="217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218">
        <v>274238375</v>
      </c>
      <c r="E16" s="218">
        <v>691413321.84392476</v>
      </c>
      <c r="F16" s="61">
        <f t="shared" ref="F16:M16" si="3">SUM(F11:F15)</f>
        <v>0</v>
      </c>
      <c r="G16" s="39">
        <f t="shared" si="3"/>
        <v>0</v>
      </c>
      <c r="H16" s="61">
        <f>SUM(H11:H15)</f>
        <v>274238375</v>
      </c>
      <c r="I16" s="39">
        <f>SUM(I11:I15)</f>
        <v>691413321.84392476</v>
      </c>
      <c r="J16" s="61">
        <f t="shared" si="3"/>
        <v>0</v>
      </c>
      <c r="K16" s="39">
        <f t="shared" si="3"/>
        <v>0</v>
      </c>
      <c r="L16" s="61">
        <f t="shared" si="3"/>
        <v>274238375</v>
      </c>
      <c r="M16" s="39">
        <f t="shared" si="3"/>
        <v>691413321.84392476</v>
      </c>
    </row>
    <row r="17" spans="1:13" x14ac:dyDescent="0.2">
      <c r="A17" s="9"/>
      <c r="B17" s="7"/>
      <c r="C17" s="6"/>
      <c r="D17" s="219"/>
      <c r="E17" s="219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219"/>
      <c r="E18" s="219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217">
        <v>-181648816</v>
      </c>
      <c r="E19" s="217">
        <v>-442342911</v>
      </c>
      <c r="F19" s="60">
        <f>H19-D19</f>
        <v>0</v>
      </c>
      <c r="G19" s="37">
        <f>I19-E19</f>
        <v>0</v>
      </c>
      <c r="H19" s="65">
        <f t="shared" si="4"/>
        <v>-181648816</v>
      </c>
      <c r="I19" s="66">
        <f t="shared" si="4"/>
        <v>-442342911</v>
      </c>
      <c r="J19" s="60"/>
      <c r="K19" s="38"/>
      <c r="L19" s="60">
        <f t="shared" ref="L19:M23" si="5">H19+J19</f>
        <v>-181648816</v>
      </c>
      <c r="M19" s="38">
        <f t="shared" si="5"/>
        <v>-442342911</v>
      </c>
    </row>
    <row r="20" spans="1:13" x14ac:dyDescent="0.2">
      <c r="A20" s="9">
        <v>7</v>
      </c>
      <c r="B20" s="7"/>
      <c r="C20" s="18" t="s">
        <v>26</v>
      </c>
      <c r="D20" s="217">
        <v>0</v>
      </c>
      <c r="E20" s="217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217">
        <v>-82385658</v>
      </c>
      <c r="E21" s="217">
        <v>-214966656</v>
      </c>
      <c r="F21" s="60">
        <f t="shared" si="6"/>
        <v>0</v>
      </c>
      <c r="G21" s="37">
        <f t="shared" si="6"/>
        <v>0</v>
      </c>
      <c r="H21" s="65">
        <f t="shared" si="4"/>
        <v>-82385658</v>
      </c>
      <c r="I21" s="66">
        <f t="shared" si="4"/>
        <v>-214966656</v>
      </c>
      <c r="J21" s="60"/>
      <c r="K21" s="38"/>
      <c r="L21" s="60">
        <f t="shared" si="5"/>
        <v>-82385658</v>
      </c>
      <c r="M21" s="38">
        <f t="shared" si="5"/>
        <v>-214966656</v>
      </c>
    </row>
    <row r="22" spans="1:13" x14ac:dyDescent="0.2">
      <c r="A22" s="9">
        <v>9</v>
      </c>
      <c r="B22" s="7"/>
      <c r="C22" s="18" t="s">
        <v>28</v>
      </c>
      <c r="D22" s="217">
        <v>0</v>
      </c>
      <c r="E22" s="217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217">
        <v>514927</v>
      </c>
      <c r="E23" s="217">
        <v>1274153</v>
      </c>
      <c r="F23" s="60">
        <f t="shared" si="6"/>
        <v>0</v>
      </c>
      <c r="G23" s="37">
        <f t="shared" si="6"/>
        <v>0</v>
      </c>
      <c r="H23" s="65">
        <f t="shared" si="4"/>
        <v>514927</v>
      </c>
      <c r="I23" s="66">
        <f t="shared" si="4"/>
        <v>1274153</v>
      </c>
      <c r="J23" s="60"/>
      <c r="K23" s="38"/>
      <c r="L23" s="60">
        <f t="shared" si="5"/>
        <v>514927</v>
      </c>
      <c r="M23" s="38">
        <f t="shared" si="5"/>
        <v>1274153</v>
      </c>
    </row>
    <row r="24" spans="1:13" x14ac:dyDescent="0.2">
      <c r="A24" s="9"/>
      <c r="B24" s="7" t="s">
        <v>33</v>
      </c>
      <c r="C24" s="6"/>
      <c r="D24" s="218">
        <v>-263519547</v>
      </c>
      <c r="E24" s="218">
        <v>-656035414</v>
      </c>
      <c r="F24" s="61">
        <f t="shared" ref="F24:M24" si="7">SUM(F19:F23)</f>
        <v>0</v>
      </c>
      <c r="G24" s="39">
        <f t="shared" si="7"/>
        <v>0</v>
      </c>
      <c r="H24" s="61">
        <f>SUM(H19:H23)</f>
        <v>-263519547</v>
      </c>
      <c r="I24" s="39">
        <f>SUM(I19:I23)</f>
        <v>-656035414</v>
      </c>
      <c r="J24" s="61">
        <f t="shared" si="7"/>
        <v>0</v>
      </c>
      <c r="K24" s="39">
        <f t="shared" si="7"/>
        <v>0</v>
      </c>
      <c r="L24" s="61">
        <f t="shared" si="7"/>
        <v>-263519547</v>
      </c>
      <c r="M24" s="39">
        <f t="shared" si="7"/>
        <v>-656035414</v>
      </c>
    </row>
    <row r="25" spans="1:13" x14ac:dyDescent="0.2">
      <c r="A25" s="9"/>
      <c r="B25" s="7"/>
      <c r="C25" s="6"/>
      <c r="D25" s="219"/>
      <c r="E25" s="219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219"/>
      <c r="E26" s="219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217">
        <v>0</v>
      </c>
      <c r="E27" s="217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217">
        <v>0</v>
      </c>
      <c r="E28" s="217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218">
        <v>0</v>
      </c>
      <c r="E29" s="218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219"/>
      <c r="E30" s="219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219"/>
      <c r="E31" s="219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217">
        <v>-2118787</v>
      </c>
      <c r="E32" s="217">
        <v>-5274638</v>
      </c>
      <c r="F32" s="60">
        <f>H32-D32</f>
        <v>0</v>
      </c>
      <c r="G32" s="37">
        <f>I32-E32</f>
        <v>0</v>
      </c>
      <c r="H32" s="65">
        <f t="shared" ref="H32:I35" si="9">D32</f>
        <v>-2118787</v>
      </c>
      <c r="I32" s="66">
        <f t="shared" si="9"/>
        <v>-5274638</v>
      </c>
      <c r="J32" s="60"/>
      <c r="K32" s="38"/>
      <c r="L32" s="60">
        <f t="shared" ref="L32:M35" si="10">H32+J32</f>
        <v>-2118787</v>
      </c>
      <c r="M32" s="38">
        <f t="shared" si="10"/>
        <v>-5274638</v>
      </c>
    </row>
    <row r="33" spans="1:13" x14ac:dyDescent="0.2">
      <c r="A33" s="9">
        <v>14</v>
      </c>
      <c r="B33" s="7"/>
      <c r="C33" s="18" t="s">
        <v>40</v>
      </c>
      <c r="D33" s="217">
        <v>407133</v>
      </c>
      <c r="E33" s="217">
        <v>929952</v>
      </c>
      <c r="F33" s="60">
        <f t="shared" ref="F33:G35" si="11">H33-D33</f>
        <v>0</v>
      </c>
      <c r="G33" s="37">
        <f t="shared" si="11"/>
        <v>0</v>
      </c>
      <c r="H33" s="65">
        <f t="shared" si="9"/>
        <v>407133</v>
      </c>
      <c r="I33" s="66">
        <f t="shared" si="9"/>
        <v>929952</v>
      </c>
      <c r="J33" s="60"/>
      <c r="K33" s="38"/>
      <c r="L33" s="60">
        <f t="shared" si="10"/>
        <v>407133</v>
      </c>
      <c r="M33" s="38">
        <f t="shared" si="10"/>
        <v>929952</v>
      </c>
    </row>
    <row r="34" spans="1:13" x14ac:dyDescent="0.2">
      <c r="A34" s="9">
        <v>15</v>
      </c>
      <c r="B34" s="7"/>
      <c r="C34" s="18" t="s">
        <v>41</v>
      </c>
      <c r="D34" s="217">
        <v>-816595</v>
      </c>
      <c r="E34" s="217">
        <v>-1863552</v>
      </c>
      <c r="F34" s="60">
        <f t="shared" si="11"/>
        <v>0</v>
      </c>
      <c r="G34" s="37">
        <f t="shared" si="11"/>
        <v>0</v>
      </c>
      <c r="H34" s="65">
        <f t="shared" si="9"/>
        <v>-816595</v>
      </c>
      <c r="I34" s="66">
        <f t="shared" si="9"/>
        <v>-1863552</v>
      </c>
      <c r="J34" s="60"/>
      <c r="K34" s="38"/>
      <c r="L34" s="60">
        <f t="shared" si="10"/>
        <v>-816595</v>
      </c>
      <c r="M34" s="38">
        <f t="shared" si="10"/>
        <v>-1863552</v>
      </c>
    </row>
    <row r="35" spans="1:13" x14ac:dyDescent="0.2">
      <c r="A35" s="9">
        <v>16</v>
      </c>
      <c r="B35" s="7"/>
      <c r="C35" s="18" t="s">
        <v>42</v>
      </c>
      <c r="D35" s="217">
        <v>-939991</v>
      </c>
      <c r="E35" s="217">
        <v>-2167386</v>
      </c>
      <c r="F35" s="60">
        <f t="shared" si="11"/>
        <v>0</v>
      </c>
      <c r="G35" s="37">
        <f t="shared" si="11"/>
        <v>0</v>
      </c>
      <c r="H35" s="65">
        <f t="shared" si="9"/>
        <v>-939991</v>
      </c>
      <c r="I35" s="66">
        <f t="shared" si="9"/>
        <v>-2167386</v>
      </c>
      <c r="J35" s="60"/>
      <c r="K35" s="38"/>
      <c r="L35" s="60">
        <f t="shared" si="10"/>
        <v>-939991</v>
      </c>
      <c r="M35" s="38">
        <f t="shared" si="10"/>
        <v>-2167386</v>
      </c>
    </row>
    <row r="36" spans="1:13" x14ac:dyDescent="0.2">
      <c r="A36" s="9"/>
      <c r="B36" s="7" t="s">
        <v>43</v>
      </c>
      <c r="C36" s="6"/>
      <c r="D36" s="218">
        <v>-3468240</v>
      </c>
      <c r="E36" s="218">
        <v>-8375624</v>
      </c>
      <c r="F36" s="61">
        <f>SUM(F32:F35)</f>
        <v>0</v>
      </c>
      <c r="G36" s="39">
        <f>SUM(G32:G35)</f>
        <v>0</v>
      </c>
      <c r="H36" s="61">
        <f>SUM(H32:H35)</f>
        <v>-3468240</v>
      </c>
      <c r="I36" s="39">
        <f>SUM(I32:I35)</f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">
      <c r="A37" s="9"/>
      <c r="B37" s="7"/>
      <c r="C37" s="6"/>
      <c r="D37" s="219"/>
      <c r="E37" s="219"/>
      <c r="F37" s="60"/>
      <c r="G37" s="38"/>
      <c r="H37" s="60"/>
      <c r="I37" s="38"/>
      <c r="J37" s="60"/>
      <c r="K37" s="38"/>
      <c r="L37" s="60"/>
      <c r="M37" s="38"/>
    </row>
    <row r="38" spans="1:13" x14ac:dyDescent="0.2">
      <c r="A38" s="9"/>
      <c r="B38" s="11" t="s">
        <v>44</v>
      </c>
      <c r="C38" s="6"/>
      <c r="D38" s="219"/>
      <c r="E38" s="219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217">
        <v>925403</v>
      </c>
      <c r="E39" s="217">
        <v>2183950</v>
      </c>
      <c r="F39" s="60">
        <f t="shared" ref="F39:G41" si="13">H39-D39</f>
        <v>0</v>
      </c>
      <c r="G39" s="37">
        <f t="shared" si="13"/>
        <v>0</v>
      </c>
      <c r="H39" s="65">
        <f t="shared" si="12"/>
        <v>925403</v>
      </c>
      <c r="I39" s="66">
        <f t="shared" si="12"/>
        <v>2183950</v>
      </c>
      <c r="J39" s="60"/>
      <c r="K39" s="38"/>
      <c r="L39" s="60">
        <f t="shared" ref="L39:M41" si="14">H39+J39</f>
        <v>925403</v>
      </c>
      <c r="M39" s="38">
        <f t="shared" si="14"/>
        <v>2183950</v>
      </c>
    </row>
    <row r="40" spans="1:13" ht="22.5" customHeight="1" x14ac:dyDescent="0.2">
      <c r="A40" s="9">
        <v>18</v>
      </c>
      <c r="B40" s="7"/>
      <c r="C40" s="18" t="s">
        <v>46</v>
      </c>
      <c r="D40" s="217">
        <v>-5802948</v>
      </c>
      <c r="E40" s="217">
        <v>-14112628</v>
      </c>
      <c r="F40" s="60">
        <f t="shared" si="13"/>
        <v>0</v>
      </c>
      <c r="G40" s="37">
        <f t="shared" si="13"/>
        <v>0</v>
      </c>
      <c r="H40" s="65">
        <f t="shared" si="12"/>
        <v>-5802948</v>
      </c>
      <c r="I40" s="66">
        <f t="shared" si="12"/>
        <v>-14112628</v>
      </c>
      <c r="J40" s="60"/>
      <c r="K40" s="38"/>
      <c r="L40" s="60">
        <f t="shared" si="14"/>
        <v>-5802948</v>
      </c>
      <c r="M40" s="38">
        <f t="shared" si="14"/>
        <v>-14112628</v>
      </c>
    </row>
    <row r="41" spans="1:13" x14ac:dyDescent="0.2">
      <c r="A41" s="9">
        <v>19</v>
      </c>
      <c r="B41" s="7"/>
      <c r="C41" s="18" t="s">
        <v>47</v>
      </c>
      <c r="D41" s="217">
        <v>0</v>
      </c>
      <c r="E41" s="21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218">
        <v>-5802948</v>
      </c>
      <c r="E42" s="218">
        <v>-14112628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-5802948</v>
      </c>
      <c r="I42" s="39">
        <f>SUM(I40:I41)</f>
        <v>-14112628</v>
      </c>
      <c r="J42" s="61">
        <f t="shared" si="15"/>
        <v>0</v>
      </c>
      <c r="K42" s="39">
        <f t="shared" si="15"/>
        <v>0</v>
      </c>
      <c r="L42" s="61">
        <f t="shared" si="15"/>
        <v>-5802948</v>
      </c>
      <c r="M42" s="39">
        <f t="shared" si="15"/>
        <v>-14112628</v>
      </c>
    </row>
    <row r="43" spans="1:13" ht="21" customHeight="1" x14ac:dyDescent="0.2">
      <c r="A43" s="9"/>
      <c r="B43" s="7" t="s">
        <v>49</v>
      </c>
      <c r="C43" s="6"/>
      <c r="D43" s="218">
        <v>-4877545</v>
      </c>
      <c r="E43" s="218">
        <v>-11928678</v>
      </c>
      <c r="F43" s="61">
        <f t="shared" ref="F43:M43" si="16">F42+F39</f>
        <v>0</v>
      </c>
      <c r="G43" s="39">
        <f t="shared" si="16"/>
        <v>0</v>
      </c>
      <c r="H43" s="61">
        <f>H42+H39</f>
        <v>-4877545</v>
      </c>
      <c r="I43" s="39">
        <f>I42+I39</f>
        <v>-11928678</v>
      </c>
      <c r="J43" s="61">
        <f t="shared" si="16"/>
        <v>0</v>
      </c>
      <c r="K43" s="39">
        <f t="shared" si="16"/>
        <v>0</v>
      </c>
      <c r="L43" s="61">
        <f t="shared" si="16"/>
        <v>-4877545</v>
      </c>
      <c r="M43" s="39">
        <f t="shared" si="16"/>
        <v>-11928678</v>
      </c>
    </row>
    <row r="44" spans="1:13" x14ac:dyDescent="0.2">
      <c r="A44" s="9"/>
      <c r="B44" s="7"/>
      <c r="C44" s="6"/>
      <c r="D44" s="219"/>
      <c r="E44" s="219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217">
        <v>0</v>
      </c>
      <c r="E45" s="217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219">
        <v>0</v>
      </c>
      <c r="E46" s="21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217">
        <v>0</v>
      </c>
      <c r="E47" s="217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219">
        <v>0</v>
      </c>
      <c r="E48" s="21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217">
        <v>-2373043</v>
      </c>
      <c r="E49" s="217">
        <v>-5720449.3496866329</v>
      </c>
      <c r="F49" s="60">
        <f>H49-D49</f>
        <v>0</v>
      </c>
      <c r="G49" s="37">
        <f>I49-E49</f>
        <v>0</v>
      </c>
      <c r="H49" s="65">
        <f>D49</f>
        <v>-2373043</v>
      </c>
      <c r="I49" s="66">
        <f>E49</f>
        <v>-5720449.3496866329</v>
      </c>
      <c r="J49" s="60"/>
      <c r="K49" s="38"/>
      <c r="L49" s="60">
        <f>H49+J49</f>
        <v>-2373043</v>
      </c>
      <c r="M49" s="38">
        <f>I49+K49</f>
        <v>-5720449.3496866329</v>
      </c>
    </row>
    <row r="50" spans="1:15" x14ac:dyDescent="0.2">
      <c r="A50" s="9"/>
      <c r="B50" s="7"/>
      <c r="C50" s="6"/>
      <c r="D50" s="219">
        <v>0</v>
      </c>
      <c r="E50" s="21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217">
        <v>-514927</v>
      </c>
      <c r="E51" s="217">
        <v>-1274153</v>
      </c>
      <c r="F51" s="60">
        <f>H51-D51</f>
        <v>0</v>
      </c>
      <c r="G51" s="37">
        <f>I51-E51</f>
        <v>0</v>
      </c>
      <c r="H51" s="65">
        <f>D51</f>
        <v>-514927</v>
      </c>
      <c r="I51" s="66">
        <f>E51</f>
        <v>-1274153</v>
      </c>
      <c r="J51" s="60"/>
      <c r="K51" s="38"/>
      <c r="L51" s="60">
        <f>H51+J51</f>
        <v>-514927</v>
      </c>
      <c r="M51" s="38">
        <f>I51+K51</f>
        <v>-1274153</v>
      </c>
    </row>
    <row r="52" spans="1:15" x14ac:dyDescent="0.2">
      <c r="A52" s="9"/>
      <c r="B52" s="7"/>
      <c r="C52" s="6"/>
      <c r="D52" s="219">
        <v>0</v>
      </c>
      <c r="E52" s="21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219">
        <v>0</v>
      </c>
      <c r="E53" s="21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217">
        <v>0</v>
      </c>
      <c r="E54" s="217">
        <v>-1569739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-1569739</v>
      </c>
      <c r="J54" s="60"/>
      <c r="K54" s="38"/>
      <c r="L54" s="60">
        <f>H54+J54</f>
        <v>0</v>
      </c>
      <c r="M54" s="38">
        <f>I54+K54</f>
        <v>-1569739</v>
      </c>
    </row>
    <row r="55" spans="1:15" x14ac:dyDescent="0.2">
      <c r="A55" s="9">
        <v>25</v>
      </c>
      <c r="B55" s="7"/>
      <c r="C55" s="18" t="s">
        <v>56</v>
      </c>
      <c r="D55" s="217">
        <v>0</v>
      </c>
      <c r="E55" s="217">
        <v>-1298289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-1298289</v>
      </c>
      <c r="J55" s="60"/>
      <c r="K55" s="38"/>
      <c r="L55" s="60">
        <f>H55+J55</f>
        <v>0</v>
      </c>
      <c r="M55" s="38">
        <f>I55+K55</f>
        <v>-1298289</v>
      </c>
    </row>
    <row r="56" spans="1:15" x14ac:dyDescent="0.2">
      <c r="A56" s="9"/>
      <c r="B56" s="7" t="s">
        <v>57</v>
      </c>
      <c r="C56" s="6"/>
      <c r="D56" s="218">
        <v>0</v>
      </c>
      <c r="E56" s="218">
        <v>-2868028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-2868028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-2868028</v>
      </c>
    </row>
    <row r="57" spans="1:15" x14ac:dyDescent="0.2">
      <c r="A57" s="9"/>
      <c r="B57" s="7"/>
      <c r="C57" s="6"/>
      <c r="D57" s="219"/>
      <c r="E57" s="219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219"/>
      <c r="E58" s="219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217">
        <v>0</v>
      </c>
      <c r="E59" s="217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217">
        <v>0</v>
      </c>
      <c r="E60" s="217">
        <v>-82527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-82527</v>
      </c>
      <c r="J60" s="60"/>
      <c r="K60" s="38"/>
      <c r="L60" s="60">
        <f>H60+J60</f>
        <v>0</v>
      </c>
      <c r="M60" s="38">
        <f>I60+K60</f>
        <v>-82527</v>
      </c>
    </row>
    <row r="61" spans="1:15" x14ac:dyDescent="0.2">
      <c r="A61" s="9"/>
      <c r="B61" s="62" t="s">
        <v>61</v>
      </c>
      <c r="C61" s="6"/>
      <c r="D61" s="218">
        <v>0</v>
      </c>
      <c r="E61" s="218">
        <v>-82527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-82527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-82527</v>
      </c>
    </row>
    <row r="62" spans="1:15" x14ac:dyDescent="0.2">
      <c r="A62" s="9"/>
      <c r="B62" s="7"/>
      <c r="C62" s="6"/>
      <c r="D62" s="219"/>
      <c r="E62" s="219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219"/>
      <c r="E63" s="219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217">
        <v>0</v>
      </c>
      <c r="E64" s="217">
        <v>55220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55220</v>
      </c>
      <c r="J64" s="60"/>
      <c r="K64" s="38"/>
      <c r="L64" s="60">
        <f>H64+J64</f>
        <v>0</v>
      </c>
      <c r="M64" s="38">
        <f>I64+K64</f>
        <v>55220</v>
      </c>
    </row>
    <row r="65" spans="1:13" x14ac:dyDescent="0.2">
      <c r="A65" s="9">
        <v>29</v>
      </c>
      <c r="B65" s="11"/>
      <c r="C65" s="18" t="s">
        <v>63</v>
      </c>
      <c r="D65" s="217">
        <v>0</v>
      </c>
      <c r="E65" s="217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218">
        <v>0</v>
      </c>
      <c r="E66" s="218">
        <v>55220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55220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55220</v>
      </c>
    </row>
    <row r="67" spans="1:13" x14ac:dyDescent="0.2">
      <c r="A67" s="9"/>
      <c r="B67" s="7"/>
      <c r="C67" s="6"/>
      <c r="D67" s="219"/>
      <c r="E67" s="219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219"/>
      <c r="E68" s="219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219"/>
      <c r="E69" s="219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217">
        <v>0</v>
      </c>
      <c r="E70" s="217">
        <v>13133657.730900001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13133657.730900001</v>
      </c>
      <c r="J70" s="60"/>
      <c r="K70" s="38"/>
      <c r="L70" s="60">
        <f>H70+J70</f>
        <v>0</v>
      </c>
      <c r="M70" s="38">
        <f>I70+K70</f>
        <v>13133657.730900001</v>
      </c>
    </row>
    <row r="71" spans="1:13" x14ac:dyDescent="0.2">
      <c r="A71" s="9">
        <v>31</v>
      </c>
      <c r="B71" s="3"/>
      <c r="C71" s="10" t="s">
        <v>68</v>
      </c>
      <c r="D71" s="217">
        <v>0</v>
      </c>
      <c r="E71" s="217">
        <v>-5194256.8949999996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-5194256.8949999996</v>
      </c>
      <c r="J71" s="60"/>
      <c r="K71" s="38"/>
      <c r="L71" s="60">
        <f>H71+J71</f>
        <v>0</v>
      </c>
      <c r="M71" s="38">
        <f>I71+K71</f>
        <v>-5194256.8949999996</v>
      </c>
    </row>
    <row r="72" spans="1:13" x14ac:dyDescent="0.2">
      <c r="A72" s="9"/>
      <c r="B72" s="3"/>
      <c r="C72" s="55" t="s">
        <v>69</v>
      </c>
      <c r="D72" s="218">
        <v>0</v>
      </c>
      <c r="E72" s="218">
        <v>7939400.8359000012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7939400.8359000012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7939400.8359000012</v>
      </c>
    </row>
    <row r="73" spans="1:13" x14ac:dyDescent="0.2">
      <c r="A73" s="9">
        <v>32</v>
      </c>
      <c r="B73" s="3"/>
      <c r="C73" s="10" t="s">
        <v>70</v>
      </c>
      <c r="D73" s="217">
        <v>0</v>
      </c>
      <c r="E73" s="217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217">
        <v>0</v>
      </c>
      <c r="E74" s="217">
        <v>-6295590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-6295590</v>
      </c>
      <c r="J74" s="60"/>
      <c r="K74" s="38"/>
      <c r="L74" s="60">
        <f t="shared" si="22"/>
        <v>0</v>
      </c>
      <c r="M74" s="38">
        <f t="shared" si="22"/>
        <v>-6295590</v>
      </c>
    </row>
    <row r="75" spans="1:13" x14ac:dyDescent="0.2">
      <c r="A75" s="9">
        <v>34</v>
      </c>
      <c r="B75" s="3"/>
      <c r="C75" s="10" t="s">
        <v>72</v>
      </c>
      <c r="D75" s="217">
        <v>0</v>
      </c>
      <c r="E75" s="217">
        <v>311193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311193</v>
      </c>
      <c r="J75" s="60"/>
      <c r="K75" s="38"/>
      <c r="L75" s="60">
        <f t="shared" si="22"/>
        <v>0</v>
      </c>
      <c r="M75" s="38">
        <f t="shared" si="22"/>
        <v>311193</v>
      </c>
    </row>
    <row r="76" spans="1:13" x14ac:dyDescent="0.2">
      <c r="A76" s="9">
        <v>35</v>
      </c>
      <c r="B76" s="3"/>
      <c r="C76" s="10" t="s">
        <v>73</v>
      </c>
      <c r="D76" s="217">
        <v>0</v>
      </c>
      <c r="E76" s="217">
        <v>-10461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-10461</v>
      </c>
      <c r="J76" s="60"/>
      <c r="K76" s="38"/>
      <c r="L76" s="60">
        <f t="shared" si="22"/>
        <v>0</v>
      </c>
      <c r="M76" s="38">
        <f t="shared" si="22"/>
        <v>-10461</v>
      </c>
    </row>
    <row r="77" spans="1:13" x14ac:dyDescent="0.2">
      <c r="A77" s="9">
        <v>36</v>
      </c>
      <c r="B77" s="3"/>
      <c r="C77" s="10" t="s">
        <v>74</v>
      </c>
      <c r="D77" s="217">
        <v>0</v>
      </c>
      <c r="E77" s="217">
        <v>-36809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-36809</v>
      </c>
      <c r="J77" s="60"/>
      <c r="K77" s="38"/>
      <c r="L77" s="60">
        <f t="shared" si="22"/>
        <v>0</v>
      </c>
      <c r="M77" s="38">
        <f t="shared" si="22"/>
        <v>-36809</v>
      </c>
    </row>
    <row r="78" spans="1:13" x14ac:dyDescent="0.2">
      <c r="A78" s="9">
        <v>37</v>
      </c>
      <c r="B78" s="3"/>
      <c r="C78" s="10" t="s">
        <v>75</v>
      </c>
      <c r="D78" s="217">
        <v>0</v>
      </c>
      <c r="E78" s="217">
        <v>24523.945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24523.945</v>
      </c>
      <c r="J78" s="60"/>
      <c r="K78" s="38"/>
      <c r="L78" s="60">
        <f t="shared" si="22"/>
        <v>0</v>
      </c>
      <c r="M78" s="38">
        <f t="shared" si="22"/>
        <v>24523.945</v>
      </c>
    </row>
    <row r="79" spans="1:13" x14ac:dyDescent="0.2">
      <c r="A79" s="9">
        <v>38</v>
      </c>
      <c r="B79" s="3"/>
      <c r="C79" s="10" t="s">
        <v>76</v>
      </c>
      <c r="D79" s="217">
        <v>0</v>
      </c>
      <c r="E79" s="217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217">
        <v>0</v>
      </c>
      <c r="E80" s="217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217">
        <v>0</v>
      </c>
      <c r="E81" s="217">
        <v>412862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412862</v>
      </c>
      <c r="J81" s="60"/>
      <c r="K81" s="38"/>
      <c r="L81" s="60">
        <f t="shared" si="22"/>
        <v>0</v>
      </c>
      <c r="M81" s="38">
        <f t="shared" si="22"/>
        <v>412862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7528788.2751381285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7528788.2751381285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7528788.2751381285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164</v>
      </c>
      <c r="B85" s="3"/>
      <c r="K85" s="45"/>
    </row>
    <row r="86" spans="1:67" s="3" customFormat="1" x14ac:dyDescent="0.2">
      <c r="A86" s="144"/>
      <c r="C86" s="10" t="s">
        <v>166</v>
      </c>
      <c r="D86" s="148">
        <v>0</v>
      </c>
      <c r="E86" s="148">
        <v>477104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477104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477104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6">
        <f>SUM(D86:D88)</f>
        <v>0</v>
      </c>
      <c r="E89" s="156">
        <f t="shared" ref="E89:M89" si="26">SUM(E86:E88)</f>
        <v>477104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477104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6">
        <f>+D82+D89</f>
        <v>0</v>
      </c>
      <c r="E91" s="156">
        <f t="shared" ref="E91:M91" si="27">+E82+E89</f>
        <v>8005892.2751381285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8005892.2751381285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8005892.2751381285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16544177</v>
      </c>
      <c r="E11" s="65">
        <v>39980461.156075291</v>
      </c>
      <c r="F11" s="65">
        <f>H11-D11</f>
        <v>0</v>
      </c>
      <c r="G11" s="63">
        <f>I11-E11</f>
        <v>0</v>
      </c>
      <c r="H11" s="65">
        <f>D11</f>
        <v>16544177</v>
      </c>
      <c r="I11" s="66">
        <f>E11</f>
        <v>39980461.156075291</v>
      </c>
      <c r="J11" s="60"/>
      <c r="K11" s="38"/>
      <c r="L11" s="60">
        <f t="shared" ref="L11:M15" si="0">H11+J11</f>
        <v>16544177</v>
      </c>
      <c r="M11" s="38">
        <f t="shared" si="0"/>
        <v>39980461.156075291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0</v>
      </c>
      <c r="E13" s="65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16544177</v>
      </c>
      <c r="E16" s="39">
        <v>39980461.156075291</v>
      </c>
      <c r="F16" s="61">
        <f t="shared" ref="F16:M16" si="3">SUM(F11:F15)</f>
        <v>0</v>
      </c>
      <c r="G16" s="39">
        <f t="shared" si="3"/>
        <v>0</v>
      </c>
      <c r="H16" s="61">
        <f>SUM(H11:H15)</f>
        <v>16544177</v>
      </c>
      <c r="I16" s="39">
        <f>SUM(I11:I15)</f>
        <v>39980461.156075291</v>
      </c>
      <c r="J16" s="61">
        <f t="shared" si="3"/>
        <v>0</v>
      </c>
      <c r="K16" s="39">
        <f t="shared" si="3"/>
        <v>0</v>
      </c>
      <c r="L16" s="61">
        <f t="shared" si="3"/>
        <v>16544177</v>
      </c>
      <c r="M16" s="39">
        <f t="shared" si="3"/>
        <v>39980461.156075291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-16435098</v>
      </c>
      <c r="E19" s="65">
        <v>-39771828</v>
      </c>
      <c r="F19" s="65">
        <f>H19-D19</f>
        <v>0</v>
      </c>
      <c r="G19" s="63">
        <f>I19-E19</f>
        <v>0</v>
      </c>
      <c r="H19" s="65">
        <f t="shared" si="4"/>
        <v>-16435098</v>
      </c>
      <c r="I19" s="66">
        <f t="shared" si="4"/>
        <v>-39771828</v>
      </c>
      <c r="J19" s="60"/>
      <c r="K19" s="38"/>
      <c r="L19" s="60">
        <f t="shared" ref="L19:M23" si="5">H19+J19</f>
        <v>-16435098</v>
      </c>
      <c r="M19" s="38">
        <f t="shared" si="5"/>
        <v>-39771828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0</v>
      </c>
      <c r="E21" s="65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0</v>
      </c>
      <c r="E23" s="65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-16435098</v>
      </c>
      <c r="E24" s="39">
        <v>-39771828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-16435098</v>
      </c>
      <c r="I24" s="39">
        <f>SUM(I19:I23)</f>
        <v>-39771828</v>
      </c>
      <c r="J24" s="61">
        <f t="shared" si="7"/>
        <v>0</v>
      </c>
      <c r="K24" s="39">
        <f t="shared" si="7"/>
        <v>0</v>
      </c>
      <c r="L24" s="61">
        <f t="shared" si="7"/>
        <v>-16435098</v>
      </c>
      <c r="M24" s="39">
        <f t="shared" si="7"/>
        <v>-39771828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0</v>
      </c>
      <c r="E32" s="65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642669</v>
      </c>
      <c r="E39" s="65">
        <v>1516700</v>
      </c>
      <c r="F39" s="65">
        <f t="shared" ref="F39:G41" si="13">H39-D39</f>
        <v>0</v>
      </c>
      <c r="G39" s="63">
        <f t="shared" si="13"/>
        <v>0</v>
      </c>
      <c r="H39" s="65">
        <f t="shared" si="12"/>
        <v>642669</v>
      </c>
      <c r="I39" s="66">
        <f t="shared" si="12"/>
        <v>1516700</v>
      </c>
      <c r="J39" s="60"/>
      <c r="K39" s="38"/>
      <c r="L39" s="60">
        <f t="shared" ref="L39:M41" si="14">H39+J39</f>
        <v>642669</v>
      </c>
      <c r="M39" s="38">
        <f t="shared" si="14"/>
        <v>1516700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-3133651</v>
      </c>
      <c r="E40" s="65">
        <v>-7395416</v>
      </c>
      <c r="F40" s="65">
        <f t="shared" si="13"/>
        <v>0</v>
      </c>
      <c r="G40" s="63">
        <f t="shared" si="13"/>
        <v>0</v>
      </c>
      <c r="H40" s="65">
        <f t="shared" si="12"/>
        <v>-3133651</v>
      </c>
      <c r="I40" s="66">
        <f t="shared" si="12"/>
        <v>-7395416</v>
      </c>
      <c r="J40" s="60"/>
      <c r="K40" s="38"/>
      <c r="L40" s="60">
        <f t="shared" si="14"/>
        <v>-3133651</v>
      </c>
      <c r="M40" s="38">
        <f t="shared" si="14"/>
        <v>-7395416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-3133651</v>
      </c>
      <c r="E42" s="39">
        <v>-7395416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-3133651</v>
      </c>
      <c r="I42" s="39">
        <f>SUM(I40:I41)</f>
        <v>-7395416</v>
      </c>
      <c r="J42" s="61">
        <f t="shared" si="15"/>
        <v>0</v>
      </c>
      <c r="K42" s="39">
        <f t="shared" si="15"/>
        <v>0</v>
      </c>
      <c r="L42" s="61">
        <f t="shared" si="15"/>
        <v>-3133651</v>
      </c>
      <c r="M42" s="39">
        <f t="shared" si="15"/>
        <v>-7395416</v>
      </c>
    </row>
    <row r="43" spans="1:13" ht="21" customHeight="1" x14ac:dyDescent="0.2">
      <c r="A43" s="9"/>
      <c r="B43" s="7" t="s">
        <v>49</v>
      </c>
      <c r="C43" s="6"/>
      <c r="D43" s="61">
        <v>-2490982</v>
      </c>
      <c r="E43" s="39">
        <v>-5878716</v>
      </c>
      <c r="F43" s="61">
        <f t="shared" ref="F43:M43" si="16">F42+F39</f>
        <v>0</v>
      </c>
      <c r="G43" s="39">
        <f t="shared" si="16"/>
        <v>0</v>
      </c>
      <c r="H43" s="61">
        <f>H42+H39</f>
        <v>-2490982</v>
      </c>
      <c r="I43" s="39">
        <f>I42+I39</f>
        <v>-5878716</v>
      </c>
      <c r="J43" s="61">
        <f t="shared" si="16"/>
        <v>0</v>
      </c>
      <c r="K43" s="39">
        <f t="shared" si="16"/>
        <v>0</v>
      </c>
      <c r="L43" s="61">
        <f t="shared" si="16"/>
        <v>-2490982</v>
      </c>
      <c r="M43" s="39">
        <f t="shared" si="16"/>
        <v>-5878716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2381903</v>
      </c>
      <c r="E49" s="65">
        <v>5741243.7696866328</v>
      </c>
      <c r="F49" s="65">
        <f>H49-D49</f>
        <v>0</v>
      </c>
      <c r="G49" s="63">
        <f>I49-E49</f>
        <v>0</v>
      </c>
      <c r="H49" s="65">
        <f>D49</f>
        <v>2381903</v>
      </c>
      <c r="I49" s="66">
        <f>E49</f>
        <v>5741243.7696866328</v>
      </c>
      <c r="J49" s="60"/>
      <c r="K49" s="38"/>
      <c r="L49" s="60">
        <f>H49+J49</f>
        <v>2381903</v>
      </c>
      <c r="M49" s="38">
        <f>I49+K49</f>
        <v>5741243.7696866328</v>
      </c>
    </row>
    <row r="50" spans="1:15" x14ac:dyDescent="0.2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0</v>
      </c>
      <c r="E51" s="65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82527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82527</v>
      </c>
      <c r="J60" s="60"/>
      <c r="K60" s="38"/>
      <c r="L60" s="60">
        <f>H60+J60</f>
        <v>0</v>
      </c>
      <c r="M60" s="38">
        <f>I60+K60</f>
        <v>82527</v>
      </c>
    </row>
    <row r="61" spans="1:15" x14ac:dyDescent="0.2">
      <c r="A61" s="9"/>
      <c r="B61" s="62" t="s">
        <v>61</v>
      </c>
      <c r="C61" s="6"/>
      <c r="D61" s="61">
        <v>0</v>
      </c>
      <c r="E61" s="39">
        <v>82527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82527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82527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-3897000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-3897000</v>
      </c>
      <c r="J77" s="60"/>
      <c r="K77" s="38"/>
      <c r="L77" s="60">
        <f t="shared" si="22"/>
        <v>0</v>
      </c>
      <c r="M77" s="38">
        <f t="shared" si="22"/>
        <v>-3897000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">
      <c r="A81" s="56">
        <v>40</v>
      </c>
      <c r="B81" s="57"/>
      <c r="C81" s="10" t="s">
        <v>78</v>
      </c>
      <c r="D81" s="65">
        <v>0</v>
      </c>
      <c r="E81" s="65">
        <v>0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142">
        <f>D16+D24+D29+D36+D43+D45+D47+D49</f>
        <v>0</v>
      </c>
      <c r="E82" s="141">
        <f>SUM(E72:E81)+E16+E24+E29+E36+E43+E45+E47+E49+E51+E56+E61+E66</f>
        <v>-3743312.0742380759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-3743312.0742380759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-3743312.0742380759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f>'EAST-EGM-FLSH'!D11+'EAST-LRC-FLSH'!D11</f>
        <v>212778481</v>
      </c>
      <c r="E11" s="66">
        <f>'EAST-EGM-FLSH'!E11+'EAST-LRC-FLSH'!E11</f>
        <v>530052447</v>
      </c>
      <c r="F11" s="37">
        <f>H11-D11</f>
        <v>0</v>
      </c>
      <c r="G11" s="37">
        <f>I11-E11</f>
        <v>0</v>
      </c>
      <c r="H11" s="60">
        <f>'EAST-EGM-FLSH'!H11+'EAST-LRC-FLSH'!H11</f>
        <v>212778481</v>
      </c>
      <c r="I11" s="38">
        <f>'EAST-EGM-FLSH'!I11+'EAST-LRC-FLSH'!I11</f>
        <v>530052447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212778481</v>
      </c>
      <c r="M11" s="38">
        <f t="shared" si="0"/>
        <v>530052447</v>
      </c>
    </row>
    <row r="12" spans="1:26" x14ac:dyDescent="0.2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f>'EAST-EGM-FLSH'!D13+'EAST-LRC-FLSH'!D13</f>
        <v>78004071</v>
      </c>
      <c r="E13" s="66">
        <f>'EAST-EGM-FLSH'!E13+'EAST-LRC-FLSH'!E13</f>
        <v>201341832</v>
      </c>
      <c r="F13" s="60">
        <f t="shared" si="1"/>
        <v>0</v>
      </c>
      <c r="G13" s="37">
        <f t="shared" si="1"/>
        <v>0</v>
      </c>
      <c r="H13" s="60">
        <f>'EAST-EGM-FLSH'!H13+'EAST-LRC-FLSH'!H13</f>
        <v>78004071</v>
      </c>
      <c r="I13" s="38">
        <f>'EAST-EGM-FLSH'!I13+'EAST-LRC-FLSH'!I13</f>
        <v>201341832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78004071</v>
      </c>
      <c r="M13" s="38">
        <f t="shared" si="0"/>
        <v>201341832</v>
      </c>
    </row>
    <row r="14" spans="1:26" x14ac:dyDescent="0.2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-496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-496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-496</v>
      </c>
    </row>
    <row r="15" spans="1:26" x14ac:dyDescent="0.2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f>SUM(D11:D15)</f>
        <v>290782552</v>
      </c>
      <c r="E16" s="39">
        <f>SUM(E11:E15)</f>
        <v>731393783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290782552</v>
      </c>
      <c r="I16" s="39">
        <f t="shared" si="2"/>
        <v>731393783</v>
      </c>
      <c r="J16" s="61">
        <f t="shared" si="2"/>
        <v>0</v>
      </c>
      <c r="K16" s="39">
        <f t="shared" si="2"/>
        <v>0</v>
      </c>
      <c r="L16" s="61">
        <f t="shared" si="2"/>
        <v>290782552</v>
      </c>
      <c r="M16" s="39">
        <f t="shared" si="2"/>
        <v>731393783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f>'EAST-EGM-FLSH'!D19+'EAST-LRC-FLSH'!D19</f>
        <v>-198083914</v>
      </c>
      <c r="E19" s="66">
        <f>'EAST-EGM-FLSH'!E19+'EAST-LRC-FLSH'!E19</f>
        <v>-482114739</v>
      </c>
      <c r="F19" s="60">
        <f>H19-D19</f>
        <v>0</v>
      </c>
      <c r="G19" s="37">
        <f>I19-E19</f>
        <v>0</v>
      </c>
      <c r="H19" s="60">
        <f>'EAST-EGM-FLSH'!H19+'EAST-LRC-FLSH'!H19</f>
        <v>-198083914</v>
      </c>
      <c r="I19" s="38">
        <f>'EAST-EGM-FLSH'!I19+'EAST-LRC-FLSH'!I19</f>
        <v>-482114739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-198083914</v>
      </c>
      <c r="M19" s="38">
        <f t="shared" si="3"/>
        <v>-482114739</v>
      </c>
    </row>
    <row r="20" spans="1:13" x14ac:dyDescent="0.2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5">
        <f>'EAST-EGM-FLSH'!D21+'EAST-LRC-FLSH'!D21</f>
        <v>-82385658</v>
      </c>
      <c r="E21" s="66">
        <f>'EAST-EGM-FLSH'!E21+'EAST-LRC-FLSH'!E21</f>
        <v>-214966656</v>
      </c>
      <c r="F21" s="60">
        <f t="shared" si="4"/>
        <v>0</v>
      </c>
      <c r="G21" s="37">
        <f t="shared" si="4"/>
        <v>0</v>
      </c>
      <c r="H21" s="60">
        <f>'EAST-EGM-FLSH'!H21+'EAST-LRC-FLSH'!H21</f>
        <v>-82385658</v>
      </c>
      <c r="I21" s="38">
        <f>'EAST-EGM-FLSH'!I21+'EAST-LRC-FLSH'!I21</f>
        <v>-214966656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-82385658</v>
      </c>
      <c r="M21" s="38">
        <f t="shared" si="3"/>
        <v>-214966656</v>
      </c>
    </row>
    <row r="22" spans="1:13" x14ac:dyDescent="0.2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5">
        <f>'EAST-EGM-FLSH'!D23+'EAST-LRC-FLSH'!D23</f>
        <v>514927</v>
      </c>
      <c r="E23" s="66">
        <f>'EAST-EGM-FLSH'!E23+'EAST-LRC-FLSH'!E23</f>
        <v>1274153</v>
      </c>
      <c r="F23" s="60">
        <f t="shared" si="4"/>
        <v>0</v>
      </c>
      <c r="G23" s="37">
        <f t="shared" si="4"/>
        <v>0</v>
      </c>
      <c r="H23" s="60">
        <f>'EAST-EGM-FLSH'!H23+'EAST-LRC-FLSH'!H23</f>
        <v>514927</v>
      </c>
      <c r="I23" s="38">
        <f>'EAST-EGM-FLSH'!I23+'EAST-LRC-FLSH'!I23</f>
        <v>1274153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514927</v>
      </c>
      <c r="M23" s="38">
        <f t="shared" si="3"/>
        <v>1274153</v>
      </c>
    </row>
    <row r="24" spans="1:13" x14ac:dyDescent="0.2">
      <c r="A24" s="9"/>
      <c r="B24" s="7" t="s">
        <v>33</v>
      </c>
      <c r="C24" s="6"/>
      <c r="D24" s="61">
        <f>SUM(D19:D23)</f>
        <v>-279954645</v>
      </c>
      <c r="E24" s="39">
        <f>SUM(E19:E23)</f>
        <v>-695807242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-279954645</v>
      </c>
      <c r="I24" s="39">
        <f t="shared" si="5"/>
        <v>-695807242</v>
      </c>
      <c r="J24" s="61">
        <f t="shared" si="5"/>
        <v>0</v>
      </c>
      <c r="K24" s="39">
        <f t="shared" si="5"/>
        <v>0</v>
      </c>
      <c r="L24" s="61">
        <f t="shared" si="5"/>
        <v>-279954645</v>
      </c>
      <c r="M24" s="39">
        <f t="shared" si="5"/>
        <v>-695807242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f>'EAST-EGM-FLSH'!D32+'EAST-LRC-FLSH'!D32</f>
        <v>-2118787</v>
      </c>
      <c r="E32" s="66">
        <f>'EAST-EGM-FLSH'!E32+'EAST-LRC-FLSH'!E32</f>
        <v>-5274638</v>
      </c>
      <c r="F32" s="60">
        <f>H32-D32</f>
        <v>0</v>
      </c>
      <c r="G32" s="37">
        <f>I32-E32</f>
        <v>0</v>
      </c>
      <c r="H32" s="60">
        <f>'EAST-EGM-FLSH'!H32+'EAST-LRC-FLSH'!H32</f>
        <v>-2118787</v>
      </c>
      <c r="I32" s="38">
        <f>'EAST-EGM-FLSH'!I32+'EAST-LRC-FLSH'!I32</f>
        <v>-5274638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-2118787</v>
      </c>
      <c r="M32" s="38">
        <f t="shared" si="7"/>
        <v>-5274638</v>
      </c>
    </row>
    <row r="33" spans="1:13" x14ac:dyDescent="0.2">
      <c r="A33" s="9">
        <v>14</v>
      </c>
      <c r="B33" s="7"/>
      <c r="C33" s="18" t="s">
        <v>40</v>
      </c>
      <c r="D33" s="65">
        <f>'EAST-EGM-FLSH'!D33+'EAST-LRC-FLSH'!D33</f>
        <v>407133</v>
      </c>
      <c r="E33" s="66">
        <f>'EAST-EGM-FLSH'!E33+'EAST-LRC-FLSH'!E33</f>
        <v>929952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407133</v>
      </c>
      <c r="I33" s="38">
        <f>'EAST-EGM-FLSH'!I33+'EAST-LRC-FLSH'!I33</f>
        <v>929952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407133</v>
      </c>
      <c r="M33" s="38">
        <f t="shared" si="7"/>
        <v>929952</v>
      </c>
    </row>
    <row r="34" spans="1:13" x14ac:dyDescent="0.2">
      <c r="A34" s="9">
        <v>15</v>
      </c>
      <c r="B34" s="7"/>
      <c r="C34" s="18" t="s">
        <v>41</v>
      </c>
      <c r="D34" s="65">
        <f>'EAST-EGM-FLSH'!D34+'EAST-LRC-FLSH'!D34</f>
        <v>-816595</v>
      </c>
      <c r="E34" s="66">
        <f>'EAST-EGM-FLSH'!E34+'EAST-LRC-FLSH'!E34</f>
        <v>-1863552</v>
      </c>
      <c r="F34" s="60">
        <f t="shared" si="8"/>
        <v>0</v>
      </c>
      <c r="G34" s="37">
        <f t="shared" si="8"/>
        <v>0</v>
      </c>
      <c r="H34" s="60">
        <f>'EAST-EGM-FLSH'!H34+'EAST-LRC-FLSH'!H34</f>
        <v>-816595</v>
      </c>
      <c r="I34" s="38">
        <f>'EAST-EGM-FLSH'!I34+'EAST-LRC-FLSH'!I34</f>
        <v>-1863552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-816595</v>
      </c>
      <c r="M34" s="38">
        <f t="shared" si="7"/>
        <v>-1863552</v>
      </c>
    </row>
    <row r="35" spans="1:13" x14ac:dyDescent="0.2">
      <c r="A35" s="9">
        <v>16</v>
      </c>
      <c r="B35" s="7"/>
      <c r="C35" s="18" t="s">
        <v>42</v>
      </c>
      <c r="D35" s="65">
        <f>'EAST-EGM-FLSH'!D35+'EAST-LRC-FLSH'!D35</f>
        <v>-939991</v>
      </c>
      <c r="E35" s="66">
        <f>'EAST-EGM-FLSH'!E35+'EAST-LRC-FLSH'!E35</f>
        <v>-2167386</v>
      </c>
      <c r="F35" s="60">
        <f t="shared" si="8"/>
        <v>0</v>
      </c>
      <c r="G35" s="37">
        <f t="shared" si="8"/>
        <v>0</v>
      </c>
      <c r="H35" s="60">
        <f>'EAST-EGM-FLSH'!H35+'EAST-LRC-FLSH'!H35</f>
        <v>-939991</v>
      </c>
      <c r="I35" s="38">
        <f>'EAST-EGM-FLSH'!I35+'EAST-LRC-FLSH'!I35</f>
        <v>-2167386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-939991</v>
      </c>
      <c r="M35" s="38">
        <f t="shared" si="7"/>
        <v>-2167386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-3468240</v>
      </c>
      <c r="E36" s="39">
        <f t="shared" si="9"/>
        <v>-8375624</v>
      </c>
      <c r="F36" s="61">
        <f t="shared" si="9"/>
        <v>0</v>
      </c>
      <c r="G36" s="39">
        <f t="shared" si="9"/>
        <v>0</v>
      </c>
      <c r="H36" s="61">
        <f t="shared" si="9"/>
        <v>-3468240</v>
      </c>
      <c r="I36" s="39">
        <f t="shared" si="9"/>
        <v>-8375624</v>
      </c>
      <c r="J36" s="61">
        <f>SUM(J32:J34)</f>
        <v>0</v>
      </c>
      <c r="K36" s="39">
        <f>SUM(K32:K34)</f>
        <v>0</v>
      </c>
      <c r="L36" s="61">
        <f>SUM(L32:L35)</f>
        <v>-3468240</v>
      </c>
      <c r="M36" s="39">
        <f>SUM(M32:M35)</f>
        <v>-8375624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f>'EAST-EGM-FLSH'!D39+'EAST-LRC-FLSH'!D39</f>
        <v>1568072</v>
      </c>
      <c r="E39" s="66">
        <f>'EAST-EGM-FLSH'!E39+'EAST-LRC-FLSH'!E39</f>
        <v>3700650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1568072</v>
      </c>
      <c r="I39" s="38">
        <f>'EAST-EGM-FLSH'!I39+'EAST-LRC-FLSH'!I39</f>
        <v>3700650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1568072</v>
      </c>
      <c r="M39" s="38">
        <f t="shared" si="11"/>
        <v>3700650</v>
      </c>
    </row>
    <row r="40" spans="1:13" ht="22.5" customHeight="1" x14ac:dyDescent="0.2">
      <c r="A40" s="9">
        <v>18</v>
      </c>
      <c r="B40" s="7"/>
      <c r="C40" s="18" t="s">
        <v>46</v>
      </c>
      <c r="D40" s="65">
        <f>'EAST-EGM-FLSH'!D40+'EAST-LRC-FLSH'!D40</f>
        <v>-8936599</v>
      </c>
      <c r="E40" s="66">
        <f>'EAST-EGM-FLSH'!E40+'EAST-LRC-FLSH'!E40</f>
        <v>-21508044</v>
      </c>
      <c r="F40" s="60">
        <f t="shared" si="10"/>
        <v>0</v>
      </c>
      <c r="G40" s="37">
        <f t="shared" si="10"/>
        <v>0</v>
      </c>
      <c r="H40" s="60">
        <f>'EAST-EGM-FLSH'!H40+'EAST-LRC-FLSH'!H40</f>
        <v>-8936599</v>
      </c>
      <c r="I40" s="38">
        <f>'EAST-EGM-FLSH'!I40+'EAST-LRC-FLSH'!I40</f>
        <v>-21508044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-8936599</v>
      </c>
      <c r="M40" s="38">
        <f t="shared" si="11"/>
        <v>-21508044</v>
      </c>
    </row>
    <row r="41" spans="1:13" x14ac:dyDescent="0.2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-8936599</v>
      </c>
      <c r="E42" s="39">
        <f>SUM(E40:E41)</f>
        <v>-21508044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-8936599</v>
      </c>
      <c r="I42" s="39">
        <f t="shared" si="12"/>
        <v>-21508044</v>
      </c>
      <c r="J42" s="61">
        <f t="shared" si="12"/>
        <v>0</v>
      </c>
      <c r="K42" s="39">
        <f t="shared" si="12"/>
        <v>0</v>
      </c>
      <c r="L42" s="61">
        <f t="shared" si="12"/>
        <v>-8936599</v>
      </c>
      <c r="M42" s="39">
        <f t="shared" si="12"/>
        <v>-21508044</v>
      </c>
    </row>
    <row r="43" spans="1:13" ht="21" customHeight="1" x14ac:dyDescent="0.2">
      <c r="A43" s="9"/>
      <c r="B43" s="7" t="s">
        <v>49</v>
      </c>
      <c r="C43" s="6"/>
      <c r="D43" s="61">
        <f>D42+D39</f>
        <v>-7368527</v>
      </c>
      <c r="E43" s="39">
        <f>E42+E39</f>
        <v>-17807394</v>
      </c>
      <c r="F43" s="61">
        <f t="shared" ref="F43:M43" si="13">F42+F39</f>
        <v>0</v>
      </c>
      <c r="G43" s="39">
        <f t="shared" si="13"/>
        <v>0</v>
      </c>
      <c r="H43" s="61">
        <f t="shared" si="13"/>
        <v>-7368527</v>
      </c>
      <c r="I43" s="39">
        <f t="shared" si="13"/>
        <v>-17807394</v>
      </c>
      <c r="J43" s="61">
        <f t="shared" si="13"/>
        <v>0</v>
      </c>
      <c r="K43" s="39">
        <f t="shared" si="13"/>
        <v>0</v>
      </c>
      <c r="L43" s="61">
        <f t="shared" si="13"/>
        <v>-7368527</v>
      </c>
      <c r="M43" s="39">
        <f t="shared" si="13"/>
        <v>-17807394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f>'EAST-EGM-FLSH'!D49+'EAST-LRC-FLSH'!D49</f>
        <v>8860</v>
      </c>
      <c r="E49" s="66">
        <f>'EAST-EGM-FLSH'!E49+'EAST-LRC-FLSH'!E49</f>
        <v>20794.419999999925</v>
      </c>
      <c r="F49" s="60">
        <f>H49-D49</f>
        <v>0</v>
      </c>
      <c r="G49" s="37">
        <f>I49-E49</f>
        <v>0</v>
      </c>
      <c r="H49" s="60">
        <f>'EAST-EGM-FLSH'!H49+'EAST-LRC-FLSH'!H49</f>
        <v>8860</v>
      </c>
      <c r="I49" s="38">
        <f>'EAST-EGM-FLSH'!I49+'EAST-LRC-FLSH'!I49</f>
        <v>20794.419999999925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8860</v>
      </c>
      <c r="M49" s="38">
        <f>I49+K49</f>
        <v>20794.419999999925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f>'EAST-EGM-FLSH'!D51+'EAST-LRC-FLSH'!D51</f>
        <v>-514927</v>
      </c>
      <c r="E51" s="66">
        <f>'EAST-EGM-FLSH'!E51+'EAST-LRC-FLSH'!E51</f>
        <v>-1274153</v>
      </c>
      <c r="F51" s="60">
        <f>H51-D51</f>
        <v>0</v>
      </c>
      <c r="G51" s="37">
        <f>I51-E51</f>
        <v>0</v>
      </c>
      <c r="H51" s="60">
        <f>'EAST-EGM-FLSH'!H51+'EAST-LRC-FLSH'!H51</f>
        <v>-514927</v>
      </c>
      <c r="I51" s="38">
        <f>'EAST-EGM-FLSH'!I51+'EAST-LRC-FLSH'!I51</f>
        <v>-1274153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-514927</v>
      </c>
      <c r="M51" s="38">
        <f>I51+K51</f>
        <v>-1274153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-1569739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-1569739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-1569739</v>
      </c>
    </row>
    <row r="55" spans="1:15" x14ac:dyDescent="0.2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-1298289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-1298289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-1298289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-2868028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-2868028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-2868028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55220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55220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55220</v>
      </c>
    </row>
    <row r="65" spans="1:13" x14ac:dyDescent="0.2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55220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55220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55220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13133657.730900001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13133657.730900001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13133657.730900001</v>
      </c>
    </row>
    <row r="71" spans="1:13" x14ac:dyDescent="0.2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-5194256.8949999996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-5194256.8949999996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-5194256.8949999996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7939400.8359000012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7939400.8359000012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7939400.8359000012</v>
      </c>
    </row>
    <row r="73" spans="1:13" x14ac:dyDescent="0.2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-6295590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-6295590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-6295590</v>
      </c>
    </row>
    <row r="75" spans="1:13" x14ac:dyDescent="0.2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311193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311193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311193</v>
      </c>
    </row>
    <row r="76" spans="1:13" x14ac:dyDescent="0.2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-10461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-10461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-10461</v>
      </c>
    </row>
    <row r="77" spans="1:13" x14ac:dyDescent="0.2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-3933809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-3933809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-3933809</v>
      </c>
    </row>
    <row r="78" spans="1:13" x14ac:dyDescent="0.2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24523.945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24523.945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24523.945</v>
      </c>
    </row>
    <row r="79" spans="1:13" x14ac:dyDescent="0.2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/>
      <c r="E81" s="66">
        <f>'EAST-EGM-FLSH'!E81+'EAST-LRC-FLSH'!E81</f>
        <v>412862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412862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412862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3785476.2009000015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3785476.2009000015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3785476.2009000015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  <c r="E84" s="31">
        <f>+'EAST-LRC-FLSH'!E82+'EAST-EGM-FLSH'!E82</f>
        <v>3785476.2009000527</v>
      </c>
      <c r="M84" s="45"/>
    </row>
    <row r="85" spans="1:67" x14ac:dyDescent="0.2">
      <c r="A85" s="4" t="s">
        <v>164</v>
      </c>
      <c r="B85" s="3"/>
    </row>
    <row r="86" spans="1:67" s="3" customFormat="1" x14ac:dyDescent="0.2">
      <c r="A86" s="144"/>
      <c r="C86" s="10" t="s">
        <v>166</v>
      </c>
      <c r="D86" s="145">
        <f>'EAST-EGM-FLSH'!D86+'EAST-LRC-FLSH'!D86</f>
        <v>0</v>
      </c>
      <c r="E86" s="145">
        <f>'EAST-EGM-FLSH'!E86+'EAST-LRC-FLSH'!E86</f>
        <v>477104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477104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477104</v>
      </c>
    </row>
    <row r="87" spans="1:67" s="3" customFormat="1" x14ac:dyDescent="0.2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477104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477104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477104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4262580.2009000015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4262580.2009000015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4262580.2009000015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D72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'BGC-EGM-VAR'!A4</f>
        <v>REGION: SOUTHEAST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H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17467325</v>
      </c>
      <c r="E11" s="38">
        <v>41711686.160000004</v>
      </c>
      <c r="F11" s="65">
        <f>H11-D11</f>
        <v>0</v>
      </c>
      <c r="G11" s="63">
        <f>I11-E11</f>
        <v>0</v>
      </c>
      <c r="H11" s="65">
        <f>D11</f>
        <v>17467325</v>
      </c>
      <c r="I11" s="66">
        <f>E11</f>
        <v>41711686.160000004</v>
      </c>
      <c r="J11" s="60"/>
      <c r="K11" s="38"/>
      <c r="L11" s="60">
        <f t="shared" ref="L11:M15" si="0">H11+J11</f>
        <v>17467325</v>
      </c>
      <c r="M11" s="38">
        <f t="shared" si="0"/>
        <v>41711686.160000004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1475282</v>
      </c>
      <c r="E13" s="38">
        <v>3402546.59</v>
      </c>
      <c r="F13" s="65">
        <f t="shared" si="1"/>
        <v>0</v>
      </c>
      <c r="G13" s="63">
        <f t="shared" si="1"/>
        <v>0</v>
      </c>
      <c r="H13" s="65">
        <f t="shared" si="2"/>
        <v>1475282</v>
      </c>
      <c r="I13" s="66">
        <f t="shared" si="2"/>
        <v>3402546.59</v>
      </c>
      <c r="J13" s="60"/>
      <c r="K13" s="38"/>
      <c r="L13" s="60">
        <f t="shared" si="0"/>
        <v>1475282</v>
      </c>
      <c r="M13" s="38">
        <f t="shared" si="0"/>
        <v>3402546.59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38">
        <v>120000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120000</v>
      </c>
      <c r="J15" s="60"/>
      <c r="K15" s="38"/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v>18942607</v>
      </c>
      <c r="E16" s="39">
        <v>45234232.75</v>
      </c>
      <c r="F16" s="61">
        <f t="shared" ref="F16:M16" si="3">SUM(F11:F15)</f>
        <v>0</v>
      </c>
      <c r="G16" s="39">
        <f t="shared" si="3"/>
        <v>0</v>
      </c>
      <c r="H16" s="61">
        <f>SUM(H11:H15)</f>
        <v>18942607</v>
      </c>
      <c r="I16" s="39">
        <f>SUM(I11:I15)</f>
        <v>45234232.75</v>
      </c>
      <c r="J16" s="61">
        <f t="shared" si="3"/>
        <v>0</v>
      </c>
      <c r="K16" s="39">
        <f t="shared" si="3"/>
        <v>0</v>
      </c>
      <c r="L16" s="61">
        <f t="shared" si="3"/>
        <v>18942607</v>
      </c>
      <c r="M16" s="39">
        <f t="shared" si="3"/>
        <v>45234232.75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-4577602</v>
      </c>
      <c r="E19" s="38">
        <v>-10382268.059999995</v>
      </c>
      <c r="F19" s="65">
        <f>H19-D19</f>
        <v>0</v>
      </c>
      <c r="G19" s="63">
        <f>I19-E19</f>
        <v>0</v>
      </c>
      <c r="H19" s="65">
        <f t="shared" si="4"/>
        <v>-4577602</v>
      </c>
      <c r="I19" s="66">
        <f t="shared" si="4"/>
        <v>-10382268.059999995</v>
      </c>
      <c r="J19" s="60"/>
      <c r="K19" s="38"/>
      <c r="L19" s="60">
        <f t="shared" ref="L19:M23" si="5">H19+J19</f>
        <v>-4577602</v>
      </c>
      <c r="M19" s="38">
        <f t="shared" si="5"/>
        <v>-10382268.059999995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-139780</v>
      </c>
      <c r="E21" s="38">
        <v>-297683</v>
      </c>
      <c r="F21" s="65">
        <f t="shared" si="6"/>
        <v>0</v>
      </c>
      <c r="G21" s="63">
        <f t="shared" si="6"/>
        <v>0</v>
      </c>
      <c r="H21" s="65">
        <f t="shared" si="4"/>
        <v>-139780</v>
      </c>
      <c r="I21" s="66">
        <f t="shared" si="4"/>
        <v>-297683</v>
      </c>
      <c r="J21" s="60"/>
      <c r="K21" s="38"/>
      <c r="L21" s="60">
        <f t="shared" si="5"/>
        <v>-139780</v>
      </c>
      <c r="M21" s="38">
        <f t="shared" si="5"/>
        <v>-297683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14</v>
      </c>
      <c r="E23" s="38">
        <v>30.82</v>
      </c>
      <c r="F23" s="65">
        <f t="shared" si="6"/>
        <v>0</v>
      </c>
      <c r="G23" s="63">
        <f t="shared" si="6"/>
        <v>0</v>
      </c>
      <c r="H23" s="65">
        <f t="shared" si="4"/>
        <v>14</v>
      </c>
      <c r="I23" s="66">
        <f t="shared" si="4"/>
        <v>30.82</v>
      </c>
      <c r="J23" s="60"/>
      <c r="K23" s="38"/>
      <c r="L23" s="60">
        <f t="shared" si="5"/>
        <v>14</v>
      </c>
      <c r="M23" s="38">
        <f t="shared" si="5"/>
        <v>30.82</v>
      </c>
    </row>
    <row r="24" spans="1:13" x14ac:dyDescent="0.2">
      <c r="A24" s="9"/>
      <c r="B24" s="7" t="s">
        <v>33</v>
      </c>
      <c r="C24" s="6"/>
      <c r="D24" s="61">
        <v>-4717368</v>
      </c>
      <c r="E24" s="39">
        <v>-10679920.239999995</v>
      </c>
      <c r="F24" s="61">
        <f t="shared" ref="F24:M24" si="7">SUM(F19:F23)</f>
        <v>0</v>
      </c>
      <c r="G24" s="39">
        <f t="shared" si="7"/>
        <v>0</v>
      </c>
      <c r="H24" s="61">
        <f>SUM(H19:H23)</f>
        <v>-4717368</v>
      </c>
      <c r="I24" s="39">
        <f>SUM(I19:I23)</f>
        <v>-10679920.239999995</v>
      </c>
      <c r="J24" s="61">
        <f t="shared" si="7"/>
        <v>0</v>
      </c>
      <c r="K24" s="39">
        <f t="shared" si="7"/>
        <v>0</v>
      </c>
      <c r="L24" s="61">
        <f t="shared" si="7"/>
        <v>-4717368</v>
      </c>
      <c r="M24" s="39">
        <f t="shared" si="7"/>
        <v>-10679920.239999995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16759808</v>
      </c>
      <c r="E27" s="38">
        <v>39436699.719999999</v>
      </c>
      <c r="F27" s="65">
        <f>H27-D27</f>
        <v>0</v>
      </c>
      <c r="G27" s="63">
        <f>I27-E27</f>
        <v>0</v>
      </c>
      <c r="H27" s="65">
        <f>D27</f>
        <v>16759808</v>
      </c>
      <c r="I27" s="66">
        <f>E27</f>
        <v>39436699.719999999</v>
      </c>
      <c r="J27" s="60"/>
      <c r="K27" s="38"/>
      <c r="L27" s="60">
        <f>H27+J27</f>
        <v>16759808</v>
      </c>
      <c r="M27" s="38">
        <f>I27+K27</f>
        <v>39436699.719999999</v>
      </c>
    </row>
    <row r="28" spans="1:13" x14ac:dyDescent="0.2">
      <c r="A28" s="9">
        <v>12</v>
      </c>
      <c r="B28" s="7"/>
      <c r="C28" s="18" t="s">
        <v>36</v>
      </c>
      <c r="D28" s="60">
        <v>-21047139</v>
      </c>
      <c r="E28" s="38">
        <v>-47754777.990000002</v>
      </c>
      <c r="F28" s="65">
        <f>H28-D28</f>
        <v>0</v>
      </c>
      <c r="G28" s="63">
        <f>I28-E28</f>
        <v>0</v>
      </c>
      <c r="H28" s="65">
        <f>D28</f>
        <v>-21047139</v>
      </c>
      <c r="I28" s="66">
        <f>E28</f>
        <v>-47754777.990000002</v>
      </c>
      <c r="J28" s="60"/>
      <c r="K28" s="38"/>
      <c r="L28" s="60">
        <f>H28+J28</f>
        <v>-21047139</v>
      </c>
      <c r="M28" s="38">
        <f>I28+K28</f>
        <v>-47754777.990000002</v>
      </c>
    </row>
    <row r="29" spans="1:13" x14ac:dyDescent="0.2">
      <c r="A29" s="9"/>
      <c r="B29" s="7" t="s">
        <v>37</v>
      </c>
      <c r="C29" s="6"/>
      <c r="D29" s="61">
        <v>-4287331</v>
      </c>
      <c r="E29" s="39">
        <v>-8318078.2700000033</v>
      </c>
      <c r="F29" s="61">
        <f t="shared" ref="F29:M29" si="8">SUM(F27:F28)</f>
        <v>0</v>
      </c>
      <c r="G29" s="39">
        <f t="shared" si="8"/>
        <v>0</v>
      </c>
      <c r="H29" s="61">
        <f>SUM(H27:H28)</f>
        <v>-4287331</v>
      </c>
      <c r="I29" s="39">
        <f>SUM(I27:I28)</f>
        <v>-8318078.2700000033</v>
      </c>
      <c r="J29" s="61">
        <f t="shared" si="8"/>
        <v>0</v>
      </c>
      <c r="K29" s="39">
        <f t="shared" si="8"/>
        <v>0</v>
      </c>
      <c r="L29" s="61">
        <f t="shared" si="8"/>
        <v>-4287331</v>
      </c>
      <c r="M29" s="39">
        <f t="shared" si="8"/>
        <v>-8318078.2700000033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-854082</v>
      </c>
      <c r="E40" s="38">
        <v>-1974467.45</v>
      </c>
      <c r="F40" s="65">
        <f t="shared" si="13"/>
        <v>0</v>
      </c>
      <c r="G40" s="63">
        <f t="shared" si="13"/>
        <v>0</v>
      </c>
      <c r="H40" s="65">
        <f t="shared" si="12"/>
        <v>-854082</v>
      </c>
      <c r="I40" s="66">
        <f t="shared" si="12"/>
        <v>-1974467.45</v>
      </c>
      <c r="J40" s="60"/>
      <c r="K40" s="38"/>
      <c r="L40" s="60">
        <f t="shared" si="14"/>
        <v>-854082</v>
      </c>
      <c r="M40" s="38">
        <f t="shared" si="14"/>
        <v>-1974467.45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-854082</v>
      </c>
      <c r="E42" s="39">
        <v>-1974467.45</v>
      </c>
      <c r="F42" s="69">
        <f t="shared" ref="F42:M42" si="15">SUM(F40:F41)</f>
        <v>0</v>
      </c>
      <c r="G42" s="70">
        <f t="shared" si="15"/>
        <v>0</v>
      </c>
      <c r="H42" s="61">
        <f>SUM(H40:H41)</f>
        <v>-854082</v>
      </c>
      <c r="I42" s="39">
        <f>SUM(I40:I41)</f>
        <v>-1974467.45</v>
      </c>
      <c r="J42" s="61">
        <f t="shared" si="15"/>
        <v>0</v>
      </c>
      <c r="K42" s="39">
        <f t="shared" si="15"/>
        <v>0</v>
      </c>
      <c r="L42" s="69">
        <f t="shared" si="15"/>
        <v>-854082</v>
      </c>
      <c r="M42" s="70">
        <f t="shared" si="15"/>
        <v>-1974467.45</v>
      </c>
    </row>
    <row r="43" spans="1:13" ht="21" customHeight="1" x14ac:dyDescent="0.2">
      <c r="A43" s="9"/>
      <c r="B43" s="7" t="s">
        <v>49</v>
      </c>
      <c r="C43" s="6"/>
      <c r="D43" s="60">
        <v>-854082</v>
      </c>
      <c r="E43" s="38">
        <v>-1974467.45</v>
      </c>
      <c r="F43" s="61">
        <f t="shared" ref="F43:M43" si="16">F42+F39</f>
        <v>0</v>
      </c>
      <c r="G43" s="39">
        <f t="shared" si="16"/>
        <v>0</v>
      </c>
      <c r="H43" s="61">
        <f>H42+H39</f>
        <v>-854082</v>
      </c>
      <c r="I43" s="39">
        <f>I42+I39</f>
        <v>-1974467.45</v>
      </c>
      <c r="J43" s="61">
        <f t="shared" si="16"/>
        <v>0</v>
      </c>
      <c r="K43" s="39">
        <f t="shared" si="16"/>
        <v>0</v>
      </c>
      <c r="L43" s="61">
        <f t="shared" si="16"/>
        <v>-854082</v>
      </c>
      <c r="M43" s="39">
        <f t="shared" si="16"/>
        <v>-1974467.45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-9083826</v>
      </c>
      <c r="E49" s="38">
        <v>-20648848.037081048</v>
      </c>
      <c r="F49" s="65">
        <f>H49-D49</f>
        <v>0</v>
      </c>
      <c r="G49" s="63">
        <f>I49-E49</f>
        <v>0</v>
      </c>
      <c r="H49" s="65">
        <f>D49</f>
        <v>-9083826</v>
      </c>
      <c r="I49" s="66">
        <f>E49</f>
        <v>-20648848.037081048</v>
      </c>
      <c r="J49" s="60"/>
      <c r="K49" s="38"/>
      <c r="L49" s="60">
        <f>H49+J49</f>
        <v>-9083826</v>
      </c>
      <c r="M49" s="38">
        <f>I49+K49</f>
        <v>-20648848.037081048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-14</v>
      </c>
      <c r="E51" s="38">
        <v>0</v>
      </c>
      <c r="F51" s="65">
        <f>H51-D51</f>
        <v>0</v>
      </c>
      <c r="G51" s="63">
        <f>I51-E51</f>
        <v>0</v>
      </c>
      <c r="H51" s="65">
        <f>D51</f>
        <v>-14</v>
      </c>
      <c r="I51" s="66">
        <f>E51</f>
        <v>0</v>
      </c>
      <c r="J51" s="60"/>
      <c r="K51" s="38"/>
      <c r="L51" s="60">
        <f>H51+J51</f>
        <v>-14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38">
        <v>-475000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-475000</v>
      </c>
      <c r="J54" s="60"/>
      <c r="K54" s="38"/>
      <c r="L54" s="60">
        <f>H54+J54</f>
        <v>0</v>
      </c>
      <c r="M54" s="38">
        <f>I54+K54</f>
        <v>-475000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-475000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-475000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-475000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>
        <v>0</v>
      </c>
      <c r="E70" s="38">
        <v>-2639306.77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-2639306.77</v>
      </c>
      <c r="J70" s="60"/>
      <c r="K70" s="38"/>
      <c r="L70" s="60">
        <f t="shared" si="20"/>
        <v>0</v>
      </c>
      <c r="M70" s="38">
        <f t="shared" si="20"/>
        <v>-2639306.77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38">
        <v>739519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739519</v>
      </c>
      <c r="J71" s="60"/>
      <c r="K71" s="38"/>
      <c r="L71" s="60">
        <f t="shared" si="20"/>
        <v>0</v>
      </c>
      <c r="M71" s="38">
        <f t="shared" si="20"/>
        <v>739519</v>
      </c>
    </row>
    <row r="72" spans="1:13" x14ac:dyDescent="0.2">
      <c r="A72" s="9"/>
      <c r="B72" s="3"/>
      <c r="C72" s="55" t="s">
        <v>69</v>
      </c>
      <c r="D72" s="61">
        <v>0</v>
      </c>
      <c r="E72" s="39">
        <v>-1899787.77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-1899787.77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-1899787.77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38">
        <v>1778233.65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1778233.65</v>
      </c>
      <c r="J74" s="60"/>
      <c r="K74" s="38"/>
      <c r="L74" s="60">
        <f t="shared" si="23"/>
        <v>0</v>
      </c>
      <c r="M74" s="38">
        <f t="shared" si="23"/>
        <v>1778233.65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38">
        <v>17704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17704</v>
      </c>
      <c r="J75" s="60"/>
      <c r="K75" s="38"/>
      <c r="L75" s="60">
        <f t="shared" si="23"/>
        <v>0</v>
      </c>
      <c r="M75" s="38">
        <f t="shared" si="23"/>
        <v>17704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38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38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38">
        <v>-207047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-207047</v>
      </c>
      <c r="J81" s="60"/>
      <c r="K81" s="38"/>
      <c r="L81" s="60">
        <f t="shared" si="23"/>
        <v>0</v>
      </c>
      <c r="M81" s="38">
        <f t="shared" si="23"/>
        <v>-207047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2827021.6329189576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2827021.6329189576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2827021.6329189576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170</v>
      </c>
      <c r="B85" s="3"/>
      <c r="M85" s="45">
        <f>M82+'TX-HPLR-FLSH'!M82</f>
        <v>2822654.0700067473</v>
      </c>
    </row>
    <row r="86" spans="1:67" s="3" customFormat="1" x14ac:dyDescent="0.2">
      <c r="A86" s="144"/>
      <c r="C86" s="10" t="s">
        <v>166</v>
      </c>
      <c r="D86" s="148">
        <v>0</v>
      </c>
      <c r="E86" s="148">
        <v>9167000</v>
      </c>
      <c r="F86" s="148">
        <f t="shared" ref="F86:G88" si="25">H86-D86</f>
        <v>0</v>
      </c>
      <c r="G86" s="148">
        <f t="shared" si="25"/>
        <v>-6519936</v>
      </c>
      <c r="H86" s="148">
        <f t="shared" ref="H86:I88" si="26">D86</f>
        <v>0</v>
      </c>
      <c r="I86" s="148">
        <f>116936+2482136-9423+57415</f>
        <v>2647064</v>
      </c>
      <c r="J86" s="148"/>
      <c r="K86" s="148"/>
      <c r="L86" s="148">
        <f t="shared" ref="L86:M88" si="27">H86+J86</f>
        <v>0</v>
      </c>
      <c r="M86" s="148">
        <f t="shared" si="27"/>
        <v>2647064</v>
      </c>
    </row>
    <row r="87" spans="1:67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-2114953</v>
      </c>
      <c r="H88" s="150">
        <f t="shared" si="26"/>
        <v>0</v>
      </c>
      <c r="I88" s="150">
        <f>-57416-2057537</f>
        <v>-2114953</v>
      </c>
      <c r="J88" s="150"/>
      <c r="K88" s="150"/>
      <c r="L88" s="150">
        <f t="shared" si="27"/>
        <v>0</v>
      </c>
      <c r="M88" s="150">
        <f t="shared" si="27"/>
        <v>-2114953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8">SUM(E86:E88)</f>
        <v>9167000</v>
      </c>
      <c r="F89" s="155">
        <f t="shared" si="28"/>
        <v>0</v>
      </c>
      <c r="G89" s="155">
        <f t="shared" si="28"/>
        <v>-8634889</v>
      </c>
      <c r="H89" s="155">
        <f t="shared" si="28"/>
        <v>0</v>
      </c>
      <c r="I89" s="155">
        <f t="shared" si="28"/>
        <v>532111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9">+E82+E89</f>
        <v>11994021.632918958</v>
      </c>
      <c r="F91" s="155">
        <f t="shared" si="29"/>
        <v>0</v>
      </c>
      <c r="G91" s="155">
        <f t="shared" si="29"/>
        <v>-8634889</v>
      </c>
      <c r="H91" s="155">
        <f t="shared" si="29"/>
        <v>0</v>
      </c>
      <c r="I91" s="155">
        <f t="shared" si="29"/>
        <v>3359132.6329189576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3359132.6329189576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115828</v>
      </c>
      <c r="E11" s="60">
        <v>268689.84000000358</v>
      </c>
      <c r="F11" s="60">
        <f>H11-D11</f>
        <v>0</v>
      </c>
      <c r="G11" s="37">
        <f>I11-E11</f>
        <v>0</v>
      </c>
      <c r="H11" s="65">
        <f>D11</f>
        <v>115828</v>
      </c>
      <c r="I11" s="66">
        <f>E11</f>
        <v>268689.84000000358</v>
      </c>
      <c r="J11" s="60"/>
      <c r="K11" s="38"/>
      <c r="L11" s="60">
        <f t="shared" ref="L11:M15" si="0">H11+J11</f>
        <v>115828</v>
      </c>
      <c r="M11" s="38">
        <f t="shared" si="0"/>
        <v>268689.84000000358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0</v>
      </c>
      <c r="E13" s="60">
        <v>0.41000000014901161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0.41000000014901161</v>
      </c>
      <c r="J13" s="60"/>
      <c r="K13" s="38"/>
      <c r="L13" s="60">
        <f t="shared" si="0"/>
        <v>0</v>
      </c>
      <c r="M13" s="38">
        <f t="shared" si="0"/>
        <v>0.41000000014901161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115828</v>
      </c>
      <c r="E16" s="39">
        <v>268690.25000000373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115828</v>
      </c>
      <c r="I16" s="39">
        <f>SUM(I11:I15)</f>
        <v>268690.25000000373</v>
      </c>
      <c r="J16" s="61">
        <f t="shared" si="3"/>
        <v>0</v>
      </c>
      <c r="K16" s="39">
        <f t="shared" si="3"/>
        <v>0</v>
      </c>
      <c r="L16" s="61">
        <f t="shared" si="3"/>
        <v>115828</v>
      </c>
      <c r="M16" s="39">
        <f t="shared" si="3"/>
        <v>268690.25000000373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0</v>
      </c>
      <c r="E19" s="60">
        <v>-5.9399999976158142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-5.9399999976158142</v>
      </c>
      <c r="J19" s="60"/>
      <c r="K19" s="38"/>
      <c r="L19" s="60">
        <f t="shared" ref="L19:M23" si="5">H19+J19</f>
        <v>0</v>
      </c>
      <c r="M19" s="38">
        <f t="shared" si="5"/>
        <v>-5.9399999976158142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0</v>
      </c>
      <c r="E21" s="60">
        <v>-1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-1</v>
      </c>
      <c r="J21" s="60"/>
      <c r="K21" s="38"/>
      <c r="L21" s="60">
        <f t="shared" si="5"/>
        <v>0</v>
      </c>
      <c r="M21" s="38">
        <f t="shared" si="5"/>
        <v>-1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0</v>
      </c>
      <c r="E23" s="60">
        <v>-1.819999999999709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-1.819999999999709</v>
      </c>
      <c r="J23" s="60"/>
      <c r="K23" s="38"/>
      <c r="L23" s="60">
        <f t="shared" si="5"/>
        <v>0</v>
      </c>
      <c r="M23" s="38">
        <f t="shared" si="5"/>
        <v>-1.819999999999709</v>
      </c>
    </row>
    <row r="24" spans="1:13" x14ac:dyDescent="0.2">
      <c r="A24" s="9"/>
      <c r="B24" s="7" t="s">
        <v>33</v>
      </c>
      <c r="C24" s="6"/>
      <c r="D24" s="61">
        <v>0</v>
      </c>
      <c r="E24" s="39">
        <v>-8.7599999976155232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-8.7599999976155232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-8.7599999976155232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0</v>
      </c>
      <c r="E27" s="60">
        <v>0.2800000011920929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0.2800000011920929</v>
      </c>
      <c r="J27" s="60"/>
      <c r="K27" s="38"/>
      <c r="L27" s="60">
        <f>H27+J27</f>
        <v>0</v>
      </c>
      <c r="M27" s="38">
        <f>I27+K27</f>
        <v>0.2800000011920929</v>
      </c>
    </row>
    <row r="28" spans="1:13" x14ac:dyDescent="0.2">
      <c r="A28" s="9">
        <v>12</v>
      </c>
      <c r="B28" s="7"/>
      <c r="C28" s="18" t="s">
        <v>36</v>
      </c>
      <c r="D28" s="60">
        <v>-232540</v>
      </c>
      <c r="E28" s="60">
        <v>-538353.00999999046</v>
      </c>
      <c r="F28" s="60">
        <f>H28-D28</f>
        <v>0</v>
      </c>
      <c r="G28" s="37">
        <f>I28-E28</f>
        <v>0</v>
      </c>
      <c r="H28" s="65">
        <f>D28</f>
        <v>-232540</v>
      </c>
      <c r="I28" s="66">
        <f>E28</f>
        <v>-538353.00999999046</v>
      </c>
      <c r="J28" s="60"/>
      <c r="K28" s="38"/>
      <c r="L28" s="60">
        <f>H28+J28</f>
        <v>-232540</v>
      </c>
      <c r="M28" s="38">
        <f>I28+K28</f>
        <v>-538353.00999999046</v>
      </c>
    </row>
    <row r="29" spans="1:13" x14ac:dyDescent="0.2">
      <c r="A29" s="9"/>
      <c r="B29" s="7" t="s">
        <v>37</v>
      </c>
      <c r="C29" s="6"/>
      <c r="D29" s="61">
        <v>-232540</v>
      </c>
      <c r="E29" s="39">
        <v>-538352.72999998927</v>
      </c>
      <c r="F29" s="61">
        <f t="shared" ref="F29:M29" si="8">SUM(F27:F28)</f>
        <v>0</v>
      </c>
      <c r="G29" s="39">
        <f t="shared" si="8"/>
        <v>0</v>
      </c>
      <c r="H29" s="61">
        <f>SUM(H27:H28)</f>
        <v>-232540</v>
      </c>
      <c r="I29" s="39">
        <f>SUM(I27:I28)</f>
        <v>-538352.72999998927</v>
      </c>
      <c r="J29" s="61">
        <f t="shared" si="8"/>
        <v>0</v>
      </c>
      <c r="K29" s="39">
        <f t="shared" si="8"/>
        <v>0</v>
      </c>
      <c r="L29" s="61">
        <f t="shared" si="8"/>
        <v>-232540</v>
      </c>
      <c r="M29" s="39">
        <f t="shared" si="8"/>
        <v>-538352.72999998927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0</v>
      </c>
      <c r="E39" s="60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0</v>
      </c>
      <c r="E40" s="60">
        <v>0.44999999925494194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0.44999999925494194</v>
      </c>
      <c r="J40" s="60"/>
      <c r="K40" s="38"/>
      <c r="L40" s="60">
        <f t="shared" si="14"/>
        <v>0</v>
      </c>
      <c r="M40" s="38">
        <f t="shared" si="14"/>
        <v>0.44999999925494194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0.44999999925494194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0.44999999925494194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0.44999999925494194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0.44999999925494194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0.44999999925494194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0.44999999925494194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116712</v>
      </c>
      <c r="E49" s="60">
        <v>265303.22708777338</v>
      </c>
      <c r="F49" s="60">
        <f>H49-D49</f>
        <v>0</v>
      </c>
      <c r="G49" s="37">
        <f>I49-E49</f>
        <v>0</v>
      </c>
      <c r="H49" s="65">
        <f>D49</f>
        <v>116712</v>
      </c>
      <c r="I49" s="66">
        <f>E49</f>
        <v>265303.22708777338</v>
      </c>
      <c r="J49" s="60"/>
      <c r="K49" s="38"/>
      <c r="L49" s="60">
        <f>H49+J49</f>
        <v>116712</v>
      </c>
      <c r="M49" s="38">
        <f>I49+K49</f>
        <v>265303.22708777338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14</v>
      </c>
      <c r="E51" s="60">
        <v>0</v>
      </c>
      <c r="F51" s="60">
        <f>H51-D51</f>
        <v>0</v>
      </c>
      <c r="G51" s="37">
        <f>I51-E51</f>
        <v>0</v>
      </c>
      <c r="H51" s="65">
        <f>D51</f>
        <v>14</v>
      </c>
      <c r="I51" s="66">
        <f>E51</f>
        <v>0</v>
      </c>
      <c r="J51" s="60"/>
      <c r="K51" s="38"/>
      <c r="L51" s="60">
        <f>H51+J51</f>
        <v>14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-4367.5629122105311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-4367.5629122105311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-4367.5629122105311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A62"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v>38222321</v>
      </c>
      <c r="E11" s="60">
        <v>89664557</v>
      </c>
      <c r="F11" s="60">
        <f>H11-D11</f>
        <v>0</v>
      </c>
      <c r="G11" s="37">
        <f>I11-E11</f>
        <v>0</v>
      </c>
      <c r="H11" s="65">
        <f>D11</f>
        <v>38222321</v>
      </c>
      <c r="I11" s="66">
        <f>E11</f>
        <v>89664557</v>
      </c>
      <c r="J11" s="60"/>
      <c r="K11" s="38"/>
      <c r="L11" s="60">
        <f t="shared" ref="L11:M15" si="0">H11+J11</f>
        <v>38222321</v>
      </c>
      <c r="M11" s="38">
        <f t="shared" si="0"/>
        <v>89664557</v>
      </c>
    </row>
    <row r="12" spans="1:26" x14ac:dyDescent="0.2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v>1467486</v>
      </c>
      <c r="E13" s="60">
        <v>3771001</v>
      </c>
      <c r="F13" s="60">
        <f t="shared" si="1"/>
        <v>0</v>
      </c>
      <c r="G13" s="37">
        <f t="shared" si="1"/>
        <v>0</v>
      </c>
      <c r="H13" s="65">
        <f t="shared" si="2"/>
        <v>1467486</v>
      </c>
      <c r="I13" s="66">
        <f t="shared" si="2"/>
        <v>3771001</v>
      </c>
      <c r="J13" s="60"/>
      <c r="K13" s="38"/>
      <c r="L13" s="60">
        <f t="shared" si="0"/>
        <v>1467486</v>
      </c>
      <c r="M13" s="38">
        <f t="shared" si="0"/>
        <v>3771001</v>
      </c>
    </row>
    <row r="14" spans="1:26" x14ac:dyDescent="0.2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39689807</v>
      </c>
      <c r="E16" s="39">
        <v>93435558</v>
      </c>
      <c r="F16" s="61">
        <f t="shared" ref="F16:M16" si="3">SUM(F11:F15)</f>
        <v>0</v>
      </c>
      <c r="G16" s="39">
        <f t="shared" si="3"/>
        <v>0</v>
      </c>
      <c r="H16" s="61">
        <f>SUM(H11:H15)</f>
        <v>39689807</v>
      </c>
      <c r="I16" s="39">
        <f>SUM(I11:I15)</f>
        <v>93435558</v>
      </c>
      <c r="J16" s="61">
        <f t="shared" si="3"/>
        <v>0</v>
      </c>
      <c r="K16" s="39">
        <f t="shared" si="3"/>
        <v>0</v>
      </c>
      <c r="L16" s="61">
        <f t="shared" si="3"/>
        <v>39689807</v>
      </c>
      <c r="M16" s="39">
        <f t="shared" si="3"/>
        <v>93435558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v>-50284590</v>
      </c>
      <c r="E19" s="60">
        <v>-114328218</v>
      </c>
      <c r="F19" s="60">
        <f>H19-D19</f>
        <v>0</v>
      </c>
      <c r="G19" s="37">
        <f>I19-E19</f>
        <v>0</v>
      </c>
      <c r="H19" s="65">
        <f t="shared" si="4"/>
        <v>-50284590</v>
      </c>
      <c r="I19" s="66">
        <f t="shared" si="4"/>
        <v>-114328218</v>
      </c>
      <c r="J19" s="60"/>
      <c r="K19" s="38"/>
      <c r="L19" s="60">
        <f t="shared" ref="L19:M23" si="5">H19+J19</f>
        <v>-50284590</v>
      </c>
      <c r="M19" s="38">
        <f t="shared" si="5"/>
        <v>-114328218</v>
      </c>
    </row>
    <row r="20" spans="1:13" x14ac:dyDescent="0.2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>
        <v>-990233</v>
      </c>
      <c r="E21" s="60">
        <v>-2355679</v>
      </c>
      <c r="F21" s="60">
        <f t="shared" si="6"/>
        <v>0</v>
      </c>
      <c r="G21" s="37">
        <f t="shared" si="6"/>
        <v>0</v>
      </c>
      <c r="H21" s="65">
        <f t="shared" si="4"/>
        <v>-990233</v>
      </c>
      <c r="I21" s="66">
        <f t="shared" si="4"/>
        <v>-2355679</v>
      </c>
      <c r="J21" s="60"/>
      <c r="K21" s="38"/>
      <c r="L21" s="60">
        <f t="shared" si="5"/>
        <v>-990233</v>
      </c>
      <c r="M21" s="38">
        <f t="shared" si="5"/>
        <v>-2355679</v>
      </c>
    </row>
    <row r="22" spans="1:13" x14ac:dyDescent="0.2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>
        <v>13349</v>
      </c>
      <c r="E23" s="60">
        <v>31419</v>
      </c>
      <c r="F23" s="60">
        <f t="shared" si="6"/>
        <v>0</v>
      </c>
      <c r="G23" s="37">
        <f t="shared" si="6"/>
        <v>0</v>
      </c>
      <c r="H23" s="65">
        <f t="shared" si="4"/>
        <v>13349</v>
      </c>
      <c r="I23" s="66">
        <f t="shared" si="4"/>
        <v>31419</v>
      </c>
      <c r="J23" s="60"/>
      <c r="K23" s="38"/>
      <c r="L23" s="60">
        <f t="shared" si="5"/>
        <v>13349</v>
      </c>
      <c r="M23" s="38">
        <f t="shared" si="5"/>
        <v>31419</v>
      </c>
    </row>
    <row r="24" spans="1:13" x14ac:dyDescent="0.2">
      <c r="A24" s="9"/>
      <c r="B24" s="7" t="s">
        <v>33</v>
      </c>
      <c r="C24" s="6"/>
      <c r="D24" s="61">
        <v>-51261474</v>
      </c>
      <c r="E24" s="39">
        <v>-116652478</v>
      </c>
      <c r="F24" s="61">
        <f t="shared" ref="F24:M24" si="7">SUM(F19:F23)</f>
        <v>0</v>
      </c>
      <c r="G24" s="39">
        <f t="shared" si="7"/>
        <v>0</v>
      </c>
      <c r="H24" s="61">
        <f>SUM(H19:H23)</f>
        <v>-51261474</v>
      </c>
      <c r="I24" s="39">
        <f>SUM(I19:I23)</f>
        <v>-116652478</v>
      </c>
      <c r="J24" s="61">
        <f t="shared" si="7"/>
        <v>0</v>
      </c>
      <c r="K24" s="39">
        <f t="shared" si="7"/>
        <v>0</v>
      </c>
      <c r="L24" s="61">
        <f t="shared" si="7"/>
        <v>-51261474</v>
      </c>
      <c r="M24" s="39">
        <f t="shared" si="7"/>
        <v>-116652478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v>75102214</v>
      </c>
      <c r="E27" s="60">
        <v>176559658</v>
      </c>
      <c r="F27" s="60">
        <f>H27-D27</f>
        <v>0</v>
      </c>
      <c r="G27" s="37">
        <f>I27-E27</f>
        <v>0</v>
      </c>
      <c r="H27" s="65">
        <f>D27</f>
        <v>75102214</v>
      </c>
      <c r="I27" s="66">
        <f>E27</f>
        <v>176559658</v>
      </c>
      <c r="J27" s="60"/>
      <c r="K27" s="38"/>
      <c r="L27" s="60">
        <f>H27+J27</f>
        <v>75102214</v>
      </c>
      <c r="M27" s="38">
        <f>I27+K27</f>
        <v>176559658</v>
      </c>
    </row>
    <row r="28" spans="1:13" x14ac:dyDescent="0.2">
      <c r="A28" s="9">
        <v>12</v>
      </c>
      <c r="B28" s="7"/>
      <c r="C28" s="18" t="s">
        <v>36</v>
      </c>
      <c r="D28" s="60">
        <v>-69806478</v>
      </c>
      <c r="E28" s="60">
        <v>-165888207</v>
      </c>
      <c r="F28" s="60">
        <f>H28-D28</f>
        <v>0</v>
      </c>
      <c r="G28" s="37">
        <f>I28-E28</f>
        <v>0</v>
      </c>
      <c r="H28" s="65">
        <f>D28</f>
        <v>-69806478</v>
      </c>
      <c r="I28" s="66">
        <f>E28</f>
        <v>-165888207</v>
      </c>
      <c r="J28" s="60"/>
      <c r="K28" s="38"/>
      <c r="L28" s="60">
        <f>H28+J28</f>
        <v>-69806478</v>
      </c>
      <c r="M28" s="38">
        <f>I28+K28</f>
        <v>-165888207</v>
      </c>
    </row>
    <row r="29" spans="1:13" x14ac:dyDescent="0.2">
      <c r="A29" s="9"/>
      <c r="B29" s="7" t="s">
        <v>37</v>
      </c>
      <c r="C29" s="6"/>
      <c r="D29" s="61">
        <v>5295736</v>
      </c>
      <c r="E29" s="39">
        <v>10671451</v>
      </c>
      <c r="F29" s="61">
        <f t="shared" ref="F29:M29" si="8">SUM(F27:F28)</f>
        <v>0</v>
      </c>
      <c r="G29" s="39">
        <f t="shared" si="8"/>
        <v>0</v>
      </c>
      <c r="H29" s="61">
        <f>SUM(H27:H28)</f>
        <v>5295736</v>
      </c>
      <c r="I29" s="39">
        <f>SUM(I27:I28)</f>
        <v>10671451</v>
      </c>
      <c r="J29" s="61">
        <f t="shared" si="8"/>
        <v>0</v>
      </c>
      <c r="K29" s="39">
        <f t="shared" si="8"/>
        <v>0</v>
      </c>
      <c r="L29" s="61">
        <f t="shared" si="8"/>
        <v>5295736</v>
      </c>
      <c r="M29" s="39">
        <f t="shared" si="8"/>
        <v>10671451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v>10544159</v>
      </c>
      <c r="E39" s="60">
        <v>25341242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10544159</v>
      </c>
      <c r="I39" s="66">
        <f t="shared" si="12"/>
        <v>25341242</v>
      </c>
      <c r="J39" s="60"/>
      <c r="K39" s="38"/>
      <c r="L39" s="60">
        <f t="shared" ref="L39:M41" si="14">H39+J39</f>
        <v>10544159</v>
      </c>
      <c r="M39" s="38">
        <f t="shared" si="14"/>
        <v>25341242</v>
      </c>
    </row>
    <row r="40" spans="1:13" ht="22.5" customHeight="1" x14ac:dyDescent="0.2">
      <c r="A40" s="9">
        <v>18</v>
      </c>
      <c r="B40" s="7"/>
      <c r="C40" s="18" t="s">
        <v>46</v>
      </c>
      <c r="D40" s="60">
        <v>-12580174</v>
      </c>
      <c r="E40" s="60">
        <v>-30100306</v>
      </c>
      <c r="F40" s="60">
        <f t="shared" si="13"/>
        <v>0</v>
      </c>
      <c r="G40" s="37">
        <f t="shared" si="13"/>
        <v>0</v>
      </c>
      <c r="H40" s="65">
        <f t="shared" si="12"/>
        <v>-12580174</v>
      </c>
      <c r="I40" s="66">
        <f t="shared" si="12"/>
        <v>-30100306</v>
      </c>
      <c r="J40" s="60"/>
      <c r="K40" s="38"/>
      <c r="L40" s="60">
        <f t="shared" si="14"/>
        <v>-12580174</v>
      </c>
      <c r="M40" s="38">
        <f t="shared" si="14"/>
        <v>-30100306</v>
      </c>
    </row>
    <row r="41" spans="1:13" x14ac:dyDescent="0.2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-12580174</v>
      </c>
      <c r="E42" s="39">
        <v>-30100306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-12580174</v>
      </c>
      <c r="I42" s="39">
        <f>SUM(I40:I41)</f>
        <v>-30100306</v>
      </c>
      <c r="J42" s="61">
        <f t="shared" si="15"/>
        <v>0</v>
      </c>
      <c r="K42" s="39">
        <f t="shared" si="15"/>
        <v>0</v>
      </c>
      <c r="L42" s="61">
        <f t="shared" si="15"/>
        <v>-12580174</v>
      </c>
      <c r="M42" s="39">
        <f t="shared" si="15"/>
        <v>-30100306</v>
      </c>
    </row>
    <row r="43" spans="1:13" ht="21" customHeight="1" x14ac:dyDescent="0.2">
      <c r="A43" s="9"/>
      <c r="B43" s="7" t="s">
        <v>49</v>
      </c>
      <c r="C43" s="6"/>
      <c r="D43" s="61">
        <v>-2036015</v>
      </c>
      <c r="E43" s="39">
        <v>-4759064</v>
      </c>
      <c r="F43" s="61">
        <f t="shared" ref="F43:M43" si="16">F42+F39</f>
        <v>0</v>
      </c>
      <c r="G43" s="39">
        <f t="shared" si="16"/>
        <v>0</v>
      </c>
      <c r="H43" s="61">
        <f>H42+H39</f>
        <v>-2036015</v>
      </c>
      <c r="I43" s="39">
        <f>I42+I39</f>
        <v>-4759064</v>
      </c>
      <c r="J43" s="61">
        <f t="shared" si="16"/>
        <v>0</v>
      </c>
      <c r="K43" s="39">
        <f t="shared" si="16"/>
        <v>0</v>
      </c>
      <c r="L43" s="61">
        <f t="shared" si="16"/>
        <v>-2036015</v>
      </c>
      <c r="M43" s="39">
        <f t="shared" si="16"/>
        <v>-4759064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v>8311946</v>
      </c>
      <c r="E49" s="60">
        <v>18894253.351663016</v>
      </c>
      <c r="F49" s="60">
        <f>H49-D49</f>
        <v>0</v>
      </c>
      <c r="G49" s="37">
        <f>I49-E49</f>
        <v>0</v>
      </c>
      <c r="H49" s="65">
        <f>D49</f>
        <v>8311946</v>
      </c>
      <c r="I49" s="66">
        <f>E49</f>
        <v>18894253.351663016</v>
      </c>
      <c r="J49" s="60"/>
      <c r="K49" s="38"/>
      <c r="L49" s="60">
        <f>H49+J49</f>
        <v>8311946</v>
      </c>
      <c r="M49" s="38">
        <f>I49+K49</f>
        <v>18894253.351663016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v>0</v>
      </c>
      <c r="E54" s="60">
        <v>-1544388.7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-1544388.7</v>
      </c>
      <c r="J54" s="60"/>
      <c r="K54" s="38"/>
      <c r="L54" s="60">
        <f>H54+J54</f>
        <v>0</v>
      </c>
      <c r="M54" s="38">
        <f>I54+K54</f>
        <v>-1544388.7</v>
      </c>
    </row>
    <row r="55" spans="1:15" x14ac:dyDescent="0.2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-1544388.7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-1544388.7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-1544388.7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0">
        <v>0</v>
      </c>
      <c r="E76" s="60">
        <v>-2541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-2541</v>
      </c>
      <c r="J76" s="60"/>
      <c r="K76" s="38"/>
      <c r="L76" s="60">
        <f t="shared" si="22"/>
        <v>0</v>
      </c>
      <c r="M76" s="38">
        <f t="shared" si="22"/>
        <v>-2541</v>
      </c>
    </row>
    <row r="77" spans="1:13" x14ac:dyDescent="0.2">
      <c r="A77" s="9">
        <v>36</v>
      </c>
      <c r="B77" s="3"/>
      <c r="C77" s="10" t="s">
        <v>74</v>
      </c>
      <c r="D77" s="60">
        <v>0</v>
      </c>
      <c r="E77" s="60">
        <v>-98300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-98300</v>
      </c>
      <c r="J77" s="60"/>
      <c r="K77" s="38"/>
      <c r="L77" s="60">
        <f t="shared" si="22"/>
        <v>0</v>
      </c>
      <c r="M77" s="38">
        <f t="shared" si="22"/>
        <v>-98300</v>
      </c>
    </row>
    <row r="78" spans="1:13" x14ac:dyDescent="0.2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141">
        <f>SUM(E72:E81)+E16+E24+E29+E36+E43+E45+E47+E49+E51+E56+E61+E66</f>
        <v>-55509.348336984171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-55509.348336984171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-55509.348336984171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177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0">
        <f>'TX-EGM-FLSH'!D11+'TX-HPLR-FLSH'!D11+'TX-HPLC-FLSH'!D11</f>
        <v>55805474</v>
      </c>
      <c r="E11" s="38">
        <f>'TX-EGM-FLSH'!E11+'TX-HPLR-FLSH'!E11+'TX-HPLC-FLSH'!E11</f>
        <v>131644933</v>
      </c>
      <c r="F11" s="60">
        <f>H11-D11</f>
        <v>0</v>
      </c>
      <c r="G11" s="37">
        <f>I11-E11</f>
        <v>0</v>
      </c>
      <c r="H11" s="60">
        <f>'TX-EGM-FLSH'!H11+'TX-HPLR-FLSH'!H11+'TX-HPLC-FLSH'!H11</f>
        <v>55805474</v>
      </c>
      <c r="I11" s="38">
        <f>'TX-EGM-FLSH'!I11+'TX-HPLR-FLSH'!I11+'TX-HPLC-FLSH'!I11</f>
        <v>131644933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55805474</v>
      </c>
      <c r="M11" s="38">
        <f t="shared" si="0"/>
        <v>131644933</v>
      </c>
    </row>
    <row r="12" spans="1:26" x14ac:dyDescent="0.2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0">
        <f>'TX-EGM-FLSH'!D13+'TX-HPLR-FLSH'!D13+'TX-HPLC-FLSH'!D13</f>
        <v>2942768</v>
      </c>
      <c r="E13" s="38">
        <f>'TX-EGM-FLSH'!E13+'TX-HPLR-FLSH'!E13+'TX-HPLC-FLSH'!E13</f>
        <v>7173548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2942768</v>
      </c>
      <c r="I13" s="38">
        <f>'TX-EGM-FLSH'!I13+'TX-HPLR-FLSH'!I13+'TX-HPLC-FLSH'!I13</f>
        <v>7173548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2942768</v>
      </c>
      <c r="M13" s="38">
        <f t="shared" si="0"/>
        <v>7173548</v>
      </c>
    </row>
    <row r="14" spans="1:26" x14ac:dyDescent="0.2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120000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120000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120000</v>
      </c>
    </row>
    <row r="16" spans="1:26" x14ac:dyDescent="0.2">
      <c r="A16" s="9"/>
      <c r="B16" s="7" t="s">
        <v>30</v>
      </c>
      <c r="C16" s="6"/>
      <c r="D16" s="61">
        <f>SUM(D11:D15)</f>
        <v>58748242</v>
      </c>
      <c r="E16" s="39">
        <f>SUM(E11:E15)</f>
        <v>138938481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58748242</v>
      </c>
      <c r="I16" s="39">
        <f t="shared" si="2"/>
        <v>138938481</v>
      </c>
      <c r="J16" s="61">
        <f t="shared" si="2"/>
        <v>0</v>
      </c>
      <c r="K16" s="39">
        <f t="shared" si="2"/>
        <v>0</v>
      </c>
      <c r="L16" s="61">
        <f t="shared" si="2"/>
        <v>58748242</v>
      </c>
      <c r="M16" s="39">
        <f t="shared" si="2"/>
        <v>138938481</v>
      </c>
    </row>
    <row r="17" spans="1:13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>
        <f>'TX-EGM-FLSH'!D19+'TX-HPLR-FLSH'!D19+'TX-HPLC-FLSH'!D19</f>
        <v>-54862192</v>
      </c>
      <c r="E19" s="38">
        <f>'TX-EGM-FLSH'!E19+'TX-HPLR-FLSH'!E19+'TX-HPLC-FLSH'!E19</f>
        <v>-124710492</v>
      </c>
      <c r="F19" s="60">
        <f>H19-D19</f>
        <v>0</v>
      </c>
      <c r="G19" s="37">
        <f>I19-E19</f>
        <v>0</v>
      </c>
      <c r="H19" s="60">
        <f>'TX-EGM-FLSH'!H19+'TX-HPLR-FLSH'!H19+'TX-HPLC-FLSH'!H19</f>
        <v>-54862192</v>
      </c>
      <c r="I19" s="38">
        <f>'TX-EGM-FLSH'!I19+'TX-HPLR-FLSH'!I19+'TX-HPLC-FLSH'!I19</f>
        <v>-124710492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-54862192</v>
      </c>
      <c r="M19" s="38">
        <f t="shared" si="3"/>
        <v>-124710492</v>
      </c>
    </row>
    <row r="20" spans="1:13" x14ac:dyDescent="0.2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">
      <c r="A21" s="9">
        <v>8</v>
      </c>
      <c r="B21" s="7"/>
      <c r="C21" s="18" t="s">
        <v>27</v>
      </c>
      <c r="D21" s="60">
        <f>'TX-EGM-FLSH'!D21+'TX-HPLR-FLSH'!D21+'TX-HPLC-FLSH'!D21</f>
        <v>-1130013</v>
      </c>
      <c r="E21" s="38">
        <f>'TX-EGM-FLSH'!E21+'TX-HPLR-FLSH'!E21+'TX-HPLC-FLSH'!E21</f>
        <v>-2653363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-1130013</v>
      </c>
      <c r="I21" s="38">
        <f>'TX-EGM-FLSH'!I21+'TX-HPLR-FLSH'!I21+'TX-HPLC-FLSH'!I21</f>
        <v>-2653363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-1130013</v>
      </c>
      <c r="M21" s="38">
        <f t="shared" si="3"/>
        <v>-2653363</v>
      </c>
    </row>
    <row r="22" spans="1:13" x14ac:dyDescent="0.2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">
      <c r="A23" s="9">
        <v>10</v>
      </c>
      <c r="B23" s="7"/>
      <c r="C23" s="18" t="s">
        <v>32</v>
      </c>
      <c r="D23" s="60">
        <f>'TX-EGM-FLSH'!D23+'TX-HPLR-FLSH'!D23+'TX-HPLC-FLSH'!D23</f>
        <v>13363</v>
      </c>
      <c r="E23" s="38">
        <f>'TX-EGM-FLSH'!E23+'TX-HPLR-FLSH'!E23+'TX-HPLC-FLSH'!E23</f>
        <v>31448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13363</v>
      </c>
      <c r="I23" s="38">
        <f>'TX-EGM-FLSH'!I23+'TX-HPLR-FLSH'!I23+'TX-HPLC-FLSH'!I23</f>
        <v>31448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13363</v>
      </c>
      <c r="M23" s="38">
        <f t="shared" si="3"/>
        <v>31448</v>
      </c>
    </row>
    <row r="24" spans="1:13" x14ac:dyDescent="0.2">
      <c r="A24" s="9"/>
      <c r="B24" s="7" t="s">
        <v>33</v>
      </c>
      <c r="C24" s="6"/>
      <c r="D24" s="61">
        <f>SUM(D19:D23)</f>
        <v>-55978842</v>
      </c>
      <c r="E24" s="39">
        <f>SUM(E19:E23)</f>
        <v>-127332407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-55978842</v>
      </c>
      <c r="I24" s="39">
        <f t="shared" si="5"/>
        <v>-127332407</v>
      </c>
      <c r="J24" s="61">
        <f t="shared" si="5"/>
        <v>0</v>
      </c>
      <c r="K24" s="39">
        <f t="shared" si="5"/>
        <v>0</v>
      </c>
      <c r="L24" s="61">
        <f t="shared" si="5"/>
        <v>-55978842</v>
      </c>
      <c r="M24" s="39">
        <f t="shared" si="5"/>
        <v>-127332407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>
        <f>'TX-EGM-FLSH'!D27+'TX-HPLR-FLSH'!D27+'TX-HPLC-FLSH'!D27</f>
        <v>91862022</v>
      </c>
      <c r="E27" s="38">
        <f>'TX-EGM-FLSH'!E27+'TX-HPLR-FLSH'!E27+'TX-HPLC-FLSH'!E27</f>
        <v>215996358</v>
      </c>
      <c r="F27" s="60">
        <f>H27-D27</f>
        <v>0</v>
      </c>
      <c r="G27" s="37">
        <f>I27-E27</f>
        <v>0</v>
      </c>
      <c r="H27" s="60">
        <f>'TX-EGM-FLSH'!H27+'TX-HPLR-FLSH'!H27+'TX-HPLC-FLSH'!H27</f>
        <v>91862022</v>
      </c>
      <c r="I27" s="38">
        <f>'TX-EGM-FLSH'!I27+'TX-HPLR-FLSH'!I27+'TX-HPLC-FLSH'!I27</f>
        <v>215996358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91862022</v>
      </c>
      <c r="M27" s="38">
        <f>I27+K27</f>
        <v>215996358</v>
      </c>
    </row>
    <row r="28" spans="1:13" x14ac:dyDescent="0.2">
      <c r="A28" s="9">
        <v>12</v>
      </c>
      <c r="B28" s="7"/>
      <c r="C28" s="18" t="s">
        <v>36</v>
      </c>
      <c r="D28" s="60">
        <f>'TX-EGM-FLSH'!D28+'TX-HPLR-FLSH'!D28+'TX-HPLC-FLSH'!D28</f>
        <v>-91086157</v>
      </c>
      <c r="E28" s="38">
        <f>'TX-EGM-FLSH'!E28+'TX-HPLR-FLSH'!E28+'TX-HPLC-FLSH'!E28</f>
        <v>-214181338</v>
      </c>
      <c r="F28" s="60">
        <f>H28-D28</f>
        <v>0</v>
      </c>
      <c r="G28" s="37">
        <f>I28-E28</f>
        <v>0</v>
      </c>
      <c r="H28" s="60">
        <f>'TX-EGM-FLSH'!H28+'TX-HPLR-FLSH'!H28+'TX-HPLC-FLSH'!H28</f>
        <v>-91086157</v>
      </c>
      <c r="I28" s="38">
        <f>'TX-EGM-FLSH'!I28+'TX-HPLR-FLSH'!I28+'TX-HPLC-FLSH'!I28</f>
        <v>-214181338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-91086157</v>
      </c>
      <c r="M28" s="38">
        <f>I28+K28</f>
        <v>-214181338</v>
      </c>
    </row>
    <row r="29" spans="1:13" x14ac:dyDescent="0.2">
      <c r="A29" s="9"/>
      <c r="B29" s="7" t="s">
        <v>37</v>
      </c>
      <c r="C29" s="6"/>
      <c r="D29" s="61">
        <f>SUM(D27:D28)</f>
        <v>775865</v>
      </c>
      <c r="E29" s="39">
        <f>SUM(E27:E28)</f>
        <v>1815020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775865</v>
      </c>
      <c r="I29" s="39">
        <f t="shared" si="6"/>
        <v>1815020</v>
      </c>
      <c r="J29" s="61">
        <f t="shared" si="6"/>
        <v>0</v>
      </c>
      <c r="K29" s="39">
        <f t="shared" si="6"/>
        <v>0</v>
      </c>
      <c r="L29" s="61">
        <f t="shared" si="6"/>
        <v>775865</v>
      </c>
      <c r="M29" s="39">
        <f t="shared" si="6"/>
        <v>1815020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>
        <f>'TX-EGM-FLSH'!D39+'TX-HPLR-FLSH'!D39+'TX-HPLC-FLSH'!D39</f>
        <v>10544159</v>
      </c>
      <c r="E39" s="38">
        <f>'TX-EGM-FLSH'!E39+'TX-HPLR-FLSH'!E39+'TX-HPLC-FLSH'!E39</f>
        <v>25341242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10544159</v>
      </c>
      <c r="I39" s="38">
        <f>'TX-EGM-FLSH'!I39+'TX-HPLR-FLSH'!I39+'TX-HPLC-FLSH'!I39</f>
        <v>25341242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10544159</v>
      </c>
      <c r="M39" s="38">
        <f t="shared" si="11"/>
        <v>25341242</v>
      </c>
    </row>
    <row r="40" spans="1:13" ht="22.5" customHeight="1" x14ac:dyDescent="0.2">
      <c r="A40" s="9">
        <v>18</v>
      </c>
      <c r="B40" s="7"/>
      <c r="C40" s="18" t="s">
        <v>46</v>
      </c>
      <c r="D40" s="60">
        <f>'TX-EGM-FLSH'!D40+'TX-HPLR-FLSH'!D40+'TX-HPLC-FLSH'!D40</f>
        <v>-13434256</v>
      </c>
      <c r="E40" s="38">
        <f>'TX-EGM-FLSH'!E40+'TX-HPLR-FLSH'!E40+'TX-HPLC-FLSH'!E40</f>
        <v>-32074773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-13434256</v>
      </c>
      <c r="I40" s="38">
        <f>'TX-EGM-FLSH'!I40+'TX-HPLR-FLSH'!I40+'TX-HPLC-FLSH'!I40</f>
        <v>-32074773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-13434256</v>
      </c>
      <c r="M40" s="38">
        <f t="shared" si="11"/>
        <v>-32074773</v>
      </c>
    </row>
    <row r="41" spans="1:13" x14ac:dyDescent="0.2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">
      <c r="A42" s="9"/>
      <c r="B42" s="7"/>
      <c r="C42" s="53" t="s">
        <v>48</v>
      </c>
      <c r="D42" s="61">
        <f>SUM(D40:D41)</f>
        <v>-13434256</v>
      </c>
      <c r="E42" s="39">
        <f>SUM(E40:E41)</f>
        <v>-32074773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-13434256</v>
      </c>
      <c r="I42" s="39">
        <f t="shared" si="12"/>
        <v>-32074773</v>
      </c>
      <c r="J42" s="61">
        <f t="shared" si="12"/>
        <v>0</v>
      </c>
      <c r="K42" s="39">
        <f t="shared" si="12"/>
        <v>0</v>
      </c>
      <c r="L42" s="61">
        <f t="shared" si="12"/>
        <v>-13434256</v>
      </c>
      <c r="M42" s="39">
        <f t="shared" si="12"/>
        <v>-32074773</v>
      </c>
    </row>
    <row r="43" spans="1:13" ht="21" customHeight="1" x14ac:dyDescent="0.2">
      <c r="A43" s="9"/>
      <c r="B43" s="7" t="s">
        <v>49</v>
      </c>
      <c r="C43" s="6"/>
      <c r="D43" s="61">
        <f>D42+D39</f>
        <v>-2890097</v>
      </c>
      <c r="E43" s="39">
        <f>E42+E39</f>
        <v>-6733531</v>
      </c>
      <c r="F43" s="61">
        <f t="shared" ref="F43:M43" si="13">F42+F39</f>
        <v>0</v>
      </c>
      <c r="G43" s="39">
        <f t="shared" si="13"/>
        <v>0</v>
      </c>
      <c r="H43" s="61">
        <f t="shared" si="13"/>
        <v>-2890097</v>
      </c>
      <c r="I43" s="39">
        <f t="shared" si="13"/>
        <v>-6733531</v>
      </c>
      <c r="J43" s="61">
        <f t="shared" si="13"/>
        <v>0</v>
      </c>
      <c r="K43" s="39">
        <f t="shared" si="13"/>
        <v>0</v>
      </c>
      <c r="L43" s="61">
        <f t="shared" si="13"/>
        <v>-2890097</v>
      </c>
      <c r="M43" s="39">
        <f t="shared" si="13"/>
        <v>-6733531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>
        <f>'TX-EGM-FLSH'!D49+'TX-HPLR-FLSH'!D49+'TX-HPLC-FLSH'!D49</f>
        <v>-655168</v>
      </c>
      <c r="E49" s="38">
        <f>'TX-EGM-FLSH'!E49+'TX-HPLR-FLSH'!E49+'TX-HPLC-FLSH'!E49</f>
        <v>-1489291.4583302587</v>
      </c>
      <c r="F49" s="60">
        <f>H49-D49</f>
        <v>0</v>
      </c>
      <c r="G49" s="37">
        <f>I49-E49</f>
        <v>0</v>
      </c>
      <c r="H49" s="60">
        <f>'TX-EGM-FLSH'!H49+'TX-HPLR-FLSH'!H49+'TX-HPLC-FLSH'!H49</f>
        <v>-655168</v>
      </c>
      <c r="I49" s="38">
        <f>'TX-EGM-FLSH'!I49+'TX-HPLR-FLSH'!I49+'TX-HPLC-FLSH'!I49</f>
        <v>-1489291.4583302587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-655168</v>
      </c>
      <c r="M49" s="38">
        <f>I49+K49</f>
        <v>-1489291.4583302587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-2019388.7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-2019388.7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-2019388.7</v>
      </c>
    </row>
    <row r="55" spans="1:15" x14ac:dyDescent="0.2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f>SUM(D54:D55)</f>
        <v>0</v>
      </c>
      <c r="E56" s="39">
        <f>SUM(E54:E55)</f>
        <v>-2019388.7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-2019388.7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-2019388.7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-2639306.77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-2639306.77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-2639306.77</v>
      </c>
    </row>
    <row r="71" spans="1:13" x14ac:dyDescent="0.2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739519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739519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739519</v>
      </c>
    </row>
    <row r="72" spans="1:13" x14ac:dyDescent="0.2">
      <c r="A72" s="9"/>
      <c r="B72" s="3"/>
      <c r="C72" s="55" t="s">
        <v>69</v>
      </c>
      <c r="D72" s="61">
        <f>SUM(D70:D71)</f>
        <v>0</v>
      </c>
      <c r="E72" s="39">
        <f>SUM(E70:E71)</f>
        <v>-1899787.77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-1899787.77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-1899787.77</v>
      </c>
    </row>
    <row r="73" spans="1:13" x14ac:dyDescent="0.2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1778233.65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1778233.65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1778233.65</v>
      </c>
    </row>
    <row r="75" spans="1:13" x14ac:dyDescent="0.2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17704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17704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17704</v>
      </c>
    </row>
    <row r="76" spans="1:13" x14ac:dyDescent="0.2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-2541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-2541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-2541</v>
      </c>
    </row>
    <row r="77" spans="1:13" x14ac:dyDescent="0.2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-207047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-207047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-207047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2767144.7216697363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2767144.7216697363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2767144.7216697363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165</v>
      </c>
      <c r="B85" s="3"/>
      <c r="E85" s="31">
        <f>+'TX-HPLR-FLSH'!E82+'TX-EGM-FLSH'!E82</f>
        <v>2822654.0700067473</v>
      </c>
    </row>
    <row r="86" spans="1:67" s="3" customFormat="1" x14ac:dyDescent="0.2">
      <c r="A86" s="144"/>
      <c r="C86" s="10" t="s">
        <v>166</v>
      </c>
      <c r="D86" s="148">
        <f>'TX-EGM-FLSH'!D86+'TX-HPLR-FLSH'!D86</f>
        <v>0</v>
      </c>
      <c r="E86" s="148">
        <f>'TX-EGM-FLSH'!E86+'TX-HPLR-FLSH'!E86</f>
        <v>9167000</v>
      </c>
      <c r="F86" s="148">
        <f>'TX-EGM-FLSH'!F86+'TX-HPLR-FLSH'!F86</f>
        <v>0</v>
      </c>
      <c r="G86" s="148">
        <f>'TX-EGM-FLSH'!G86+'TX-HPLR-FLSH'!G86</f>
        <v>-6519936</v>
      </c>
      <c r="H86" s="148">
        <f>'TX-EGM-FLSH'!H86+'TX-HPLR-FLSH'!H86+'TX-HPLC-FLSH'!H86</f>
        <v>0</v>
      </c>
      <c r="I86" s="148">
        <f>'TX-EGM-FLSH'!I86+'TX-HPLR-FLSH'!I86+'TX-HPLC-FLSH'!I86</f>
        <v>2647064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2647064</v>
      </c>
    </row>
    <row r="87" spans="1:67" s="3" customFormat="1" x14ac:dyDescent="0.2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-2114953</v>
      </c>
      <c r="H88" s="150">
        <f>'TX-EGM-FLSH'!H88+'TX-HPLR-FLSH'!H88+'TX-HPLC-FLSH'!H88</f>
        <v>0</v>
      </c>
      <c r="I88" s="150">
        <f>'TX-EGM-FLSH'!I88+'TX-HPLR-FLSH'!I88+'TX-HPLC-FLSH'!I88</f>
        <v>-2114953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-2114953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0">SUM(E86:E88)</f>
        <v>9167000</v>
      </c>
      <c r="F89" s="155">
        <f t="shared" si="20"/>
        <v>0</v>
      </c>
      <c r="G89" s="155">
        <f t="shared" si="20"/>
        <v>-8634889</v>
      </c>
      <c r="H89" s="155">
        <f t="shared" si="20"/>
        <v>0</v>
      </c>
      <c r="I89" s="155">
        <f t="shared" si="20"/>
        <v>532111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532111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1">+E82+E89</f>
        <v>11934144.721669737</v>
      </c>
      <c r="F91" s="155">
        <f t="shared" si="21"/>
        <v>0</v>
      </c>
      <c r="G91" s="155">
        <f t="shared" si="21"/>
        <v>-8634889</v>
      </c>
      <c r="H91" s="155">
        <f t="shared" si="21"/>
        <v>0</v>
      </c>
      <c r="I91" s="155">
        <f t="shared" si="21"/>
        <v>3299255.7216697363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3299255.7216697363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41773752</v>
      </c>
      <c r="E11" s="65">
        <v>96029433</v>
      </c>
      <c r="F11" s="60">
        <f>H11-D11</f>
        <v>0</v>
      </c>
      <c r="G11" s="37">
        <f>I11-E11</f>
        <v>0</v>
      </c>
      <c r="H11" s="65">
        <f>D11</f>
        <v>41773752</v>
      </c>
      <c r="I11" s="66">
        <f>E11</f>
        <v>96029433</v>
      </c>
      <c r="J11" s="60"/>
      <c r="K11" s="38"/>
      <c r="L11" s="60">
        <f t="shared" ref="L11:M15" si="0">H11+J11</f>
        <v>41773752</v>
      </c>
      <c r="M11" s="38">
        <f t="shared" si="0"/>
        <v>96029433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19330835</v>
      </c>
      <c r="E13" s="65">
        <v>45588342</v>
      </c>
      <c r="F13" s="60">
        <f t="shared" si="1"/>
        <v>0</v>
      </c>
      <c r="G13" s="37">
        <f t="shared" si="1"/>
        <v>0</v>
      </c>
      <c r="H13" s="65">
        <f t="shared" si="2"/>
        <v>19330835</v>
      </c>
      <c r="I13" s="66">
        <f t="shared" si="2"/>
        <v>45588342</v>
      </c>
      <c r="J13" s="60"/>
      <c r="K13" s="38"/>
      <c r="L13" s="60">
        <f t="shared" si="0"/>
        <v>19330835</v>
      </c>
      <c r="M13" s="38">
        <f t="shared" si="0"/>
        <v>45588342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61104587</v>
      </c>
      <c r="E16" s="39">
        <v>141617775</v>
      </c>
      <c r="F16" s="61">
        <f t="shared" ref="F16:M16" si="3">SUM(F11:F15)</f>
        <v>0</v>
      </c>
      <c r="G16" s="39">
        <f t="shared" si="3"/>
        <v>0</v>
      </c>
      <c r="H16" s="61">
        <f>SUM(H11:H15)</f>
        <v>61104587</v>
      </c>
      <c r="I16" s="39">
        <f>SUM(I11:I15)</f>
        <v>141617775</v>
      </c>
      <c r="J16" s="61">
        <f t="shared" si="3"/>
        <v>0</v>
      </c>
      <c r="K16" s="39">
        <f t="shared" si="3"/>
        <v>0</v>
      </c>
      <c r="L16" s="61">
        <f t="shared" si="3"/>
        <v>61104587</v>
      </c>
      <c r="M16" s="39">
        <f t="shared" si="3"/>
        <v>141617775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-42677322</v>
      </c>
      <c r="E19" s="65">
        <v>-95682634</v>
      </c>
      <c r="F19" s="60">
        <f>H19-D19</f>
        <v>0</v>
      </c>
      <c r="G19" s="37">
        <f>I19-E19</f>
        <v>0</v>
      </c>
      <c r="H19" s="65">
        <f t="shared" si="4"/>
        <v>-42677322</v>
      </c>
      <c r="I19" s="66">
        <f t="shared" si="4"/>
        <v>-95682634</v>
      </c>
      <c r="J19" s="60"/>
      <c r="K19" s="38"/>
      <c r="L19" s="60">
        <f t="shared" ref="L19:M23" si="5">H19+J19</f>
        <v>-42677322</v>
      </c>
      <c r="M19" s="38">
        <f t="shared" si="5"/>
        <v>-95682634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-19275990</v>
      </c>
      <c r="E21" s="65">
        <v>-45452981</v>
      </c>
      <c r="F21" s="60">
        <f t="shared" si="6"/>
        <v>0</v>
      </c>
      <c r="G21" s="37">
        <f t="shared" si="6"/>
        <v>0</v>
      </c>
      <c r="H21" s="65">
        <f t="shared" si="4"/>
        <v>-19275990</v>
      </c>
      <c r="I21" s="66">
        <f t="shared" si="4"/>
        <v>-45452981</v>
      </c>
      <c r="J21" s="60"/>
      <c r="K21" s="38"/>
      <c r="L21" s="60">
        <f t="shared" si="5"/>
        <v>-19275990</v>
      </c>
      <c r="M21" s="38">
        <f t="shared" si="5"/>
        <v>-45452981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637065</v>
      </c>
      <c r="E23" s="65">
        <v>1420180</v>
      </c>
      <c r="F23" s="60">
        <f t="shared" si="6"/>
        <v>0</v>
      </c>
      <c r="G23" s="37">
        <f t="shared" si="6"/>
        <v>0</v>
      </c>
      <c r="H23" s="65">
        <f t="shared" si="4"/>
        <v>637065</v>
      </c>
      <c r="I23" s="66">
        <f t="shared" si="4"/>
        <v>1420180</v>
      </c>
      <c r="J23" s="60"/>
      <c r="K23" s="38"/>
      <c r="L23" s="60">
        <f t="shared" si="5"/>
        <v>637065</v>
      </c>
      <c r="M23" s="38">
        <f t="shared" si="5"/>
        <v>1420180</v>
      </c>
    </row>
    <row r="24" spans="1:13" x14ac:dyDescent="0.2">
      <c r="A24" s="9"/>
      <c r="B24" s="7" t="s">
        <v>33</v>
      </c>
      <c r="C24" s="6"/>
      <c r="D24" s="61">
        <v>-61316247</v>
      </c>
      <c r="E24" s="39">
        <v>-139715435</v>
      </c>
      <c r="F24" s="61">
        <f t="shared" ref="F24:M24" si="7">SUM(F19:F23)</f>
        <v>0</v>
      </c>
      <c r="G24" s="39">
        <f t="shared" si="7"/>
        <v>0</v>
      </c>
      <c r="H24" s="61">
        <f>SUM(H19:H23)</f>
        <v>-61316247</v>
      </c>
      <c r="I24" s="39">
        <f>SUM(I19:I23)</f>
        <v>-139715435</v>
      </c>
      <c r="J24" s="61">
        <f t="shared" si="7"/>
        <v>0</v>
      </c>
      <c r="K24" s="39">
        <f t="shared" si="7"/>
        <v>0</v>
      </c>
      <c r="L24" s="61">
        <f t="shared" si="7"/>
        <v>-61316247</v>
      </c>
      <c r="M24" s="39">
        <f t="shared" si="7"/>
        <v>-139715435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7309</v>
      </c>
      <c r="E32" s="65">
        <v>18379</v>
      </c>
      <c r="F32" s="60">
        <f>H32-D32</f>
        <v>0</v>
      </c>
      <c r="G32" s="37">
        <f>I32-E32</f>
        <v>0</v>
      </c>
      <c r="H32" s="65">
        <f t="shared" ref="H32:I35" si="9">D32</f>
        <v>7309</v>
      </c>
      <c r="I32" s="66">
        <f t="shared" si="9"/>
        <v>18379</v>
      </c>
      <c r="J32" s="60"/>
      <c r="K32" s="38"/>
      <c r="L32" s="60">
        <f t="shared" ref="L32:M35" si="10">H32+J32</f>
        <v>7309</v>
      </c>
      <c r="M32" s="38">
        <f t="shared" si="10"/>
        <v>18379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219316</v>
      </c>
      <c r="E35" s="65">
        <v>531059</v>
      </c>
      <c r="F35" s="60">
        <f t="shared" si="11"/>
        <v>0</v>
      </c>
      <c r="G35" s="37">
        <f t="shared" si="11"/>
        <v>0</v>
      </c>
      <c r="H35" s="65">
        <f t="shared" si="9"/>
        <v>219316</v>
      </c>
      <c r="I35" s="66">
        <f t="shared" si="9"/>
        <v>531059</v>
      </c>
      <c r="J35" s="60"/>
      <c r="K35" s="38"/>
      <c r="L35" s="60">
        <f t="shared" si="10"/>
        <v>219316</v>
      </c>
      <c r="M35" s="38">
        <f t="shared" si="10"/>
        <v>531059</v>
      </c>
    </row>
    <row r="36" spans="1:13" x14ac:dyDescent="0.2">
      <c r="A36" s="9"/>
      <c r="B36" s="7" t="s">
        <v>43</v>
      </c>
      <c r="C36" s="6"/>
      <c r="D36" s="61">
        <v>226625</v>
      </c>
      <c r="E36" s="39">
        <v>549438</v>
      </c>
      <c r="F36" s="61">
        <f>SUM(F32:F35)</f>
        <v>0</v>
      </c>
      <c r="G36" s="39">
        <f>SUM(G32:G35)</f>
        <v>0</v>
      </c>
      <c r="H36" s="61">
        <f>SUM(H32:H35)</f>
        <v>226625</v>
      </c>
      <c r="I36" s="39">
        <f>SUM(I32:I35)</f>
        <v>549438</v>
      </c>
      <c r="J36" s="61">
        <f>SUM(J32:J34)</f>
        <v>0</v>
      </c>
      <c r="K36" s="39">
        <f>SUM(K32:K34)</f>
        <v>0</v>
      </c>
      <c r="L36" s="61">
        <f>SUM(L32:L35)</f>
        <v>226625</v>
      </c>
      <c r="M36" s="39">
        <f>SUM(M32:M35)</f>
        <v>549438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9907</v>
      </c>
      <c r="E39" s="65">
        <v>20458</v>
      </c>
      <c r="F39" s="60">
        <f t="shared" ref="F39:G41" si="13">H39-D39</f>
        <v>0</v>
      </c>
      <c r="G39" s="37">
        <f t="shared" si="13"/>
        <v>0</v>
      </c>
      <c r="H39" s="65">
        <f t="shared" si="12"/>
        <v>9907</v>
      </c>
      <c r="I39" s="66">
        <f t="shared" si="12"/>
        <v>20458</v>
      </c>
      <c r="J39" s="60"/>
      <c r="K39" s="38"/>
      <c r="L39" s="60">
        <f t="shared" ref="L39:M41" si="14">H39+J39</f>
        <v>9907</v>
      </c>
      <c r="M39" s="38">
        <f t="shared" si="14"/>
        <v>20458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-7621</v>
      </c>
      <c r="E40" s="65">
        <v>-17126</v>
      </c>
      <c r="F40" s="60">
        <f t="shared" si="13"/>
        <v>0</v>
      </c>
      <c r="G40" s="37">
        <f t="shared" si="13"/>
        <v>0</v>
      </c>
      <c r="H40" s="65">
        <f t="shared" si="12"/>
        <v>-7621</v>
      </c>
      <c r="I40" s="66">
        <f t="shared" si="12"/>
        <v>-17126</v>
      </c>
      <c r="J40" s="60"/>
      <c r="K40" s="38"/>
      <c r="L40" s="60">
        <f t="shared" si="14"/>
        <v>-7621</v>
      </c>
      <c r="M40" s="38">
        <f t="shared" si="14"/>
        <v>-17126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-7621</v>
      </c>
      <c r="E42" s="39">
        <v>-17126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-7621</v>
      </c>
      <c r="I42" s="39">
        <f>SUM(I40:I41)</f>
        <v>-17126</v>
      </c>
      <c r="J42" s="61">
        <f t="shared" si="15"/>
        <v>0</v>
      </c>
      <c r="K42" s="39">
        <f t="shared" si="15"/>
        <v>0</v>
      </c>
      <c r="L42" s="61">
        <f t="shared" si="15"/>
        <v>-7621</v>
      </c>
      <c r="M42" s="39">
        <f t="shared" si="15"/>
        <v>-17126</v>
      </c>
    </row>
    <row r="43" spans="1:13" ht="21" customHeight="1" x14ac:dyDescent="0.2">
      <c r="A43" s="9"/>
      <c r="B43" s="7" t="s">
        <v>49</v>
      </c>
      <c r="C43" s="6"/>
      <c r="D43" s="61">
        <v>2286</v>
      </c>
      <c r="E43" s="39">
        <v>3332</v>
      </c>
      <c r="F43" s="61">
        <f t="shared" ref="F43:M43" si="16">F42+F39</f>
        <v>0</v>
      </c>
      <c r="G43" s="39">
        <f t="shared" si="16"/>
        <v>0</v>
      </c>
      <c r="H43" s="61">
        <f>H42+H39</f>
        <v>2286</v>
      </c>
      <c r="I43" s="39">
        <f>I42+I39</f>
        <v>3332</v>
      </c>
      <c r="J43" s="61">
        <f t="shared" si="16"/>
        <v>0</v>
      </c>
      <c r="K43" s="39">
        <f t="shared" si="16"/>
        <v>0</v>
      </c>
      <c r="L43" s="61">
        <f t="shared" si="16"/>
        <v>2286</v>
      </c>
      <c r="M43" s="39">
        <f t="shared" si="16"/>
        <v>3332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-17251</v>
      </c>
      <c r="E49" s="65">
        <v>-38071.940757729382</v>
      </c>
      <c r="F49" s="60">
        <f>H49-D49</f>
        <v>0</v>
      </c>
      <c r="G49" s="37">
        <f>I49-E49</f>
        <v>0</v>
      </c>
      <c r="H49" s="65">
        <f>D49</f>
        <v>-17251</v>
      </c>
      <c r="I49" s="66">
        <f>E49</f>
        <v>-38071.940757729382</v>
      </c>
      <c r="J49" s="60"/>
      <c r="K49" s="38"/>
      <c r="L49" s="60">
        <f>H49+J49</f>
        <v>-17251</v>
      </c>
      <c r="M49" s="38">
        <f>I49+K49</f>
        <v>-38071.940757729382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-637065</v>
      </c>
      <c r="E51" s="65">
        <v>-1420180</v>
      </c>
      <c r="F51" s="60">
        <f>H51-D51</f>
        <v>0</v>
      </c>
      <c r="G51" s="37">
        <f>I51-E51</f>
        <v>0</v>
      </c>
      <c r="H51" s="65">
        <f>D51</f>
        <v>-637065</v>
      </c>
      <c r="I51" s="66">
        <f>E51</f>
        <v>-1420180</v>
      </c>
      <c r="J51" s="60"/>
      <c r="K51" s="38"/>
      <c r="L51" s="60">
        <f>H51+J51</f>
        <v>-637065</v>
      </c>
      <c r="M51" s="38">
        <f>I51+K51</f>
        <v>-1420180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-114015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-114015</v>
      </c>
      <c r="J54" s="60"/>
      <c r="K54" s="38"/>
      <c r="L54" s="60">
        <f>H54+J54</f>
        <v>0</v>
      </c>
      <c r="M54" s="38">
        <f>I54+K54</f>
        <v>-114015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-1113165.8400000001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-1113165.8400000001</v>
      </c>
      <c r="J55" s="60"/>
      <c r="K55" s="38"/>
      <c r="L55" s="60">
        <f>H55+J55</f>
        <v>0</v>
      </c>
      <c r="M55" s="38">
        <f>I55+K55</f>
        <v>-1113165.8400000001</v>
      </c>
    </row>
    <row r="56" spans="1:15" x14ac:dyDescent="0.2">
      <c r="A56" s="9"/>
      <c r="B56" s="7" t="s">
        <v>57</v>
      </c>
      <c r="C56" s="6"/>
      <c r="D56" s="61">
        <v>0</v>
      </c>
      <c r="E56" s="39">
        <v>-1227180.8400000001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-1227180.8400000001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-1227180.8400000001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6953222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6953222</v>
      </c>
      <c r="J70" s="60"/>
      <c r="K70" s="38"/>
      <c r="L70" s="60">
        <f>H70+J70</f>
        <v>0</v>
      </c>
      <c r="M70" s="38">
        <f>I70+K70</f>
        <v>6953222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-2053660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-2053660</v>
      </c>
      <c r="J71" s="60"/>
      <c r="K71" s="38"/>
      <c r="L71" s="60">
        <f>H71+J71</f>
        <v>0</v>
      </c>
      <c r="M71" s="38">
        <f>I71+K71</f>
        <v>-2053660</v>
      </c>
    </row>
    <row r="72" spans="1:13" x14ac:dyDescent="0.2">
      <c r="A72" s="9"/>
      <c r="B72" s="3"/>
      <c r="C72" s="55" t="s">
        <v>69</v>
      </c>
      <c r="D72" s="61">
        <v>0</v>
      </c>
      <c r="E72" s="39">
        <v>4899562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4899562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4899562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1250153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1250153</v>
      </c>
      <c r="J74" s="60"/>
      <c r="K74" s="38"/>
      <c r="L74" s="60">
        <f t="shared" si="22"/>
        <v>0</v>
      </c>
      <c r="M74" s="38">
        <f t="shared" si="22"/>
        <v>1250153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354788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354788</v>
      </c>
      <c r="J75" s="60"/>
      <c r="K75" s="38"/>
      <c r="L75" s="60">
        <f t="shared" si="22"/>
        <v>0</v>
      </c>
      <c r="M75" s="38">
        <f t="shared" si="22"/>
        <v>354788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-8676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-8676</v>
      </c>
      <c r="J76" s="60"/>
      <c r="K76" s="38"/>
      <c r="L76" s="60">
        <f t="shared" si="22"/>
        <v>0</v>
      </c>
      <c r="M76" s="38">
        <f t="shared" si="22"/>
        <v>-8676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-223008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-223008</v>
      </c>
      <c r="J81" s="60"/>
      <c r="K81" s="38"/>
      <c r="L81" s="60">
        <f t="shared" si="22"/>
        <v>0</v>
      </c>
      <c r="M81" s="38">
        <f t="shared" si="22"/>
        <v>-223008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6042496.219242271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6042496.219242271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6042496.219242271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171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145">
        <v>0</v>
      </c>
      <c r="F86" s="145">
        <v>0</v>
      </c>
      <c r="G86" s="145"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</row>
    <row r="87" spans="1:67" s="3" customFormat="1" x14ac:dyDescent="0.2">
      <c r="A87" s="144"/>
      <c r="C87" s="10" t="s">
        <v>71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67" s="3" customFormat="1" x14ac:dyDescent="0.2">
      <c r="A88" s="144"/>
      <c r="C88" s="10" t="s">
        <v>72</v>
      </c>
      <c r="D88" s="147">
        <v>0</v>
      </c>
      <c r="E88" s="147">
        <v>0</v>
      </c>
      <c r="F88" s="147">
        <v>0</v>
      </c>
      <c r="G88" s="147"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4">SUM(E86:E88)</f>
        <v>0</v>
      </c>
      <c r="F89" s="155">
        <f t="shared" si="24"/>
        <v>0</v>
      </c>
      <c r="G89" s="155">
        <f t="shared" si="24"/>
        <v>0</v>
      </c>
      <c r="H89" s="155">
        <f t="shared" si="24"/>
        <v>0</v>
      </c>
      <c r="I89" s="155">
        <f t="shared" si="24"/>
        <v>0</v>
      </c>
      <c r="J89" s="155">
        <f t="shared" si="24"/>
        <v>0</v>
      </c>
      <c r="K89" s="155">
        <f t="shared" si="24"/>
        <v>0</v>
      </c>
      <c r="L89" s="155">
        <f t="shared" si="24"/>
        <v>0</v>
      </c>
      <c r="M89" s="155">
        <f t="shared" si="24"/>
        <v>0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5">+E82+E89</f>
        <v>6042496.219242271</v>
      </c>
      <c r="F91" s="155">
        <f t="shared" si="25"/>
        <v>0</v>
      </c>
      <c r="G91" s="155">
        <f t="shared" si="25"/>
        <v>0</v>
      </c>
      <c r="H91" s="155">
        <f t="shared" si="25"/>
        <v>0</v>
      </c>
      <c r="I91" s="155">
        <f t="shared" si="25"/>
        <v>6042496.219242271</v>
      </c>
      <c r="J91" s="155">
        <f t="shared" si="25"/>
        <v>0</v>
      </c>
      <c r="K91" s="155">
        <f t="shared" si="25"/>
        <v>0</v>
      </c>
      <c r="L91" s="155">
        <f t="shared" si="25"/>
        <v>0</v>
      </c>
      <c r="M91" s="155">
        <f t="shared" si="25"/>
        <v>6042496.219242271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I74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4265744</v>
      </c>
      <c r="E11" s="65">
        <v>9263351</v>
      </c>
      <c r="F11" s="60">
        <f>H11-D11</f>
        <v>0</v>
      </c>
      <c r="G11" s="37">
        <f>I11-E11</f>
        <v>0</v>
      </c>
      <c r="H11" s="65">
        <f>D11</f>
        <v>4265744</v>
      </c>
      <c r="I11" s="66">
        <f>E11</f>
        <v>9263351</v>
      </c>
      <c r="J11" s="60"/>
      <c r="K11" s="38"/>
      <c r="L11" s="60">
        <f t="shared" ref="L11:M15" si="0">H11+J11</f>
        <v>4265744</v>
      </c>
      <c r="M11" s="38">
        <f t="shared" si="0"/>
        <v>9263351</v>
      </c>
    </row>
    <row r="12" spans="1:26" x14ac:dyDescent="0.2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4105116</v>
      </c>
      <c r="E13" s="65">
        <v>9214231</v>
      </c>
      <c r="F13" s="60">
        <f t="shared" si="1"/>
        <v>0</v>
      </c>
      <c r="G13" s="37">
        <f t="shared" si="1"/>
        <v>0</v>
      </c>
      <c r="H13" s="65">
        <f t="shared" si="2"/>
        <v>4105116</v>
      </c>
      <c r="I13" s="66">
        <f t="shared" si="2"/>
        <v>9214231</v>
      </c>
      <c r="J13" s="60"/>
      <c r="K13" s="38"/>
      <c r="L13" s="60">
        <f t="shared" si="0"/>
        <v>4105116</v>
      </c>
      <c r="M13" s="38">
        <f t="shared" si="0"/>
        <v>9214231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8370860</v>
      </c>
      <c r="E16" s="39">
        <v>18477582</v>
      </c>
      <c r="F16" s="61">
        <f t="shared" ref="F16:M16" si="3">SUM(F11:F15)</f>
        <v>0</v>
      </c>
      <c r="G16" s="39">
        <f t="shared" si="3"/>
        <v>0</v>
      </c>
      <c r="H16" s="61">
        <f>SUM(H11:H15)</f>
        <v>8370860</v>
      </c>
      <c r="I16" s="39">
        <f>SUM(I11:I15)</f>
        <v>18477582</v>
      </c>
      <c r="J16" s="61">
        <f t="shared" si="3"/>
        <v>0</v>
      </c>
      <c r="K16" s="39">
        <f t="shared" si="3"/>
        <v>0</v>
      </c>
      <c r="L16" s="61">
        <f t="shared" si="3"/>
        <v>8370860</v>
      </c>
      <c r="M16" s="39">
        <f t="shared" si="3"/>
        <v>18477582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-5207531</v>
      </c>
      <c r="E19" s="65">
        <v>-11111817</v>
      </c>
      <c r="F19" s="60">
        <f>H19-D19</f>
        <v>0</v>
      </c>
      <c r="G19" s="37">
        <f>I19-E19</f>
        <v>0</v>
      </c>
      <c r="H19" s="65">
        <f t="shared" si="4"/>
        <v>-5207531</v>
      </c>
      <c r="I19" s="66">
        <f t="shared" si="4"/>
        <v>-11111817</v>
      </c>
      <c r="J19" s="60"/>
      <c r="K19" s="38"/>
      <c r="L19" s="60">
        <f t="shared" ref="L19:M23" si="5">H19+J19</f>
        <v>-5207531</v>
      </c>
      <c r="M19" s="38">
        <f t="shared" si="5"/>
        <v>-11111817</v>
      </c>
    </row>
    <row r="20" spans="1:13" x14ac:dyDescent="0.2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-3142564</v>
      </c>
      <c r="E21" s="65">
        <v>-7046526</v>
      </c>
      <c r="F21" s="60">
        <f t="shared" si="6"/>
        <v>0</v>
      </c>
      <c r="G21" s="37">
        <f t="shared" si="6"/>
        <v>0</v>
      </c>
      <c r="H21" s="65">
        <f t="shared" si="4"/>
        <v>-3142564</v>
      </c>
      <c r="I21" s="66">
        <f t="shared" si="4"/>
        <v>-7046526</v>
      </c>
      <c r="J21" s="60"/>
      <c r="K21" s="38"/>
      <c r="L21" s="60">
        <f t="shared" si="5"/>
        <v>-3142564</v>
      </c>
      <c r="M21" s="38">
        <f t="shared" si="5"/>
        <v>-7046526</v>
      </c>
    </row>
    <row r="22" spans="1:13" x14ac:dyDescent="0.2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13590</v>
      </c>
      <c r="E23" s="65">
        <v>28931</v>
      </c>
      <c r="F23" s="60">
        <f t="shared" si="6"/>
        <v>0</v>
      </c>
      <c r="G23" s="37">
        <f t="shared" si="6"/>
        <v>0</v>
      </c>
      <c r="H23" s="65">
        <f t="shared" si="4"/>
        <v>13590</v>
      </c>
      <c r="I23" s="66">
        <f t="shared" si="4"/>
        <v>28931</v>
      </c>
      <c r="J23" s="60"/>
      <c r="K23" s="38"/>
      <c r="L23" s="60">
        <f t="shared" si="5"/>
        <v>13590</v>
      </c>
      <c r="M23" s="38">
        <f t="shared" si="5"/>
        <v>28931</v>
      </c>
    </row>
    <row r="24" spans="1:13" x14ac:dyDescent="0.2">
      <c r="A24" s="9"/>
      <c r="B24" s="7" t="s">
        <v>33</v>
      </c>
      <c r="C24" s="6"/>
      <c r="D24" s="61">
        <v>-8336505</v>
      </c>
      <c r="E24" s="39">
        <v>-18129412</v>
      </c>
      <c r="F24" s="61">
        <f t="shared" ref="F24:M24" si="7">SUM(F19:F23)</f>
        <v>0</v>
      </c>
      <c r="G24" s="39">
        <f t="shared" si="7"/>
        <v>0</v>
      </c>
      <c r="H24" s="61">
        <f>SUM(H19:H23)</f>
        <v>-8336505</v>
      </c>
      <c r="I24" s="39">
        <f>SUM(I19:I23)</f>
        <v>-18129412</v>
      </c>
      <c r="J24" s="61">
        <f t="shared" si="7"/>
        <v>0</v>
      </c>
      <c r="K24" s="39">
        <f t="shared" si="7"/>
        <v>0</v>
      </c>
      <c r="L24" s="61">
        <f t="shared" si="7"/>
        <v>-8336505</v>
      </c>
      <c r="M24" s="39">
        <f t="shared" si="7"/>
        <v>-18129412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/>
      <c r="E27" s="65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/>
      <c r="E28" s="65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14069</v>
      </c>
      <c r="E32" s="65">
        <v>31773</v>
      </c>
      <c r="F32" s="60">
        <f>H32-D32</f>
        <v>0</v>
      </c>
      <c r="G32" s="37">
        <f>I32-E32</f>
        <v>0</v>
      </c>
      <c r="H32" s="65">
        <f t="shared" ref="H32:I35" si="9">D32</f>
        <v>14069</v>
      </c>
      <c r="I32" s="66">
        <f t="shared" si="9"/>
        <v>31773</v>
      </c>
      <c r="J32" s="60"/>
      <c r="K32" s="38"/>
      <c r="L32" s="60">
        <f t="shared" ref="L32:M35" si="10">H32+J32</f>
        <v>14069</v>
      </c>
      <c r="M32" s="38">
        <f t="shared" si="10"/>
        <v>31773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14069</v>
      </c>
      <c r="E36" s="39">
        <v>31773</v>
      </c>
      <c r="F36" s="61">
        <f>SUM(F32:F35)</f>
        <v>0</v>
      </c>
      <c r="G36" s="39">
        <f>SUM(G32:G35)</f>
        <v>0</v>
      </c>
      <c r="H36" s="61">
        <f>SUM(H32:H35)</f>
        <v>14069</v>
      </c>
      <c r="I36" s="39">
        <f>SUM(I32:I35)</f>
        <v>31773</v>
      </c>
      <c r="J36" s="61">
        <f>SUM(J32:J34)</f>
        <v>0</v>
      </c>
      <c r="K36" s="39">
        <f>SUM(K32:K34)</f>
        <v>0</v>
      </c>
      <c r="L36" s="61">
        <f>SUM(L32:L35)</f>
        <v>14069</v>
      </c>
      <c r="M36" s="39">
        <f>SUM(M32:M35)</f>
        <v>31773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891</v>
      </c>
      <c r="E39" s="65">
        <v>2074</v>
      </c>
      <c r="F39" s="60">
        <f t="shared" ref="F39:G41" si="13">H39-D39</f>
        <v>0</v>
      </c>
      <c r="G39" s="37">
        <f t="shared" si="13"/>
        <v>0</v>
      </c>
      <c r="H39" s="65">
        <f t="shared" si="12"/>
        <v>891</v>
      </c>
      <c r="I39" s="66">
        <f t="shared" si="12"/>
        <v>2074</v>
      </c>
      <c r="J39" s="60"/>
      <c r="K39" s="38"/>
      <c r="L39" s="60">
        <f t="shared" ref="L39:M41" si="14">H39+J39</f>
        <v>891</v>
      </c>
      <c r="M39" s="38">
        <f t="shared" si="14"/>
        <v>2074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891</v>
      </c>
      <c r="E43" s="39">
        <v>2074</v>
      </c>
      <c r="F43" s="61">
        <f t="shared" ref="F43:M43" si="16">F42+F39</f>
        <v>0</v>
      </c>
      <c r="G43" s="39">
        <f t="shared" si="16"/>
        <v>0</v>
      </c>
      <c r="H43" s="61">
        <f>H42+H39</f>
        <v>891</v>
      </c>
      <c r="I43" s="39">
        <f>I42+I39</f>
        <v>2074</v>
      </c>
      <c r="J43" s="61">
        <f t="shared" si="16"/>
        <v>0</v>
      </c>
      <c r="K43" s="39">
        <f t="shared" si="16"/>
        <v>0</v>
      </c>
      <c r="L43" s="61">
        <f t="shared" si="16"/>
        <v>891</v>
      </c>
      <c r="M43" s="39">
        <f t="shared" si="16"/>
        <v>2074</v>
      </c>
    </row>
    <row r="44" spans="1:13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-49315</v>
      </c>
      <c r="E49" s="65">
        <v>-106404.98028757867</v>
      </c>
      <c r="F49" s="60">
        <f>H49-D49</f>
        <v>0</v>
      </c>
      <c r="G49" s="37">
        <f>I49-E49</f>
        <v>0</v>
      </c>
      <c r="H49" s="65">
        <f>D49</f>
        <v>-49315</v>
      </c>
      <c r="I49" s="66">
        <f>E49</f>
        <v>-106404.98028757867</v>
      </c>
      <c r="J49" s="60"/>
      <c r="K49" s="38"/>
      <c r="L49" s="60">
        <f>H49+J49</f>
        <v>-49315</v>
      </c>
      <c r="M49" s="38">
        <f>I49+K49</f>
        <v>-106404.98028757867</v>
      </c>
    </row>
    <row r="50" spans="1:15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-13590</v>
      </c>
      <c r="E51" s="65">
        <v>-28931</v>
      </c>
      <c r="F51" s="60">
        <f>H51-D51</f>
        <v>0</v>
      </c>
      <c r="G51" s="37">
        <f>I51-E51</f>
        <v>0</v>
      </c>
      <c r="H51" s="65">
        <f>D51</f>
        <v>-13590</v>
      </c>
      <c r="I51" s="66">
        <f>E51</f>
        <v>-28931</v>
      </c>
      <c r="J51" s="60"/>
      <c r="K51" s="38"/>
      <c r="L51" s="60">
        <f>H51+J51</f>
        <v>-13590</v>
      </c>
      <c r="M51" s="38">
        <f>I51+K51</f>
        <v>-28931</v>
      </c>
    </row>
    <row r="52" spans="1:15" x14ac:dyDescent="0.2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-114253.35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-114253.35</v>
      </c>
      <c r="J54" s="60"/>
      <c r="K54" s="38"/>
      <c r="L54" s="60">
        <f>H54+J54</f>
        <v>0</v>
      </c>
      <c r="M54" s="38">
        <f>I54+K54</f>
        <v>-114253.35</v>
      </c>
    </row>
    <row r="55" spans="1:15" x14ac:dyDescent="0.2">
      <c r="A55" s="9">
        <v>25</v>
      </c>
      <c r="B55" s="7"/>
      <c r="C55" s="18" t="s">
        <v>56</v>
      </c>
      <c r="D55" s="65">
        <v>0</v>
      </c>
      <c r="E55" s="65">
        <v>-355437.7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-355437.7</v>
      </c>
      <c r="J55" s="60"/>
      <c r="K55" s="38"/>
      <c r="L55" s="60">
        <f>H55+J55</f>
        <v>0</v>
      </c>
      <c r="M55" s="38">
        <f>I55+K55</f>
        <v>-355437.7</v>
      </c>
    </row>
    <row r="56" spans="1:15" x14ac:dyDescent="0.2">
      <c r="A56" s="9"/>
      <c r="B56" s="7" t="s">
        <v>57</v>
      </c>
      <c r="C56" s="6"/>
      <c r="D56" s="61">
        <v>0</v>
      </c>
      <c r="E56" s="39">
        <v>-469691.05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-469691.05000000005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-469691.05000000005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3.9999999804422259E-2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3.9999999804422259E-2</v>
      </c>
      <c r="J70" s="60"/>
      <c r="K70" s="38"/>
      <c r="L70" s="60">
        <f>H70+J70</f>
        <v>0</v>
      </c>
      <c r="M70" s="38">
        <f>I70+K70</f>
        <v>3.9999999804422259E-2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3.9999999804422259E-2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3.9999999804422259E-2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3.9999999804422259E-2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-223009.99028757954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-223009.9902875796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-223009.9902875796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 t="s">
        <v>215</v>
      </c>
      <c r="B85" s="3"/>
    </row>
    <row r="86" spans="1:67" s="3" customFormat="1" x14ac:dyDescent="0.2">
      <c r="A86" s="144"/>
      <c r="C86" s="10" t="s">
        <v>166</v>
      </c>
      <c r="D86" s="145">
        <v>0</v>
      </c>
      <c r="E86" s="67">
        <v>-63196</v>
      </c>
      <c r="F86" s="67">
        <v>0</v>
      </c>
      <c r="G86" s="220">
        <v>0</v>
      </c>
      <c r="H86" s="223">
        <f t="shared" ref="H86:I88" si="24">D86</f>
        <v>0</v>
      </c>
      <c r="I86" s="220">
        <f t="shared" si="24"/>
        <v>-63196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-63196</v>
      </c>
    </row>
    <row r="87" spans="1:67" s="3" customFormat="1" x14ac:dyDescent="0.2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">
      <c r="A88" s="144"/>
      <c r="C88" s="10" t="s">
        <v>72</v>
      </c>
      <c r="D88" s="147">
        <v>0</v>
      </c>
      <c r="E88" s="221">
        <v>0</v>
      </c>
      <c r="F88" s="221">
        <v>0</v>
      </c>
      <c r="G88" s="222">
        <v>0</v>
      </c>
      <c r="H88" s="136">
        <f t="shared" si="24"/>
        <v>0</v>
      </c>
      <c r="I88" s="222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">
      <c r="A89" s="151"/>
      <c r="B89" s="152"/>
      <c r="C89" s="153" t="s">
        <v>169</v>
      </c>
      <c r="D89" s="155">
        <f>SUM(D86:D88)</f>
        <v>0</v>
      </c>
      <c r="E89" s="155">
        <f t="shared" ref="E89:M89" si="26">SUM(E86:E88)</f>
        <v>-63196</v>
      </c>
      <c r="F89" s="224">
        <f t="shared" si="26"/>
        <v>0</v>
      </c>
      <c r="G89" s="224">
        <f t="shared" si="26"/>
        <v>0</v>
      </c>
      <c r="H89" s="155">
        <f t="shared" si="26"/>
        <v>0</v>
      </c>
      <c r="I89" s="155">
        <f t="shared" si="26"/>
        <v>-63196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-63196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">
      <c r="A90" s="4"/>
      <c r="B90" s="3"/>
    </row>
    <row r="91" spans="1:67" s="44" customFormat="1" ht="20.25" customHeight="1" x14ac:dyDescent="0.2">
      <c r="A91" s="151"/>
      <c r="B91" s="152"/>
      <c r="C91" s="153" t="s">
        <v>167</v>
      </c>
      <c r="D91" s="155">
        <f>+D82+D89</f>
        <v>0</v>
      </c>
      <c r="E91" s="155">
        <f t="shared" ref="E91:M91" si="27">+E82+E89</f>
        <v>-286205.99028757954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-286205.9902875796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-286205.9902875796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75" right="0.75" top="0.5" bottom="0.5" header="0.5" footer="0.5"/>
  <pageSetup paperSize="5" scale="3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7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1" t="s">
        <v>96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">
      <c r="A12" s="9">
        <v>2</v>
      </c>
      <c r="B12" s="7"/>
      <c r="C12" s="18" t="s">
        <v>26</v>
      </c>
      <c r="D12" s="60"/>
      <c r="E12" s="38">
        <v>4964602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4964602</v>
      </c>
      <c r="J12" s="60"/>
      <c r="K12" s="38"/>
      <c r="L12" s="60">
        <f t="shared" si="0"/>
        <v>0</v>
      </c>
      <c r="M12" s="38">
        <f t="shared" si="0"/>
        <v>4964602</v>
      </c>
    </row>
    <row r="13" spans="1:26" x14ac:dyDescent="0.2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61">
        <v>0</v>
      </c>
      <c r="E16" s="39">
        <v>4964602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4964602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4964602</v>
      </c>
    </row>
    <row r="17" spans="1:13" x14ac:dyDescent="0.2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37"/>
      <c r="E41" s="37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0"/>
      <c r="E60" s="38">
        <v>50000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50000</v>
      </c>
      <c r="J60" s="65"/>
      <c r="K60" s="38"/>
      <c r="L60" s="60">
        <f>H60+J60</f>
        <v>0</v>
      </c>
      <c r="M60" s="38">
        <f>I60+K60</f>
        <v>50000</v>
      </c>
    </row>
    <row r="61" spans="1:15" x14ac:dyDescent="0.2">
      <c r="A61" s="9"/>
      <c r="B61" s="62" t="s">
        <v>61</v>
      </c>
      <c r="C61" s="6"/>
      <c r="D61" s="61">
        <v>0</v>
      </c>
      <c r="E61" s="39">
        <v>50000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50000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50000</v>
      </c>
    </row>
    <row r="62" spans="1:15" x14ac:dyDescent="0.2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0"/>
      <c r="E70" s="38">
        <v>-4096579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-4096579</v>
      </c>
      <c r="J70" s="65"/>
      <c r="K70" s="38"/>
      <c r="L70" s="60">
        <f t="shared" si="20"/>
        <v>0</v>
      </c>
      <c r="M70" s="38">
        <f t="shared" si="20"/>
        <v>-4096579</v>
      </c>
    </row>
    <row r="71" spans="1:13" x14ac:dyDescent="0.2">
      <c r="A71" s="9">
        <v>31</v>
      </c>
      <c r="B71" s="3"/>
      <c r="C71" s="10" t="s">
        <v>68</v>
      </c>
      <c r="D71" s="60"/>
      <c r="E71" s="38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-4096579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-4096579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-4096579</v>
      </c>
    </row>
    <row r="73" spans="1:13" x14ac:dyDescent="0.2">
      <c r="A73" s="9">
        <v>32</v>
      </c>
      <c r="B73" s="3"/>
      <c r="C73" s="10" t="s">
        <v>70</v>
      </c>
      <c r="D73" s="60"/>
      <c r="E73" s="38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0"/>
      <c r="E74" s="38">
        <v>2331926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2331926</v>
      </c>
      <c r="J74" s="60"/>
      <c r="K74" s="38"/>
      <c r="L74" s="60">
        <f t="shared" si="23"/>
        <v>0</v>
      </c>
      <c r="M74" s="38">
        <f t="shared" si="23"/>
        <v>2331926</v>
      </c>
    </row>
    <row r="75" spans="1:13" x14ac:dyDescent="0.2">
      <c r="A75" s="9">
        <v>34</v>
      </c>
      <c r="B75" s="3"/>
      <c r="C75" s="10" t="s">
        <v>72</v>
      </c>
      <c r="D75" s="60"/>
      <c r="E75" s="38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0"/>
      <c r="E76" s="38">
        <v>-9480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-9480</v>
      </c>
      <c r="J76" s="60"/>
      <c r="K76" s="38"/>
      <c r="L76" s="60">
        <f t="shared" si="23"/>
        <v>0</v>
      </c>
      <c r="M76" s="38">
        <f t="shared" si="23"/>
        <v>-9480</v>
      </c>
    </row>
    <row r="77" spans="1:13" x14ac:dyDescent="0.2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">
      <c r="A78" s="9">
        <v>37</v>
      </c>
      <c r="B78" s="3"/>
      <c r="C78" s="10" t="s">
        <v>75</v>
      </c>
      <c r="D78" s="60"/>
      <c r="E78" s="38">
        <v>820000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820000</v>
      </c>
      <c r="J78" s="60"/>
      <c r="K78" s="38"/>
      <c r="L78" s="60">
        <f t="shared" si="23"/>
        <v>0</v>
      </c>
      <c r="M78" s="38">
        <f t="shared" si="23"/>
        <v>820000</v>
      </c>
    </row>
    <row r="79" spans="1:13" x14ac:dyDescent="0.2">
      <c r="A79" s="9">
        <v>38</v>
      </c>
      <c r="B79" s="3"/>
      <c r="C79" s="10" t="s">
        <v>76</v>
      </c>
      <c r="D79" s="60"/>
      <c r="E79" s="38">
        <v>-503709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-503709</v>
      </c>
      <c r="J79" s="60"/>
      <c r="K79" s="38"/>
      <c r="L79" s="60">
        <f t="shared" si="23"/>
        <v>0</v>
      </c>
      <c r="M79" s="38">
        <f t="shared" si="23"/>
        <v>-503709</v>
      </c>
    </row>
    <row r="80" spans="1:13" x14ac:dyDescent="0.2">
      <c r="A80" s="9">
        <v>39</v>
      </c>
      <c r="B80" s="3"/>
      <c r="C80" s="10" t="s">
        <v>77</v>
      </c>
      <c r="D80" s="60"/>
      <c r="E80" s="38">
        <v>-455702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-455702</v>
      </c>
      <c r="J80" s="60"/>
      <c r="K80" s="38"/>
      <c r="L80" s="60">
        <f t="shared" si="23"/>
        <v>0</v>
      </c>
      <c r="M80" s="38">
        <f t="shared" si="23"/>
        <v>-455702</v>
      </c>
    </row>
    <row r="81" spans="1:67" x14ac:dyDescent="0.2">
      <c r="A81" s="9">
        <v>40</v>
      </c>
      <c r="B81" s="3"/>
      <c r="C81" s="10" t="s">
        <v>78</v>
      </c>
      <c r="D81" s="60"/>
      <c r="E81" s="38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2718631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2718631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2718631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A60"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159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146">
        <v>37751228</v>
      </c>
      <c r="E11" s="146">
        <v>91989334</v>
      </c>
      <c r="F11" s="60">
        <f>H11-D11</f>
        <v>0</v>
      </c>
      <c r="G11" s="37">
        <f>I11-E11</f>
        <v>0</v>
      </c>
      <c r="H11" s="65">
        <f>D11</f>
        <v>37751228</v>
      </c>
      <c r="I11" s="66">
        <f>E11</f>
        <v>91989334</v>
      </c>
      <c r="J11" s="60"/>
      <c r="K11" s="38"/>
      <c r="L11" s="60">
        <f t="shared" ref="L11:M15" si="0">H11+J11</f>
        <v>37751228</v>
      </c>
      <c r="M11" s="38">
        <f t="shared" si="0"/>
        <v>91989334</v>
      </c>
    </row>
    <row r="12" spans="1:26" x14ac:dyDescent="0.2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146">
        <v>3709833</v>
      </c>
      <c r="E13" s="146">
        <v>9157794</v>
      </c>
      <c r="F13" s="60">
        <f t="shared" si="1"/>
        <v>0</v>
      </c>
      <c r="G13" s="37">
        <f t="shared" si="1"/>
        <v>0</v>
      </c>
      <c r="H13" s="65">
        <f t="shared" si="2"/>
        <v>3709833</v>
      </c>
      <c r="I13" s="66">
        <f t="shared" si="2"/>
        <v>9157794</v>
      </c>
      <c r="J13" s="60"/>
      <c r="K13" s="38"/>
      <c r="L13" s="60">
        <f t="shared" si="0"/>
        <v>3709833</v>
      </c>
      <c r="M13" s="38">
        <f t="shared" si="0"/>
        <v>9157794</v>
      </c>
    </row>
    <row r="14" spans="1:26" x14ac:dyDescent="0.2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">
      <c r="A16" s="9"/>
      <c r="B16" s="7" t="s">
        <v>30</v>
      </c>
      <c r="C16" s="6"/>
      <c r="D16" s="166">
        <v>41461061</v>
      </c>
      <c r="E16" s="166">
        <v>101147128</v>
      </c>
      <c r="F16" s="61">
        <f t="shared" ref="F16:M16" si="3">SUM(F11:F15)</f>
        <v>0</v>
      </c>
      <c r="G16" s="39">
        <f t="shared" si="3"/>
        <v>0</v>
      </c>
      <c r="H16" s="61">
        <f>SUM(H11:H15)</f>
        <v>41461061</v>
      </c>
      <c r="I16" s="39">
        <f>SUM(I11:I15)</f>
        <v>101147128</v>
      </c>
      <c r="J16" s="61">
        <f t="shared" si="3"/>
        <v>0</v>
      </c>
      <c r="K16" s="39">
        <f t="shared" si="3"/>
        <v>0</v>
      </c>
      <c r="L16" s="61">
        <f t="shared" si="3"/>
        <v>41461061</v>
      </c>
      <c r="M16" s="39">
        <f t="shared" si="3"/>
        <v>101147128</v>
      </c>
    </row>
    <row r="17" spans="1:13" x14ac:dyDescent="0.2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146">
        <v>-41087127</v>
      </c>
      <c r="E19" s="146">
        <v>-100082949</v>
      </c>
      <c r="F19" s="60">
        <f>H19-D19</f>
        <v>0</v>
      </c>
      <c r="G19" s="37">
        <f>I19-E19</f>
        <v>0</v>
      </c>
      <c r="H19" s="65">
        <f t="shared" si="4"/>
        <v>-41087127</v>
      </c>
      <c r="I19" s="66">
        <f t="shared" si="4"/>
        <v>-100082949</v>
      </c>
      <c r="J19" s="60"/>
      <c r="K19" s="38"/>
      <c r="L19" s="60">
        <f t="shared" ref="L19:M23" si="5">H19+J19</f>
        <v>-41087127</v>
      </c>
      <c r="M19" s="38">
        <f t="shared" si="5"/>
        <v>-100082949</v>
      </c>
    </row>
    <row r="20" spans="1:13" x14ac:dyDescent="0.2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146">
        <v>-414182</v>
      </c>
      <c r="E21" s="146">
        <v>-997711</v>
      </c>
      <c r="F21" s="60">
        <f t="shared" si="6"/>
        <v>0</v>
      </c>
      <c r="G21" s="37">
        <f t="shared" si="6"/>
        <v>0</v>
      </c>
      <c r="H21" s="65">
        <f t="shared" si="4"/>
        <v>-414182</v>
      </c>
      <c r="I21" s="66">
        <f t="shared" si="4"/>
        <v>-997711</v>
      </c>
      <c r="J21" s="60"/>
      <c r="K21" s="38"/>
      <c r="L21" s="60">
        <f t="shared" si="5"/>
        <v>-414182</v>
      </c>
      <c r="M21" s="38">
        <f t="shared" si="5"/>
        <v>-997711</v>
      </c>
    </row>
    <row r="22" spans="1:13" x14ac:dyDescent="0.2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">
      <c r="A24" s="9"/>
      <c r="B24" s="7" t="s">
        <v>33</v>
      </c>
      <c r="C24" s="6"/>
      <c r="D24" s="166">
        <v>-41501309</v>
      </c>
      <c r="E24" s="166">
        <v>-101080660</v>
      </c>
      <c r="F24" s="61">
        <f t="shared" ref="F24:M24" si="7">SUM(F19:F23)</f>
        <v>0</v>
      </c>
      <c r="G24" s="39">
        <f t="shared" si="7"/>
        <v>0</v>
      </c>
      <c r="H24" s="61">
        <f>SUM(H19:H23)</f>
        <v>-41501309</v>
      </c>
      <c r="I24" s="39">
        <f>SUM(I19:I23)</f>
        <v>-101080660</v>
      </c>
      <c r="J24" s="61">
        <f t="shared" si="7"/>
        <v>0</v>
      </c>
      <c r="K24" s="39">
        <f t="shared" si="7"/>
        <v>0</v>
      </c>
      <c r="L24" s="61">
        <f t="shared" si="7"/>
        <v>-41501309</v>
      </c>
      <c r="M24" s="39">
        <f t="shared" si="7"/>
        <v>-101080660</v>
      </c>
    </row>
    <row r="25" spans="1:13" x14ac:dyDescent="0.2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146">
        <v>40248</v>
      </c>
      <c r="E49" s="146">
        <v>108669.6</v>
      </c>
      <c r="F49" s="60">
        <f>H49-D49</f>
        <v>0</v>
      </c>
      <c r="G49" s="37">
        <f>I49-E49</f>
        <v>0</v>
      </c>
      <c r="H49" s="65">
        <f>D49</f>
        <v>40248</v>
      </c>
      <c r="I49" s="66">
        <f>E49</f>
        <v>108669.6</v>
      </c>
      <c r="J49" s="60"/>
      <c r="K49" s="38"/>
      <c r="L49" s="60">
        <f>H49+J49</f>
        <v>40248</v>
      </c>
      <c r="M49" s="38">
        <f>I49+K49</f>
        <v>108669.6</v>
      </c>
    </row>
    <row r="50" spans="1:15" x14ac:dyDescent="0.2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146">
        <v>0</v>
      </c>
      <c r="E54" s="146">
        <v>-50000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-50000</v>
      </c>
      <c r="J54" s="60"/>
      <c r="K54" s="38"/>
      <c r="L54" s="60">
        <f>H54+J54</f>
        <v>0</v>
      </c>
      <c r="M54" s="38">
        <f>I54+K54</f>
        <v>-50000</v>
      </c>
    </row>
    <row r="55" spans="1:15" x14ac:dyDescent="0.2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">
      <c r="A56" s="9"/>
      <c r="B56" s="7" t="s">
        <v>57</v>
      </c>
      <c r="C56" s="6"/>
      <c r="D56" s="166">
        <v>0</v>
      </c>
      <c r="E56" s="166">
        <v>-50000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-50000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-50000</v>
      </c>
    </row>
    <row r="57" spans="1:15" x14ac:dyDescent="0.2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146">
        <v>0</v>
      </c>
      <c r="E70" s="146">
        <v>1508208.5228982903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1508208.5228982903</v>
      </c>
      <c r="J70" s="65"/>
      <c r="K70" s="38"/>
      <c r="L70" s="60">
        <f t="shared" si="20"/>
        <v>0</v>
      </c>
      <c r="M70" s="38">
        <f t="shared" si="20"/>
        <v>1508208.5228982903</v>
      </c>
    </row>
    <row r="71" spans="1:13" x14ac:dyDescent="0.2">
      <c r="A71" s="9">
        <v>31</v>
      </c>
      <c r="B71" s="3"/>
      <c r="C71" s="10" t="s">
        <v>68</v>
      </c>
      <c r="D71" s="146">
        <v>0</v>
      </c>
      <c r="E71" s="146">
        <v>-708912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-708912</v>
      </c>
      <c r="J71" s="65"/>
      <c r="K71" s="38"/>
      <c r="L71" s="60">
        <f t="shared" si="20"/>
        <v>0</v>
      </c>
      <c r="M71" s="38">
        <f t="shared" si="20"/>
        <v>-708912</v>
      </c>
    </row>
    <row r="72" spans="1:13" x14ac:dyDescent="0.2">
      <c r="A72" s="9"/>
      <c r="B72" s="3"/>
      <c r="C72" s="55" t="s">
        <v>69</v>
      </c>
      <c r="D72" s="166">
        <v>0</v>
      </c>
      <c r="E72" s="166">
        <v>799296.52289829031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799296.52289829031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799296.52289829031</v>
      </c>
    </row>
    <row r="73" spans="1:13" x14ac:dyDescent="0.2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146">
        <v>0</v>
      </c>
      <c r="E74" s="146">
        <v>-324192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-324192</v>
      </c>
      <c r="J74" s="60"/>
      <c r="K74" s="38"/>
      <c r="L74" s="60">
        <f t="shared" si="23"/>
        <v>0</v>
      </c>
      <c r="M74" s="38">
        <f t="shared" si="23"/>
        <v>-324192</v>
      </c>
    </row>
    <row r="75" spans="1:13" x14ac:dyDescent="0.2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146">
        <v>0</v>
      </c>
      <c r="E76" s="146">
        <v>-343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-343</v>
      </c>
      <c r="J76" s="60"/>
      <c r="K76" s="38"/>
      <c r="L76" s="60">
        <f t="shared" si="23"/>
        <v>0</v>
      </c>
      <c r="M76" s="38">
        <f t="shared" si="23"/>
        <v>-343</v>
      </c>
    </row>
    <row r="77" spans="1:13" x14ac:dyDescent="0.2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">
      <c r="A81" s="9">
        <v>40</v>
      </c>
      <c r="B81" s="3"/>
      <c r="C81" s="10" t="s">
        <v>78</v>
      </c>
      <c r="D81" s="146">
        <v>0</v>
      </c>
      <c r="E81" s="146">
        <v>66067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66067</v>
      </c>
      <c r="J81" s="60"/>
      <c r="K81" s="38"/>
      <c r="L81" s="60">
        <f t="shared" si="23"/>
        <v>0</v>
      </c>
      <c r="M81" s="38">
        <f t="shared" si="23"/>
        <v>66067</v>
      </c>
    </row>
    <row r="82" spans="1:13" s="2" customFormat="1" ht="20.25" customHeight="1" thickBot="1" x14ac:dyDescent="0.25">
      <c r="A82" s="94"/>
      <c r="B82" s="30"/>
      <c r="C82" s="95" t="s">
        <v>168</v>
      </c>
      <c r="D82" s="73">
        <f>D16+D24+D29+D36+D43+D45+D47+D49</f>
        <v>0</v>
      </c>
      <c r="E82" s="74">
        <f>SUM(E72:E81)+E16+E24+E29+E36+E43+E45+E47+E49+E51+E56+E61+E66</f>
        <v>665966.12289828656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665966.12289828656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665966.12289828656</v>
      </c>
    </row>
    <row r="83" spans="1:13" ht="13.5" thickTop="1" x14ac:dyDescent="0.2">
      <c r="A83" s="4"/>
      <c r="B83" s="3"/>
    </row>
    <row r="84" spans="1:13" x14ac:dyDescent="0.2">
      <c r="A84" s="4"/>
      <c r="B84" s="3"/>
    </row>
    <row r="85" spans="1:13" x14ac:dyDescent="0.2">
      <c r="A85" s="4" t="s">
        <v>163</v>
      </c>
      <c r="B85" s="3"/>
      <c r="L85" s="45"/>
    </row>
    <row r="86" spans="1:13" s="3" customFormat="1" x14ac:dyDescent="0.2">
      <c r="A86" s="144"/>
      <c r="C86" s="10" t="s">
        <v>166</v>
      </c>
      <c r="D86" s="148">
        <v>0</v>
      </c>
      <c r="E86" s="148">
        <v>-244880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-244880</v>
      </c>
      <c r="J86" s="148"/>
      <c r="K86" s="148"/>
      <c r="L86" s="148">
        <f t="shared" ref="L86:M88" si="27">H86+J86</f>
        <v>0</v>
      </c>
      <c r="M86" s="148">
        <f t="shared" si="27"/>
        <v>-244880</v>
      </c>
    </row>
    <row r="87" spans="1:13" s="3" customFormat="1" x14ac:dyDescent="0.2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">
      <c r="A89" s="144"/>
      <c r="B89" s="4"/>
      <c r="C89" s="154" t="s">
        <v>169</v>
      </c>
      <c r="D89" s="155">
        <f>SUM(D86:D88)</f>
        <v>0</v>
      </c>
      <c r="E89" s="155">
        <f t="shared" ref="E89:M89" si="28">SUM(E86:E88)</f>
        <v>-244880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-244880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-244880</v>
      </c>
    </row>
    <row r="90" spans="1:13" x14ac:dyDescent="0.2">
      <c r="A90" s="4"/>
      <c r="B90" s="3"/>
    </row>
    <row r="91" spans="1:13" s="2" customFormat="1" ht="20.25" customHeight="1" x14ac:dyDescent="0.2">
      <c r="A91" s="144"/>
      <c r="B91" s="4"/>
      <c r="C91" s="154" t="s">
        <v>167</v>
      </c>
      <c r="D91" s="155">
        <f>+D82+D89</f>
        <v>0</v>
      </c>
      <c r="E91" s="155">
        <f t="shared" ref="E91:M91" si="29">+E82+E89</f>
        <v>421086.12289828656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421086.12289828656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421086.12289828656</v>
      </c>
    </row>
    <row r="92" spans="1:13" x14ac:dyDescent="0.2">
      <c r="A92" s="4"/>
      <c r="B92" s="3"/>
    </row>
    <row r="93" spans="1:13" x14ac:dyDescent="0.2">
      <c r="A93" s="4"/>
      <c r="B93" s="3"/>
    </row>
    <row r="94" spans="1:13" x14ac:dyDescent="0.2">
      <c r="A94" s="4"/>
      <c r="B94" s="3"/>
    </row>
    <row r="95" spans="1:13" x14ac:dyDescent="0.2">
      <c r="A95" s="4"/>
      <c r="B95" s="3"/>
    </row>
    <row r="96" spans="1:1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zoomScale="75" workbookViewId="0">
      <selection activeCell="D10" sqref="D10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9" width="15.42578125" style="31" customWidth="1"/>
    <col min="10" max="19" width="15.42578125" customWidth="1"/>
  </cols>
  <sheetData>
    <row r="1" spans="1:26" x14ac:dyDescent="0.2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">
      <c r="A2" s="5" t="s">
        <v>85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">
      <c r="A4" s="5" t="s">
        <v>194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">
      <c r="A5" s="5" t="str">
        <f>Check!A5</f>
        <v>PRODUCTION MONTH: 0001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">
      <c r="A8" s="8"/>
      <c r="B8" s="16"/>
      <c r="C8" s="17"/>
      <c r="D8" s="26" t="s">
        <v>87</v>
      </c>
      <c r="E8" s="25"/>
      <c r="F8" s="26" t="s">
        <v>88</v>
      </c>
      <c r="G8" s="25"/>
      <c r="H8" s="26" t="s">
        <v>89</v>
      </c>
      <c r="I8" s="25"/>
      <c r="J8" s="26" t="s">
        <v>90</v>
      </c>
      <c r="K8" s="27"/>
      <c r="L8" s="26" t="s">
        <v>91</v>
      </c>
      <c r="M8" s="27"/>
    </row>
    <row r="9" spans="1:26" x14ac:dyDescent="0.2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">
      <c r="A11" s="9">
        <v>1</v>
      </c>
      <c r="B11" s="7"/>
      <c r="C11" s="18" t="s">
        <v>25</v>
      </c>
      <c r="D11" s="65">
        <v>23281203</v>
      </c>
      <c r="E11" s="65">
        <v>40096055</v>
      </c>
      <c r="F11" s="60">
        <f>H11-D11</f>
        <v>0</v>
      </c>
      <c r="G11" s="37">
        <f>I11-E11</f>
        <v>0</v>
      </c>
      <c r="H11" s="65">
        <f>D11</f>
        <v>23281203</v>
      </c>
      <c r="I11" s="66">
        <f>E11</f>
        <v>40096055</v>
      </c>
      <c r="J11" s="60"/>
      <c r="K11" s="38"/>
      <c r="L11" s="60">
        <f t="shared" ref="L11:M15" si="0">H11+J11</f>
        <v>23281203</v>
      </c>
      <c r="M11" s="38">
        <f t="shared" si="0"/>
        <v>40096055</v>
      </c>
    </row>
    <row r="12" spans="1:26" x14ac:dyDescent="0.2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">
      <c r="A13" s="9">
        <v>3</v>
      </c>
      <c r="B13" s="7"/>
      <c r="C13" s="18" t="s">
        <v>27</v>
      </c>
      <c r="D13" s="65">
        <v>53673045</v>
      </c>
      <c r="E13" s="65">
        <v>204754459</v>
      </c>
      <c r="F13" s="60">
        <f t="shared" si="1"/>
        <v>0</v>
      </c>
      <c r="G13" s="37">
        <f t="shared" si="1"/>
        <v>0</v>
      </c>
      <c r="H13" s="65">
        <f t="shared" si="2"/>
        <v>53673045</v>
      </c>
      <c r="I13" s="66">
        <f t="shared" si="2"/>
        <v>204754459</v>
      </c>
      <c r="J13" s="60"/>
      <c r="K13" s="38"/>
      <c r="L13" s="60">
        <f t="shared" si="0"/>
        <v>53673045</v>
      </c>
      <c r="M13" s="38">
        <f t="shared" si="0"/>
        <v>204754459</v>
      </c>
    </row>
    <row r="14" spans="1:26" x14ac:dyDescent="0.2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">
      <c r="A15" s="9">
        <v>5</v>
      </c>
      <c r="B15" s="7"/>
      <c r="C15" s="18" t="s">
        <v>29</v>
      </c>
      <c r="D15" s="65">
        <v>0</v>
      </c>
      <c r="E15" s="65">
        <v>10490859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10490859</v>
      </c>
      <c r="J15" s="60"/>
      <c r="K15" s="38"/>
      <c r="L15" s="60">
        <f t="shared" si="0"/>
        <v>0</v>
      </c>
      <c r="M15" s="38">
        <f t="shared" si="0"/>
        <v>10490859</v>
      </c>
    </row>
    <row r="16" spans="1:26" x14ac:dyDescent="0.2">
      <c r="A16" s="9"/>
      <c r="B16" s="7" t="s">
        <v>30</v>
      </c>
      <c r="C16" s="6"/>
      <c r="D16" s="61">
        <v>76954248</v>
      </c>
      <c r="E16" s="39">
        <v>255341373</v>
      </c>
      <c r="F16" s="61">
        <f t="shared" ref="F16:M16" si="3">SUM(F11:F15)</f>
        <v>0</v>
      </c>
      <c r="G16" s="39">
        <f t="shared" si="3"/>
        <v>0</v>
      </c>
      <c r="H16" s="61">
        <f>SUM(H11:H15)</f>
        <v>76954248</v>
      </c>
      <c r="I16" s="39">
        <f>SUM(I11:I15)</f>
        <v>255341373</v>
      </c>
      <c r="J16" s="61">
        <f t="shared" si="3"/>
        <v>0</v>
      </c>
      <c r="K16" s="39">
        <f t="shared" si="3"/>
        <v>0</v>
      </c>
      <c r="L16" s="61">
        <f t="shared" si="3"/>
        <v>76954248</v>
      </c>
      <c r="M16" s="39">
        <f t="shared" si="3"/>
        <v>255341373</v>
      </c>
    </row>
    <row r="17" spans="1:13" x14ac:dyDescent="0.2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">
      <c r="A19" s="9">
        <v>6</v>
      </c>
      <c r="B19" s="7"/>
      <c r="C19" s="18" t="s">
        <v>25</v>
      </c>
      <c r="D19" s="65">
        <v>-7057755</v>
      </c>
      <c r="E19" s="65">
        <v>-15351473</v>
      </c>
      <c r="F19" s="60">
        <f>H19-D19</f>
        <v>0</v>
      </c>
      <c r="G19" s="37">
        <f>I19-E19</f>
        <v>0</v>
      </c>
      <c r="H19" s="65">
        <f t="shared" si="4"/>
        <v>-7057755</v>
      </c>
      <c r="I19" s="66">
        <f t="shared" si="4"/>
        <v>-15351473</v>
      </c>
      <c r="J19" s="60"/>
      <c r="K19" s="38"/>
      <c r="L19" s="60">
        <f t="shared" ref="L19:M23" si="5">H19+J19</f>
        <v>-7057755</v>
      </c>
      <c r="M19" s="38">
        <f t="shared" si="5"/>
        <v>-15351473</v>
      </c>
    </row>
    <row r="20" spans="1:13" x14ac:dyDescent="0.2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">
      <c r="A21" s="9">
        <v>8</v>
      </c>
      <c r="B21" s="7"/>
      <c r="C21" s="18" t="s">
        <v>27</v>
      </c>
      <c r="D21" s="65">
        <v>-56862831</v>
      </c>
      <c r="E21" s="65">
        <v>-209309089</v>
      </c>
      <c r="F21" s="60">
        <f t="shared" si="6"/>
        <v>0</v>
      </c>
      <c r="G21" s="37">
        <f t="shared" si="6"/>
        <v>0</v>
      </c>
      <c r="H21" s="65">
        <f t="shared" si="4"/>
        <v>-56862831</v>
      </c>
      <c r="I21" s="66">
        <f t="shared" si="4"/>
        <v>-209309089</v>
      </c>
      <c r="J21" s="60"/>
      <c r="K21" s="38"/>
      <c r="L21" s="60">
        <f t="shared" si="5"/>
        <v>-56862831</v>
      </c>
      <c r="M21" s="38">
        <f t="shared" si="5"/>
        <v>-209309089</v>
      </c>
    </row>
    <row r="22" spans="1:13" x14ac:dyDescent="0.2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">
      <c r="A23" s="9">
        <v>10</v>
      </c>
      <c r="B23" s="7"/>
      <c r="C23" s="18" t="s">
        <v>32</v>
      </c>
      <c r="D23" s="65">
        <v>841381</v>
      </c>
      <c r="E23" s="65">
        <v>2424814</v>
      </c>
      <c r="F23" s="60">
        <f t="shared" si="6"/>
        <v>0</v>
      </c>
      <c r="G23" s="37">
        <f t="shared" si="6"/>
        <v>0</v>
      </c>
      <c r="H23" s="65">
        <f t="shared" si="4"/>
        <v>841381</v>
      </c>
      <c r="I23" s="66">
        <f t="shared" si="4"/>
        <v>2424814</v>
      </c>
      <c r="J23" s="60"/>
      <c r="K23" s="38"/>
      <c r="L23" s="60">
        <f t="shared" si="5"/>
        <v>841381</v>
      </c>
      <c r="M23" s="38">
        <f t="shared" si="5"/>
        <v>2424814</v>
      </c>
    </row>
    <row r="24" spans="1:13" x14ac:dyDescent="0.2">
      <c r="A24" s="9"/>
      <c r="B24" s="7" t="s">
        <v>33</v>
      </c>
      <c r="C24" s="6"/>
      <c r="D24" s="61">
        <v>-63079205</v>
      </c>
      <c r="E24" s="39">
        <v>-222235748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-63079205</v>
      </c>
      <c r="I24" s="39">
        <f>SUM(I19:I23)</f>
        <v>-222235748</v>
      </c>
      <c r="J24" s="61">
        <f t="shared" si="7"/>
        <v>0</v>
      </c>
      <c r="K24" s="39">
        <f t="shared" si="7"/>
        <v>0</v>
      </c>
      <c r="L24" s="61">
        <f t="shared" si="7"/>
        <v>-63079205</v>
      </c>
      <c r="M24" s="39">
        <f t="shared" si="7"/>
        <v>-222235748</v>
      </c>
    </row>
    <row r="25" spans="1:13" x14ac:dyDescent="0.2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">
      <c r="A32" s="9">
        <v>13</v>
      </c>
      <c r="B32" s="7"/>
      <c r="C32" s="18" t="s">
        <v>39</v>
      </c>
      <c r="D32" s="65">
        <v>-4</v>
      </c>
      <c r="E32" s="65">
        <v>-10</v>
      </c>
      <c r="F32" s="60">
        <f>H32-D32</f>
        <v>0</v>
      </c>
      <c r="G32" s="37">
        <f>I32-E32</f>
        <v>0</v>
      </c>
      <c r="H32" s="65">
        <f t="shared" ref="H32:I35" si="9">D32</f>
        <v>-4</v>
      </c>
      <c r="I32" s="66">
        <f t="shared" si="9"/>
        <v>-10</v>
      </c>
      <c r="J32" s="60"/>
      <c r="K32" s="38"/>
      <c r="L32" s="60">
        <f t="shared" ref="L32:M35" si="10">H32+J32</f>
        <v>-4</v>
      </c>
      <c r="M32" s="38">
        <f t="shared" si="10"/>
        <v>-10</v>
      </c>
    </row>
    <row r="33" spans="1:13" x14ac:dyDescent="0.2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">
      <c r="A35" s="9">
        <v>16</v>
      </c>
      <c r="B35" s="7"/>
      <c r="C35" s="18" t="s">
        <v>42</v>
      </c>
      <c r="D35" s="65">
        <v>-55131</v>
      </c>
      <c r="E35" s="65">
        <v>-236790</v>
      </c>
      <c r="F35" s="60">
        <f t="shared" si="11"/>
        <v>0</v>
      </c>
      <c r="G35" s="37">
        <f t="shared" si="11"/>
        <v>0</v>
      </c>
      <c r="H35" s="65">
        <f t="shared" si="9"/>
        <v>-55131</v>
      </c>
      <c r="I35" s="66">
        <f t="shared" si="9"/>
        <v>-236790</v>
      </c>
      <c r="J35" s="60"/>
      <c r="K35" s="38"/>
      <c r="L35" s="60">
        <f t="shared" si="10"/>
        <v>-55131</v>
      </c>
      <c r="M35" s="38">
        <f t="shared" si="10"/>
        <v>-236790</v>
      </c>
    </row>
    <row r="36" spans="1:13" x14ac:dyDescent="0.2">
      <c r="A36" s="9"/>
      <c r="B36" s="7" t="s">
        <v>43</v>
      </c>
      <c r="C36" s="6"/>
      <c r="D36" s="61">
        <v>-55135</v>
      </c>
      <c r="E36" s="39">
        <v>-236800</v>
      </c>
      <c r="F36" s="61">
        <f>SUM(F32:F35)</f>
        <v>0</v>
      </c>
      <c r="G36" s="39">
        <f>SUM(G32:G35)</f>
        <v>0</v>
      </c>
      <c r="H36" s="61">
        <f>SUM(H32:H35)</f>
        <v>-55135</v>
      </c>
      <c r="I36" s="39">
        <f>SUM(I32:I35)</f>
        <v>-236800</v>
      </c>
      <c r="J36" s="61">
        <f>SUM(J32:J34)</f>
        <v>0</v>
      </c>
      <c r="K36" s="39">
        <f>SUM(K32:K34)</f>
        <v>0</v>
      </c>
      <c r="L36" s="61">
        <f>SUM(L32:L35)</f>
        <v>-55135</v>
      </c>
      <c r="M36" s="39">
        <f>SUM(M32:M35)</f>
        <v>-236800</v>
      </c>
    </row>
    <row r="37" spans="1:13" x14ac:dyDescent="0.2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">
      <c r="A39" s="9">
        <v>17</v>
      </c>
      <c r="B39" s="7"/>
      <c r="C39" s="18" t="s">
        <v>45</v>
      </c>
      <c r="D39" s="65">
        <v>310315</v>
      </c>
      <c r="E39" s="65">
        <v>1222163</v>
      </c>
      <c r="F39" s="60">
        <f t="shared" ref="F39:G41" si="13">H39-D39</f>
        <v>0</v>
      </c>
      <c r="G39" s="37">
        <f t="shared" si="13"/>
        <v>0</v>
      </c>
      <c r="H39" s="65">
        <f t="shared" si="12"/>
        <v>310315</v>
      </c>
      <c r="I39" s="66">
        <f t="shared" si="12"/>
        <v>1222163</v>
      </c>
      <c r="J39" s="60"/>
      <c r="K39" s="38"/>
      <c r="L39" s="60">
        <f t="shared" ref="L39:M41" si="14">H39+J39</f>
        <v>310315</v>
      </c>
      <c r="M39" s="38">
        <f t="shared" si="14"/>
        <v>1222163</v>
      </c>
    </row>
    <row r="40" spans="1:13" ht="22.5" customHeight="1" x14ac:dyDescent="0.2">
      <c r="A40" s="9">
        <v>18</v>
      </c>
      <c r="B40" s="7"/>
      <c r="C40" s="18" t="s">
        <v>46</v>
      </c>
      <c r="D40" s="65">
        <v>-15906963</v>
      </c>
      <c r="E40" s="65">
        <v>-18576342</v>
      </c>
      <c r="F40" s="60">
        <f t="shared" si="13"/>
        <v>0</v>
      </c>
      <c r="G40" s="37">
        <f t="shared" si="13"/>
        <v>0</v>
      </c>
      <c r="H40" s="65">
        <f t="shared" si="12"/>
        <v>-15906963</v>
      </c>
      <c r="I40" s="66">
        <f t="shared" si="12"/>
        <v>-18576342</v>
      </c>
      <c r="J40" s="65"/>
      <c r="K40" s="38"/>
      <c r="L40" s="60">
        <f t="shared" si="14"/>
        <v>-15906963</v>
      </c>
      <c r="M40" s="38">
        <f t="shared" si="14"/>
        <v>-18576342</v>
      </c>
    </row>
    <row r="41" spans="1:13" x14ac:dyDescent="0.2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">
      <c r="A42" s="9"/>
      <c r="B42" s="7"/>
      <c r="C42" s="53" t="s">
        <v>48</v>
      </c>
      <c r="D42" s="61">
        <v>-15906963</v>
      </c>
      <c r="E42" s="39">
        <v>-18576342</v>
      </c>
      <c r="F42" s="69">
        <f t="shared" ref="F42:M42" si="15">SUM(F40:F41)</f>
        <v>0</v>
      </c>
      <c r="G42" s="39">
        <f t="shared" si="15"/>
        <v>0</v>
      </c>
      <c r="H42" s="61">
        <f>SUM(H40:H41)</f>
        <v>-15906963</v>
      </c>
      <c r="I42" s="39">
        <f>SUM(I40:I41)</f>
        <v>-18576342</v>
      </c>
      <c r="J42" s="69">
        <f t="shared" si="15"/>
        <v>0</v>
      </c>
      <c r="K42" s="39">
        <f t="shared" si="15"/>
        <v>0</v>
      </c>
      <c r="L42" s="69">
        <f t="shared" si="15"/>
        <v>-15906963</v>
      </c>
      <c r="M42" s="39">
        <f t="shared" si="15"/>
        <v>-18576342</v>
      </c>
    </row>
    <row r="43" spans="1:13" ht="21" customHeight="1" x14ac:dyDescent="0.2">
      <c r="A43" s="9"/>
      <c r="B43" s="7" t="s">
        <v>49</v>
      </c>
      <c r="C43" s="6"/>
      <c r="D43" s="61">
        <v>-15596648</v>
      </c>
      <c r="E43" s="39">
        <v>-17354179</v>
      </c>
      <c r="F43" s="61">
        <f t="shared" ref="F43:M43" si="16">F42+F39</f>
        <v>0</v>
      </c>
      <c r="G43" s="39">
        <f t="shared" si="16"/>
        <v>0</v>
      </c>
      <c r="H43" s="61">
        <f>H42+H39</f>
        <v>-15596648</v>
      </c>
      <c r="I43" s="39">
        <f>I42+I39</f>
        <v>-17354179</v>
      </c>
      <c r="J43" s="61">
        <f t="shared" si="16"/>
        <v>0</v>
      </c>
      <c r="K43" s="39">
        <f t="shared" si="16"/>
        <v>0</v>
      </c>
      <c r="L43" s="61">
        <f t="shared" si="16"/>
        <v>-15596648</v>
      </c>
      <c r="M43" s="39">
        <f t="shared" si="16"/>
        <v>-17354179</v>
      </c>
    </row>
    <row r="44" spans="1:13" x14ac:dyDescent="0.2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">
      <c r="A49" s="9">
        <v>22</v>
      </c>
      <c r="B49" s="11" t="s">
        <v>52</v>
      </c>
      <c r="C49" s="6"/>
      <c r="D49" s="65">
        <v>1776740</v>
      </c>
      <c r="E49" s="65">
        <v>4392101.28</v>
      </c>
      <c r="F49" s="60">
        <f>H49-D49</f>
        <v>0</v>
      </c>
      <c r="G49" s="37">
        <f>I49-E49</f>
        <v>0</v>
      </c>
      <c r="H49" s="65">
        <f>D49</f>
        <v>1776740</v>
      </c>
      <c r="I49" s="66">
        <f>E49</f>
        <v>4392101.28</v>
      </c>
      <c r="J49" s="60"/>
      <c r="K49" s="38"/>
      <c r="L49" s="60">
        <f>H49+J49</f>
        <v>1776740</v>
      </c>
      <c r="M49" s="38">
        <f>I49+K49</f>
        <v>4392101.28</v>
      </c>
    </row>
    <row r="50" spans="1:15" x14ac:dyDescent="0.2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">
      <c r="A51" s="9">
        <v>23</v>
      </c>
      <c r="B51" s="11" t="s">
        <v>53</v>
      </c>
      <c r="C51" s="6"/>
      <c r="D51" s="65">
        <v>-841381</v>
      </c>
      <c r="E51" s="65">
        <v>-2424814</v>
      </c>
      <c r="F51" s="60">
        <f>H51-D51</f>
        <v>0</v>
      </c>
      <c r="G51" s="37">
        <f>I51-E51</f>
        <v>0</v>
      </c>
      <c r="H51" s="65">
        <f>D51</f>
        <v>-841381</v>
      </c>
      <c r="I51" s="66">
        <f>E51</f>
        <v>-2424814</v>
      </c>
      <c r="J51" s="60"/>
      <c r="K51" s="38"/>
      <c r="L51" s="60">
        <f>H51+J51</f>
        <v>-841381</v>
      </c>
      <c r="M51" s="38">
        <f>I51+K51</f>
        <v>-2424814</v>
      </c>
    </row>
    <row r="52" spans="1:15" x14ac:dyDescent="0.2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">
      <c r="A54" s="9">
        <v>24</v>
      </c>
      <c r="B54" s="7"/>
      <c r="C54" s="18" t="s">
        <v>55</v>
      </c>
      <c r="D54" s="65">
        <v>0</v>
      </c>
      <c r="E54" s="65">
        <v>-772877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-772877</v>
      </c>
      <c r="J54" s="60"/>
      <c r="K54" s="38"/>
      <c r="L54" s="60">
        <f>H54+J54</f>
        <v>0</v>
      </c>
      <c r="M54" s="38">
        <f>I54+K54</f>
        <v>-772877</v>
      </c>
    </row>
    <row r="55" spans="1:15" x14ac:dyDescent="0.2">
      <c r="A55" s="9">
        <v>25</v>
      </c>
      <c r="B55" s="7"/>
      <c r="C55" s="18" t="s">
        <v>56</v>
      </c>
      <c r="D55" s="65">
        <v>16</v>
      </c>
      <c r="E55" s="65">
        <v>-10490859</v>
      </c>
      <c r="F55" s="60">
        <f>H55-D55</f>
        <v>0</v>
      </c>
      <c r="G55" s="37">
        <f>I55-E55</f>
        <v>0</v>
      </c>
      <c r="H55" s="65">
        <f>D55</f>
        <v>16</v>
      </c>
      <c r="I55" s="66">
        <f>E55</f>
        <v>-10490859</v>
      </c>
      <c r="J55" s="60"/>
      <c r="K55" s="38"/>
      <c r="L55" s="60">
        <f>H55+J55</f>
        <v>16</v>
      </c>
      <c r="M55" s="38">
        <f>I55+K55</f>
        <v>-10490859</v>
      </c>
    </row>
    <row r="56" spans="1:15" x14ac:dyDescent="0.2">
      <c r="A56" s="9"/>
      <c r="B56" s="7" t="s">
        <v>57</v>
      </c>
      <c r="C56" s="6"/>
      <c r="D56" s="61">
        <v>16</v>
      </c>
      <c r="E56" s="39">
        <v>-11263736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16</v>
      </c>
      <c r="I56" s="39">
        <f>SUM(I54:I55)</f>
        <v>-11263736</v>
      </c>
      <c r="J56" s="61">
        <f t="shared" si="17"/>
        <v>0</v>
      </c>
      <c r="K56" s="39">
        <f t="shared" si="17"/>
        <v>0</v>
      </c>
      <c r="L56" s="61">
        <f t="shared" si="17"/>
        <v>16</v>
      </c>
      <c r="M56" s="39">
        <f t="shared" si="17"/>
        <v>-11263736</v>
      </c>
    </row>
    <row r="57" spans="1:15" x14ac:dyDescent="0.2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">
      <c r="A70" s="9">
        <v>30</v>
      </c>
      <c r="B70" s="3"/>
      <c r="C70" s="10" t="s">
        <v>67</v>
      </c>
      <c r="D70" s="65">
        <v>0</v>
      </c>
      <c r="E70" s="65">
        <v>5937115.1586007997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5937115.1586007997</v>
      </c>
      <c r="J70" s="65"/>
      <c r="K70" s="38"/>
      <c r="L70" s="60">
        <f t="shared" si="20"/>
        <v>0</v>
      </c>
      <c r="M70" s="38">
        <f t="shared" si="20"/>
        <v>5937115.1586007997</v>
      </c>
    </row>
    <row r="71" spans="1:13" x14ac:dyDescent="0.2">
      <c r="A71" s="9">
        <v>31</v>
      </c>
      <c r="B71" s="3"/>
      <c r="C71" s="10" t="s">
        <v>68</v>
      </c>
      <c r="D71" s="65">
        <v>0</v>
      </c>
      <c r="E71" s="65">
        <v>-6350125.9190000035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-6350125.9190000035</v>
      </c>
      <c r="J71" s="65"/>
      <c r="K71" s="38"/>
      <c r="L71" s="60">
        <f t="shared" si="20"/>
        <v>0</v>
      </c>
      <c r="M71" s="38">
        <f t="shared" si="20"/>
        <v>-6350125.9190000035</v>
      </c>
    </row>
    <row r="72" spans="1:13" x14ac:dyDescent="0.2">
      <c r="A72" s="9"/>
      <c r="B72" s="3"/>
      <c r="C72" s="55" t="s">
        <v>69</v>
      </c>
      <c r="D72" s="61">
        <v>0</v>
      </c>
      <c r="E72" s="39">
        <v>-413010.76039920375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-413010.76039920375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-413010.76039920375</v>
      </c>
    </row>
    <row r="73" spans="1:13" x14ac:dyDescent="0.2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">
      <c r="A74" s="9">
        <v>33</v>
      </c>
      <c r="B74" s="3"/>
      <c r="C74" s="10" t="s">
        <v>71</v>
      </c>
      <c r="D74" s="65">
        <v>0</v>
      </c>
      <c r="E74" s="65">
        <v>-2403584.4093999993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-2403584.4093999993</v>
      </c>
      <c r="J74" s="60"/>
      <c r="K74" s="38"/>
      <c r="L74" s="60">
        <f t="shared" si="23"/>
        <v>0</v>
      </c>
      <c r="M74" s="38">
        <f t="shared" si="23"/>
        <v>-2403584.4093999993</v>
      </c>
    </row>
    <row r="75" spans="1:13" x14ac:dyDescent="0.2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">
      <c r="A81" s="9">
        <v>40</v>
      </c>
      <c r="B81" s="3"/>
      <c r="C81" s="10" t="s">
        <v>78</v>
      </c>
      <c r="D81" s="65">
        <v>0</v>
      </c>
      <c r="E81" s="65">
        <v>72668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72668</v>
      </c>
      <c r="J81" s="60"/>
      <c r="K81" s="38"/>
      <c r="L81" s="60">
        <f t="shared" si="23"/>
        <v>0</v>
      </c>
      <c r="M81" s="38">
        <f t="shared" si="23"/>
        <v>72668</v>
      </c>
    </row>
    <row r="82" spans="1:67" s="44" customFormat="1" ht="20.25" customHeight="1" thickBot="1" x14ac:dyDescent="0.25">
      <c r="A82" s="40"/>
      <c r="B82" s="41"/>
      <c r="C82" s="42" t="s">
        <v>168</v>
      </c>
      <c r="D82" s="73">
        <f>D16+D24+D29+D36+D43+D45+D47+D49</f>
        <v>0</v>
      </c>
      <c r="E82" s="74">
        <f>SUM(E72:E81)+E16+E24+E29+E36+E43+E45+E47+E49+E51+E56+E61+E66</f>
        <v>3474270.1102007926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3474270.1102007926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3474270.1102007926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5" thickTop="1" x14ac:dyDescent="0.2">
      <c r="A83" s="4"/>
      <c r="B83" s="3"/>
    </row>
    <row r="84" spans="1:67" x14ac:dyDescent="0.2">
      <c r="A84" s="4"/>
      <c r="B84" s="3"/>
    </row>
    <row r="85" spans="1:67" x14ac:dyDescent="0.2">
      <c r="A85" s="4"/>
      <c r="B85" s="3"/>
    </row>
    <row r="86" spans="1:67" x14ac:dyDescent="0.2">
      <c r="A86" s="4"/>
      <c r="B86" s="3"/>
    </row>
    <row r="87" spans="1:67" x14ac:dyDescent="0.2">
      <c r="A87" s="4"/>
      <c r="B87" s="3"/>
    </row>
    <row r="88" spans="1:67" x14ac:dyDescent="0.2">
      <c r="A88" s="4"/>
      <c r="B88" s="3"/>
    </row>
    <row r="89" spans="1:67" x14ac:dyDescent="0.2">
      <c r="A89" s="4"/>
      <c r="B89" s="3"/>
    </row>
    <row r="90" spans="1:67" x14ac:dyDescent="0.2">
      <c r="A90" s="4"/>
      <c r="B90" s="3"/>
    </row>
    <row r="91" spans="1:67" x14ac:dyDescent="0.2">
      <c r="A91" s="4"/>
      <c r="B91" s="3"/>
    </row>
    <row r="92" spans="1:67" x14ac:dyDescent="0.2">
      <c r="A92" s="4"/>
      <c r="B92" s="3"/>
    </row>
    <row r="93" spans="1:67" x14ac:dyDescent="0.2">
      <c r="A93" s="4"/>
      <c r="B93" s="3"/>
    </row>
    <row r="94" spans="1:67" x14ac:dyDescent="0.2">
      <c r="A94" s="4"/>
      <c r="B94" s="3"/>
    </row>
    <row r="95" spans="1:67" x14ac:dyDescent="0.2">
      <c r="A95" s="4"/>
      <c r="B95" s="3"/>
    </row>
    <row r="96" spans="1:6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O179"/>
  <sheetViews>
    <sheetView zoomScale="75" workbookViewId="0">
      <pane xSplit="3" ySplit="9" topLeftCell="J10" activePane="bottomRight" state="frozen"/>
      <selection activeCell="D10" sqref="D10"/>
      <selection pane="topRight" activeCell="D10" sqref="D10"/>
      <selection pane="bottomLeft" activeCell="D10" sqref="D10"/>
      <selection pane="bottomRight" activeCell="O12" sqref="O1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98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86279798</v>
      </c>
      <c r="E11" s="38">
        <f>SUM(G11,I11,K11,M11,O11,Q11,S11,U11,W11,Y11,AA11,AC11,AE11)</f>
        <v>201066632.95000002</v>
      </c>
      <c r="F11" s="60">
        <f>'TIE-OUT'!F11+RECLASS!F11</f>
        <v>0</v>
      </c>
      <c r="G11" s="38">
        <f>'TIE-OUT'!G11+RECLASS!G11</f>
        <v>0</v>
      </c>
      <c r="H11" s="118">
        <f>+Actuals!E164</f>
        <v>86078748</v>
      </c>
      <c r="I11" s="119">
        <f>+Actuals!F164</f>
        <v>202360835.04000002</v>
      </c>
      <c r="J11" s="118">
        <f>+Actuals!G164</f>
        <v>673291</v>
      </c>
      <c r="K11" s="119">
        <f>+Actuals!H164</f>
        <v>-233132.46</v>
      </c>
      <c r="L11" s="118">
        <f>+Actuals!I164</f>
        <v>-472241</v>
      </c>
      <c r="M11" s="119">
        <f>+Actuals!J164</f>
        <v>-1045546.73</v>
      </c>
      <c r="N11" s="118">
        <f>+Actuals!K164</f>
        <v>0</v>
      </c>
      <c r="O11" s="119">
        <f>+Actuals!L164</f>
        <v>-15522.9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5424924.2400000002</v>
      </c>
      <c r="F12" s="60">
        <f>'TIE-OUT'!F12+RECLASS!F12</f>
        <v>0</v>
      </c>
      <c r="G12" s="38">
        <f>'TIE-OUT'!G12+RECLASS!G12</f>
        <v>3950820.88</v>
      </c>
      <c r="H12" s="118">
        <f>+Actuals!E165</f>
        <v>0</v>
      </c>
      <c r="I12" s="119">
        <f>+Actuals!F165</f>
        <v>0</v>
      </c>
      <c r="J12" s="118">
        <f>+Actuals!G165</f>
        <v>0</v>
      </c>
      <c r="K12" s="215">
        <f>+Actuals!H165+33089</f>
        <v>33089</v>
      </c>
      <c r="L12" s="118">
        <f>+Actuals!I165</f>
        <v>0</v>
      </c>
      <c r="M12" s="215">
        <f>+Actuals!J165+41014.36</f>
        <v>41014.36</v>
      </c>
      <c r="N12" s="118">
        <f>+Actuals!K165</f>
        <v>0</v>
      </c>
      <c r="O12" s="215">
        <v>1400000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19727875</v>
      </c>
      <c r="E13" s="38">
        <f t="shared" si="0"/>
        <v>46844900</v>
      </c>
      <c r="F13" s="60">
        <f>'TIE-OUT'!F13+RECLASS!F13</f>
        <v>0</v>
      </c>
      <c r="G13" s="38">
        <f>'TIE-OUT'!G13+RECLASS!G13</f>
        <v>0</v>
      </c>
      <c r="H13" s="118">
        <f>+Actuals!E166</f>
        <v>41011971</v>
      </c>
      <c r="I13" s="119">
        <f>+Actuals!F166</f>
        <v>97311530</v>
      </c>
      <c r="J13" s="118">
        <f>+Actuals!G166</f>
        <v>-21241576</v>
      </c>
      <c r="K13" s="119">
        <f>+Actuals!H166</f>
        <v>-50373718</v>
      </c>
      <c r="L13" s="118">
        <f>+Actuals!I166</f>
        <v>-39502</v>
      </c>
      <c r="M13" s="119">
        <f>+Actuals!J166</f>
        <v>-86115</v>
      </c>
      <c r="N13" s="118">
        <f>+Actuals!K166</f>
        <v>-3018</v>
      </c>
      <c r="O13" s="119">
        <f>+Actuals!L166</f>
        <v>-6797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f>+Actuals!E167</f>
        <v>0</v>
      </c>
      <c r="I14" s="119">
        <f>+Actuals!F167</f>
        <v>0</v>
      </c>
      <c r="J14" s="118">
        <f>+Actuals!G167</f>
        <v>0</v>
      </c>
      <c r="K14" s="119">
        <f>+Actuals!H167</f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2952125.18</v>
      </c>
      <c r="F15" s="81">
        <f>'TIE-OUT'!F15+RECLASS!F15</f>
        <v>0</v>
      </c>
      <c r="G15" s="82">
        <f>'TIE-OUT'!G15+RECLASS!G15</f>
        <v>0</v>
      </c>
      <c r="H15" s="118">
        <f>+Actuals!E168</f>
        <v>0</v>
      </c>
      <c r="I15" s="119">
        <f>+Actuals!F168</f>
        <v>3301469.18</v>
      </c>
      <c r="J15" s="118">
        <f>+Actuals!G168</f>
        <v>0</v>
      </c>
      <c r="K15" s="119">
        <f>+Actuals!H168</f>
        <v>-351055</v>
      </c>
      <c r="L15" s="118">
        <f>+Actuals!I168</f>
        <v>0</v>
      </c>
      <c r="M15" s="119">
        <f>+Actuals!J168</f>
        <v>1711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106007673</v>
      </c>
      <c r="E16" s="39">
        <f t="shared" si="1"/>
        <v>256288582.37000003</v>
      </c>
      <c r="F16" s="61">
        <f t="shared" si="1"/>
        <v>0</v>
      </c>
      <c r="G16" s="39">
        <f t="shared" si="1"/>
        <v>3950820.88</v>
      </c>
      <c r="H16" s="61">
        <f t="shared" si="1"/>
        <v>127090719</v>
      </c>
      <c r="I16" s="39">
        <f t="shared" si="1"/>
        <v>302973834.22000003</v>
      </c>
      <c r="J16" s="61">
        <f t="shared" ref="J16:AO16" si="2">SUM(J11:J15)</f>
        <v>-20568285</v>
      </c>
      <c r="K16" s="39">
        <f t="shared" si="2"/>
        <v>-50924816.460000001</v>
      </c>
      <c r="L16" s="61">
        <f t="shared" si="2"/>
        <v>-511743</v>
      </c>
      <c r="M16" s="39">
        <f t="shared" si="2"/>
        <v>-1088936.3700000001</v>
      </c>
      <c r="N16" s="61">
        <f>SUM(N11:N15)</f>
        <v>-3018</v>
      </c>
      <c r="O16" s="39">
        <f>SUM(O11:O15)</f>
        <v>1377680.1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-96232149</v>
      </c>
      <c r="E19" s="38">
        <f t="shared" si="3"/>
        <v>-227994485.46999997</v>
      </c>
      <c r="F19" s="64">
        <f>'TIE-OUT'!F19+RECLASS!F19</f>
        <v>0</v>
      </c>
      <c r="G19" s="68">
        <f>'TIE-OUT'!G19+RECLASS!G19</f>
        <v>0</v>
      </c>
      <c r="H19" s="118">
        <f>+Actuals!E169</f>
        <v>-95111952</v>
      </c>
      <c r="I19" s="119">
        <f>+Actuals!F169</f>
        <v>-225959083.73999998</v>
      </c>
      <c r="J19" s="118">
        <f>+Actuals!G169</f>
        <v>-7081861</v>
      </c>
      <c r="K19" s="119">
        <f>+Actuals!H169</f>
        <v>-15854578.98</v>
      </c>
      <c r="L19" s="118">
        <f>+Actuals!I169</f>
        <v>7139069</v>
      </c>
      <c r="M19" s="119">
        <f>+Actuals!J169</f>
        <v>16453478.619999999</v>
      </c>
      <c r="N19" s="118">
        <f>+Actuals!K169</f>
        <v>-1177405</v>
      </c>
      <c r="O19" s="119">
        <f>+Actuals!L169</f>
        <v>-2634301.37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-36885.989999999991</v>
      </c>
      <c r="F20" s="60">
        <f>'TIE-OUT'!F20+RECLASS!F20</f>
        <v>0</v>
      </c>
      <c r="G20" s="38">
        <f>'TIE-OUT'!G20+RECLASS!G20</f>
        <v>985339.05</v>
      </c>
      <c r="H20" s="118">
        <f>+Actuals!E170</f>
        <v>0</v>
      </c>
      <c r="I20" s="119">
        <f>+Actuals!F170</f>
        <v>0</v>
      </c>
      <c r="J20" s="118">
        <f>+Actuals!G170</f>
        <v>0</v>
      </c>
      <c r="K20" s="215">
        <v>0</v>
      </c>
      <c r="L20" s="118">
        <f>+Actuals!I170</f>
        <v>0</v>
      </c>
      <c r="M20" s="215">
        <f>+Actuals!J170-1069500+64015-16740.04</f>
        <v>-1022225.04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-11470390</v>
      </c>
      <c r="E21" s="38">
        <f t="shared" si="3"/>
        <v>-27188862</v>
      </c>
      <c r="F21" s="60">
        <f>'TIE-OUT'!F21+RECLASS!F21</f>
        <v>0</v>
      </c>
      <c r="G21" s="38">
        <f>'TIE-OUT'!G21+RECLASS!G21</f>
        <v>0</v>
      </c>
      <c r="H21" s="118">
        <f>+Actuals!E171</f>
        <v>-32019356</v>
      </c>
      <c r="I21" s="119">
        <f>+Actuals!F171</f>
        <v>-76398505</v>
      </c>
      <c r="J21" s="118">
        <f>+Actuals!G171</f>
        <v>20524645</v>
      </c>
      <c r="K21" s="119">
        <f>+Actuals!H171</f>
        <v>49151111</v>
      </c>
      <c r="L21" s="118">
        <f>+Actuals!I171</f>
        <v>20324</v>
      </c>
      <c r="M21" s="119">
        <f>+Actuals!J171</f>
        <v>49834</v>
      </c>
      <c r="N21" s="118">
        <f>+Actuals!K171</f>
        <v>3997</v>
      </c>
      <c r="O21" s="119">
        <f>+Actuals!L171</f>
        <v>8698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f>+Actuals!E172</f>
        <v>0</v>
      </c>
      <c r="I22" s="119">
        <f>+Actuals!F172</f>
        <v>0</v>
      </c>
      <c r="J22" s="118">
        <f>+Actuals!G172</f>
        <v>0</v>
      </c>
      <c r="K22" s="119">
        <f>+Actuals!H172</f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811540</v>
      </c>
      <c r="E23" s="38">
        <f t="shared" si="3"/>
        <v>1884395.8800000001</v>
      </c>
      <c r="F23" s="81">
        <f>'TIE-OUT'!F23+RECLASS!F23</f>
        <v>0</v>
      </c>
      <c r="G23" s="82">
        <f>'TIE-OUT'!G23+RECLASS!G23</f>
        <v>0</v>
      </c>
      <c r="H23" s="118">
        <f>+Actuals!E173</f>
        <v>808041</v>
      </c>
      <c r="I23" s="119">
        <f>+Actuals!F173</f>
        <v>1876271.202</v>
      </c>
      <c r="J23" s="118">
        <f>+Actuals!G173</f>
        <v>3138</v>
      </c>
      <c r="K23" s="119">
        <f>+Actuals!H173</f>
        <v>7286.4359999999997</v>
      </c>
      <c r="L23" s="118">
        <f>+Actuals!I173</f>
        <v>361</v>
      </c>
      <c r="M23" s="119">
        <f>+Actuals!J173</f>
        <v>838.24199999999996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-106890999</v>
      </c>
      <c r="E24" s="39">
        <f t="shared" si="4"/>
        <v>-253335837.57999998</v>
      </c>
      <c r="F24" s="61">
        <f t="shared" si="4"/>
        <v>0</v>
      </c>
      <c r="G24" s="39">
        <f t="shared" si="4"/>
        <v>985339.05</v>
      </c>
      <c r="H24" s="61">
        <f t="shared" si="4"/>
        <v>-126323267</v>
      </c>
      <c r="I24" s="39">
        <f t="shared" si="4"/>
        <v>-300481317.53799999</v>
      </c>
      <c r="J24" s="61">
        <f t="shared" ref="J24:AO24" si="5">SUM(J19:J23)</f>
        <v>13445922</v>
      </c>
      <c r="K24" s="39">
        <f t="shared" si="5"/>
        <v>33303818.456</v>
      </c>
      <c r="L24" s="61">
        <f t="shared" si="5"/>
        <v>7159754</v>
      </c>
      <c r="M24" s="39">
        <f t="shared" si="5"/>
        <v>15481925.821999999</v>
      </c>
      <c r="N24" s="61">
        <f>SUM(N19:N23)</f>
        <v>-1173408</v>
      </c>
      <c r="O24" s="39">
        <f>SUM(O19:O23)</f>
        <v>-2625603.37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156898</v>
      </c>
      <c r="E27" s="38">
        <f>SUM(G27,I27,K27,M27,O27,Q27,S27,U27,W27,Y27,AA27,AC27,AE27)</f>
        <v>360096.24</v>
      </c>
      <c r="F27" s="64">
        <f>'TIE-OUT'!F27+RECLASS!F27</f>
        <v>0</v>
      </c>
      <c r="G27" s="68">
        <f>'TIE-OUT'!G27+RECLASS!G27</f>
        <v>0</v>
      </c>
      <c r="H27" s="118">
        <f>+Actuals!E174</f>
        <v>156898</v>
      </c>
      <c r="I27" s="119">
        <f>+Actuals!F174</f>
        <v>360096.24</v>
      </c>
      <c r="J27" s="118">
        <f>+Actuals!G174</f>
        <v>0</v>
      </c>
      <c r="K27" s="119">
        <f>+Actuals!H174</f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-108664</v>
      </c>
      <c r="E28" s="38">
        <f>SUM(G28,I28,K28,M28,O28,Q28,S28,U28,W28,Y28,AA28,AC28,AE28)</f>
        <v>-275999.67</v>
      </c>
      <c r="F28" s="81">
        <f>'TIE-OUT'!F28+RECLASS!F28</f>
        <v>0</v>
      </c>
      <c r="G28" s="82">
        <f>'TIE-OUT'!G28+RECLASS!G28</f>
        <v>0</v>
      </c>
      <c r="H28" s="118">
        <f>+Actuals!E175</f>
        <v>-108664</v>
      </c>
      <c r="I28" s="119">
        <f>+Actuals!F175</f>
        <v>-275999.67</v>
      </c>
      <c r="J28" s="118">
        <f>+Actuals!G175</f>
        <v>0</v>
      </c>
      <c r="K28" s="119">
        <f>+Actuals!H175</f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48234</v>
      </c>
      <c r="E29" s="39">
        <f t="shared" si="6"/>
        <v>84096.57</v>
      </c>
      <c r="F29" s="61">
        <f t="shared" si="6"/>
        <v>0</v>
      </c>
      <c r="G29" s="39">
        <f t="shared" si="6"/>
        <v>0</v>
      </c>
      <c r="H29" s="61">
        <f t="shared" si="6"/>
        <v>48234</v>
      </c>
      <c r="I29" s="39">
        <f t="shared" si="6"/>
        <v>84096.57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-243898</v>
      </c>
      <c r="E32" s="38">
        <f t="shared" si="8"/>
        <v>-566331.15599999961</v>
      </c>
      <c r="F32" s="64">
        <f>'TIE-OUT'!F32+RECLASS!F32</f>
        <v>0</v>
      </c>
      <c r="G32" s="68">
        <f>'TIE-OUT'!G32+RECLASS!G32</f>
        <v>0</v>
      </c>
      <c r="H32" s="118">
        <f>+Actuals!E176</f>
        <v>2513996</v>
      </c>
      <c r="I32" s="119">
        <f>+Actuals!F176</f>
        <v>5837498.7120000003</v>
      </c>
      <c r="J32" s="118">
        <f>+Actuals!G176</f>
        <v>-2793778</v>
      </c>
      <c r="K32" s="119">
        <f>+Actuals!H176</f>
        <v>-6487152.5159999998</v>
      </c>
      <c r="L32" s="118">
        <f>+Actuals!I176</f>
        <v>-19251</v>
      </c>
      <c r="M32" s="119">
        <f>+Actuals!J176</f>
        <v>-44700.822</v>
      </c>
      <c r="N32" s="118">
        <f>+Actuals!K176</f>
        <v>55135</v>
      </c>
      <c r="O32" s="119">
        <f>+Actuals!L176</f>
        <v>128023.47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-83544</v>
      </c>
      <c r="E33" s="38">
        <f t="shared" si="8"/>
        <v>-202085.82</v>
      </c>
      <c r="F33" s="60">
        <f>'TIE-OUT'!F33+RECLASS!F33</f>
        <v>0</v>
      </c>
      <c r="G33" s="38">
        <f>'TIE-OUT'!G33+RECLASS!G33</f>
        <v>0</v>
      </c>
      <c r="H33" s="118">
        <f>+Actuals!E177</f>
        <v>0</v>
      </c>
      <c r="I33" s="119">
        <f>+Actuals!F177</f>
        <v>0</v>
      </c>
      <c r="J33" s="118">
        <f>+Actuals!G177</f>
        <v>-69488</v>
      </c>
      <c r="K33" s="119">
        <f>+Actuals!H177</f>
        <v>-167230.47</v>
      </c>
      <c r="L33" s="118">
        <f>+Actuals!I177</f>
        <v>-13756</v>
      </c>
      <c r="M33" s="119">
        <f>+Actuals!J177</f>
        <v>-34162.620000000003</v>
      </c>
      <c r="N33" s="118">
        <f>+Actuals!K177</f>
        <v>-300</v>
      </c>
      <c r="O33" s="119">
        <f>+Actuals!L177</f>
        <v>-692.73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60535</v>
      </c>
      <c r="E34" s="38">
        <f t="shared" si="8"/>
        <v>135006.99</v>
      </c>
      <c r="F34" s="60">
        <f>'TIE-OUT'!F34+RECLASS!F34</f>
        <v>0</v>
      </c>
      <c r="G34" s="38">
        <f>'TIE-OUT'!G34+RECLASS!G34</f>
        <v>0</v>
      </c>
      <c r="H34" s="118">
        <f>+Actuals!E178</f>
        <v>0</v>
      </c>
      <c r="I34" s="119">
        <f>+Actuals!F178</f>
        <v>0</v>
      </c>
      <c r="J34" s="118">
        <f>+Actuals!G178</f>
        <v>29637</v>
      </c>
      <c r="K34" s="119">
        <f>+Actuals!H178</f>
        <v>73280.08</v>
      </c>
      <c r="L34" s="118">
        <f>+Actuals!I178</f>
        <v>30898</v>
      </c>
      <c r="M34" s="119">
        <f>+Actuals!J178</f>
        <v>61726.91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f>+Actuals!E179</f>
        <v>0</v>
      </c>
      <c r="I35" s="119">
        <f>+Actuals!F179</f>
        <v>0</v>
      </c>
      <c r="J35" s="118">
        <f>+Actuals!G179</f>
        <v>0</v>
      </c>
      <c r="K35" s="119">
        <f>+Actuals!H179</f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-266907</v>
      </c>
      <c r="E36" s="39">
        <f t="shared" si="9"/>
        <v>-633409.98599999957</v>
      </c>
      <c r="F36" s="61">
        <f t="shared" si="9"/>
        <v>0</v>
      </c>
      <c r="G36" s="39">
        <f t="shared" si="9"/>
        <v>0</v>
      </c>
      <c r="H36" s="61">
        <f t="shared" si="9"/>
        <v>2513996</v>
      </c>
      <c r="I36" s="39">
        <f t="shared" si="9"/>
        <v>5837498.7120000003</v>
      </c>
      <c r="J36" s="61">
        <f t="shared" ref="J36:AO36" si="10">SUM(J32:J35)</f>
        <v>-2833629</v>
      </c>
      <c r="K36" s="39">
        <f t="shared" si="10"/>
        <v>-6581102.9059999995</v>
      </c>
      <c r="L36" s="61">
        <f t="shared" si="10"/>
        <v>-2109</v>
      </c>
      <c r="M36" s="39">
        <f t="shared" si="10"/>
        <v>-17136.532000000007</v>
      </c>
      <c r="N36" s="61">
        <f>SUM(N32:N35)</f>
        <v>54835</v>
      </c>
      <c r="O36" s="39">
        <f>SUM(O32:O35)</f>
        <v>127330.74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521888</v>
      </c>
      <c r="E39" s="38">
        <f t="shared" si="11"/>
        <v>1211823.93</v>
      </c>
      <c r="F39" s="64">
        <f>'TIE-OUT'!F39+RECLASS!F39</f>
        <v>0</v>
      </c>
      <c r="G39" s="68">
        <f>'TIE-OUT'!G39+RECLASS!G39</f>
        <v>0</v>
      </c>
      <c r="H39" s="118">
        <f>+Actuals!E180</f>
        <v>4906</v>
      </c>
      <c r="I39" s="119">
        <f>+Actuals!F180</f>
        <v>11391.73</v>
      </c>
      <c r="J39" s="118">
        <f>+Actuals!G180</f>
        <v>516982</v>
      </c>
      <c r="K39" s="119">
        <f>+Actuals!H180</f>
        <v>1200432.2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-645126</v>
      </c>
      <c r="E40" s="38">
        <f t="shared" si="11"/>
        <v>-1401722.22</v>
      </c>
      <c r="F40" s="60">
        <f>'TIE-OUT'!F40+RECLASS!F40</f>
        <v>0</v>
      </c>
      <c r="G40" s="38">
        <f>'TIE-OUT'!G40+RECLASS!G40</f>
        <v>0</v>
      </c>
      <c r="H40" s="118">
        <f>+Actuals!E181</f>
        <v>-461755</v>
      </c>
      <c r="I40" s="119">
        <f>+Actuals!F181</f>
        <v>-942186.99</v>
      </c>
      <c r="J40" s="118">
        <f>+Actuals!G181</f>
        <v>-181659</v>
      </c>
      <c r="K40" s="119">
        <f>+Actuals!H181</f>
        <v>-455933.31</v>
      </c>
      <c r="L40" s="118">
        <f>+Actuals!I181</f>
        <v>-1712</v>
      </c>
      <c r="M40" s="119">
        <f>+Actuals!J181</f>
        <v>-3601.92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f>+Actuals!E182</f>
        <v>0</v>
      </c>
      <c r="I41" s="119">
        <f>+Actuals!F182</f>
        <v>0</v>
      </c>
      <c r="J41" s="118">
        <f>+Actuals!G182</f>
        <v>0</v>
      </c>
      <c r="K41" s="119">
        <f>+Actuals!H182</f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-645126</v>
      </c>
      <c r="E42" s="39">
        <f t="shared" si="12"/>
        <v>-1401722.22</v>
      </c>
      <c r="F42" s="61">
        <f t="shared" si="12"/>
        <v>0</v>
      </c>
      <c r="G42" s="39">
        <f t="shared" si="12"/>
        <v>0</v>
      </c>
      <c r="H42" s="61">
        <f t="shared" si="12"/>
        <v>-461755</v>
      </c>
      <c r="I42" s="39">
        <f t="shared" si="12"/>
        <v>-942186.99</v>
      </c>
      <c r="J42" s="61">
        <f t="shared" ref="J42:AO42" si="13">SUM(J40:J41)</f>
        <v>-181659</v>
      </c>
      <c r="K42" s="39">
        <f t="shared" si="13"/>
        <v>-455933.31</v>
      </c>
      <c r="L42" s="61">
        <f t="shared" si="13"/>
        <v>-1712</v>
      </c>
      <c r="M42" s="39">
        <f t="shared" si="13"/>
        <v>-3601.92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-123238</v>
      </c>
      <c r="E43" s="39">
        <f t="shared" si="14"/>
        <v>-189898.29000000004</v>
      </c>
      <c r="F43" s="61">
        <f t="shared" si="14"/>
        <v>0</v>
      </c>
      <c r="G43" s="39">
        <f t="shared" si="14"/>
        <v>0</v>
      </c>
      <c r="H43" s="61">
        <f t="shared" si="14"/>
        <v>-456849</v>
      </c>
      <c r="I43" s="39">
        <f t="shared" si="14"/>
        <v>-930795.26</v>
      </c>
      <c r="J43" s="61">
        <f t="shared" ref="J43:AO43" si="15">J42+J39</f>
        <v>335323</v>
      </c>
      <c r="K43" s="39">
        <f t="shared" si="15"/>
        <v>744498.8899999999</v>
      </c>
      <c r="L43" s="61">
        <f t="shared" si="15"/>
        <v>-1712</v>
      </c>
      <c r="M43" s="39">
        <f t="shared" si="15"/>
        <v>-3601.92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f>+Actuals!E183</f>
        <v>0</v>
      </c>
      <c r="I45" s="119">
        <f>+Actuals!F183</f>
        <v>0</v>
      </c>
      <c r="J45" s="118">
        <f>+Actuals!G183</f>
        <v>0</v>
      </c>
      <c r="K45" s="119">
        <f>+Actuals!H183</f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f>+Actuals!E184</f>
        <v>0</v>
      </c>
      <c r="I47" s="119">
        <f>+Actuals!F184</f>
        <v>0</v>
      </c>
      <c r="J47" s="118">
        <f>+Actuals!G184</f>
        <v>0</v>
      </c>
      <c r="K47" s="119">
        <f>+Actuals!H184</f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1225237</v>
      </c>
      <c r="E49" s="38">
        <f>SUM(G49,I49,K49,M49,O49,Q49,S49,U49,W49,Y49,AA49,AC49,AE49)</f>
        <v>2845000.3139999984</v>
      </c>
      <c r="F49" s="60">
        <f>'TIE-OUT'!F49+RECLASS!F49</f>
        <v>0</v>
      </c>
      <c r="G49" s="38">
        <f>'TIE-OUT'!G49+RECLASS!G49</f>
        <v>0</v>
      </c>
      <c r="H49" s="118">
        <f>+Actuals!E185</f>
        <v>-2872833</v>
      </c>
      <c r="I49" s="119">
        <f>+Actuals!F185</f>
        <v>-6670718.2259999998</v>
      </c>
      <c r="J49" s="118">
        <f>+Actuals!G185</f>
        <v>9620669</v>
      </c>
      <c r="K49" s="119">
        <f>+Actuals!H185</f>
        <v>22339193.417999998</v>
      </c>
      <c r="L49" s="118">
        <f>+Actuals!I185</f>
        <v>-6644190</v>
      </c>
      <c r="M49" s="119">
        <f>+Actuals!J185</f>
        <v>-15427809.18</v>
      </c>
      <c r="N49" s="118">
        <f>+Actuals!K185</f>
        <v>1121591</v>
      </c>
      <c r="O49" s="119">
        <f>+Actuals!L185</f>
        <v>2604334.3020000001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-811540</v>
      </c>
      <c r="E51" s="38">
        <f>SUM(G51,I51,K51,M51,O51,Q51,S51,U51,W51,Y51,AA51,AC51,AE51)</f>
        <v>-1884395.8800000001</v>
      </c>
      <c r="F51" s="60">
        <f>'TIE-OUT'!F51+RECLASS!F51</f>
        <v>0</v>
      </c>
      <c r="G51" s="38">
        <f>'TIE-OUT'!G51+RECLASS!G51</f>
        <v>0</v>
      </c>
      <c r="H51" s="118">
        <f>+Actuals!E186</f>
        <v>-808041</v>
      </c>
      <c r="I51" s="119">
        <f>+Actuals!F186</f>
        <v>-1876271.202</v>
      </c>
      <c r="J51" s="118">
        <f>+Actuals!G186</f>
        <v>-3138</v>
      </c>
      <c r="K51" s="119">
        <f>+Actuals!H186</f>
        <v>-7286.4359999999997</v>
      </c>
      <c r="L51" s="118">
        <f>+Actuals!I186</f>
        <v>-361</v>
      </c>
      <c r="M51" s="119">
        <f>+Actuals!J186</f>
        <v>-838.24199999999996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-62477450</v>
      </c>
      <c r="E54" s="38">
        <f>SUM(G54,I54,K54,M54,O54,Q54,S54,U54,W54,Y54,AA54,AC54,AE54)</f>
        <v>-538391.08000000007</v>
      </c>
      <c r="F54" s="64">
        <f>'TIE-OUT'!F54+RECLASS!F54</f>
        <v>0</v>
      </c>
      <c r="G54" s="68">
        <f>'TIE-OUT'!G54+RECLASS!G54</f>
        <v>0</v>
      </c>
      <c r="H54" s="118">
        <f>+Actuals!E187</f>
        <v>-61042926</v>
      </c>
      <c r="I54" s="119">
        <f>+Actuals!F187</f>
        <v>68650.179999999993</v>
      </c>
      <c r="J54" s="118">
        <f>+Actuals!G187</f>
        <v>1001693</v>
      </c>
      <c r="K54" s="119">
        <f>+Actuals!H187</f>
        <v>-393789</v>
      </c>
      <c r="L54" s="118">
        <f>+Actuals!I187</f>
        <v>-12780</v>
      </c>
      <c r="M54" s="119">
        <f>+Actuals!J187</f>
        <v>-229969.01</v>
      </c>
      <c r="N54" s="118">
        <f>+Actuals!K187</f>
        <v>-2423437</v>
      </c>
      <c r="O54" s="119">
        <f>+Actuals!L187</f>
        <v>16716.75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-2144478.8000000003</v>
      </c>
      <c r="F55" s="81">
        <f>'TIE-OUT'!F55+RECLASS!F55</f>
        <v>0</v>
      </c>
      <c r="G55" s="82">
        <f>'TIE-OUT'!G55+RECLASS!G55</f>
        <v>97061</v>
      </c>
      <c r="H55" s="118">
        <f>+Actuals!E188</f>
        <v>0</v>
      </c>
      <c r="I55" s="119">
        <f>+Actuals!F188</f>
        <v>-2620911.2200000002</v>
      </c>
      <c r="J55" s="118">
        <f>+Actuals!G188</f>
        <v>0</v>
      </c>
      <c r="K55" s="119">
        <f>+Actuals!H188</f>
        <v>-91043.31</v>
      </c>
      <c r="L55" s="118">
        <f>+Actuals!I188</f>
        <v>0</v>
      </c>
      <c r="M55" s="119">
        <f>+Actuals!J188</f>
        <v>-76293</v>
      </c>
      <c r="N55" s="118">
        <f>+Actuals!K188</f>
        <v>0</v>
      </c>
      <c r="O55" s="119">
        <f>+Actuals!L188</f>
        <v>546707.73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-62477450</v>
      </c>
      <c r="E56" s="39">
        <f t="shared" si="16"/>
        <v>-2682869.8800000004</v>
      </c>
      <c r="F56" s="61">
        <f t="shared" si="16"/>
        <v>0</v>
      </c>
      <c r="G56" s="39">
        <f t="shared" si="16"/>
        <v>97061</v>
      </c>
      <c r="H56" s="61">
        <f t="shared" si="16"/>
        <v>-61042926</v>
      </c>
      <c r="I56" s="39">
        <f t="shared" si="16"/>
        <v>-2552261.04</v>
      </c>
      <c r="J56" s="61">
        <f t="shared" ref="J56:AO56" si="17">SUM(J54:J55)</f>
        <v>1001693</v>
      </c>
      <c r="K56" s="39">
        <f t="shared" si="17"/>
        <v>-484832.31</v>
      </c>
      <c r="L56" s="61">
        <f t="shared" si="17"/>
        <v>-12780</v>
      </c>
      <c r="M56" s="39">
        <f t="shared" si="17"/>
        <v>-306262.01</v>
      </c>
      <c r="N56" s="61">
        <f>SUM(N54:N55)</f>
        <v>-2423437</v>
      </c>
      <c r="O56" s="39">
        <f>SUM(O54:O55)</f>
        <v>563424.48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f>+Actuals!E189</f>
        <v>0</v>
      </c>
      <c r="I59" s="119">
        <f>+Actuals!F189</f>
        <v>0</v>
      </c>
      <c r="J59" s="118">
        <f>+Actuals!G189</f>
        <v>0</v>
      </c>
      <c r="K59" s="119">
        <f>+Actuals!H189</f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f>+Actuals!E190</f>
        <v>0</v>
      </c>
      <c r="I60" s="119">
        <f>+Actuals!F190</f>
        <v>0</v>
      </c>
      <c r="J60" s="118">
        <f>+Actuals!G190</f>
        <v>0</v>
      </c>
      <c r="K60" s="119">
        <f>+Actuals!H190</f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f>+Actuals!E191</f>
        <v>0</v>
      </c>
      <c r="I64" s="119">
        <f>+Actuals!F191</f>
        <v>0</v>
      </c>
      <c r="J64" s="118">
        <f>+Actuals!G191</f>
        <v>0</v>
      </c>
      <c r="K64" s="119">
        <f>+Actuals!H191</f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f>+Actuals!E192</f>
        <v>0</v>
      </c>
      <c r="I65" s="119">
        <f>+Actuals!F192</f>
        <v>0</v>
      </c>
      <c r="J65" s="118">
        <f>+Actuals!G192</f>
        <v>0</v>
      </c>
      <c r="K65" s="119">
        <f>+Actuals!H192</f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7591856.8799999999</v>
      </c>
      <c r="F70" s="64">
        <f>'TIE-OUT'!F70+RECLASS!F70</f>
        <v>0</v>
      </c>
      <c r="G70" s="68">
        <f>'TIE-OUT'!G70+RECLASS!G70</f>
        <v>7591856.8799999999</v>
      </c>
      <c r="H70" s="118">
        <f>+Actuals!E193</f>
        <v>0</v>
      </c>
      <c r="I70" s="119">
        <f>+Actuals!F193</f>
        <v>0</v>
      </c>
      <c r="J70" s="118">
        <f>+Actuals!G193</f>
        <v>0</v>
      </c>
      <c r="K70" s="119">
        <f>+Actuals!H193</f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-1768212</v>
      </c>
      <c r="F71" s="81">
        <f>'TIE-OUT'!F71+RECLASS!F71</f>
        <v>0</v>
      </c>
      <c r="G71" s="82">
        <f>'TIE-OUT'!G71+RECLASS!G71</f>
        <v>-1768212</v>
      </c>
      <c r="H71" s="118">
        <f>+Actuals!E194</f>
        <v>0</v>
      </c>
      <c r="I71" s="119">
        <f>+Actuals!F194</f>
        <v>0</v>
      </c>
      <c r="J71" s="118">
        <f>+Actuals!G194</f>
        <v>0</v>
      </c>
      <c r="K71" s="119">
        <f>+Actuals!H194</f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5823644.8799999999</v>
      </c>
      <c r="F72" s="61">
        <f t="shared" si="22"/>
        <v>0</v>
      </c>
      <c r="G72" s="39">
        <f t="shared" si="22"/>
        <v>5823644.8799999999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f>+Actuals!E195</f>
        <v>0</v>
      </c>
      <c r="I73" s="119">
        <f>+Actuals!F195</f>
        <v>0</v>
      </c>
      <c r="J73" s="118">
        <f>+Actuals!G195</f>
        <v>0</v>
      </c>
      <c r="K73" s="119">
        <f>+Actuals!H195</f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934514.08999999985</v>
      </c>
      <c r="F74" s="60">
        <f>'TIE-OUT'!F74+RECLASS!F74</f>
        <v>0</v>
      </c>
      <c r="G74" s="60">
        <f>'TIE-OUT'!G74+RECLASS!G74</f>
        <v>-2085653.23</v>
      </c>
      <c r="H74" s="118">
        <f>+Actuals!E196</f>
        <v>0</v>
      </c>
      <c r="I74" s="119">
        <f>+Actuals!F196</f>
        <v>0</v>
      </c>
      <c r="J74" s="118">
        <f>+Actuals!G196</f>
        <v>0</v>
      </c>
      <c r="K74" s="119">
        <f>+Actuals!H196</f>
        <v>0</v>
      </c>
      <c r="L74" s="118">
        <f>+Actuals!I196</f>
        <v>0</v>
      </c>
      <c r="M74" s="215">
        <f>+Actuals!J196+3058087+2088.76</f>
        <v>3060175.76</v>
      </c>
      <c r="N74" s="118">
        <f>+Actuals!K196</f>
        <v>0</v>
      </c>
      <c r="O74" s="119">
        <f>+Actuals!L196+-38303.9+26195.46-27900</f>
        <v>-40008.44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51500</v>
      </c>
      <c r="F75" s="60">
        <f>'TIE-OUT'!F75+RECLASS!F75</f>
        <v>0</v>
      </c>
      <c r="G75" s="60">
        <f>'TIE-OUT'!G75+RECLASS!G75</f>
        <v>51500</v>
      </c>
      <c r="H75" s="118">
        <f>+Actuals!E197</f>
        <v>0</v>
      </c>
      <c r="I75" s="119">
        <f>+Actuals!F197</f>
        <v>0</v>
      </c>
      <c r="J75" s="118">
        <f>+Actuals!G197</f>
        <v>0</v>
      </c>
      <c r="K75" s="119">
        <f>+Actuals!H197</f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-12463.66</v>
      </c>
      <c r="F76" s="60">
        <f>'TIE-OUT'!F76+RECLASS!F76</f>
        <v>0</v>
      </c>
      <c r="G76" s="60">
        <f>'TIE-OUT'!G76+RECLASS!G76</f>
        <v>0</v>
      </c>
      <c r="H76" s="118">
        <f>+Actuals!E198</f>
        <v>0</v>
      </c>
      <c r="I76" s="119">
        <f>+Actuals!F198</f>
        <v>-13639.36</v>
      </c>
      <c r="J76" s="118">
        <f>+Actuals!G198</f>
        <v>0</v>
      </c>
      <c r="K76" s="119">
        <f>+Actuals!H198</f>
        <v>1175.7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f>+Actuals!E199</f>
        <v>0</v>
      </c>
      <c r="I77" s="119">
        <f>+Actuals!F199</f>
        <v>0</v>
      </c>
      <c r="J77" s="118">
        <f>+Actuals!G199</f>
        <v>0</v>
      </c>
      <c r="K77" s="119">
        <f>+Actuals!H199</f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f>+Actuals!E200</f>
        <v>0</v>
      </c>
      <c r="I78" s="119">
        <f>+Actuals!F200</f>
        <v>0</v>
      </c>
      <c r="J78" s="118">
        <f>+Actuals!G200</f>
        <v>0</v>
      </c>
      <c r="K78" s="119">
        <f>+Actuals!H200</f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f>+Actuals!E201</f>
        <v>0</v>
      </c>
      <c r="I79" s="119">
        <f>+Actuals!F201</f>
        <v>0</v>
      </c>
      <c r="J79" s="118">
        <f>+Actuals!G201</f>
        <v>0</v>
      </c>
      <c r="K79" s="119">
        <f>+Actuals!H201</f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f>+Actuals!E202</f>
        <v>0</v>
      </c>
      <c r="I80" s="119">
        <f>+Actuals!F202</f>
        <v>0</v>
      </c>
      <c r="J80" s="118">
        <f>+Actuals!G202</f>
        <v>0</v>
      </c>
      <c r="K80" s="119">
        <f>+Actuals!H202</f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f>+Actuals!E203</f>
        <v>0</v>
      </c>
      <c r="I81" s="119">
        <f>+Actuals!F203</f>
        <v>0</v>
      </c>
      <c r="J81" s="118">
        <f>+Actuals!G203</f>
        <v>0</v>
      </c>
      <c r="K81" s="119">
        <f>+Actuals!H203</f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7288462.9480000511</v>
      </c>
      <c r="F82" s="91">
        <f>F16+F24+F29+F36+F43+F45+F47+F49</f>
        <v>0</v>
      </c>
      <c r="G82" s="92">
        <f>SUM(G72:G81)+G16+G24+G29+G36+G43+G45+G47+G49+G51+G56+G61+G66</f>
        <v>8822712.5800000001</v>
      </c>
      <c r="H82" s="91">
        <f>H16+H24+H29+H36+H43+H45+H47+H49</f>
        <v>0</v>
      </c>
      <c r="I82" s="137">
        <f>SUM(I72:I81)+I16+I24+I29+I36+I43+I45+I47+I49+I51+I56+I61+I66</f>
        <v>-3629573.1239999733</v>
      </c>
      <c r="J82" s="91">
        <f>J16+J24+J29+J36+J43+J45+J47+J49</f>
        <v>0</v>
      </c>
      <c r="K82" s="137">
        <f>SUM(K72:K81)+K16+K24+K29+K36+K43+K45+K47+K49+K51+K56+K61+K66</f>
        <v>-1609351.6479999989</v>
      </c>
      <c r="L82" s="91">
        <f>L16+L24+L29+L36+L43+L45+L47+L49</f>
        <v>0</v>
      </c>
      <c r="M82" s="92">
        <f>SUM(M72:M81)+M16+M24+M29+M36+M43+M45+M47+M49+M51+M56+M61+M66</f>
        <v>1697517.3279999944</v>
      </c>
      <c r="N82" s="91">
        <f>N16+N24+N29+N36+N43+N45+N47+N49</f>
        <v>0</v>
      </c>
      <c r="O82" s="92">
        <f>SUM(O72:O81)+O16+O24+O29+O36+O43+O45+O47+O49+O51+O56+O61+O66</f>
        <v>2007157.8120000002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pane xSplit="3" ySplit="9" topLeftCell="I46" activePane="bottomRight" state="frozen"/>
      <selection activeCell="N31" sqref="N31"/>
      <selection pane="topRight" activeCell="N31" sqref="N31"/>
      <selection pane="bottomLeft" activeCell="N31" sqref="N31"/>
      <selection pane="bottomRight" activeCell="AR59" sqref="AR59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7555752</v>
      </c>
      <c r="E11" s="38">
        <f>SUM(G11,I11,K11,M11,O11,Q11,S11,U11,W11,Y11,AA11,AC11,AE11)</f>
        <v>18913657.91</v>
      </c>
      <c r="F11" s="60">
        <f>'TIE-OUT'!AD11+RECLASS!AD11</f>
        <v>0</v>
      </c>
      <c r="G11" s="38">
        <f>'TIE-OUT'!AE11+RECLASS!AE11</f>
        <v>0</v>
      </c>
      <c r="H11" s="118">
        <f>+Actuals!E404</f>
        <v>4966961</v>
      </c>
      <c r="I11" s="118">
        <f>+Actuals!F404</f>
        <v>15842036.24</v>
      </c>
      <c r="J11" s="118">
        <f>+Actuals!G404</f>
        <v>2588791</v>
      </c>
      <c r="K11" s="118">
        <f>+Actuals!H404</f>
        <v>3065537.33</v>
      </c>
      <c r="L11" s="118">
        <f>+Actuals!I404</f>
        <v>0</v>
      </c>
      <c r="M11" s="118">
        <f>+Actuals!J404</f>
        <v>6084.34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-694586.38</v>
      </c>
      <c r="F12" s="60">
        <f>'TIE-OUT'!AD12+RECLASS!AD12</f>
        <v>0</v>
      </c>
      <c r="G12" s="38">
        <f>'TIE-OUT'!AE12+RECLASS!AE12</f>
        <v>-694586.38</v>
      </c>
      <c r="H12" s="118">
        <f>+Actuals!E405</f>
        <v>0</v>
      </c>
      <c r="I12" s="118">
        <f>+Actuals!F405</f>
        <v>0</v>
      </c>
      <c r="J12" s="118">
        <f>+Actuals!G405</f>
        <v>0</v>
      </c>
      <c r="K12" s="216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97419</v>
      </c>
      <c r="E13" s="38">
        <f t="shared" si="0"/>
        <v>275844</v>
      </c>
      <c r="F13" s="60">
        <f>'TIE-OUT'!AD13+RECLASS!AD13</f>
        <v>0</v>
      </c>
      <c r="G13" s="38">
        <f>'TIE-OUT'!AE13+RECLASS!AE13</f>
        <v>0</v>
      </c>
      <c r="H13" s="118">
        <f>+Actuals!E406</f>
        <v>3922553</v>
      </c>
      <c r="I13" s="118">
        <f>+Actuals!F406</f>
        <v>9491043</v>
      </c>
      <c r="J13" s="118">
        <f>+Actuals!G406</f>
        <v>-3825134</v>
      </c>
      <c r="K13" s="118">
        <f>+Actuals!H406</f>
        <v>-9215199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f>+Actuals!E407</f>
        <v>0</v>
      </c>
      <c r="I14" s="118">
        <f>+Actuals!F407</f>
        <v>0</v>
      </c>
      <c r="J14" s="118">
        <f>+Actuals!G407</f>
        <v>0</v>
      </c>
      <c r="K14" s="118">
        <f>+Actuals!H407</f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f>+Actuals!E408</f>
        <v>0</v>
      </c>
      <c r="I15" s="118">
        <f>+Actuals!F408</f>
        <v>0</v>
      </c>
      <c r="J15" s="118">
        <f>+Actuals!G408</f>
        <v>0</v>
      </c>
      <c r="K15" s="118">
        <f>+Actuals!H408</f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7653171</v>
      </c>
      <c r="E16" s="39">
        <f t="shared" si="1"/>
        <v>18494915.530000001</v>
      </c>
      <c r="F16" s="61">
        <f t="shared" si="1"/>
        <v>0</v>
      </c>
      <c r="G16" s="39">
        <f t="shared" si="1"/>
        <v>-694586.38</v>
      </c>
      <c r="H16" s="61">
        <f t="shared" si="1"/>
        <v>8889514</v>
      </c>
      <c r="I16" s="61">
        <f t="shared" si="1"/>
        <v>25333079.240000002</v>
      </c>
      <c r="J16" s="61">
        <f t="shared" si="1"/>
        <v>-1236343</v>
      </c>
      <c r="K16" s="61">
        <f t="shared" si="1"/>
        <v>-6149661.6699999999</v>
      </c>
      <c r="L16" s="61">
        <f t="shared" si="1"/>
        <v>0</v>
      </c>
      <c r="M16" s="61">
        <f t="shared" si="1"/>
        <v>6084.34</v>
      </c>
      <c r="N16" s="61">
        <f>SUM(N11:N15)</f>
        <v>0</v>
      </c>
      <c r="O16" s="61">
        <f>SUM(O11:O15)</f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-1123774</v>
      </c>
      <c r="E19" s="38">
        <f t="shared" si="2"/>
        <v>-3106881.2600000002</v>
      </c>
      <c r="F19" s="64">
        <f>'TIE-OUT'!AD19+RECLASS!AD19</f>
        <v>0</v>
      </c>
      <c r="G19" s="68">
        <f>'TIE-OUT'!AE19+RECLASS!AE19</f>
        <v>0</v>
      </c>
      <c r="H19" s="118">
        <f>+Actuals!E409</f>
        <v>-1123774</v>
      </c>
      <c r="I19" s="118">
        <f>+Actuals!F409</f>
        <v>-3054405.16</v>
      </c>
      <c r="J19" s="118">
        <f>+Actuals!G409</f>
        <v>0</v>
      </c>
      <c r="K19" s="118">
        <f>+Actuals!H409</f>
        <v>-52476.1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-6889.5</v>
      </c>
      <c r="F20" s="60">
        <f>'TIE-OUT'!AD20+RECLASS!AD20</f>
        <v>0</v>
      </c>
      <c r="G20" s="38">
        <f>'TIE-OUT'!AE20+RECLASS!AE20</f>
        <v>-6889.5</v>
      </c>
      <c r="H20" s="118">
        <f>+Actuals!E410</f>
        <v>0</v>
      </c>
      <c r="I20" s="118">
        <f>+Actuals!F410</f>
        <v>0</v>
      </c>
      <c r="J20" s="118">
        <f>+Actuals!G410</f>
        <v>0</v>
      </c>
      <c r="K20" s="118">
        <f>+Actuals!H410</f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-3635325</v>
      </c>
      <c r="E21" s="38">
        <f t="shared" si="2"/>
        <v>-8726513</v>
      </c>
      <c r="F21" s="60">
        <f>'TIE-OUT'!AD21+RECLASS!AD21</f>
        <v>0</v>
      </c>
      <c r="G21" s="38">
        <f>'TIE-OUT'!AE21+RECLASS!AE21</f>
        <v>0</v>
      </c>
      <c r="H21" s="118">
        <f>+Actuals!E411</f>
        <v>-10332504</v>
      </c>
      <c r="I21" s="118">
        <f>+Actuals!F411</f>
        <v>-24454050</v>
      </c>
      <c r="J21" s="118">
        <f>+Actuals!G411</f>
        <v>6697179</v>
      </c>
      <c r="K21" s="118">
        <f>+Actuals!H411</f>
        <v>15727537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f>+Actuals!E412</f>
        <v>0</v>
      </c>
      <c r="I22" s="118">
        <f>+Actuals!F412</f>
        <v>0</v>
      </c>
      <c r="J22" s="118">
        <f>+Actuals!G412</f>
        <v>0</v>
      </c>
      <c r="K22" s="118">
        <f>+Actuals!H412</f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f>+Actuals!E413</f>
        <v>0</v>
      </c>
      <c r="I23" s="118">
        <f>+Actuals!F413</f>
        <v>0</v>
      </c>
      <c r="J23" s="118">
        <f>+Actuals!G413</f>
        <v>0</v>
      </c>
      <c r="K23" s="118">
        <f>+Actuals!H413</f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-4759099</v>
      </c>
      <c r="E24" s="39">
        <f t="shared" si="3"/>
        <v>-11840283.76</v>
      </c>
      <c r="F24" s="61">
        <f t="shared" si="3"/>
        <v>0</v>
      </c>
      <c r="G24" s="39">
        <f t="shared" si="3"/>
        <v>-6889.5</v>
      </c>
      <c r="H24" s="61">
        <f t="shared" si="3"/>
        <v>-11456278</v>
      </c>
      <c r="I24" s="61">
        <f t="shared" si="3"/>
        <v>-27508455.16</v>
      </c>
      <c r="J24" s="61">
        <f t="shared" si="3"/>
        <v>6697179</v>
      </c>
      <c r="K24" s="61">
        <f t="shared" si="3"/>
        <v>15675060.9</v>
      </c>
      <c r="L24" s="61">
        <f t="shared" si="3"/>
        <v>0</v>
      </c>
      <c r="M24" s="61">
        <f t="shared" si="3"/>
        <v>0</v>
      </c>
      <c r="N24" s="61">
        <f>SUM(N19:N23)</f>
        <v>0</v>
      </c>
      <c r="O24" s="61">
        <f>SUM(O19:O23)</f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f>+Actuals!E414</f>
        <v>0</v>
      </c>
      <c r="I27" s="118">
        <f>+Actuals!F414</f>
        <v>0</v>
      </c>
      <c r="J27" s="118">
        <f>+Actuals!G414</f>
        <v>0</v>
      </c>
      <c r="K27" s="118">
        <f>+Actuals!H414</f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f>+Actuals!E415</f>
        <v>0</v>
      </c>
      <c r="I28" s="118">
        <f>+Actuals!F415</f>
        <v>0</v>
      </c>
      <c r="J28" s="118">
        <f>+Actuals!G415</f>
        <v>0</v>
      </c>
      <c r="K28" s="118">
        <f>+Actuals!H415</f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61">
        <f t="shared" si="4"/>
        <v>0</v>
      </c>
      <c r="J29" s="61">
        <f t="shared" si="4"/>
        <v>0</v>
      </c>
      <c r="K29" s="61">
        <f t="shared" si="4"/>
        <v>0</v>
      </c>
      <c r="L29" s="61">
        <f t="shared" si="4"/>
        <v>0</v>
      </c>
      <c r="M29" s="61">
        <f t="shared" si="4"/>
        <v>0</v>
      </c>
      <c r="N29" s="61">
        <f>SUM(N27:N28)</f>
        <v>0</v>
      </c>
      <c r="O29" s="61">
        <f>SUM(O27:O28)</f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f>+Actuals!E416</f>
        <v>0</v>
      </c>
      <c r="I32" s="118">
        <f>+Actuals!F416</f>
        <v>0</v>
      </c>
      <c r="J32" s="118">
        <f>+Actuals!G416</f>
        <v>0</v>
      </c>
      <c r="K32" s="118">
        <f>+Actuals!H416</f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f>+Actuals!E417</f>
        <v>0</v>
      </c>
      <c r="I33" s="118">
        <f>+Actuals!F417</f>
        <v>0</v>
      </c>
      <c r="J33" s="118">
        <f>+Actuals!G417</f>
        <v>0</v>
      </c>
      <c r="K33" s="118">
        <f>+Actuals!H417</f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f>+Actuals!E418</f>
        <v>0</v>
      </c>
      <c r="I34" s="118">
        <f>+Actuals!F418</f>
        <v>0</v>
      </c>
      <c r="J34" s="118">
        <f>+Actuals!G418</f>
        <v>0</v>
      </c>
      <c r="K34" s="118">
        <f>+Actuals!H418</f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f>+Actuals!E419</f>
        <v>0</v>
      </c>
      <c r="I35" s="118">
        <f>+Actuals!F419</f>
        <v>0</v>
      </c>
      <c r="J35" s="118">
        <f>+Actuals!G419</f>
        <v>0</v>
      </c>
      <c r="K35" s="118">
        <f>+Actuals!H419</f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0</v>
      </c>
      <c r="K36" s="61">
        <f t="shared" si="6"/>
        <v>0</v>
      </c>
      <c r="L36" s="61">
        <f t="shared" si="6"/>
        <v>0</v>
      </c>
      <c r="M36" s="61">
        <f t="shared" si="6"/>
        <v>0</v>
      </c>
      <c r="N36" s="61">
        <f>SUM(N32:N35)</f>
        <v>0</v>
      </c>
      <c r="O36" s="61">
        <f>SUM(O32:O35)</f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f>+Actuals!E420</f>
        <v>0</v>
      </c>
      <c r="I39" s="118">
        <f>+Actuals!F420</f>
        <v>0</v>
      </c>
      <c r="J39" s="118">
        <f>+Actuals!G420</f>
        <v>0</v>
      </c>
      <c r="K39" s="118">
        <f>+Actuals!H420</f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'TIE-OUT'!AD40+RECLASS!AD40</f>
        <v>0</v>
      </c>
      <c r="G40" s="38">
        <f>'TIE-OUT'!AE40+RECLASS!AE40</f>
        <v>0</v>
      </c>
      <c r="H40" s="118">
        <f>+Actuals!E421</f>
        <v>0</v>
      </c>
      <c r="I40" s="118">
        <f>+Actuals!F421</f>
        <v>0</v>
      </c>
      <c r="J40" s="118">
        <f>+Actuals!G421</f>
        <v>0</v>
      </c>
      <c r="K40" s="118">
        <f>+Actuals!H421</f>
        <v>0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'TIE-OUT'!AD41+RECLASS!AD41</f>
        <v>0</v>
      </c>
      <c r="G41" s="82">
        <f>'TIE-OUT'!AE41+RECLASS!AE41</f>
        <v>0</v>
      </c>
      <c r="H41" s="118">
        <f>+Actuals!E422</f>
        <v>0</v>
      </c>
      <c r="I41" s="118">
        <f>+Actuals!F422</f>
        <v>0</v>
      </c>
      <c r="J41" s="118">
        <f>+Actuals!G422</f>
        <v>0</v>
      </c>
      <c r="K41" s="118">
        <f>+Actuals!H422</f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61">
        <f t="shared" si="8"/>
        <v>0</v>
      </c>
      <c r="J42" s="61">
        <f t="shared" si="8"/>
        <v>0</v>
      </c>
      <c r="K42" s="61">
        <f t="shared" si="8"/>
        <v>0</v>
      </c>
      <c r="L42" s="61">
        <f t="shared" si="8"/>
        <v>0</v>
      </c>
      <c r="M42" s="61">
        <f t="shared" si="8"/>
        <v>0</v>
      </c>
      <c r="N42" s="61">
        <f>SUM(N40:N41)</f>
        <v>0</v>
      </c>
      <c r="O42" s="61">
        <f>SUM(O40:O41)</f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>D42+D39</f>
        <v>0</v>
      </c>
      <c r="E43" s="39">
        <f>E42+E39</f>
        <v>0</v>
      </c>
      <c r="F43" s="61">
        <f>AB42+AB39</f>
        <v>0</v>
      </c>
      <c r="G43" s="39">
        <f>AC42+AC39</f>
        <v>0</v>
      </c>
      <c r="H43" s="61">
        <f t="shared" ref="H43:AO43" si="9">H42+H39</f>
        <v>0</v>
      </c>
      <c r="I43" s="61">
        <f t="shared" si="9"/>
        <v>0</v>
      </c>
      <c r="J43" s="61">
        <f t="shared" si="9"/>
        <v>0</v>
      </c>
      <c r="K43" s="61">
        <f t="shared" si="9"/>
        <v>0</v>
      </c>
      <c r="L43" s="61">
        <f t="shared" si="9"/>
        <v>0</v>
      </c>
      <c r="M43" s="61">
        <f t="shared" si="9"/>
        <v>0</v>
      </c>
      <c r="N43" s="61">
        <f>N42+N39</f>
        <v>0</v>
      </c>
      <c r="O43" s="61">
        <f>O42+O39</f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f>+Actuals!E423</f>
        <v>0</v>
      </c>
      <c r="I45" s="118">
        <f>+Actuals!F423</f>
        <v>0</v>
      </c>
      <c r="J45" s="118">
        <f>+Actuals!G423</f>
        <v>0</v>
      </c>
      <c r="K45" s="118">
        <f>+Actuals!H423</f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f>+Actuals!E424</f>
        <v>0</v>
      </c>
      <c r="I47" s="118">
        <f>+Actuals!F424</f>
        <v>0</v>
      </c>
      <c r="J47" s="118">
        <f>+Actuals!G424</f>
        <v>0</v>
      </c>
      <c r="K47" s="118">
        <f>+Actuals!H424</f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-2894072</v>
      </c>
      <c r="E49" s="38">
        <f>SUM(G49,I49,K49,M49,O49,Q49,S49,U49,W49,Y49,AA49,AC49,AE49)</f>
        <v>-6618742.6639999999</v>
      </c>
      <c r="F49" s="60">
        <f>'TIE-OUT'!AD49+RECLASS!AD49</f>
        <v>0</v>
      </c>
      <c r="G49" s="38">
        <f>'TIE-OUT'!AE49+RECLASS!AE49</f>
        <v>0</v>
      </c>
      <c r="H49" s="118">
        <f>+Actuals!E425</f>
        <v>2566764</v>
      </c>
      <c r="I49" s="118">
        <f>+Actuals!F425</f>
        <v>5870189.2680000002</v>
      </c>
      <c r="J49" s="118">
        <f>+Actuals!G425</f>
        <v>-5460836</v>
      </c>
      <c r="K49" s="118">
        <f>+Actuals!H425</f>
        <v>-12488931.932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f>+Actuals!E426</f>
        <v>0</v>
      </c>
      <c r="I51" s="118">
        <f>+Actuals!F426</f>
        <v>0</v>
      </c>
      <c r="J51" s="118">
        <f>+Actuals!G426</f>
        <v>0</v>
      </c>
      <c r="K51" s="118">
        <f>+Actuals!H426</f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'TIE-OUT'!AD54+RECLASS!AD54</f>
        <v>0</v>
      </c>
      <c r="G54" s="68">
        <f>'TIE-OUT'!AE54+RECLASS!AE54</f>
        <v>0</v>
      </c>
      <c r="H54" s="118">
        <f>+Actuals!E427</f>
        <v>0</v>
      </c>
      <c r="I54" s="118">
        <f>+Actuals!F427</f>
        <v>0</v>
      </c>
      <c r="J54" s="118">
        <f>+Actuals!G427</f>
        <v>0</v>
      </c>
      <c r="K54" s="118">
        <f>+Actuals!H427</f>
        <v>0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f>+Actuals!E428</f>
        <v>0</v>
      </c>
      <c r="I55" s="118">
        <f>+Actuals!F428</f>
        <v>0</v>
      </c>
      <c r="J55" s="118">
        <f>+Actuals!G428</f>
        <v>0</v>
      </c>
      <c r="K55" s="118">
        <f>+Actuals!H428</f>
        <v>0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61">
        <f t="shared" si="10"/>
        <v>0</v>
      </c>
      <c r="J56" s="61">
        <f t="shared" si="10"/>
        <v>0</v>
      </c>
      <c r="K56" s="61">
        <f t="shared" si="10"/>
        <v>0</v>
      </c>
      <c r="L56" s="61">
        <f t="shared" si="10"/>
        <v>0</v>
      </c>
      <c r="M56" s="61">
        <f t="shared" si="10"/>
        <v>0</v>
      </c>
      <c r="N56" s="61">
        <f>SUM(N54:N55)</f>
        <v>0</v>
      </c>
      <c r="O56" s="61">
        <f>SUM(O54:O55)</f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f>+Actuals!E429</f>
        <v>0</v>
      </c>
      <c r="I59" s="118">
        <f>+Actuals!F429</f>
        <v>0</v>
      </c>
      <c r="J59" s="118">
        <f>+Actuals!G429</f>
        <v>0</v>
      </c>
      <c r="K59" s="118">
        <f>+Actuals!H429</f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f>+Actuals!E430</f>
        <v>0</v>
      </c>
      <c r="I60" s="118">
        <f>+Actuals!F430</f>
        <v>0</v>
      </c>
      <c r="J60" s="118">
        <f>+Actuals!G430</f>
        <v>0</v>
      </c>
      <c r="K60" s="118">
        <f>+Actuals!H430</f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61">
        <f t="shared" si="11"/>
        <v>0</v>
      </c>
      <c r="L61" s="61">
        <f t="shared" si="11"/>
        <v>0</v>
      </c>
      <c r="M61" s="61">
        <f t="shared" si="11"/>
        <v>0</v>
      </c>
      <c r="N61" s="61">
        <f>SUM(N59:N60)</f>
        <v>0</v>
      </c>
      <c r="O61" s="61">
        <f>SUM(O59:O60)</f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f>+Actuals!E431</f>
        <v>0</v>
      </c>
      <c r="I64" s="118">
        <f>+Actuals!F431</f>
        <v>0</v>
      </c>
      <c r="J64" s="118">
        <f>+Actuals!G431</f>
        <v>0</v>
      </c>
      <c r="K64" s="118">
        <f>+Actuals!H431</f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f>+Actuals!E432</f>
        <v>0</v>
      </c>
      <c r="I65" s="118">
        <f>+Actuals!F432</f>
        <v>0</v>
      </c>
      <c r="J65" s="118">
        <f>+Actuals!G432</f>
        <v>0</v>
      </c>
      <c r="K65" s="118">
        <f>+Actuals!H432</f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61">
        <f t="shared" si="12"/>
        <v>0</v>
      </c>
      <c r="L66" s="61">
        <f t="shared" si="12"/>
        <v>0</v>
      </c>
      <c r="M66" s="61">
        <f t="shared" si="12"/>
        <v>0</v>
      </c>
      <c r="N66" s="61">
        <f>SUM(N64:N65)</f>
        <v>0</v>
      </c>
      <c r="O66" s="61">
        <f>SUM(O64:O65)</f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-400747</v>
      </c>
      <c r="F70" s="64">
        <f>'TIE-OUT'!AD70+RECLASS!AD70</f>
        <v>0</v>
      </c>
      <c r="G70" s="68">
        <f>'TIE-OUT'!AE70+RECLASS!AE70</f>
        <v>-400747</v>
      </c>
      <c r="H70" s="118">
        <f>+Actuals!E433</f>
        <v>0</v>
      </c>
      <c r="I70" s="118">
        <f>+Actuals!F433</f>
        <v>0</v>
      </c>
      <c r="J70" s="118">
        <f>+Actuals!G433</f>
        <v>0</v>
      </c>
      <c r="K70" s="118">
        <f>+Actuals!H433</f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'TIE-OUT'!AD71+RECLASS!AD71</f>
        <v>0</v>
      </c>
      <c r="G71" s="82">
        <f>'TIE-OUT'!AE71+RECLASS!AE71</f>
        <v>0</v>
      </c>
      <c r="H71" s="118">
        <f>+Actuals!E434</f>
        <v>0</v>
      </c>
      <c r="I71" s="118">
        <f>+Actuals!F434</f>
        <v>0</v>
      </c>
      <c r="J71" s="118">
        <f>+Actuals!G434</f>
        <v>0</v>
      </c>
      <c r="K71" s="118">
        <f>+Actuals!H434</f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-400747</v>
      </c>
      <c r="F72" s="61">
        <f t="shared" si="13"/>
        <v>0</v>
      </c>
      <c r="G72" s="39">
        <f t="shared" si="13"/>
        <v>-400747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61">
        <f t="shared" si="13"/>
        <v>0</v>
      </c>
      <c r="L72" s="61">
        <f t="shared" si="13"/>
        <v>0</v>
      </c>
      <c r="M72" s="61">
        <f t="shared" si="13"/>
        <v>0</v>
      </c>
      <c r="N72" s="61">
        <f>SUM(N70:N71)</f>
        <v>0</v>
      </c>
      <c r="O72" s="61">
        <f>SUM(O70:O71)</f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f>+Actuals!E435</f>
        <v>0</v>
      </c>
      <c r="I73" s="118">
        <f>+Actuals!F435</f>
        <v>0</v>
      </c>
      <c r="J73" s="118">
        <f>+Actuals!G435</f>
        <v>0</v>
      </c>
      <c r="K73" s="118">
        <f>+Actuals!H435</f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451953.34</v>
      </c>
      <c r="F74" s="60">
        <f>'TIE-OUT'!AD74+RECLASS!AD74</f>
        <v>0</v>
      </c>
      <c r="G74" s="60">
        <f>'TIE-OUT'!AE74+RECLASS!AE74</f>
        <v>451953.34</v>
      </c>
      <c r="H74" s="118">
        <f>+Actuals!E436</f>
        <v>0</v>
      </c>
      <c r="I74" s="118">
        <f>+Actuals!F436</f>
        <v>0</v>
      </c>
      <c r="J74" s="118">
        <f>+Actuals!G436</f>
        <v>0</v>
      </c>
      <c r="K74" s="118">
        <f>+Actuals!H436</f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f>+Actuals!E437</f>
        <v>0</v>
      </c>
      <c r="I75" s="118">
        <f>+Actuals!F437</f>
        <v>0</v>
      </c>
      <c r="J75" s="118">
        <f>+Actuals!G437</f>
        <v>0</v>
      </c>
      <c r="K75" s="118">
        <f>+Actuals!H437</f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f>+Actuals!E438</f>
        <v>0</v>
      </c>
      <c r="I76" s="118">
        <f>+Actuals!F438</f>
        <v>0</v>
      </c>
      <c r="J76" s="118">
        <f>+Actuals!G438</f>
        <v>0</v>
      </c>
      <c r="K76" s="118">
        <f>+Actuals!H438</f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f>+Actuals!E439</f>
        <v>0</v>
      </c>
      <c r="I77" s="118">
        <f>+Actuals!F439</f>
        <v>0</v>
      </c>
      <c r="J77" s="118">
        <f>+Actuals!G439</f>
        <v>0</v>
      </c>
      <c r="K77" s="118">
        <f>+Actuals!H439</f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f>+Actuals!E440</f>
        <v>0</v>
      </c>
      <c r="I78" s="118">
        <f>+Actuals!F440</f>
        <v>0</v>
      </c>
      <c r="J78" s="118">
        <f>+Actuals!G440</f>
        <v>0</v>
      </c>
      <c r="K78" s="118">
        <f>+Actuals!H440</f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f>+Actuals!E441</f>
        <v>0</v>
      </c>
      <c r="I79" s="118">
        <f>+Actuals!F441</f>
        <v>0</v>
      </c>
      <c r="J79" s="118">
        <f>+Actuals!G441</f>
        <v>0</v>
      </c>
      <c r="K79" s="118">
        <f>+Actuals!H441</f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f>+Actuals!E442</f>
        <v>0</v>
      </c>
      <c r="I80" s="118">
        <f>+Actuals!F442</f>
        <v>0</v>
      </c>
      <c r="J80" s="118">
        <f>+Actuals!G442</f>
        <v>0</v>
      </c>
      <c r="K80" s="118">
        <f>+Actuals!H442</f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153274</v>
      </c>
      <c r="F81" s="60">
        <f>'TIE-OUT'!AD81+RECLASS!AD81</f>
        <v>0</v>
      </c>
      <c r="G81" s="60">
        <f>'TIE-OUT'!AE81+RECLASS!AE81</f>
        <v>0</v>
      </c>
      <c r="H81" s="118">
        <f>+Actuals!E443</f>
        <v>0</v>
      </c>
      <c r="I81" s="118">
        <f>+Actuals!F443</f>
        <v>0</v>
      </c>
      <c r="J81" s="118">
        <f>+Actuals!G443</f>
        <v>0</v>
      </c>
      <c r="K81" s="118">
        <f>+Actuals!H443</f>
        <v>0</v>
      </c>
      <c r="L81" s="118">
        <f>+Actuals!I443</f>
        <v>0</v>
      </c>
      <c r="M81" s="216">
        <f>+Actuals!J443+153274</f>
        <v>153274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240369.44600000139</v>
      </c>
      <c r="F82" s="91">
        <f>F16+F24+F29+F36+F43+F45+F47+F49</f>
        <v>0</v>
      </c>
      <c r="G82" s="92">
        <f>SUM(G72:G81)+G16+G24+G29+G36+G43+G45+G47+G49+G51+G56+G61+G66</f>
        <v>-650269.54</v>
      </c>
      <c r="H82" s="91">
        <f>H16+H24+H29+H36+H43+H45+H47+H49</f>
        <v>0</v>
      </c>
      <c r="I82" s="91">
        <f>I16+I24+I29+I36+I43+I45+I47+I49</f>
        <v>3694813.3480000021</v>
      </c>
      <c r="J82" s="91">
        <f>J16+J24+J29+J36+J43+J45+J47+J49</f>
        <v>0</v>
      </c>
      <c r="K82" s="137">
        <f>K16+K24+K29+K36+K43+K45+K47+K49</f>
        <v>-2963532.7019999996</v>
      </c>
      <c r="L82" s="91">
        <f>L16+L24+L29+L36+L43+L45+L47+L49</f>
        <v>0</v>
      </c>
      <c r="M82" s="92">
        <f>SUM(M72:M81)+M16+M24+M29+M36+M43+M45+M47+M49+M51+M56+M61+M66</f>
        <v>159358.34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O179"/>
  <sheetViews>
    <sheetView zoomScale="75" workbookViewId="0">
      <selection activeCell="N31" sqref="N3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  <col min="42" max="43" width="15.42578125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190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">
        <v>100</v>
      </c>
      <c r="Q8" s="27"/>
      <c r="R8" s="26" t="s">
        <v>100</v>
      </c>
      <c r="S8" s="27"/>
      <c r="T8" s="26" t="s">
        <v>100</v>
      </c>
      <c r="U8" s="27"/>
      <c r="V8" s="26" t="s">
        <v>100</v>
      </c>
      <c r="W8" s="27"/>
      <c r="X8" s="26" t="s">
        <v>100</v>
      </c>
      <c r="Y8" s="27"/>
      <c r="Z8" s="26" t="s">
        <v>100</v>
      </c>
      <c r="AA8" s="27"/>
      <c r="AB8" s="26" t="s">
        <v>100</v>
      </c>
      <c r="AC8" s="27"/>
      <c r="AD8" s="26" t="s">
        <v>100</v>
      </c>
      <c r="AE8" s="27"/>
      <c r="AF8" s="26" t="s">
        <v>100</v>
      </c>
      <c r="AG8" s="27"/>
      <c r="AH8" s="26" t="s">
        <v>100</v>
      </c>
      <c r="AI8" s="27"/>
      <c r="AJ8" s="26" t="s">
        <v>100</v>
      </c>
      <c r="AK8" s="27"/>
      <c r="AL8" s="26" t="s">
        <v>100</v>
      </c>
      <c r="AM8" s="27"/>
      <c r="AN8" s="26" t="s">
        <v>100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16539748</v>
      </c>
      <c r="E11" s="38">
        <f>SUM(G11,I11,K11,M11,O11,Q11,S11,U11,W11,Y11,AA11,AC11,AE11)</f>
        <v>39841775.309999995</v>
      </c>
      <c r="F11" s="60">
        <f>'TIE-OUT'!H11+RECLASS!AB11</f>
        <v>0</v>
      </c>
      <c r="G11" s="38">
        <f>'TIE-OUT'!I11+RECLASS!AC11</f>
        <v>0</v>
      </c>
      <c r="H11" s="118">
        <f>+Actuals!E324</f>
        <v>16545855</v>
      </c>
      <c r="I11" s="119">
        <f>+Actuals!F324</f>
        <v>39857789</v>
      </c>
      <c r="J11" s="118">
        <f>+Actuals!G324</f>
        <v>-6107</v>
      </c>
      <c r="K11" s="119">
        <f>+Actuals!H324</f>
        <v>-14536.34</v>
      </c>
      <c r="L11" s="118">
        <f>+Actuals!I324</f>
        <v>0</v>
      </c>
      <c r="M11" s="119">
        <f>+Actuals!J324</f>
        <v>-1477.35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497314.76</v>
      </c>
      <c r="F12" s="60">
        <f>'TIE-OUT'!H12+RECLASS!AB12</f>
        <v>0</v>
      </c>
      <c r="G12" s="38">
        <f>'TIE-OUT'!I12+RECLASS!AC12</f>
        <v>497314.76</v>
      </c>
      <c r="H12" s="118">
        <f>+Actuals!E325</f>
        <v>0</v>
      </c>
      <c r="I12" s="119">
        <f>+Actuals!F325</f>
        <v>0</v>
      </c>
      <c r="J12" s="118">
        <f>+Actuals!G325</f>
        <v>0</v>
      </c>
      <c r="K12" s="119">
        <f>+Actuals!H325</f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9052758</v>
      </c>
      <c r="E13" s="38">
        <f t="shared" si="0"/>
        <v>21609190</v>
      </c>
      <c r="F13" s="60">
        <f>'TIE-OUT'!H13+RECLASS!AB13</f>
        <v>0</v>
      </c>
      <c r="G13" s="38">
        <f>'TIE-OUT'!I13+RECLASS!AC13</f>
        <v>0</v>
      </c>
      <c r="H13" s="118">
        <f>+Actuals!E326</f>
        <v>25646524</v>
      </c>
      <c r="I13" s="119">
        <f>+Actuals!F326</f>
        <v>62333419</v>
      </c>
      <c r="J13" s="118">
        <f>+Actuals!G326</f>
        <v>-16593766</v>
      </c>
      <c r="K13" s="119">
        <f>+Actuals!H326</f>
        <v>-40724229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'TIE-OUT'!H14+RECLASS!AB14</f>
        <v>0</v>
      </c>
      <c r="G14" s="38">
        <f>'TIE-OUT'!I14+RECLASS!AC14</f>
        <v>0</v>
      </c>
      <c r="H14" s="118">
        <f>+Actuals!E327</f>
        <v>0</v>
      </c>
      <c r="I14" s="119">
        <f>+Actuals!F327</f>
        <v>0</v>
      </c>
      <c r="J14" s="118">
        <f>+Actuals!G327</f>
        <v>0</v>
      </c>
      <c r="K14" s="119">
        <f>+Actuals!H327</f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3058363.5</v>
      </c>
      <c r="F15" s="81">
        <f>'TIE-OUT'!H15+RECLASS!AB15</f>
        <v>0</v>
      </c>
      <c r="G15" s="82">
        <f>'TIE-OUT'!I15+RECLASS!AC15</f>
        <v>0</v>
      </c>
      <c r="H15" s="118">
        <f>+Actuals!E328</f>
        <v>0</v>
      </c>
      <c r="I15" s="119">
        <f>+Actuals!F328</f>
        <v>2781866.5</v>
      </c>
      <c r="J15" s="118">
        <f>+Actuals!G328</f>
        <v>0</v>
      </c>
      <c r="K15" s="119">
        <f>+Actuals!H328</f>
        <v>276497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25592506</v>
      </c>
      <c r="E16" s="39">
        <f t="shared" si="1"/>
        <v>65006643.569999993</v>
      </c>
      <c r="F16" s="61">
        <f t="shared" si="1"/>
        <v>0</v>
      </c>
      <c r="G16" s="39">
        <f t="shared" si="1"/>
        <v>497314.76</v>
      </c>
      <c r="H16" s="61">
        <f t="shared" si="1"/>
        <v>42192379</v>
      </c>
      <c r="I16" s="39">
        <f t="shared" si="1"/>
        <v>104973074.5</v>
      </c>
      <c r="J16" s="61">
        <f t="shared" ref="J16:AO16" si="2">SUM(J11:J15)</f>
        <v>-16599873</v>
      </c>
      <c r="K16" s="39">
        <f t="shared" si="2"/>
        <v>-40462268.340000004</v>
      </c>
      <c r="L16" s="61">
        <f t="shared" si="2"/>
        <v>0</v>
      </c>
      <c r="M16" s="39">
        <f t="shared" si="2"/>
        <v>-1477.35</v>
      </c>
      <c r="N16" s="61">
        <f>SUM(N11:N15)</f>
        <v>0</v>
      </c>
      <c r="O16" s="39">
        <f>SUM(O11:O15)</f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-11681017</v>
      </c>
      <c r="E19" s="38">
        <f t="shared" si="3"/>
        <v>-27284908.069999997</v>
      </c>
      <c r="F19" s="64">
        <f>'TIE-OUT'!H19+RECLASS!AB19</f>
        <v>0</v>
      </c>
      <c r="G19" s="68">
        <f>'TIE-OUT'!I19+RECLASS!AC19</f>
        <v>0</v>
      </c>
      <c r="H19" s="118">
        <f>+Actuals!E329</f>
        <v>-11681391</v>
      </c>
      <c r="I19" s="119">
        <f>+Actuals!F329</f>
        <v>-27284907.579999998</v>
      </c>
      <c r="J19" s="118">
        <f>+Actuals!G329</f>
        <v>388</v>
      </c>
      <c r="K19" s="119">
        <f>+Actuals!H329</f>
        <v>-0.49</v>
      </c>
      <c r="L19" s="118">
        <f>+Actuals!I329</f>
        <v>-13</v>
      </c>
      <c r="M19" s="119">
        <f>+Actuals!J329</f>
        <v>2.35</v>
      </c>
      <c r="N19" s="118">
        <f>+Actuals!K329</f>
        <v>-1</v>
      </c>
      <c r="O19" s="119">
        <f>+Actuals!L329</f>
        <v>-2.35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-336602.09</v>
      </c>
      <c r="F20" s="60">
        <f>'TIE-OUT'!H20+RECLASS!AB20</f>
        <v>0</v>
      </c>
      <c r="G20" s="38">
        <f>'TIE-OUT'!I20+RECLASS!AC20</f>
        <v>-336602.09</v>
      </c>
      <c r="H20" s="118">
        <f>+Actuals!E330</f>
        <v>0</v>
      </c>
      <c r="I20" s="119">
        <f>+Actuals!F330</f>
        <v>0</v>
      </c>
      <c r="J20" s="118">
        <f>+Actuals!G330</f>
        <v>0</v>
      </c>
      <c r="K20" s="119">
        <f>+Actuals!H330</f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-14244885</v>
      </c>
      <c r="E21" s="38">
        <f t="shared" si="3"/>
        <v>-33815447</v>
      </c>
      <c r="F21" s="60">
        <f>'TIE-OUT'!H21+RECLASS!AB21</f>
        <v>0</v>
      </c>
      <c r="G21" s="38">
        <f>'TIE-OUT'!I21+RECLASS!AC21</f>
        <v>0</v>
      </c>
      <c r="H21" s="118">
        <f>+Actuals!E331</f>
        <v>-30848646</v>
      </c>
      <c r="I21" s="119">
        <f>+Actuals!F331</f>
        <v>-74567387</v>
      </c>
      <c r="J21" s="118">
        <f>+Actuals!G331</f>
        <v>16603761</v>
      </c>
      <c r="K21" s="119">
        <f>+Actuals!H331</f>
        <v>40751940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'TIE-OUT'!H22+RECLASS!AB22</f>
        <v>0</v>
      </c>
      <c r="G22" s="38">
        <f>'TIE-OUT'!I22+RECLASS!AC22</f>
        <v>0</v>
      </c>
      <c r="H22" s="118">
        <f>+Actuals!E332</f>
        <v>0</v>
      </c>
      <c r="I22" s="119">
        <f>+Actuals!F332</f>
        <v>0</v>
      </c>
      <c r="J22" s="118">
        <f>+Actuals!G332</f>
        <v>0</v>
      </c>
      <c r="K22" s="119">
        <f>+Actuals!H332</f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'TIE-OUT'!H23+RECLASS!AB23</f>
        <v>0</v>
      </c>
      <c r="G23" s="82">
        <f>'TIE-OUT'!I23+RECLASS!AC23</f>
        <v>0</v>
      </c>
      <c r="H23" s="118">
        <f>+Actuals!E333</f>
        <v>0</v>
      </c>
      <c r="I23" s="119">
        <f>+Actuals!F333</f>
        <v>0</v>
      </c>
      <c r="J23" s="118">
        <f>+Actuals!G333</f>
        <v>0</v>
      </c>
      <c r="K23" s="119">
        <f>+Actuals!H333</f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-25925902</v>
      </c>
      <c r="E24" s="39">
        <f t="shared" si="4"/>
        <v>-61436957.159999996</v>
      </c>
      <c r="F24" s="61">
        <f t="shared" si="4"/>
        <v>0</v>
      </c>
      <c r="G24" s="39">
        <f t="shared" si="4"/>
        <v>-336602.09</v>
      </c>
      <c r="H24" s="61">
        <f t="shared" si="4"/>
        <v>-42530037</v>
      </c>
      <c r="I24" s="39">
        <f t="shared" si="4"/>
        <v>-101852294.58</v>
      </c>
      <c r="J24" s="61">
        <f t="shared" ref="J24:AO24" si="5">SUM(J19:J23)</f>
        <v>16604149</v>
      </c>
      <c r="K24" s="39">
        <f t="shared" si="5"/>
        <v>40751939.509999998</v>
      </c>
      <c r="L24" s="61">
        <f t="shared" si="5"/>
        <v>-13</v>
      </c>
      <c r="M24" s="39">
        <f t="shared" si="5"/>
        <v>2.35</v>
      </c>
      <c r="N24" s="61">
        <f>SUM(N19:N23)</f>
        <v>-1</v>
      </c>
      <c r="O24" s="39">
        <f>SUM(O19:O23)</f>
        <v>-2.35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'TIE-OUT'!H27+RECLASS!AB27</f>
        <v>0</v>
      </c>
      <c r="G27" s="68">
        <f>'TIE-OUT'!I27+RECLASS!AC27</f>
        <v>0</v>
      </c>
      <c r="H27" s="118">
        <f>+Actuals!E334</f>
        <v>0</v>
      </c>
      <c r="I27" s="119">
        <f>+Actuals!F334</f>
        <v>0</v>
      </c>
      <c r="J27" s="118">
        <f>+Actuals!G334</f>
        <v>0</v>
      </c>
      <c r="K27" s="119">
        <f>+Actuals!H334</f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'TIE-OUT'!H28+RECLASS!AB28</f>
        <v>0</v>
      </c>
      <c r="G28" s="82">
        <f>'TIE-OUT'!I28+RECLASS!AC28</f>
        <v>0</v>
      </c>
      <c r="H28" s="118">
        <f>+Actuals!E335</f>
        <v>0</v>
      </c>
      <c r="I28" s="119">
        <f>+Actuals!F335</f>
        <v>0</v>
      </c>
      <c r="J28" s="118">
        <f>+Actuals!G335</f>
        <v>0</v>
      </c>
      <c r="K28" s="119">
        <f>+Actuals!H335</f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'TIE-OUT'!H32+RECLASS!AB32</f>
        <v>0</v>
      </c>
      <c r="G32" s="68">
        <f>'TIE-OUT'!I32+RECLASS!AC32</f>
        <v>0</v>
      </c>
      <c r="H32" s="118">
        <f>+Actuals!E336</f>
        <v>0</v>
      </c>
      <c r="I32" s="119">
        <f>+Actuals!F336</f>
        <v>0</v>
      </c>
      <c r="J32" s="118">
        <f>+Actuals!G336</f>
        <v>0</v>
      </c>
      <c r="K32" s="119">
        <f>+Actuals!H336</f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'TIE-OUT'!H33+RECLASS!AB33</f>
        <v>0</v>
      </c>
      <c r="G33" s="38">
        <f>'TIE-OUT'!I33+RECLASS!AC33</f>
        <v>0</v>
      </c>
      <c r="H33" s="118">
        <f>+Actuals!E337</f>
        <v>0</v>
      </c>
      <c r="I33" s="119">
        <f>+Actuals!F337</f>
        <v>0</v>
      </c>
      <c r="J33" s="118">
        <f>+Actuals!G337</f>
        <v>0</v>
      </c>
      <c r="K33" s="119">
        <f>+Actuals!H337</f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'TIE-OUT'!H34+RECLASS!AB34</f>
        <v>0</v>
      </c>
      <c r="G34" s="38">
        <f>'TIE-OUT'!I34+RECLASS!AC34</f>
        <v>0</v>
      </c>
      <c r="H34" s="118">
        <f>+Actuals!E338</f>
        <v>0</v>
      </c>
      <c r="I34" s="119">
        <f>+Actuals!F338</f>
        <v>0</v>
      </c>
      <c r="J34" s="118">
        <f>+Actuals!G338</f>
        <v>0</v>
      </c>
      <c r="K34" s="119">
        <f>+Actuals!H338</f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'TIE-OUT'!H35+RECLASS!AB35</f>
        <v>0</v>
      </c>
      <c r="G35" s="82">
        <f>'TIE-OUT'!I35+RECLASS!AC35</f>
        <v>0</v>
      </c>
      <c r="H35" s="118">
        <f>+Actuals!E339</f>
        <v>0</v>
      </c>
      <c r="I35" s="119">
        <f>+Actuals!F339</f>
        <v>0</v>
      </c>
      <c r="J35" s="118">
        <f>+Actuals!G339</f>
        <v>0</v>
      </c>
      <c r="K35" s="119">
        <f>+Actuals!H339</f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'TIE-OUT'!H39+RECLASS!AB39</f>
        <v>0</v>
      </c>
      <c r="G39" s="68">
        <f>'TIE-OUT'!I39+RECLASS!AC39</f>
        <v>0</v>
      </c>
      <c r="H39" s="118">
        <f>+Actuals!E340</f>
        <v>0</v>
      </c>
      <c r="I39" s="119">
        <f>+Actuals!F340</f>
        <v>0</v>
      </c>
      <c r="J39" s="118">
        <f>+Actuals!G340</f>
        <v>0</v>
      </c>
      <c r="K39" s="119">
        <f>+Actuals!H340</f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'TIE-OUT'!H40+RECLASS!AB40</f>
        <v>0</v>
      </c>
      <c r="G40" s="38">
        <f>'TIE-OUT'!I40+RECLASS!AC40</f>
        <v>0</v>
      </c>
      <c r="H40" s="118">
        <f>+Actuals!E341</f>
        <v>0</v>
      </c>
      <c r="I40" s="119">
        <f>+Actuals!F341</f>
        <v>0</v>
      </c>
      <c r="J40" s="118">
        <f>+Actuals!G341</f>
        <v>0</v>
      </c>
      <c r="K40" s="119">
        <f>+Actuals!H341</f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'TIE-OUT'!H41+RECLASS!AB41</f>
        <v>0</v>
      </c>
      <c r="G41" s="82">
        <f>'TIE-OUT'!I41+RECLASS!AC41</f>
        <v>0</v>
      </c>
      <c r="H41" s="118">
        <f>+Actuals!E342</f>
        <v>0</v>
      </c>
      <c r="I41" s="119">
        <f>+Actuals!F342</f>
        <v>0</v>
      </c>
      <c r="J41" s="118">
        <f>+Actuals!G342</f>
        <v>0</v>
      </c>
      <c r="K41" s="119">
        <f>+Actuals!H342</f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0</v>
      </c>
      <c r="K43" s="39">
        <f t="shared" si="15"/>
        <v>0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'TIE-OUT'!H45+RECLASS!AB45</f>
        <v>0</v>
      </c>
      <c r="G45" s="68">
        <f>'TIE-OUT'!I45+RECLASS!AC45</f>
        <v>0</v>
      </c>
      <c r="H45" s="118">
        <f>+Actuals!E343</f>
        <v>0</v>
      </c>
      <c r="I45" s="119">
        <f>+Actuals!F343</f>
        <v>0</v>
      </c>
      <c r="J45" s="118">
        <f>+Actuals!G343</f>
        <v>0</v>
      </c>
      <c r="K45" s="119">
        <f>+Actuals!H343</f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'TIE-OUT'!H47+RECLASS!AB47</f>
        <v>0</v>
      </c>
      <c r="G47" s="38">
        <f>'TIE-OUT'!I47+RECLASS!AC47</f>
        <v>0</v>
      </c>
      <c r="H47" s="118">
        <f>+Actuals!E344</f>
        <v>0</v>
      </c>
      <c r="I47" s="119">
        <f>+Actuals!F344</f>
        <v>0</v>
      </c>
      <c r="J47" s="118">
        <f>+Actuals!G344</f>
        <v>0</v>
      </c>
      <c r="K47" s="119">
        <f>+Actuals!H344</f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333396</v>
      </c>
      <c r="E49" s="38">
        <f>SUM(G49,I49,K49,M49,O49,Q49,S49,U49,W49,Y49,AA49,AC49,AE49)</f>
        <v>789481.728</v>
      </c>
      <c r="F49" s="60">
        <f>'TIE-OUT'!H49+RECLASS!AB49</f>
        <v>0</v>
      </c>
      <c r="G49" s="38">
        <f>'TIE-OUT'!I49+RECLASS!AC49</f>
        <v>0</v>
      </c>
      <c r="H49" s="118">
        <f>+Actuals!E345</f>
        <v>337658</v>
      </c>
      <c r="I49" s="119">
        <f>+Actuals!F345</f>
        <v>799574.14399999997</v>
      </c>
      <c r="J49" s="118">
        <f>+Actuals!G345</f>
        <v>-4276</v>
      </c>
      <c r="K49" s="119">
        <f>+Actuals!H345</f>
        <v>-10125.56799999997</v>
      </c>
      <c r="L49" s="118">
        <f>+Actuals!I345</f>
        <v>13</v>
      </c>
      <c r="M49" s="119">
        <f>+Actuals!J345</f>
        <v>30.783999999999999</v>
      </c>
      <c r="N49" s="118">
        <f>+Actuals!K345</f>
        <v>1</v>
      </c>
      <c r="O49" s="119">
        <f>+Actuals!L345</f>
        <v>2.3679999999999999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'TIE-OUT'!H51+RECLASS!AB51</f>
        <v>0</v>
      </c>
      <c r="G51" s="38">
        <f>'TIE-OUT'!I51+RECLASS!AC51</f>
        <v>0</v>
      </c>
      <c r="H51" s="118">
        <f>+Actuals!E346</f>
        <v>0</v>
      </c>
      <c r="I51" s="119">
        <f>+Actuals!F346</f>
        <v>0</v>
      </c>
      <c r="J51" s="118">
        <f>+Actuals!G346</f>
        <v>0</v>
      </c>
      <c r="K51" s="119">
        <f>+Actuals!H346</f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-7936514</v>
      </c>
      <c r="E54" s="38">
        <f>SUM(G54,I54,K54,M54,O54,Q54,S54,U54,W54,Y54,AA54,AC54,AE54)</f>
        <v>-142054.03</v>
      </c>
      <c r="F54" s="64">
        <f>'TIE-OUT'!H54+RECLASS!AB54</f>
        <v>0</v>
      </c>
      <c r="G54" s="68">
        <f>'TIE-OUT'!I54+RECLASS!AC54</f>
        <v>0</v>
      </c>
      <c r="H54" s="118">
        <f>+Actuals!E347</f>
        <v>-7943431</v>
      </c>
      <c r="I54" s="119">
        <f>+Actuals!F347</f>
        <v>-142074.26999999999</v>
      </c>
      <c r="J54" s="118">
        <f>+Actuals!G347</f>
        <v>6888</v>
      </c>
      <c r="K54" s="119">
        <f>+Actuals!H347</f>
        <v>20.239999999999998</v>
      </c>
      <c r="L54" s="118">
        <f>+Actuals!I347</f>
        <v>29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-3576629.01</v>
      </c>
      <c r="F55" s="81">
        <f>'TIE-OUT'!H55+RECLASS!AB55</f>
        <v>0</v>
      </c>
      <c r="G55" s="82">
        <f>'TIE-OUT'!I55+RECLASS!AC55</f>
        <v>0</v>
      </c>
      <c r="H55" s="118">
        <f>+Actuals!E348</f>
        <v>0</v>
      </c>
      <c r="I55" s="119">
        <f>+Actuals!F348</f>
        <v>-771631.76</v>
      </c>
      <c r="J55" s="118">
        <f>+Actuals!G348</f>
        <v>0</v>
      </c>
      <c r="K55" s="119">
        <f>+Actuals!H348</f>
        <v>-2257950.34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-547046.91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-7936514</v>
      </c>
      <c r="E56" s="39">
        <f t="shared" si="16"/>
        <v>-3718683.0399999996</v>
      </c>
      <c r="F56" s="61">
        <f t="shared" si="16"/>
        <v>0</v>
      </c>
      <c r="G56" s="39">
        <f t="shared" si="16"/>
        <v>0</v>
      </c>
      <c r="H56" s="61">
        <f t="shared" si="16"/>
        <v>-7943431</v>
      </c>
      <c r="I56" s="39">
        <f t="shared" si="16"/>
        <v>-913706.03</v>
      </c>
      <c r="J56" s="61">
        <f t="shared" ref="J56:AO56" si="17">SUM(J54:J55)</f>
        <v>6888</v>
      </c>
      <c r="K56" s="39">
        <f t="shared" si="17"/>
        <v>-2257930.0999999996</v>
      </c>
      <c r="L56" s="61">
        <f t="shared" si="17"/>
        <v>29</v>
      </c>
      <c r="M56" s="39">
        <f t="shared" si="17"/>
        <v>0</v>
      </c>
      <c r="N56" s="61">
        <f>SUM(N54:N55)</f>
        <v>0</v>
      </c>
      <c r="O56" s="39">
        <f>SUM(O54:O55)</f>
        <v>-547046.91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'TIE-OUT'!H59+RECLASS!AB59</f>
        <v>0</v>
      </c>
      <c r="G59" s="68">
        <f>'TIE-OUT'!I59+RECLASS!AC59</f>
        <v>0</v>
      </c>
      <c r="H59" s="118">
        <f>+Actuals!E349</f>
        <v>0</v>
      </c>
      <c r="I59" s="119">
        <f>+Actuals!F349</f>
        <v>0</v>
      </c>
      <c r="J59" s="118">
        <f>+Actuals!G349</f>
        <v>0</v>
      </c>
      <c r="K59" s="119">
        <f>+Actuals!H349</f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'TIE-OUT'!H60+RECLASS!AB60</f>
        <v>0</v>
      </c>
      <c r="G60" s="82">
        <f>'TIE-OUT'!I60+RECLASS!AC60</f>
        <v>0</v>
      </c>
      <c r="H60" s="118">
        <f>+Actuals!E350</f>
        <v>0</v>
      </c>
      <c r="I60" s="119">
        <f>+Actuals!F350</f>
        <v>0</v>
      </c>
      <c r="J60" s="118">
        <f>+Actuals!G350</f>
        <v>0</v>
      </c>
      <c r="K60" s="119">
        <f>+Actuals!H350</f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'TIE-OUT'!H64+RECLASS!AB64</f>
        <v>0</v>
      </c>
      <c r="G64" s="68">
        <f>'TIE-OUT'!I64+RECLASS!AC64</f>
        <v>0</v>
      </c>
      <c r="H64" s="118">
        <f>+Actuals!E351</f>
        <v>0</v>
      </c>
      <c r="I64" s="119">
        <f>+Actuals!F351</f>
        <v>0</v>
      </c>
      <c r="J64" s="118">
        <f>+Actuals!G351</f>
        <v>0</v>
      </c>
      <c r="K64" s="119">
        <f>+Actuals!H351</f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'TIE-OUT'!H65+RECLASS!AB65</f>
        <v>0</v>
      </c>
      <c r="G65" s="82">
        <f>'TIE-OUT'!I65+RECLASS!AC65</f>
        <v>0</v>
      </c>
      <c r="H65" s="118">
        <f>+Actuals!E352</f>
        <v>0</v>
      </c>
      <c r="I65" s="119">
        <f>+Actuals!F352</f>
        <v>0</v>
      </c>
      <c r="J65" s="118">
        <f>+Actuals!G352</f>
        <v>0</v>
      </c>
      <c r="K65" s="119">
        <f>+Actuals!H352</f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12261468.49</v>
      </c>
      <c r="F70" s="64">
        <f>'TIE-OUT'!H70+RECLASS!AB70</f>
        <v>0</v>
      </c>
      <c r="G70" s="68">
        <f>'TIE-OUT'!I70+RECLASS!AC70</f>
        <v>12261468.49</v>
      </c>
      <c r="H70" s="118">
        <f>+Actuals!E353</f>
        <v>0</v>
      </c>
      <c r="I70" s="119">
        <f>+Actuals!F353</f>
        <v>0</v>
      </c>
      <c r="J70" s="118">
        <f>+Actuals!G353</f>
        <v>0</v>
      </c>
      <c r="K70" s="119">
        <f>+Actuals!H353</f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-14085867</v>
      </c>
      <c r="F71" s="81">
        <f>'TIE-OUT'!H71+RECLASS!AB71</f>
        <v>0</v>
      </c>
      <c r="G71" s="82">
        <f>'TIE-OUT'!I71+RECLASS!AC71</f>
        <v>-14085867</v>
      </c>
      <c r="H71" s="118">
        <f>+Actuals!E354</f>
        <v>0</v>
      </c>
      <c r="I71" s="119">
        <f>+Actuals!F354</f>
        <v>0</v>
      </c>
      <c r="J71" s="118">
        <f>+Actuals!G354</f>
        <v>0</v>
      </c>
      <c r="K71" s="119">
        <f>+Actuals!H354</f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-1824398.5099999998</v>
      </c>
      <c r="F72" s="61">
        <f t="shared" si="22"/>
        <v>0</v>
      </c>
      <c r="G72" s="39">
        <f t="shared" si="22"/>
        <v>-1824398.5099999998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'TIE-OUT'!H73+RECLASS!AB73</f>
        <v>0</v>
      </c>
      <c r="G73" s="60">
        <f>'TIE-OUT'!I73+RECLASS!AC73</f>
        <v>0</v>
      </c>
      <c r="H73" s="118">
        <f>+Actuals!E355</f>
        <v>0</v>
      </c>
      <c r="I73" s="119">
        <f>+Actuals!F355</f>
        <v>0</v>
      </c>
      <c r="J73" s="118">
        <f>+Actuals!G355</f>
        <v>0</v>
      </c>
      <c r="K73" s="119">
        <f>+Actuals!H355</f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683322.53</v>
      </c>
      <c r="F74" s="60">
        <f>'TIE-OUT'!H74+RECLASS!AB74</f>
        <v>0</v>
      </c>
      <c r="G74" s="60">
        <f>'TIE-OUT'!I74+RECLASS!AC74</f>
        <v>683322.53</v>
      </c>
      <c r="H74" s="118">
        <f>+Actuals!E356</f>
        <v>0</v>
      </c>
      <c r="I74" s="119">
        <f>+Actuals!F356</f>
        <v>0</v>
      </c>
      <c r="J74" s="118">
        <f>+Actuals!G356</f>
        <v>0</v>
      </c>
      <c r="K74" s="119">
        <f>+Actuals!H356</f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'TIE-OUT'!H75+RECLASS!AB75</f>
        <v>0</v>
      </c>
      <c r="G75" s="60">
        <f>'TIE-OUT'!I75+RECLASS!AC75</f>
        <v>0</v>
      </c>
      <c r="H75" s="118">
        <f>+Actuals!E357</f>
        <v>0</v>
      </c>
      <c r="I75" s="119">
        <f>+Actuals!F357</f>
        <v>0</v>
      </c>
      <c r="J75" s="118">
        <f>+Actuals!G357</f>
        <v>0</v>
      </c>
      <c r="K75" s="119">
        <f>+Actuals!H357</f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'TIE-OUT'!H76+RECLASS!AB76</f>
        <v>0</v>
      </c>
      <c r="G76" s="60">
        <f>'TIE-OUT'!I76+RECLASS!AC76</f>
        <v>0</v>
      </c>
      <c r="H76" s="118">
        <f>+Actuals!E358</f>
        <v>0</v>
      </c>
      <c r="I76" s="119">
        <f>+Actuals!F358</f>
        <v>0</v>
      </c>
      <c r="J76" s="118">
        <f>+Actuals!G358</f>
        <v>0</v>
      </c>
      <c r="K76" s="119">
        <f>+Actuals!H358</f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'TIE-OUT'!H77+RECLASS!AB77</f>
        <v>0</v>
      </c>
      <c r="G77" s="60">
        <f>'TIE-OUT'!I77+RECLASS!AC77</f>
        <v>0</v>
      </c>
      <c r="H77" s="118">
        <f>+Actuals!E359</f>
        <v>0</v>
      </c>
      <c r="I77" s="119">
        <f>+Actuals!F359</f>
        <v>0</v>
      </c>
      <c r="J77" s="118">
        <f>+Actuals!G359</f>
        <v>0</v>
      </c>
      <c r="K77" s="119">
        <f>+Actuals!H359</f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'TIE-OUT'!H78+RECLASS!AB78</f>
        <v>0</v>
      </c>
      <c r="G78" s="60">
        <f>'TIE-OUT'!I78+RECLASS!AC78</f>
        <v>0</v>
      </c>
      <c r="H78" s="118">
        <f>+Actuals!E360</f>
        <v>0</v>
      </c>
      <c r="I78" s="119">
        <f>+Actuals!F360</f>
        <v>0</v>
      </c>
      <c r="J78" s="118">
        <f>+Actuals!G360</f>
        <v>0</v>
      </c>
      <c r="K78" s="119">
        <f>+Actuals!H360</f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'TIE-OUT'!H79+RECLASS!AB79</f>
        <v>0</v>
      </c>
      <c r="G79" s="60">
        <f>'TIE-OUT'!I79+RECLASS!AC79</f>
        <v>0</v>
      </c>
      <c r="H79" s="118">
        <f>+Actuals!E361</f>
        <v>0</v>
      </c>
      <c r="I79" s="119">
        <f>+Actuals!F361</f>
        <v>0</v>
      </c>
      <c r="J79" s="118">
        <f>+Actuals!G361</f>
        <v>0</v>
      </c>
      <c r="K79" s="119">
        <f>+Actuals!H361</f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'TIE-OUT'!H80+RECLASS!AB80</f>
        <v>0</v>
      </c>
      <c r="G80" s="60">
        <f>'TIE-OUT'!I80+RECLASS!AC80</f>
        <v>0</v>
      </c>
      <c r="H80" s="118">
        <f>+Actuals!E362</f>
        <v>0</v>
      </c>
      <c r="I80" s="119">
        <f>+Actuals!F362</f>
        <v>0</v>
      </c>
      <c r="J80" s="118">
        <f>+Actuals!G362</f>
        <v>0</v>
      </c>
      <c r="K80" s="119">
        <f>+Actuals!H362</f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'TIE-OUT'!H81+RECLASS!AB81</f>
        <v>0</v>
      </c>
      <c r="G81" s="60">
        <f>'TIE-OUT'!I81+RECLASS!AC81</f>
        <v>0</v>
      </c>
      <c r="H81" s="118">
        <f>+Actuals!E363</f>
        <v>0</v>
      </c>
      <c r="I81" s="119">
        <f>+Actuals!F363</f>
        <v>0</v>
      </c>
      <c r="J81" s="118">
        <f>+Actuals!G363</f>
        <v>0</v>
      </c>
      <c r="K81" s="119">
        <f>+Actuals!H363</f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-500590.88199999975</v>
      </c>
      <c r="F82" s="91">
        <f>F16+F24+F29+F36+F43+F45+F47+F49</f>
        <v>0</v>
      </c>
      <c r="G82" s="92">
        <f>SUM(G72:G81)+G16+G24+G29+G36+G43+G45+G47+G49+G51+G56+G61+G66</f>
        <v>-980363.30999999982</v>
      </c>
      <c r="H82" s="91">
        <f>H16+H24+H29+H36+H43+H45+H47+H49</f>
        <v>0</v>
      </c>
      <c r="I82" s="137">
        <f>SUM(I72:I81)+I16+I24+I29+I36+I43+I45+I47+I49+I51+I56+I61+I66</f>
        <v>3006648.0340000018</v>
      </c>
      <c r="J82" s="91">
        <f>J16+J24+J29+J36+J43+J45+J47+J49</f>
        <v>0</v>
      </c>
      <c r="K82" s="137">
        <f>SUM(K72:K81)+K16+K24+K29+K36+K43+K45+K47+K49+K51+K56+K61+K66</f>
        <v>-1978384.4980000053</v>
      </c>
      <c r="L82" s="91">
        <f>L16+L24+L29+L36+L43+L45+L47+L49</f>
        <v>0</v>
      </c>
      <c r="M82" s="92">
        <f>SUM(M72:M81)+M16+M24+M29+M36+M43+M45+M47+M49+M51+M56+M61+M66</f>
        <v>-1444.2159999999999</v>
      </c>
      <c r="N82" s="91">
        <f>N16+N24+N29+N36+N43+N45+N47+N49</f>
        <v>0</v>
      </c>
      <c r="O82" s="92">
        <f>SUM(O72:O81)+O16+O24+O29+O36+O43+O45+O47+O49+O51+O56+O61+O66</f>
        <v>-547046.89199999999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O187"/>
  <sheetViews>
    <sheetView zoomScale="75" workbookViewId="0">
      <pane xSplit="3" ySplit="9" topLeftCell="I54" activePane="bottomRight" state="frozen"/>
      <selection activeCell="N31" sqref="N31"/>
      <selection pane="topRight" activeCell="N31" sqref="N31"/>
      <selection pane="bottomLeft" activeCell="N31" sqref="N31"/>
      <selection pane="bottomRight" activeCell="AQ66" sqref="AQ66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193051117</v>
      </c>
      <c r="E11" s="38">
        <f>SUM(G11,I11,K11,M11,O11,Q11,S11,U11,W11,Y11,AA11,AC11,AE11)</f>
        <v>487071650.59999996</v>
      </c>
      <c r="F11" s="60">
        <f>'TIE-OUT'!J11+RECLASS!H11</f>
        <v>0</v>
      </c>
      <c r="G11" s="38">
        <f>'TIE-OUT'!K11+RECLASS!I11</f>
        <v>5844055</v>
      </c>
      <c r="H11" s="118">
        <f>+Actuals!E244</f>
        <v>189746325</v>
      </c>
      <c r="I11" s="119">
        <f>+Actuals!F244</f>
        <v>467815212.26999998</v>
      </c>
      <c r="J11" s="118">
        <f>+Actuals!G244</f>
        <v>7253637</v>
      </c>
      <c r="K11" s="119">
        <f>+Actuals!H244</f>
        <v>21651971.629999999</v>
      </c>
      <c r="L11" s="118">
        <f>+Actuals!I244</f>
        <v>-5507898</v>
      </c>
      <c r="M11" s="119">
        <f>+Actuals!J244</f>
        <v>-12207516.93</v>
      </c>
      <c r="N11" s="118">
        <f>+Actuals!K244</f>
        <v>1559053</v>
      </c>
      <c r="O11" s="119">
        <f>+Actuals!L244</f>
        <v>3967928.63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-3880244.07</v>
      </c>
      <c r="F12" s="60">
        <f>'TIE-OUT'!J12+RECLASS!H12</f>
        <v>0</v>
      </c>
      <c r="G12" s="38">
        <f>'TIE-OUT'!K12+RECLASS!I12</f>
        <v>-3883840.07</v>
      </c>
      <c r="H12" s="118">
        <f>+Actuals!E245</f>
        <v>0</v>
      </c>
      <c r="I12" s="119">
        <f>+Actuals!F245</f>
        <v>0</v>
      </c>
      <c r="J12" s="118">
        <f>+Actuals!G245</f>
        <v>0</v>
      </c>
      <c r="K12" s="215">
        <f>+Actuals!H245+3596</f>
        <v>3596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20295362</v>
      </c>
      <c r="E13" s="38">
        <f t="shared" si="0"/>
        <v>51966198</v>
      </c>
      <c r="F13" s="60">
        <f>'TIE-OUT'!J13+RECLASS!H13</f>
        <v>0</v>
      </c>
      <c r="G13" s="38">
        <f>'TIE-OUT'!K13+RECLASS!I13</f>
        <v>0</v>
      </c>
      <c r="H13" s="118">
        <f>+Actuals!E246</f>
        <v>71628606</v>
      </c>
      <c r="I13" s="119">
        <f>+Actuals!F246</f>
        <v>185895133</v>
      </c>
      <c r="J13" s="118">
        <f>+Actuals!G246</f>
        <v>-51333347</v>
      </c>
      <c r="K13" s="119">
        <f>+Actuals!H246</f>
        <v>-133933759</v>
      </c>
      <c r="L13" s="118">
        <f>+Actuals!I246</f>
        <v>4403</v>
      </c>
      <c r="M13" s="119">
        <f>+Actuals!J246</f>
        <v>14283</v>
      </c>
      <c r="N13" s="118">
        <f>+Actuals!K246</f>
        <v>-4300</v>
      </c>
      <c r="O13" s="119">
        <f>+Actuals!L246</f>
        <v>-9459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f>+Actuals!E247</f>
        <v>0</v>
      </c>
      <c r="I14" s="119">
        <f>+Actuals!F247</f>
        <v>0</v>
      </c>
      <c r="J14" s="118">
        <f>+Actuals!G247</f>
        <v>0</v>
      </c>
      <c r="K14" s="119">
        <f>+Actuals!H247</f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5733061.2600000007</v>
      </c>
      <c r="F15" s="81">
        <f>'TIE-OUT'!J15+RECLASS!H15</f>
        <v>0</v>
      </c>
      <c r="G15" s="82">
        <f>'TIE-OUT'!K15+RECLASS!I15</f>
        <v>-11326633</v>
      </c>
      <c r="H15" s="118">
        <f>+Actuals!E248</f>
        <v>0</v>
      </c>
      <c r="I15" s="119">
        <f>+Actuals!F248</f>
        <v>14932935.800000001</v>
      </c>
      <c r="J15" s="118">
        <f>+Actuals!G248</f>
        <v>0</v>
      </c>
      <c r="K15" s="119">
        <f>+Actuals!H248</f>
        <v>254808.88</v>
      </c>
      <c r="L15" s="118">
        <f>+Actuals!I248</f>
        <v>0</v>
      </c>
      <c r="M15" s="119">
        <f>+Actuals!J248</f>
        <v>1901257.24</v>
      </c>
      <c r="N15" s="118">
        <f>+Actuals!K248</f>
        <v>0</v>
      </c>
      <c r="O15" s="119">
        <f>+Actuals!L248</f>
        <v>-29307.66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213346479</v>
      </c>
      <c r="E16" s="39">
        <f t="shared" si="1"/>
        <v>540890665.78999996</v>
      </c>
      <c r="F16" s="61">
        <f t="shared" si="1"/>
        <v>0</v>
      </c>
      <c r="G16" s="39">
        <f t="shared" si="1"/>
        <v>-9366418.0700000003</v>
      </c>
      <c r="H16" s="61">
        <f t="shared" si="1"/>
        <v>261374931</v>
      </c>
      <c r="I16" s="39">
        <f t="shared" si="1"/>
        <v>668643281.06999993</v>
      </c>
      <c r="J16" s="61">
        <f t="shared" ref="J16:AO16" si="2">SUM(J11:J15)</f>
        <v>-44079710</v>
      </c>
      <c r="K16" s="39">
        <f t="shared" si="2"/>
        <v>-112023382.49000001</v>
      </c>
      <c r="L16" s="61">
        <f t="shared" si="2"/>
        <v>-5503495</v>
      </c>
      <c r="M16" s="39">
        <f t="shared" si="2"/>
        <v>-10291976.689999999</v>
      </c>
      <c r="N16" s="61">
        <f>SUM(N11:N15)</f>
        <v>1554753</v>
      </c>
      <c r="O16" s="39">
        <f>SUM(O11:O15)</f>
        <v>3929161.9699999997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-188888571</v>
      </c>
      <c r="E19" s="38">
        <f t="shared" si="3"/>
        <v>-446824810.43000001</v>
      </c>
      <c r="F19" s="64">
        <f>'TIE-OUT'!J19+RECLASS!H19</f>
        <v>0</v>
      </c>
      <c r="G19" s="68">
        <f>'TIE-OUT'!K19+RECLASS!I19</f>
        <v>2539443</v>
      </c>
      <c r="H19" s="118">
        <f>+Actuals!E249</f>
        <v>-187210283</v>
      </c>
      <c r="I19" s="119">
        <f>+Actuals!F249</f>
        <v>-450026772.61000001</v>
      </c>
      <c r="J19" s="118">
        <f>+Actuals!G249</f>
        <v>-2313451</v>
      </c>
      <c r="K19" s="119">
        <f>+Actuals!H249</f>
        <v>-5902770.2499999991</v>
      </c>
      <c r="L19" s="118">
        <f>+Actuals!I249</f>
        <v>1907676</v>
      </c>
      <c r="M19" s="119">
        <f>+Actuals!J249</f>
        <v>3057392.04</v>
      </c>
      <c r="N19" s="118">
        <f>+Actuals!K249</f>
        <v>-1272513</v>
      </c>
      <c r="O19" s="119">
        <f>+Actuals!L249</f>
        <v>3507897.39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-9201555.1899999995</v>
      </c>
      <c r="F20" s="60">
        <f>'TIE-OUT'!J20+RECLASS!H20</f>
        <v>0</v>
      </c>
      <c r="G20" s="38">
        <f>'TIE-OUT'!K20+RECLASS!I20</f>
        <v>-9176533.7799999993</v>
      </c>
      <c r="H20" s="118">
        <f>+Actuals!E250</f>
        <v>0</v>
      </c>
      <c r="I20" s="119">
        <f>+Actuals!F250</f>
        <v>0</v>
      </c>
      <c r="J20" s="118">
        <f>+Actuals!G250</f>
        <v>0</v>
      </c>
      <c r="K20" s="215">
        <v>0</v>
      </c>
      <c r="L20" s="118">
        <f>+Actuals!I250</f>
        <v>0</v>
      </c>
      <c r="M20" s="215">
        <f>+Actuals!J250-25021.41</f>
        <v>-25021.41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-19756732</v>
      </c>
      <c r="E21" s="38">
        <f t="shared" si="3"/>
        <v>-54147992</v>
      </c>
      <c r="F21" s="60">
        <f>'TIE-OUT'!J21+RECLASS!H21</f>
        <v>0</v>
      </c>
      <c r="G21" s="38">
        <f>'TIE-OUT'!K21+RECLASS!I21</f>
        <v>0</v>
      </c>
      <c r="H21" s="118">
        <f>+Actuals!E251</f>
        <v>-71003668</v>
      </c>
      <c r="I21" s="119">
        <f>+Actuals!F251</f>
        <v>-187641099</v>
      </c>
      <c r="J21" s="118">
        <f>+Actuals!G251</f>
        <v>51204961</v>
      </c>
      <c r="K21" s="119">
        <f>+Actuals!H251</f>
        <v>133403760</v>
      </c>
      <c r="L21" s="118">
        <f>+Actuals!I251</f>
        <v>39502</v>
      </c>
      <c r="M21" s="119">
        <f>+Actuals!J251</f>
        <v>86114</v>
      </c>
      <c r="N21" s="118">
        <f>+Actuals!K251</f>
        <v>2473</v>
      </c>
      <c r="O21" s="119">
        <f>+Actuals!L251</f>
        <v>3233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f>+Actuals!E252</f>
        <v>0</v>
      </c>
      <c r="I22" s="119">
        <f>+Actuals!F252</f>
        <v>0</v>
      </c>
      <c r="J22" s="118">
        <f>+Actuals!G252</f>
        <v>0</v>
      </c>
      <c r="K22" s="119">
        <f>+Actuals!H252</f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1438618</v>
      </c>
      <c r="E23" s="38">
        <f t="shared" si="3"/>
        <v>3284934.946</v>
      </c>
      <c r="F23" s="81">
        <f>'TIE-OUT'!J23+RECLASS!H23</f>
        <v>0</v>
      </c>
      <c r="G23" s="82">
        <f>'TIE-OUT'!K23+RECLASS!I23</f>
        <v>0</v>
      </c>
      <c r="H23" s="118">
        <f>+Actuals!E253</f>
        <v>1597692</v>
      </c>
      <c r="I23" s="119">
        <f>+Actuals!F253</f>
        <v>3749783.1239999998</v>
      </c>
      <c r="J23" s="118">
        <f>+Actuals!G253</f>
        <v>80718</v>
      </c>
      <c r="K23" s="119">
        <f>+Actuals!H253</f>
        <v>189445.14600000001</v>
      </c>
      <c r="L23" s="118">
        <f>+Actuals!I253</f>
        <v>-28325</v>
      </c>
      <c r="M23" s="119">
        <f>+Actuals!J253</f>
        <v>-66478.774999999994</v>
      </c>
      <c r="N23" s="118">
        <f>+Actuals!K253</f>
        <v>-211467</v>
      </c>
      <c r="O23" s="119">
        <f>+Actuals!L253</f>
        <v>-587814.549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-207206685</v>
      </c>
      <c r="E24" s="39">
        <f t="shared" si="4"/>
        <v>-506889422.67400002</v>
      </c>
      <c r="F24" s="61">
        <f t="shared" si="4"/>
        <v>0</v>
      </c>
      <c r="G24" s="39">
        <f t="shared" si="4"/>
        <v>-6637090.7799999993</v>
      </c>
      <c r="H24" s="61">
        <f t="shared" si="4"/>
        <v>-256616259</v>
      </c>
      <c r="I24" s="39">
        <f t="shared" si="4"/>
        <v>-633918088.48600006</v>
      </c>
      <c r="J24" s="61">
        <f t="shared" ref="J24:AO24" si="5">SUM(J19:J23)</f>
        <v>48972228</v>
      </c>
      <c r="K24" s="39">
        <f t="shared" si="5"/>
        <v>127690434.896</v>
      </c>
      <c r="L24" s="61">
        <f t="shared" si="5"/>
        <v>1918853</v>
      </c>
      <c r="M24" s="39">
        <f t="shared" si="5"/>
        <v>3052005.855</v>
      </c>
      <c r="N24" s="61">
        <f>SUM(N19:N23)</f>
        <v>-1481507</v>
      </c>
      <c r="O24" s="39">
        <f>SUM(O19:O23)</f>
        <v>2923315.841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11337226</v>
      </c>
      <c r="E27" s="38">
        <f>SUM(G27,I27,K27,M27,O27,Q27,S27,U27,W27,Y27,AA27,AC27,AE27)</f>
        <v>27276734.16</v>
      </c>
      <c r="F27" s="64">
        <f>'TIE-OUT'!J27+RECLASS!H27</f>
        <v>0</v>
      </c>
      <c r="G27" s="68">
        <f>'TIE-OUT'!K27+RECLASS!I27</f>
        <v>0</v>
      </c>
      <c r="H27" s="118">
        <f>+Actuals!E254</f>
        <v>11333350</v>
      </c>
      <c r="I27" s="119">
        <f>+Actuals!F254</f>
        <v>27144101</v>
      </c>
      <c r="J27" s="118">
        <f>+Actuals!G254</f>
        <v>0</v>
      </c>
      <c r="K27" s="119">
        <f>+Actuals!H254</f>
        <v>111625.23</v>
      </c>
      <c r="L27" s="118">
        <f>+Actuals!I254</f>
        <v>3876</v>
      </c>
      <c r="M27" s="119">
        <f>+Actuals!J254</f>
        <v>21007.93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-7952335</v>
      </c>
      <c r="E28" s="38">
        <f>SUM(G28,I28,K28,M28,O28,Q28,S28,U28,W28,Y28,AA28,AC28,AE28)</f>
        <v>-19480700.919999998</v>
      </c>
      <c r="F28" s="81">
        <f>'TIE-OUT'!J28+RECLASS!H28</f>
        <v>0</v>
      </c>
      <c r="G28" s="82">
        <f>'TIE-OUT'!K28+RECLASS!I28</f>
        <v>0</v>
      </c>
      <c r="H28" s="118">
        <f>+Actuals!E255</f>
        <v>-7755552</v>
      </c>
      <c r="I28" s="119">
        <f>+Actuals!F255</f>
        <v>-19018931.719999999</v>
      </c>
      <c r="J28" s="118">
        <f>+Actuals!G255</f>
        <v>-196782</v>
      </c>
      <c r="K28" s="119">
        <f>+Actuals!H255</f>
        <v>-462998.91</v>
      </c>
      <c r="L28" s="118">
        <f>+Actuals!I255</f>
        <v>-1</v>
      </c>
      <c r="M28" s="119">
        <f>+Actuals!J255</f>
        <v>1229.71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3384891</v>
      </c>
      <c r="E29" s="39">
        <f t="shared" si="6"/>
        <v>7796033.2400000021</v>
      </c>
      <c r="F29" s="61">
        <f t="shared" si="6"/>
        <v>0</v>
      </c>
      <c r="G29" s="39">
        <f t="shared" si="6"/>
        <v>0</v>
      </c>
      <c r="H29" s="61">
        <f t="shared" si="6"/>
        <v>3577798</v>
      </c>
      <c r="I29" s="39">
        <f t="shared" si="6"/>
        <v>8125169.2800000012</v>
      </c>
      <c r="J29" s="61">
        <f t="shared" ref="J29:AO29" si="7">SUM(J27:J28)</f>
        <v>-196782</v>
      </c>
      <c r="K29" s="39">
        <f t="shared" si="7"/>
        <v>-351373.68</v>
      </c>
      <c r="L29" s="61">
        <f t="shared" si="7"/>
        <v>3875</v>
      </c>
      <c r="M29" s="39">
        <f t="shared" si="7"/>
        <v>22237.64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-1726201</v>
      </c>
      <c r="E32" s="38">
        <f t="shared" si="8"/>
        <v>-4051393.7470000004</v>
      </c>
      <c r="F32" s="64">
        <f>'TIE-OUT'!J32+RECLASS!H32</f>
        <v>0</v>
      </c>
      <c r="G32" s="68">
        <f>'TIE-OUT'!K32+RECLASS!I32</f>
        <v>0</v>
      </c>
      <c r="H32" s="118">
        <f>+Actuals!E256</f>
        <v>-947426</v>
      </c>
      <c r="I32" s="119">
        <f>+Actuals!F256</f>
        <v>-2223608.8220000002</v>
      </c>
      <c r="J32" s="118">
        <f>+Actuals!G256</f>
        <v>1573714</v>
      </c>
      <c r="K32" s="119">
        <f>+Actuals!H256</f>
        <v>3693506.7579999999</v>
      </c>
      <c r="L32" s="118">
        <f>+Actuals!I256</f>
        <v>-3912142</v>
      </c>
      <c r="M32" s="119">
        <f>+Actuals!J256</f>
        <v>-9181797.2740000002</v>
      </c>
      <c r="N32" s="118">
        <f>+Actuals!K256</f>
        <v>1559653</v>
      </c>
      <c r="O32" s="119">
        <f>+Actuals!L256</f>
        <v>3660505.591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-3106022</v>
      </c>
      <c r="E33" s="38">
        <f t="shared" si="8"/>
        <v>-2207237.5699999998</v>
      </c>
      <c r="F33" s="60">
        <f>'TIE-OUT'!J33+RECLASS!H33</f>
        <v>0</v>
      </c>
      <c r="G33" s="38">
        <f>'TIE-OUT'!K33+RECLASS!I33</f>
        <v>0</v>
      </c>
      <c r="H33" s="118">
        <f>+Actuals!E257</f>
        <v>0</v>
      </c>
      <c r="I33" s="119">
        <f>+Actuals!F257</f>
        <v>0</v>
      </c>
      <c r="J33" s="118">
        <f>+Actuals!G257</f>
        <v>-554147</v>
      </c>
      <c r="K33" s="119">
        <f>+Actuals!H257</f>
        <v>-1606345.77</v>
      </c>
      <c r="L33" s="118">
        <f>+Actuals!I257</f>
        <v>-2315616</v>
      </c>
      <c r="M33" s="119">
        <f>+Actuals!J257</f>
        <v>-5865.47</v>
      </c>
      <c r="N33" s="118">
        <f>+Actuals!K257</f>
        <v>-236259</v>
      </c>
      <c r="O33" s="119">
        <f>+Actuals!L257</f>
        <v>-595026.32999999996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2533309</v>
      </c>
      <c r="E34" s="38">
        <f t="shared" si="8"/>
        <v>1039877.84</v>
      </c>
      <c r="F34" s="60">
        <f>'TIE-OUT'!J34+RECLASS!H34</f>
        <v>0</v>
      </c>
      <c r="G34" s="38">
        <f>'TIE-OUT'!K34+RECLASS!I34</f>
        <v>0</v>
      </c>
      <c r="H34" s="118">
        <f>+Actuals!E258</f>
        <v>0</v>
      </c>
      <c r="I34" s="119">
        <f>+Actuals!F258</f>
        <v>0</v>
      </c>
      <c r="J34" s="118">
        <f>+Actuals!G258</f>
        <v>45566</v>
      </c>
      <c r="K34" s="119">
        <f>+Actuals!H258</f>
        <v>159040.41</v>
      </c>
      <c r="L34" s="118">
        <f>+Actuals!I258</f>
        <v>2392518</v>
      </c>
      <c r="M34" s="119">
        <f>+Actuals!J258</f>
        <v>151691.6</v>
      </c>
      <c r="N34" s="118">
        <f>+Actuals!K258</f>
        <v>95225</v>
      </c>
      <c r="O34" s="119">
        <f>+Actuals!L258</f>
        <v>729145.83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-1460000</v>
      </c>
      <c r="E35" s="38">
        <f t="shared" si="8"/>
        <v>-4392333.01</v>
      </c>
      <c r="F35" s="81">
        <f>'TIE-OUT'!J35+RECLASS!H35</f>
        <v>-730000</v>
      </c>
      <c r="G35" s="82">
        <f>'TIE-OUT'!K35+RECLASS!I35</f>
        <v>-4392333</v>
      </c>
      <c r="H35" s="118">
        <f>+Actuals!E259</f>
        <v>0</v>
      </c>
      <c r="I35" s="119">
        <f>+Actuals!F259</f>
        <v>0</v>
      </c>
      <c r="J35" s="118">
        <f>+Actuals!G259</f>
        <v>0</v>
      </c>
      <c r="K35" s="119">
        <f>+Actuals!H259</f>
        <v>0</v>
      </c>
      <c r="L35" s="118">
        <f>+Actuals!I259</f>
        <v>-730000</v>
      </c>
      <c r="M35" s="119">
        <f>+Actuals!J259</f>
        <v>-0.01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-3758914</v>
      </c>
      <c r="E36" s="39">
        <f t="shared" si="9"/>
        <v>-9611086.4869999997</v>
      </c>
      <c r="F36" s="61">
        <f t="shared" si="9"/>
        <v>-730000</v>
      </c>
      <c r="G36" s="39">
        <f t="shared" si="9"/>
        <v>-4392333</v>
      </c>
      <c r="H36" s="61">
        <f t="shared" si="9"/>
        <v>-947426</v>
      </c>
      <c r="I36" s="39">
        <f t="shared" si="9"/>
        <v>-2223608.8220000002</v>
      </c>
      <c r="J36" s="61">
        <f t="shared" ref="J36:AO36" si="10">SUM(J32:J35)</f>
        <v>1065133</v>
      </c>
      <c r="K36" s="39">
        <f t="shared" si="10"/>
        <v>2246201.398</v>
      </c>
      <c r="L36" s="61">
        <f t="shared" si="10"/>
        <v>-4565240</v>
      </c>
      <c r="M36" s="39">
        <f t="shared" si="10"/>
        <v>-9035971.154000001</v>
      </c>
      <c r="N36" s="61">
        <f>SUM(N32:N35)</f>
        <v>1418619</v>
      </c>
      <c r="O36" s="39">
        <f>SUM(O32:O35)</f>
        <v>3794625.091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-4</v>
      </c>
      <c r="E39" s="38">
        <f t="shared" si="11"/>
        <v>-9.4000000000014552</v>
      </c>
      <c r="F39" s="64">
        <f>'TIE-OUT'!J39+RECLASS!H39</f>
        <v>0</v>
      </c>
      <c r="G39" s="68">
        <f>'TIE-OUT'!K39+RECLASS!I39</f>
        <v>0</v>
      </c>
      <c r="H39" s="118">
        <f>+Actuals!E260</f>
        <v>4</v>
      </c>
      <c r="I39" s="119">
        <f>+Actuals!F260</f>
        <v>9.39</v>
      </c>
      <c r="J39" s="118">
        <f>+Actuals!G260</f>
        <v>20073</v>
      </c>
      <c r="K39" s="119">
        <f>+Actuals!H260</f>
        <v>47111.33</v>
      </c>
      <c r="L39" s="118">
        <f>+Actuals!I260</f>
        <v>-20081</v>
      </c>
      <c r="M39" s="119">
        <f>+Actuals!J260</f>
        <v>-47130.12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-3374806</v>
      </c>
      <c r="E40" s="38">
        <f t="shared" si="11"/>
        <v>-8076129.7299999995</v>
      </c>
      <c r="F40" s="60">
        <f>'TIE-OUT'!J40+RECLASS!H40</f>
        <v>730000</v>
      </c>
      <c r="G40" s="38">
        <f>'TIE-OUT'!K40+RECLASS!I40</f>
        <v>1854200</v>
      </c>
      <c r="H40" s="118">
        <f>+Actuals!E261</f>
        <v>-3453689</v>
      </c>
      <c r="I40" s="119">
        <f>+Actuals!F261</f>
        <v>-8713594.5299999993</v>
      </c>
      <c r="J40" s="118">
        <f>+Actuals!G261</f>
        <v>90257</v>
      </c>
      <c r="K40" s="119">
        <f>+Actuals!H261</f>
        <v>226424.36</v>
      </c>
      <c r="L40" s="118">
        <f>+Actuals!I261</f>
        <v>-472988</v>
      </c>
      <c r="M40" s="119">
        <f>+Actuals!J261</f>
        <v>-761114.41</v>
      </c>
      <c r="N40" s="118">
        <f>+Actuals!K261</f>
        <v>-268386</v>
      </c>
      <c r="O40" s="119">
        <f>+Actuals!L261</f>
        <v>-682045.15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f>+Actuals!E262</f>
        <v>0</v>
      </c>
      <c r="I41" s="119">
        <f>+Actuals!F262</f>
        <v>0</v>
      </c>
      <c r="J41" s="118">
        <f>+Actuals!G262</f>
        <v>0</v>
      </c>
      <c r="K41" s="119">
        <f>+Actuals!H262</f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-3374806</v>
      </c>
      <c r="E42" s="39">
        <f t="shared" si="12"/>
        <v>-8076129.7299999995</v>
      </c>
      <c r="F42" s="61">
        <f t="shared" si="12"/>
        <v>730000</v>
      </c>
      <c r="G42" s="39">
        <f t="shared" si="12"/>
        <v>1854200</v>
      </c>
      <c r="H42" s="61">
        <f t="shared" si="12"/>
        <v>-3453689</v>
      </c>
      <c r="I42" s="39">
        <f t="shared" si="12"/>
        <v>-8713594.5299999993</v>
      </c>
      <c r="J42" s="61">
        <f t="shared" ref="J42:AO42" si="13">SUM(J40:J41)</f>
        <v>90257</v>
      </c>
      <c r="K42" s="39">
        <f t="shared" si="13"/>
        <v>226424.36</v>
      </c>
      <c r="L42" s="61">
        <f t="shared" si="13"/>
        <v>-472988</v>
      </c>
      <c r="M42" s="39">
        <f t="shared" si="13"/>
        <v>-761114.41</v>
      </c>
      <c r="N42" s="61">
        <f>SUM(N40:N41)</f>
        <v>-268386</v>
      </c>
      <c r="O42" s="39">
        <f>SUM(O40:O41)</f>
        <v>-682045.15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-3374810</v>
      </c>
      <c r="E43" s="39">
        <f t="shared" si="14"/>
        <v>-8076139.1299999999</v>
      </c>
      <c r="F43" s="61">
        <f t="shared" si="14"/>
        <v>730000</v>
      </c>
      <c r="G43" s="39">
        <f t="shared" si="14"/>
        <v>1854200</v>
      </c>
      <c r="H43" s="61">
        <f t="shared" si="14"/>
        <v>-3453685</v>
      </c>
      <c r="I43" s="39">
        <f t="shared" si="14"/>
        <v>-8713585.1399999987</v>
      </c>
      <c r="J43" s="61">
        <f t="shared" ref="J43:AO43" si="15">J42+J39</f>
        <v>110330</v>
      </c>
      <c r="K43" s="39">
        <f t="shared" si="15"/>
        <v>273535.69</v>
      </c>
      <c r="L43" s="61">
        <f t="shared" si="15"/>
        <v>-493069</v>
      </c>
      <c r="M43" s="39">
        <f t="shared" si="15"/>
        <v>-808244.53</v>
      </c>
      <c r="N43" s="61">
        <f>N42+N39</f>
        <v>-268386</v>
      </c>
      <c r="O43" s="39">
        <f>O42+O39</f>
        <v>-682045.15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f>+Actuals!E263</f>
        <v>0</v>
      </c>
      <c r="I45" s="119">
        <f>+Actuals!F263</f>
        <v>0</v>
      </c>
      <c r="J45" s="118">
        <f>+Actuals!G263</f>
        <v>0</v>
      </c>
      <c r="K45" s="119">
        <f>+Actuals!H263</f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f>+Actuals!E264</f>
        <v>0</v>
      </c>
      <c r="I47" s="119">
        <f>+Actuals!F264</f>
        <v>0</v>
      </c>
      <c r="J47" s="118">
        <f>+Actuals!G264</f>
        <v>0</v>
      </c>
      <c r="K47" s="119">
        <f>+Actuals!H264</f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-2390961</v>
      </c>
      <c r="E49" s="38">
        <f>SUM(G49,I49,K49,M49,O49,Q49,S49,U49,W49,Y49,AA49,AC49,AE49)</f>
        <v>-5611585.4669999965</v>
      </c>
      <c r="F49" s="60">
        <f>'TIE-OUT'!J49+RECLASS!H49</f>
        <v>0</v>
      </c>
      <c r="G49" s="38">
        <f>'TIE-OUT'!K49+RECLASS!I49</f>
        <v>0</v>
      </c>
      <c r="H49" s="118">
        <f>+Actuals!E265</f>
        <v>-3935359</v>
      </c>
      <c r="I49" s="119">
        <f>+Actuals!F265</f>
        <v>-9236287.5730000008</v>
      </c>
      <c r="J49" s="118">
        <f>+Actuals!G265</f>
        <v>-5871199</v>
      </c>
      <c r="K49" s="119">
        <f>+Actuals!H265</f>
        <v>-13779704.052999998</v>
      </c>
      <c r="L49" s="118">
        <f>+Actuals!I265</f>
        <v>8639076</v>
      </c>
      <c r="M49" s="119">
        <f>+Actuals!J265</f>
        <v>20275911.372000001</v>
      </c>
      <c r="N49" s="118">
        <f>+Actuals!K265</f>
        <v>-1223479</v>
      </c>
      <c r="O49" s="119">
        <f>+Actuals!L265</f>
        <v>-2871505.213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-2170630</v>
      </c>
      <c r="E51" s="38">
        <f>SUM(G51,I51,K51,M51,O51,Q51,S51,U51,W51,Y51,AA51,AC51,AE51)</f>
        <v>-5094468.6100000003</v>
      </c>
      <c r="F51" s="60">
        <f>'TIE-OUT'!J51+RECLASS!H51</f>
        <v>0</v>
      </c>
      <c r="G51" s="38">
        <f>'TIE-OUT'!K51+RECLASS!I51</f>
        <v>0</v>
      </c>
      <c r="H51" s="118">
        <f>+Actuals!E266</f>
        <v>-1597692</v>
      </c>
      <c r="I51" s="119">
        <f>+Actuals!F266</f>
        <v>-3749783.1239999998</v>
      </c>
      <c r="J51" s="118">
        <f>+Actuals!G266</f>
        <v>-80718</v>
      </c>
      <c r="K51" s="119">
        <f>+Actuals!H266</f>
        <v>-189445.14600000001</v>
      </c>
      <c r="L51" s="118">
        <f>+Actuals!I266</f>
        <v>28325</v>
      </c>
      <c r="M51" s="119">
        <f>+Actuals!J266</f>
        <v>66478.774999999994</v>
      </c>
      <c r="N51" s="118">
        <f>+Actuals!K266</f>
        <v>-520545</v>
      </c>
      <c r="O51" s="119">
        <f>+Actuals!L266</f>
        <v>-1221719.115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-131780752</v>
      </c>
      <c r="E54" s="38">
        <f>SUM(G54,I54,K54,M54,O54,Q54,S54,U54,W54,Y54,AA54,AC54,AE54)</f>
        <v>-2971354.58</v>
      </c>
      <c r="F54" s="64">
        <f>'TIE-OUT'!J54+RECLASS!H54</f>
        <v>0</v>
      </c>
      <c r="G54" s="68">
        <f>'TIE-OUT'!K54+RECLASS!I54</f>
        <v>55940</v>
      </c>
      <c r="H54" s="118">
        <f>+Actuals!E267</f>
        <v>-157687723</v>
      </c>
      <c r="I54" s="119">
        <f>+Actuals!F267</f>
        <v>-2362930</v>
      </c>
      <c r="J54" s="118">
        <f>+Actuals!G267</f>
        <v>28139750</v>
      </c>
      <c r="K54" s="119">
        <f>+Actuals!H267</f>
        <v>1049202.02</v>
      </c>
      <c r="L54" s="118">
        <f>+Actuals!I267</f>
        <v>-1173052</v>
      </c>
      <c r="M54" s="119">
        <f>+Actuals!J267</f>
        <v>-1656853.35</v>
      </c>
      <c r="N54" s="118">
        <f>+Actuals!K267</f>
        <v>-1059727</v>
      </c>
      <c r="O54" s="119">
        <f>+Actuals!L267</f>
        <v>-56713.25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-6962042.2200000007</v>
      </c>
      <c r="F55" s="81">
        <f>'TIE-OUT'!J55+RECLASS!H55</f>
        <v>0</v>
      </c>
      <c r="G55" s="82">
        <f>'TIE-OUT'!K55+RECLASS!I55</f>
        <v>37782</v>
      </c>
      <c r="H55" s="118">
        <f>+Actuals!E268</f>
        <v>0</v>
      </c>
      <c r="I55" s="119">
        <f>+Actuals!F268</f>
        <v>-6131068.8900000006</v>
      </c>
      <c r="J55" s="118">
        <f>+Actuals!G268</f>
        <v>0</v>
      </c>
      <c r="K55" s="119">
        <f>+Actuals!H268</f>
        <v>-608301.96</v>
      </c>
      <c r="L55" s="118">
        <f>+Actuals!I268</f>
        <v>0</v>
      </c>
      <c r="M55" s="119">
        <f>+Actuals!J268</f>
        <v>-265948.82</v>
      </c>
      <c r="N55" s="118">
        <f>+Actuals!K268</f>
        <v>0</v>
      </c>
      <c r="O55" s="119">
        <f>+Actuals!L268</f>
        <v>5495.45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-131780752</v>
      </c>
      <c r="E56" s="39">
        <f t="shared" si="16"/>
        <v>-9933396.8000000007</v>
      </c>
      <c r="F56" s="61">
        <f t="shared" si="16"/>
        <v>0</v>
      </c>
      <c r="G56" s="39">
        <f t="shared" si="16"/>
        <v>93722</v>
      </c>
      <c r="H56" s="61">
        <f t="shared" si="16"/>
        <v>-157687723</v>
      </c>
      <c r="I56" s="39">
        <f t="shared" si="16"/>
        <v>-8493998.8900000006</v>
      </c>
      <c r="J56" s="61">
        <f t="shared" ref="J56:AO56" si="17">SUM(J54:J55)</f>
        <v>28139750</v>
      </c>
      <c r="K56" s="39">
        <f t="shared" si="17"/>
        <v>440900.06000000006</v>
      </c>
      <c r="L56" s="61">
        <f t="shared" si="17"/>
        <v>-1173052</v>
      </c>
      <c r="M56" s="39">
        <f t="shared" si="17"/>
        <v>-1922802.1700000002</v>
      </c>
      <c r="N56" s="61">
        <f>SUM(N54:N55)</f>
        <v>-1059727</v>
      </c>
      <c r="O56" s="39">
        <f>SUM(O54:O55)</f>
        <v>-51217.8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65182.55</v>
      </c>
      <c r="F59" s="64">
        <f>'TIE-OUT'!J59+RECLASS!H59</f>
        <v>0</v>
      </c>
      <c r="G59" s="68">
        <f>'TIE-OUT'!K59+RECLASS!I59</f>
        <v>0</v>
      </c>
      <c r="H59" s="118">
        <f>+Actuals!E269</f>
        <v>0</v>
      </c>
      <c r="I59" s="119">
        <f>+Actuals!F269</f>
        <v>66216</v>
      </c>
      <c r="J59" s="118">
        <f>+Actuals!G269</f>
        <v>0</v>
      </c>
      <c r="K59" s="119">
        <f>+Actuals!H269</f>
        <v>-19359.169999999998</v>
      </c>
      <c r="L59" s="118">
        <f>+Actuals!I269</f>
        <v>0</v>
      </c>
      <c r="M59" s="119">
        <f>+Actuals!J269</f>
        <v>18325.72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f>+Actuals!E270</f>
        <v>0</v>
      </c>
      <c r="I60" s="119">
        <f>+Actuals!F270</f>
        <v>0</v>
      </c>
      <c r="J60" s="118">
        <f>+Actuals!G270</f>
        <v>0</v>
      </c>
      <c r="K60" s="119">
        <f>+Actuals!H270</f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65182.55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66216</v>
      </c>
      <c r="J61" s="61">
        <f t="shared" ref="J61:AO61" si="19">SUM(J59:J60)</f>
        <v>0</v>
      </c>
      <c r="K61" s="39">
        <f t="shared" si="19"/>
        <v>-19359.169999999998</v>
      </c>
      <c r="L61" s="61">
        <f t="shared" si="19"/>
        <v>0</v>
      </c>
      <c r="M61" s="39">
        <f t="shared" si="19"/>
        <v>18325.72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f>+Actuals!E271</f>
        <v>0</v>
      </c>
      <c r="I64" s="119">
        <f>+Actuals!F271</f>
        <v>0</v>
      </c>
      <c r="J64" s="118">
        <f>+Actuals!G271</f>
        <v>0</v>
      </c>
      <c r="K64" s="119">
        <f>+Actuals!H271</f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f>+Actuals!E272</f>
        <v>0</v>
      </c>
      <c r="I65" s="119">
        <f>+Actuals!F272</f>
        <v>0</v>
      </c>
      <c r="J65" s="118">
        <f>+Actuals!G272</f>
        <v>0</v>
      </c>
      <c r="K65" s="119">
        <f>+Actuals!H272</f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'TIE-OUT'!J70+RECLASS!H70</f>
        <v>0</v>
      </c>
      <c r="G70" s="68">
        <f>'TIE-OUT'!K70+RECLASS!I70</f>
        <v>13133657.73</v>
      </c>
      <c r="H70" s="118">
        <f>+Actuals!E273</f>
        <v>0</v>
      </c>
      <c r="I70" s="119">
        <f>+Actuals!F273</f>
        <v>0</v>
      </c>
      <c r="J70" s="118">
        <f>+Actuals!G273</f>
        <v>0</v>
      </c>
      <c r="K70" s="119">
        <f>+Actuals!H273</f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'TIE-OUT'!J71+RECLASS!H71</f>
        <v>0</v>
      </c>
      <c r="G71" s="82">
        <f>'TIE-OUT'!K71+RECLASS!I71</f>
        <v>-5194257</v>
      </c>
      <c r="H71" s="118">
        <f>+Actuals!E274</f>
        <v>0</v>
      </c>
      <c r="I71" s="119">
        <f>+Actuals!F274</f>
        <v>0</v>
      </c>
      <c r="J71" s="118">
        <f>+Actuals!G274</f>
        <v>0</v>
      </c>
      <c r="K71" s="119">
        <f>+Actuals!H274</f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7939400.7300000004</v>
      </c>
      <c r="F72" s="61">
        <f t="shared" si="22"/>
        <v>0</v>
      </c>
      <c r="G72" s="39">
        <f t="shared" si="22"/>
        <v>7939400.7300000004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f>+Actuals!E275</f>
        <v>0</v>
      </c>
      <c r="I73" s="119">
        <f>+Actuals!F275</f>
        <v>0</v>
      </c>
      <c r="J73" s="118">
        <f>+Actuals!G275</f>
        <v>0</v>
      </c>
      <c r="K73" s="119">
        <f>+Actuals!H275</f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-6928831.620000001</v>
      </c>
      <c r="F74" s="60">
        <f>'TIE-OUT'!J74+RECLASS!H74</f>
        <v>0</v>
      </c>
      <c r="G74" s="60">
        <f>'TIE-OUT'!K74+RECLASS!I74</f>
        <v>-25387118.350000001</v>
      </c>
      <c r="H74" s="118">
        <f>+Actuals!E276</f>
        <v>0</v>
      </c>
      <c r="I74" s="119">
        <f>+Actuals!F276</f>
        <v>0</v>
      </c>
      <c r="J74" s="118">
        <f>+Actuals!G276</f>
        <v>0</v>
      </c>
      <c r="K74" s="119">
        <f>+Actuals!H276</f>
        <v>0</v>
      </c>
      <c r="L74" s="118">
        <f>+Actuals!I276</f>
        <v>0</v>
      </c>
      <c r="M74" s="215">
        <f>+Actuals!J276+3305202+1370683+3043953+4117207.5+6056175+3881.28+625394.11</f>
        <v>18522495.890000001</v>
      </c>
      <c r="N74" s="118">
        <f>+Actuals!K276</f>
        <v>0</v>
      </c>
      <c r="O74" s="119">
        <f>+Actuals!L276-1479.16-115938+53208</f>
        <v>-64209.16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323400</v>
      </c>
      <c r="F75" s="60">
        <f>'TIE-OUT'!J75+RECLASS!H75</f>
        <v>0</v>
      </c>
      <c r="G75" s="60">
        <f>'TIE-OUT'!K75+RECLASS!I75</f>
        <v>323400</v>
      </c>
      <c r="H75" s="118">
        <f>+Actuals!E277</f>
        <v>0</v>
      </c>
      <c r="I75" s="119">
        <f>+Actuals!F277</f>
        <v>0</v>
      </c>
      <c r="J75" s="118">
        <f>+Actuals!G277</f>
        <v>0</v>
      </c>
      <c r="K75" s="119">
        <f>+Actuals!H277</f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-5528.49</v>
      </c>
      <c r="F76" s="60">
        <f>'TIE-OUT'!J76+RECLASS!H76</f>
        <v>0</v>
      </c>
      <c r="G76" s="60">
        <f>'TIE-OUT'!K76+RECLASS!I76</f>
        <v>0</v>
      </c>
      <c r="H76" s="118">
        <f>+Actuals!E278</f>
        <v>0</v>
      </c>
      <c r="I76" s="119">
        <f>+Actuals!F278</f>
        <v>-8979.5400000000009</v>
      </c>
      <c r="J76" s="118">
        <f>+Actuals!G278</f>
        <v>0</v>
      </c>
      <c r="K76" s="119">
        <f>+Actuals!H278</f>
        <v>-3678.71</v>
      </c>
      <c r="L76" s="118">
        <f>+Actuals!I278</f>
        <v>0</v>
      </c>
      <c r="M76" s="119">
        <f>+Actuals!J278</f>
        <v>7129.76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-2658334</v>
      </c>
      <c r="F77" s="60">
        <f>'TIE-OUT'!J77+RECLASS!H77</f>
        <v>0</v>
      </c>
      <c r="G77" s="60">
        <f>'TIE-OUT'!K77+RECLASS!I77</f>
        <v>-2658334</v>
      </c>
      <c r="H77" s="118">
        <f>+Actuals!E279</f>
        <v>0</v>
      </c>
      <c r="I77" s="119">
        <f>+Actuals!F279</f>
        <v>0</v>
      </c>
      <c r="J77" s="118">
        <f>+Actuals!G279</f>
        <v>0</v>
      </c>
      <c r="K77" s="119">
        <f>+Actuals!H279</f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25279</v>
      </c>
      <c r="F78" s="60">
        <f>'TIE-OUT'!J78+RECLASS!H78</f>
        <v>0</v>
      </c>
      <c r="G78" s="60">
        <f>'TIE-OUT'!K78+RECLASS!I78</f>
        <v>25279</v>
      </c>
      <c r="H78" s="118">
        <f>+Actuals!E280</f>
        <v>0</v>
      </c>
      <c r="I78" s="119">
        <f>+Actuals!F280</f>
        <v>0</v>
      </c>
      <c r="J78" s="118">
        <f>+Actuals!G280</f>
        <v>0</v>
      </c>
      <c r="K78" s="119">
        <f>+Actuals!H280</f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f>+Actuals!E281</f>
        <v>0</v>
      </c>
      <c r="I79" s="119">
        <f>+Actuals!F281</f>
        <v>0</v>
      </c>
      <c r="J79" s="118">
        <f>+Actuals!G281</f>
        <v>0</v>
      </c>
      <c r="K79" s="119">
        <f>+Actuals!H281</f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f>+Actuals!E282</f>
        <v>0</v>
      </c>
      <c r="I80" s="119">
        <f>+Actuals!F282</f>
        <v>0</v>
      </c>
      <c r="J80" s="118">
        <f>+Actuals!G282</f>
        <v>0</v>
      </c>
      <c r="K80" s="119">
        <f>+Actuals!H282</f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-0.41000000000349246</v>
      </c>
      <c r="F81" s="60">
        <f>'TIE-OUT'!J81+RECLASS!H81</f>
        <v>0</v>
      </c>
      <c r="G81" s="60">
        <f>'TIE-OUT'!K81+RECLASS!I81</f>
        <v>-226414</v>
      </c>
      <c r="H81" s="118">
        <f>+Actuals!E283</f>
        <v>0</v>
      </c>
      <c r="I81" s="119">
        <f>+Actuals!F283</f>
        <v>201134.56</v>
      </c>
      <c r="J81" s="118">
        <f>+Actuals!G283</f>
        <v>0</v>
      </c>
      <c r="K81" s="119">
        <f>+Actuals!H283</f>
        <v>25279.03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2231167.6219999818</v>
      </c>
      <c r="F82" s="91">
        <f>F16+F24+F29+F36+F43+F45+F47+F49</f>
        <v>0</v>
      </c>
      <c r="G82" s="92">
        <f>SUM(G72:G81)+G16+G24+G29+G36+G43+G45+G47+G49+G51+G56+G61+G66</f>
        <v>-38431706.469999999</v>
      </c>
      <c r="H82" s="91">
        <f>H16+H24+H29+H36+H43+H45+H47+H49</f>
        <v>0</v>
      </c>
      <c r="I82" s="92">
        <f>SUM(I72:I81)+I16+I24+I29+I36+I43+I45+I47+I49+I51+I56+I61+I66</f>
        <v>10691469.334999859</v>
      </c>
      <c r="J82" s="91">
        <f>J16+J24+J29+J36+J43+J45+J47+J49</f>
        <v>0</v>
      </c>
      <c r="K82" s="137">
        <f>SUM(K72:K81)+K16+K24+K29+K36+K43+K45+K47+K49+K51+K56+K61+K66</f>
        <v>4309407.8249999871</v>
      </c>
      <c r="L82" s="91">
        <f>L16+L24+L29+L36+L43+L45+L47+L49</f>
        <v>0</v>
      </c>
      <c r="M82" s="92">
        <f>SUM(M72:M81)+M16+M24+M29+M36+M43+M45+M47+M49+M51+M56+M61+M66</f>
        <v>19905590.467999998</v>
      </c>
      <c r="N82" s="91">
        <f>N16+N24+N29+N36+N43+N45+N47+N49</f>
        <v>0</v>
      </c>
      <c r="O82" s="92">
        <f>SUM(O72:O81)+O16+O24+O29+O36+O43+O45+O47+O49+O51+O56+O61+O66</f>
        <v>5756406.4639999988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164</v>
      </c>
      <c r="B85" s="3"/>
      <c r="F85" s="31"/>
      <c r="G85" s="31"/>
      <c r="H85" s="31"/>
      <c r="I85" s="31"/>
      <c r="K85"/>
      <c r="L85" s="45"/>
    </row>
    <row r="86" spans="1:41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477103</v>
      </c>
      <c r="F86" s="145">
        <f>'TIE-OUT'!J86+RECLASS!H86</f>
        <v>0</v>
      </c>
      <c r="G86" s="145">
        <f>'TIE-OUT'!K86+RECLASS!I86</f>
        <v>477103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'TIE-OUT'!J87+RECLASS!H87</f>
        <v>0</v>
      </c>
      <c r="G87" s="146">
        <f>'TIE-OUT'!K87+RECLASS!I87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">
      <c r="A89" s="158"/>
      <c r="B89" s="159"/>
      <c r="C89" s="157" t="s">
        <v>169</v>
      </c>
      <c r="D89" s="160">
        <f>SUM(D86:D88)</f>
        <v>0</v>
      </c>
      <c r="E89" s="160">
        <f t="shared" ref="E89:M89" si="26">SUM(E86:E88)</f>
        <v>477103</v>
      </c>
      <c r="F89" s="160">
        <f t="shared" si="26"/>
        <v>0</v>
      </c>
      <c r="G89" s="160">
        <f t="shared" si="26"/>
        <v>477103</v>
      </c>
      <c r="H89" s="160">
        <f t="shared" si="26"/>
        <v>0</v>
      </c>
      <c r="I89" s="160">
        <f t="shared" si="26"/>
        <v>0</v>
      </c>
      <c r="J89" s="160">
        <f t="shared" si="26"/>
        <v>0</v>
      </c>
      <c r="K89" s="160">
        <f t="shared" si="26"/>
        <v>0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29">+E82+E89</f>
        <v>2708270.6219999818</v>
      </c>
      <c r="F91" s="160">
        <f t="shared" si="29"/>
        <v>0</v>
      </c>
      <c r="G91" s="160">
        <f t="shared" si="29"/>
        <v>-37954603.469999999</v>
      </c>
      <c r="H91" s="160">
        <f t="shared" si="29"/>
        <v>0</v>
      </c>
      <c r="I91" s="160">
        <f t="shared" si="29"/>
        <v>10691469.334999859</v>
      </c>
      <c r="J91" s="160">
        <f t="shared" si="29"/>
        <v>0</v>
      </c>
      <c r="K91" s="160">
        <f t="shared" si="29"/>
        <v>4309407.8249999871</v>
      </c>
      <c r="L91" s="160">
        <f t="shared" si="29"/>
        <v>0</v>
      </c>
      <c r="M91" s="160">
        <f t="shared" si="29"/>
        <v>19905590.467999998</v>
      </c>
      <c r="N91" s="160">
        <f t="shared" ref="N91:AE91" si="30">+N82+N89</f>
        <v>0</v>
      </c>
      <c r="O91" s="160">
        <f t="shared" si="30"/>
        <v>5756406.4639999988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O175"/>
  <sheetViews>
    <sheetView zoomScale="75" workbookViewId="0">
      <pane xSplit="3" ySplit="9" topLeftCell="I43" activePane="bottomRight" state="frozen"/>
      <selection activeCell="N31" sqref="N31"/>
      <selection pane="topRight" activeCell="N31" sqref="N31"/>
      <selection pane="bottomLeft" activeCell="N31" sqref="N31"/>
      <selection pane="bottomRight" activeCell="O52" sqref="O52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14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  <col min="44" max="60" width="0" hidden="1" customWidth="1"/>
    <col min="102" max="102" width="0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58">
        <f>F11+H11+J11+L11+N11</f>
        <v>8645984</v>
      </c>
      <c r="E11" s="15">
        <f>G11+I11+K11+M11+O11</f>
        <v>21017318.75</v>
      </c>
      <c r="F11" s="58">
        <f>'TIE-OUT'!L11+RECLASS!J11</f>
        <v>0</v>
      </c>
      <c r="G11" s="15">
        <f>'TIE-OUT'!M11+RECLASS!K11</f>
        <v>0</v>
      </c>
      <c r="H11" s="118">
        <f>+Actuals!E44</f>
        <v>8693022</v>
      </c>
      <c r="I11" s="119">
        <f>+Actuals!F44</f>
        <v>21002770.84</v>
      </c>
      <c r="J11" s="118">
        <f>+Actuals!G44</f>
        <v>-54467</v>
      </c>
      <c r="K11" s="119">
        <f>+Actuals!H44</f>
        <v>10689.76</v>
      </c>
      <c r="L11" s="118">
        <f>+Actuals!I44+6952</f>
        <v>7463</v>
      </c>
      <c r="M11" s="119">
        <f>+Actuals!J44+16533</f>
        <v>3941.7900000000009</v>
      </c>
      <c r="N11" s="118">
        <f>+Actuals!K44</f>
        <v>-34</v>
      </c>
      <c r="O11" s="119">
        <f>+Actuals!L44</f>
        <v>-83.64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11664.26999999999</v>
      </c>
      <c r="F12" s="58">
        <f>'TIE-OUT'!L12+RECLASS!J12</f>
        <v>0</v>
      </c>
      <c r="G12" s="15">
        <f>'TIE-OUT'!M12+RECLASS!K12</f>
        <v>11664.26999999999</v>
      </c>
      <c r="H12" s="118">
        <f>+Actuals!E45</f>
        <v>0</v>
      </c>
      <c r="I12" s="119">
        <f>+Actuals!F45</f>
        <v>0</v>
      </c>
      <c r="J12" s="118">
        <f>+Actuals!G45</f>
        <v>0</v>
      </c>
      <c r="K12" s="119">
        <f>+Actuals!H45</f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f>+Actuals!E46</f>
        <v>0</v>
      </c>
      <c r="I13" s="119">
        <f>+Actuals!F46</f>
        <v>0</v>
      </c>
      <c r="J13" s="118">
        <f>+Actuals!G46</f>
        <v>0</v>
      </c>
      <c r="K13" s="119">
        <f>+Actuals!H46</f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f>+Actuals!E47</f>
        <v>0</v>
      </c>
      <c r="I14" s="119">
        <f>+Actuals!F47</f>
        <v>0</v>
      </c>
      <c r="J14" s="118">
        <f>+Actuals!G47</f>
        <v>0</v>
      </c>
      <c r="K14" s="119">
        <f>+Actuals!H47</f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f>+Actuals!E48</f>
        <v>0</v>
      </c>
      <c r="I15" s="119">
        <f>+Actuals!F48</f>
        <v>0</v>
      </c>
      <c r="J15" s="118">
        <f>+Actuals!G48</f>
        <v>0</v>
      </c>
      <c r="K15" s="119">
        <f>+Actuals!H48</f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">
      <c r="A16" s="9"/>
      <c r="B16" s="7" t="s">
        <v>30</v>
      </c>
      <c r="C16" s="6"/>
      <c r="D16" s="59">
        <f t="shared" ref="D16:I16" si="1">SUM(D11:D15)</f>
        <v>8645984</v>
      </c>
      <c r="E16" s="23">
        <f t="shared" si="1"/>
        <v>21028983.02</v>
      </c>
      <c r="F16" s="59">
        <f t="shared" si="1"/>
        <v>0</v>
      </c>
      <c r="G16" s="23">
        <f t="shared" si="1"/>
        <v>11664.26999999999</v>
      </c>
      <c r="H16" s="61">
        <f t="shared" si="1"/>
        <v>8693022</v>
      </c>
      <c r="I16" s="39">
        <f t="shared" si="1"/>
        <v>21002770.84</v>
      </c>
      <c r="J16" s="61">
        <f t="shared" ref="J16:AO16" si="2">SUM(J11:J15)</f>
        <v>-54467</v>
      </c>
      <c r="K16" s="39">
        <f t="shared" si="2"/>
        <v>10689.76</v>
      </c>
      <c r="L16" s="61">
        <f t="shared" si="2"/>
        <v>7463</v>
      </c>
      <c r="M16" s="39">
        <f t="shared" si="2"/>
        <v>3941.7900000000009</v>
      </c>
      <c r="N16" s="61">
        <f>SUM(N11:N15)</f>
        <v>-34</v>
      </c>
      <c r="O16" s="39">
        <f>SUM(O11:O15)</f>
        <v>-83.64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58">
        <f t="shared" ref="D19:E23" si="3">F19+H19+J19+L19+N19</f>
        <v>-1378521</v>
      </c>
      <c r="E19" s="15">
        <f t="shared" si="3"/>
        <v>-3264588.6900000004</v>
      </c>
      <c r="F19" s="84">
        <f>'TIE-OUT'!L19+RECLASS!J19</f>
        <v>0</v>
      </c>
      <c r="G19" s="85">
        <f>'TIE-OUT'!M19+RECLASS!K19</f>
        <v>0</v>
      </c>
      <c r="H19" s="118">
        <f>+Actuals!E49</f>
        <v>-3770769</v>
      </c>
      <c r="I19" s="119">
        <f>+Actuals!F49</f>
        <v>-8869097.4100000001</v>
      </c>
      <c r="J19" s="118">
        <f>+Actuals!G49+6700</f>
        <v>2399322</v>
      </c>
      <c r="K19" s="119">
        <f>+Actuals!H49+15945</f>
        <v>5622066.1099999994</v>
      </c>
      <c r="L19" s="118">
        <f>+Actuals!I49</f>
        <v>-280</v>
      </c>
      <c r="M19" s="119">
        <f>+Actuals!J49</f>
        <v>-1396.13</v>
      </c>
      <c r="N19" s="118">
        <f>+Actuals!K49-6700</f>
        <v>-6794</v>
      </c>
      <c r="O19" s="119">
        <f>+Actuals!L49-15946</f>
        <v>-16161.26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f>+Actuals!E50</f>
        <v>0</v>
      </c>
      <c r="I20" s="119">
        <f>+Actuals!F50</f>
        <v>0</v>
      </c>
      <c r="J20" s="118">
        <f>+Actuals!G50</f>
        <v>0</v>
      </c>
      <c r="K20" s="119">
        <f>+Actuals!H50</f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f>+Actuals!E51</f>
        <v>0</v>
      </c>
      <c r="I21" s="119">
        <f>+Actuals!F51</f>
        <v>0</v>
      </c>
      <c r="J21" s="118">
        <f>+Actuals!G51</f>
        <v>0</v>
      </c>
      <c r="K21" s="119">
        <f>+Actuals!H51</f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f>+Actuals!E52</f>
        <v>0</v>
      </c>
      <c r="I22" s="119">
        <f>+Actuals!F52</f>
        <v>0</v>
      </c>
      <c r="J22" s="118">
        <f>+Actuals!G52</f>
        <v>0</v>
      </c>
      <c r="K22" s="119">
        <f>+Actuals!H52</f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">
      <c r="A23" s="9">
        <v>10</v>
      </c>
      <c r="B23" s="7"/>
      <c r="C23" s="18" t="s">
        <v>32</v>
      </c>
      <c r="D23" s="58">
        <f t="shared" si="3"/>
        <v>-26393</v>
      </c>
      <c r="E23" s="15">
        <f t="shared" si="3"/>
        <v>-57693.76999999999</v>
      </c>
      <c r="F23" s="97">
        <f>'TIE-OUT'!L23+RECLASS!J23</f>
        <v>0</v>
      </c>
      <c r="G23" s="98">
        <f>'TIE-OUT'!M23+RECLASS!K23</f>
        <v>0</v>
      </c>
      <c r="H23" s="118">
        <f>+Actuals!E53</f>
        <v>0</v>
      </c>
      <c r="I23" s="119">
        <f>+Actuals!F53</f>
        <v>0</v>
      </c>
      <c r="J23" s="118">
        <f>+Actuals!G53</f>
        <v>42131</v>
      </c>
      <c r="K23" s="119">
        <f>+Actuals!H53</f>
        <v>101281.61</v>
      </c>
      <c r="L23" s="118">
        <f>+Actuals!I53</f>
        <v>42121</v>
      </c>
      <c r="M23" s="119">
        <f>+Actuals!J53</f>
        <v>101258.71</v>
      </c>
      <c r="N23" s="118">
        <f>+Actuals!K53</f>
        <v>-110645</v>
      </c>
      <c r="O23" s="119">
        <f>+Actuals!L53</f>
        <v>-260234.09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">
      <c r="A24" s="9"/>
      <c r="B24" s="7" t="s">
        <v>33</v>
      </c>
      <c r="C24" s="6"/>
      <c r="D24" s="59">
        <f t="shared" ref="D24:I24" si="4">SUM(D19:D23)</f>
        <v>-1404914</v>
      </c>
      <c r="E24" s="23">
        <f t="shared" si="4"/>
        <v>-3322282.4600000004</v>
      </c>
      <c r="F24" s="59">
        <f t="shared" si="4"/>
        <v>0</v>
      </c>
      <c r="G24" s="23">
        <f t="shared" si="4"/>
        <v>0</v>
      </c>
      <c r="H24" s="61">
        <f t="shared" si="4"/>
        <v>-3770769</v>
      </c>
      <c r="I24" s="39">
        <f t="shared" si="4"/>
        <v>-8869097.4100000001</v>
      </c>
      <c r="J24" s="61">
        <f t="shared" ref="J24:AO24" si="5">SUM(J19:J23)</f>
        <v>2441453</v>
      </c>
      <c r="K24" s="39">
        <f t="shared" si="5"/>
        <v>5723347.7199999997</v>
      </c>
      <c r="L24" s="61">
        <f t="shared" si="5"/>
        <v>41841</v>
      </c>
      <c r="M24" s="39">
        <f t="shared" si="5"/>
        <v>99862.58</v>
      </c>
      <c r="N24" s="61">
        <f>SUM(N19:N23)</f>
        <v>-117439</v>
      </c>
      <c r="O24" s="39">
        <f>SUM(O19:O23)</f>
        <v>-276395.34999999998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58">
        <f>F27+H27+J27+L27+N27</f>
        <v>6733256</v>
      </c>
      <c r="E27" s="15">
        <f>G27+I27+K27+M27+O27</f>
        <v>16330556.539999999</v>
      </c>
      <c r="F27" s="84">
        <f>'TIE-OUT'!L27+RECLASS!J27</f>
        <v>0</v>
      </c>
      <c r="G27" s="85">
        <f>'TIE-OUT'!M27+RECLASS!K27</f>
        <v>0</v>
      </c>
      <c r="H27" s="118">
        <f>+Actuals!E54+5287</f>
        <v>7742898</v>
      </c>
      <c r="I27" s="119">
        <f>+Actuals!F54+12229</f>
        <v>18892642.34</v>
      </c>
      <c r="J27" s="118">
        <f>+Actuals!G54-780</f>
        <v>-479710</v>
      </c>
      <c r="K27" s="119">
        <f>+Actuals!H54-1138</f>
        <v>-1279188.73</v>
      </c>
      <c r="L27" s="118">
        <f>+Actuals!I54-4507</f>
        <v>-543542</v>
      </c>
      <c r="M27" s="119">
        <f>+Actuals!J54-11091</f>
        <v>-1338376.26</v>
      </c>
      <c r="N27" s="118">
        <f>+Actuals!K54</f>
        <v>13610</v>
      </c>
      <c r="O27" s="119">
        <f>+Actuals!L54</f>
        <v>55479.19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">
      <c r="A28" s="9">
        <v>12</v>
      </c>
      <c r="B28" s="7"/>
      <c r="C28" s="18" t="s">
        <v>36</v>
      </c>
      <c r="D28" s="58">
        <f>F28+H28+J28+L28+N28</f>
        <v>-11489709</v>
      </c>
      <c r="E28" s="15">
        <f>G28+I28+K28+M28+O28</f>
        <v>-27606880</v>
      </c>
      <c r="F28" s="97">
        <f>'TIE-OUT'!L28+RECLASS!J28</f>
        <v>0</v>
      </c>
      <c r="G28" s="98">
        <f>'TIE-OUT'!M28+RECLASS!K28</f>
        <v>0</v>
      </c>
      <c r="H28" s="118">
        <f>+Actuals!E55-5287</f>
        <v>-12490031</v>
      </c>
      <c r="I28" s="119">
        <f>+Actuals!F55-12229</f>
        <v>-30084137</v>
      </c>
      <c r="J28" s="118">
        <f>+Actuals!G55-5920</f>
        <v>437502</v>
      </c>
      <c r="K28" s="119">
        <f>+Actuals!H55-14807</f>
        <v>1101283.1399999999</v>
      </c>
      <c r="L28" s="118">
        <f>+Actuals!I55-2445</f>
        <v>534027</v>
      </c>
      <c r="M28" s="119">
        <f>+Actuals!J55-5442</f>
        <v>1322454.8799999999</v>
      </c>
      <c r="N28" s="118">
        <f>+Actuals!K55+6700</f>
        <v>28793</v>
      </c>
      <c r="O28" s="119">
        <f>+Actuals!L55+15946</f>
        <v>53518.98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">
      <c r="A29" s="9"/>
      <c r="B29" s="7" t="s">
        <v>37</v>
      </c>
      <c r="C29" s="18"/>
      <c r="D29" s="59">
        <f t="shared" ref="D29:I29" si="6">SUM(D27:D28)</f>
        <v>-4756453</v>
      </c>
      <c r="E29" s="23">
        <f t="shared" si="6"/>
        <v>-11276323.460000001</v>
      </c>
      <c r="F29" s="59">
        <f t="shared" si="6"/>
        <v>0</v>
      </c>
      <c r="G29" s="23">
        <f t="shared" si="6"/>
        <v>0</v>
      </c>
      <c r="H29" s="61">
        <f t="shared" si="6"/>
        <v>-4747133</v>
      </c>
      <c r="I29" s="39">
        <f t="shared" si="6"/>
        <v>-11191494.66</v>
      </c>
      <c r="J29" s="61">
        <f t="shared" ref="J29:AO29" si="7">SUM(J27:J28)</f>
        <v>-42208</v>
      </c>
      <c r="K29" s="39">
        <f t="shared" si="7"/>
        <v>-177905.59000000008</v>
      </c>
      <c r="L29" s="61">
        <f t="shared" si="7"/>
        <v>-9515</v>
      </c>
      <c r="M29" s="39">
        <f t="shared" si="7"/>
        <v>-15921.380000000121</v>
      </c>
      <c r="N29" s="61">
        <f>SUM(N27:N28)</f>
        <v>42403</v>
      </c>
      <c r="O29" s="39">
        <f>SUM(O27:O28)</f>
        <v>108998.17000000001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58">
        <f>F32+H32+J32+L32+N32</f>
        <v>-134742</v>
      </c>
      <c r="E32" s="15">
        <f>G32+I32+K32+M32+O32</f>
        <v>-316239.46899999998</v>
      </c>
      <c r="F32" s="84">
        <f>'TIE-OUT'!L32+RECLASS!J32</f>
        <v>0</v>
      </c>
      <c r="G32" s="85">
        <f>'TIE-OUT'!M32+RECLASS!K32</f>
        <v>0</v>
      </c>
      <c r="H32" s="118">
        <f>+Actuals!E56</f>
        <v>0</v>
      </c>
      <c r="I32" s="119">
        <f>+Actuals!F56</f>
        <v>0</v>
      </c>
      <c r="J32" s="118">
        <f>+Actuals!G56</f>
        <v>-176357</v>
      </c>
      <c r="K32" s="119">
        <f>+Actuals!H56</f>
        <v>-413909.87599999999</v>
      </c>
      <c r="L32" s="118">
        <f>+Actuals!I56</f>
        <v>-26899</v>
      </c>
      <c r="M32" s="119">
        <f>+Actuals!J56</f>
        <v>-63131.953000000001</v>
      </c>
      <c r="N32" s="118">
        <f>+Actuals!K56</f>
        <v>68514</v>
      </c>
      <c r="O32" s="119">
        <f>+Actuals!L56</f>
        <v>160802.35999999999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f>+Actuals!E57</f>
        <v>0</v>
      </c>
      <c r="I33" s="119">
        <f>+Actuals!F57</f>
        <v>0</v>
      </c>
      <c r="J33" s="118">
        <f>+Actuals!G57</f>
        <v>0</v>
      </c>
      <c r="K33" s="119">
        <f>+Actuals!H57</f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f>+Actuals!E58</f>
        <v>0</v>
      </c>
      <c r="I34" s="119">
        <f>+Actuals!F58</f>
        <v>0</v>
      </c>
      <c r="J34" s="118">
        <f>+Actuals!G58</f>
        <v>0</v>
      </c>
      <c r="K34" s="119">
        <f>+Actuals!H58</f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f>+Actuals!E59</f>
        <v>0</v>
      </c>
      <c r="I35" s="119">
        <f>+Actuals!F59</f>
        <v>0</v>
      </c>
      <c r="J35" s="118">
        <f>+Actuals!G59</f>
        <v>0</v>
      </c>
      <c r="K35" s="119">
        <f>+Actuals!H59</f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">
      <c r="A36" s="9"/>
      <c r="B36" s="7" t="s">
        <v>43</v>
      </c>
      <c r="C36" s="6"/>
      <c r="D36" s="59">
        <f t="shared" ref="D36:I36" si="9">SUM(D32:D35)</f>
        <v>-134742</v>
      </c>
      <c r="E36" s="23">
        <f t="shared" si="9"/>
        <v>-316239.46899999998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-176357</v>
      </c>
      <c r="K36" s="39">
        <f t="shared" si="10"/>
        <v>-413909.87599999999</v>
      </c>
      <c r="L36" s="61">
        <f t="shared" si="10"/>
        <v>-26899</v>
      </c>
      <c r="M36" s="39">
        <f t="shared" si="10"/>
        <v>-63131.953000000001</v>
      </c>
      <c r="N36" s="61">
        <f>SUM(N32:N35)</f>
        <v>68514</v>
      </c>
      <c r="O36" s="39">
        <f>SUM(O32:O35)</f>
        <v>160802.35999999999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58">
        <f t="shared" ref="D39:E41" si="11">F39+H39+J39+L39+N39</f>
        <v>750236</v>
      </c>
      <c r="E39" s="15">
        <f t="shared" si="11"/>
        <v>1519302.92</v>
      </c>
      <c r="F39" s="84">
        <f>'TIE-OUT'!L39+RECLASS!J39</f>
        <v>0</v>
      </c>
      <c r="G39" s="85">
        <f>'TIE-OUT'!M39+RECLASS!K39</f>
        <v>0</v>
      </c>
      <c r="H39" s="118">
        <f>+Actuals!E60</f>
        <v>0</v>
      </c>
      <c r="I39" s="119">
        <f>+Actuals!F60</f>
        <v>0</v>
      </c>
      <c r="J39" s="118">
        <f>+Actuals!G60</f>
        <v>750236</v>
      </c>
      <c r="K39" s="119">
        <f>+Actuals!H60</f>
        <v>1519302.92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58">
        <f t="shared" si="11"/>
        <v>-3244542</v>
      </c>
      <c r="E40" s="15">
        <f t="shared" si="11"/>
        <v>-6571522.0100000007</v>
      </c>
      <c r="F40" s="58">
        <f>'TIE-OUT'!L40+RECLASS!J40</f>
        <v>0</v>
      </c>
      <c r="G40" s="15">
        <f>'TIE-OUT'!M40+RECLASS!K40</f>
        <v>0</v>
      </c>
      <c r="H40" s="118">
        <f>+Actuals!E61</f>
        <v>0</v>
      </c>
      <c r="I40" s="119">
        <f>+Actuals!F61</f>
        <v>0</v>
      </c>
      <c r="J40" s="118">
        <f>+Actuals!G61</f>
        <v>-3208577</v>
      </c>
      <c r="K40" s="119">
        <f>+Actuals!H61</f>
        <v>-6497689.2800000003</v>
      </c>
      <c r="L40" s="118">
        <f>+Actuals!I61</f>
        <v>-252</v>
      </c>
      <c r="M40" s="119">
        <f>+Actuals!J61</f>
        <v>-510.33</v>
      </c>
      <c r="N40" s="118">
        <f>+Actuals!K61</f>
        <v>-35713</v>
      </c>
      <c r="O40" s="119">
        <f>+Actuals!L61</f>
        <v>-73322.399999999994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f>+Actuals!E62</f>
        <v>0</v>
      </c>
      <c r="I41" s="119">
        <f>+Actuals!F62</f>
        <v>0</v>
      </c>
      <c r="J41" s="118">
        <f>+Actuals!G62</f>
        <v>0</v>
      </c>
      <c r="K41" s="119">
        <f>+Actuals!H62</f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">
      <c r="A42" s="9"/>
      <c r="B42" s="7"/>
      <c r="C42" s="53" t="s">
        <v>48</v>
      </c>
      <c r="D42" s="59">
        <f t="shared" ref="D42:I42" si="12">SUM(D40:D41)</f>
        <v>-3244542</v>
      </c>
      <c r="E42" s="23">
        <f t="shared" si="12"/>
        <v>-6571522.0100000007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-3208577</v>
      </c>
      <c r="K42" s="39">
        <f t="shared" si="13"/>
        <v>-6497689.2800000003</v>
      </c>
      <c r="L42" s="61">
        <f t="shared" si="13"/>
        <v>-252</v>
      </c>
      <c r="M42" s="39">
        <f t="shared" si="13"/>
        <v>-510.33</v>
      </c>
      <c r="N42" s="61">
        <f>SUM(N40:N41)</f>
        <v>-35713</v>
      </c>
      <c r="O42" s="39">
        <f>SUM(O40:O41)</f>
        <v>-73322.399999999994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59">
        <f t="shared" ref="D43:I43" si="14">D42+D39</f>
        <v>-2494306</v>
      </c>
      <c r="E43" s="23">
        <f t="shared" si="14"/>
        <v>-5052219.0900000008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ref="J43:AO43" si="15">J42+J39</f>
        <v>-2458341</v>
      </c>
      <c r="K43" s="39">
        <f t="shared" si="15"/>
        <v>-4978386.3600000003</v>
      </c>
      <c r="L43" s="61">
        <f t="shared" si="15"/>
        <v>-252</v>
      </c>
      <c r="M43" s="39">
        <f t="shared" si="15"/>
        <v>-510.33</v>
      </c>
      <c r="N43" s="61">
        <f>N42+N39</f>
        <v>-35713</v>
      </c>
      <c r="O43" s="39">
        <f>O42+O39</f>
        <v>-73322.399999999994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58">
        <f>F45+H45+J45+L45+N45</f>
        <v>4326</v>
      </c>
      <c r="E45" s="15">
        <f>G45+I45+K45+M45+O45</f>
        <v>17.010000000000002</v>
      </c>
      <c r="F45" s="84">
        <f>'TIE-OUT'!L45+RECLASS!J45</f>
        <v>0</v>
      </c>
      <c r="G45" s="85">
        <f>'TIE-OUT'!M45+RECLASS!K45</f>
        <v>0</v>
      </c>
      <c r="H45" s="118">
        <f>+Actuals!E63</f>
        <v>0</v>
      </c>
      <c r="I45" s="119">
        <f>+Actuals!F63</f>
        <v>0</v>
      </c>
      <c r="J45" s="118">
        <f>+Actuals!G63</f>
        <v>4326</v>
      </c>
      <c r="K45" s="119">
        <f>+Actuals!H63</f>
        <v>17.010000000000002</v>
      </c>
      <c r="L45" s="118">
        <f>+Actuals!I63</f>
        <v>4326</v>
      </c>
      <c r="M45" s="119">
        <f>+Actuals!J63</f>
        <v>17.010000000000002</v>
      </c>
      <c r="N45" s="118">
        <f>+Actuals!K63</f>
        <v>-4326</v>
      </c>
      <c r="O45" s="119">
        <f>+Actuals!L63</f>
        <v>-17.010000000000002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f>+Actuals!E64</f>
        <v>0</v>
      </c>
      <c r="I47" s="119">
        <f>+Actuals!F64</f>
        <v>0</v>
      </c>
      <c r="J47" s="118">
        <f>+Actuals!G64</f>
        <v>0</v>
      </c>
      <c r="K47" s="119">
        <f>+Actuals!H64</f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58">
        <f>F49+H49+J49+L49+N49</f>
        <v>140105</v>
      </c>
      <c r="E49" s="15">
        <f>G49+I49+K49+M49+O49</f>
        <v>328826.435</v>
      </c>
      <c r="F49" s="58">
        <f>'TIE-OUT'!L49+RECLASS!J49</f>
        <v>0</v>
      </c>
      <c r="G49" s="15">
        <f>'TIE-OUT'!M49+RECLASS!K49</f>
        <v>0</v>
      </c>
      <c r="H49" s="118">
        <f>+Actuals!E65</f>
        <v>-175120</v>
      </c>
      <c r="I49" s="119">
        <f>+Actuals!F65</f>
        <v>-411006.64</v>
      </c>
      <c r="J49" s="118">
        <f>+Actuals!G65</f>
        <v>285594</v>
      </c>
      <c r="K49" s="119">
        <f>+Actuals!H65</f>
        <v>670289.11800000002</v>
      </c>
      <c r="L49" s="118">
        <f>+Actuals!I65</f>
        <v>-16964</v>
      </c>
      <c r="M49" s="119">
        <f>+Actuals!J65</f>
        <v>-39814.508000000002</v>
      </c>
      <c r="N49" s="118">
        <f>+Actuals!K65</f>
        <v>46595</v>
      </c>
      <c r="O49" s="119">
        <f>+Actuals!L65</f>
        <v>109358.465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58">
        <f>F51+H51+J51+L51+N51</f>
        <v>-55521</v>
      </c>
      <c r="E51" s="15">
        <f>G51+I51+K51+M51+O51</f>
        <v>-117203.71</v>
      </c>
      <c r="F51" s="58">
        <f>'TIE-OUT'!L51+RECLASS!J51</f>
        <v>0</v>
      </c>
      <c r="G51" s="15">
        <f>'TIE-OUT'!M51+RECLASS!K51</f>
        <v>0</v>
      </c>
      <c r="H51" s="118">
        <f>+Actuals!E66</f>
        <v>0</v>
      </c>
      <c r="I51" s="119">
        <f>+Actuals!F66</f>
        <v>0</v>
      </c>
      <c r="J51" s="118">
        <f>+Actuals!G66-6700</f>
        <v>-48831</v>
      </c>
      <c r="K51" s="119">
        <f>+Actuals!H66-15945</f>
        <v>-117226.61</v>
      </c>
      <c r="L51" s="118">
        <f>+Actuals!I66-6700</f>
        <v>-48821</v>
      </c>
      <c r="M51" s="119">
        <f>+Actuals!J66-15946</f>
        <v>-117204.71</v>
      </c>
      <c r="N51" s="118">
        <f>+Actuals!K66</f>
        <v>42131</v>
      </c>
      <c r="O51" s="119">
        <f>+Actuals!L66+15946</f>
        <v>117227.61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58">
        <f>F54+H54+J54+L54+N54</f>
        <v>-796718</v>
      </c>
      <c r="E54" s="15">
        <f>G54+I54+K54+M54+O54</f>
        <v>-23901.54</v>
      </c>
      <c r="F54" s="84">
        <f>'TIE-OUT'!L54+RECLASS!J54</f>
        <v>0</v>
      </c>
      <c r="G54" s="85">
        <f>'TIE-OUT'!M54+RECLASS!K54</f>
        <v>0</v>
      </c>
      <c r="H54" s="118">
        <f>+Actuals!E67</f>
        <v>0</v>
      </c>
      <c r="I54" s="119">
        <f>+Actuals!F67</f>
        <v>0</v>
      </c>
      <c r="J54" s="118">
        <f>+Actuals!G67</f>
        <v>0</v>
      </c>
      <c r="K54" s="119">
        <f>+Actuals!H67</f>
        <v>0</v>
      </c>
      <c r="L54" s="118">
        <f>+Actuals!I67</f>
        <v>0</v>
      </c>
      <c r="M54" s="119">
        <f>+Actuals!J67</f>
        <v>0</v>
      </c>
      <c r="N54" s="118">
        <f>+Actuals!K67</f>
        <v>-796718</v>
      </c>
      <c r="O54" s="119">
        <f>+Actuals!L67</f>
        <v>-23901.54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f>+Actuals!E68</f>
        <v>0</v>
      </c>
      <c r="I55" s="119">
        <f>+Actuals!F68</f>
        <v>0</v>
      </c>
      <c r="J55" s="118">
        <f>+Actuals!G68</f>
        <v>0</v>
      </c>
      <c r="K55" s="119">
        <f>+Actuals!H68</f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">
      <c r="A56" s="9"/>
      <c r="B56" s="7" t="s">
        <v>57</v>
      </c>
      <c r="C56" s="6"/>
      <c r="D56" s="59">
        <f t="shared" ref="D56:I56" si="16">SUM(D54:D55)</f>
        <v>-796718</v>
      </c>
      <c r="E56" s="23">
        <f t="shared" si="16"/>
        <v>-23901.54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ref="J56:AO56" si="17">SUM(J54:J55)</f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  <c r="N56" s="61">
        <f>SUM(N54:N55)</f>
        <v>-796718</v>
      </c>
      <c r="O56" s="39">
        <f>SUM(O54:O55)</f>
        <v>-23901.54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58">
        <f>F59+H59+J59+L59+N59</f>
        <v>2838395</v>
      </c>
      <c r="E59" s="15">
        <f>G59+I59+K59+M59+O59</f>
        <v>-131171.89000000001</v>
      </c>
      <c r="F59" s="84">
        <f>'TIE-OUT'!L59+RECLASS!J59</f>
        <v>0</v>
      </c>
      <c r="G59" s="85">
        <f>'TIE-OUT'!M59+RECLASS!K59</f>
        <v>-170000</v>
      </c>
      <c r="H59" s="118">
        <f>+Actuals!E69</f>
        <v>2702272</v>
      </c>
      <c r="I59" s="119">
        <f>+Actuals!F69</f>
        <v>38805.339999999997</v>
      </c>
      <c r="J59" s="118">
        <f>+Actuals!G69-1</f>
        <v>447564</v>
      </c>
      <c r="K59" s="119">
        <f>+Actuals!H69</f>
        <v>22.77</v>
      </c>
      <c r="L59" s="118">
        <f>+Actuals!I69</f>
        <v>-311441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">
      <c r="A60" s="9">
        <v>27</v>
      </c>
      <c r="B60" s="11"/>
      <c r="C60" s="18" t="s">
        <v>60</v>
      </c>
      <c r="D60" s="58">
        <f>F60+H60+J60+L60+N60</f>
        <v>954</v>
      </c>
      <c r="E60" s="15">
        <f>G60+I60+K60+M60+O60</f>
        <v>170000</v>
      </c>
      <c r="F60" s="97">
        <f>'TIE-OUT'!L60+RECLASS!J60</f>
        <v>0</v>
      </c>
      <c r="G60" s="98">
        <f>'TIE-OUT'!M60+RECLASS!K60</f>
        <v>0</v>
      </c>
      <c r="H60" s="118">
        <f>+Actuals!E70+954</f>
        <v>954</v>
      </c>
      <c r="I60" s="119">
        <f>+Actuals!F70+170000</f>
        <v>170000</v>
      </c>
      <c r="J60" s="118">
        <f>+Actuals!G70</f>
        <v>0</v>
      </c>
      <c r="K60" s="119">
        <f>+Actuals!H70</f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">
      <c r="A61" s="9"/>
      <c r="B61" s="62" t="s">
        <v>61</v>
      </c>
      <c r="C61" s="6"/>
      <c r="D61" s="59">
        <f t="shared" ref="D61:I61" si="18">SUM(D59:D60)</f>
        <v>2839349</v>
      </c>
      <c r="E61" s="23">
        <f t="shared" si="18"/>
        <v>38828.109999999986</v>
      </c>
      <c r="F61" s="59">
        <f t="shared" si="18"/>
        <v>0</v>
      </c>
      <c r="G61" s="23">
        <f t="shared" si="18"/>
        <v>-170000</v>
      </c>
      <c r="H61" s="61">
        <f t="shared" si="18"/>
        <v>2703226</v>
      </c>
      <c r="I61" s="39">
        <f t="shared" si="18"/>
        <v>208805.34</v>
      </c>
      <c r="J61" s="61">
        <f t="shared" ref="J61:AO61" si="19">SUM(J59:J60)</f>
        <v>447564</v>
      </c>
      <c r="K61" s="39">
        <f t="shared" si="19"/>
        <v>22.77</v>
      </c>
      <c r="L61" s="61">
        <f t="shared" si="19"/>
        <v>-311441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58">
        <f>F64+H64+J64+L64+N64</f>
        <v>-24119525</v>
      </c>
      <c r="E64" s="15">
        <f>G64+I64+K64+M64+O64</f>
        <v>-2911525.15</v>
      </c>
      <c r="F64" s="84">
        <f>'TIE-OUT'!L64+RECLASS!J64</f>
        <v>0</v>
      </c>
      <c r="G64" s="85">
        <f>'TIE-OUT'!M64+RECLASS!K64</f>
        <v>0</v>
      </c>
      <c r="H64" s="118">
        <f>+Actuals!E71</f>
        <v>-16988349</v>
      </c>
      <c r="I64" s="119">
        <f>+Actuals!F71</f>
        <v>-2723749.53</v>
      </c>
      <c r="J64" s="118">
        <f>+Actuals!G71-20867</f>
        <v>-7410016</v>
      </c>
      <c r="K64" s="119">
        <f>+Actuals!H71</f>
        <v>-215659.62</v>
      </c>
      <c r="L64" s="118">
        <f>+Actuals!I71</f>
        <v>278840</v>
      </c>
      <c r="M64" s="119">
        <f>+Actuals!J71</f>
        <v>27884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">
      <c r="A65" s="9">
        <v>29</v>
      </c>
      <c r="B65" s="11"/>
      <c r="C65" s="18" t="s">
        <v>63</v>
      </c>
      <c r="D65" s="58">
        <f>F65+H65+J65+L65+N65</f>
        <v>24119525</v>
      </c>
      <c r="E65" s="15">
        <f>G65+I65+K65+M65+O65</f>
        <v>2911525.15</v>
      </c>
      <c r="F65" s="97">
        <f>'TIE-OUT'!L65+RECLASS!J65</f>
        <v>0</v>
      </c>
      <c r="G65" s="98">
        <f>'TIE-OUT'!M65+RECLASS!K65</f>
        <v>0</v>
      </c>
      <c r="H65" s="118">
        <f>+Actuals!E72+771103</f>
        <v>16987318</v>
      </c>
      <c r="I65" s="119">
        <f>+Actuals!F72+640000</f>
        <v>2724036.52</v>
      </c>
      <c r="J65" s="118">
        <f>+Actuals!G72</f>
        <v>7411047</v>
      </c>
      <c r="K65" s="119">
        <f>+Actuals!H72</f>
        <v>215372.62</v>
      </c>
      <c r="L65" s="118">
        <f>+Actuals!I72</f>
        <v>-278840</v>
      </c>
      <c r="M65" s="119">
        <f>+Actuals!J72</f>
        <v>-27883.99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">
      <c r="A66" s="9"/>
      <c r="B66" s="7" t="s">
        <v>64</v>
      </c>
      <c r="C66" s="6"/>
      <c r="D66" s="59">
        <f t="shared" ref="D66:I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-1031</v>
      </c>
      <c r="I66" s="39">
        <f t="shared" si="20"/>
        <v>286.99000000022352</v>
      </c>
      <c r="J66" s="61">
        <f t="shared" ref="J66:AO66" si="21">SUM(J64:J65)</f>
        <v>1031</v>
      </c>
      <c r="K66" s="39">
        <f t="shared" si="21"/>
        <v>-287</v>
      </c>
      <c r="L66" s="61">
        <f t="shared" si="21"/>
        <v>0</v>
      </c>
      <c r="M66" s="39">
        <f t="shared" si="21"/>
        <v>9.9999999983992893E-3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f>+Actuals!E73</f>
        <v>0</v>
      </c>
      <c r="I70" s="119">
        <f>+Actuals!F73</f>
        <v>0</v>
      </c>
      <c r="J70" s="118">
        <f>+Actuals!G73</f>
        <v>0</v>
      </c>
      <c r="K70" s="119">
        <f>+Actuals!H73</f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f>+Actuals!E74</f>
        <v>0</v>
      </c>
      <c r="I71" s="119">
        <f>+Actuals!F74</f>
        <v>0</v>
      </c>
      <c r="J71" s="118">
        <f>+Actuals!G74</f>
        <v>0</v>
      </c>
      <c r="K71" s="119">
        <f>+Actuals!H74</f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">
      <c r="A72" s="9"/>
      <c r="B72" s="3"/>
      <c r="C72" s="55" t="s">
        <v>69</v>
      </c>
      <c r="D72" s="59">
        <f t="shared" ref="D72:I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f>+Actuals!E75</f>
        <v>0</v>
      </c>
      <c r="I73" s="119">
        <f>+Actuals!F75</f>
        <v>0</v>
      </c>
      <c r="J73" s="118">
        <f>+Actuals!G75</f>
        <v>0</v>
      </c>
      <c r="K73" s="119">
        <f>+Actuals!H75</f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f>+Actuals!E76</f>
        <v>0</v>
      </c>
      <c r="I74" s="119">
        <f>+Actuals!F76</f>
        <v>0</v>
      </c>
      <c r="J74" s="118">
        <f>+Actuals!G76</f>
        <v>0</v>
      </c>
      <c r="K74" s="119">
        <f>+Actuals!H76</f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f>+Actuals!E77</f>
        <v>0</v>
      </c>
      <c r="I75" s="119">
        <f>+Actuals!F77</f>
        <v>0</v>
      </c>
      <c r="J75" s="118">
        <f>+Actuals!G77</f>
        <v>0</v>
      </c>
      <c r="K75" s="119">
        <f>+Actuals!H77</f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f>+Actuals!E78</f>
        <v>0</v>
      </c>
      <c r="I76" s="119">
        <f>+Actuals!F78</f>
        <v>0</v>
      </c>
      <c r="J76" s="118">
        <f>+Actuals!G78</f>
        <v>0</v>
      </c>
      <c r="K76" s="119">
        <f>+Actuals!H78</f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f>+Actuals!E79</f>
        <v>0</v>
      </c>
      <c r="I77" s="119">
        <f>+Actuals!F79</f>
        <v>0</v>
      </c>
      <c r="J77" s="118">
        <f>+Actuals!G79</f>
        <v>0</v>
      </c>
      <c r="K77" s="119">
        <f>+Actuals!H79</f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f>+Actuals!E80</f>
        <v>0</v>
      </c>
      <c r="I78" s="119">
        <f>+Actuals!F80</f>
        <v>0</v>
      </c>
      <c r="J78" s="118">
        <f>+Actuals!G80</f>
        <v>0</v>
      </c>
      <c r="K78" s="119">
        <f>+Actuals!H80</f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f>+Actuals!E81</f>
        <v>0</v>
      </c>
      <c r="I79" s="119">
        <f>+Actuals!F81</f>
        <v>0</v>
      </c>
      <c r="J79" s="118">
        <f>+Actuals!G81</f>
        <v>0</v>
      </c>
      <c r="K79" s="119">
        <f>+Actuals!H81</f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f>+Actuals!E82</f>
        <v>0</v>
      </c>
      <c r="I80" s="119">
        <f>+Actuals!F82</f>
        <v>0</v>
      </c>
      <c r="J80" s="118">
        <f>+Actuals!G82</f>
        <v>0</v>
      </c>
      <c r="K80" s="119">
        <f>+Actuals!H82</f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f>+Actuals!E83</f>
        <v>0</v>
      </c>
      <c r="I81" s="119">
        <f>+Actuals!F83</f>
        <v>0</v>
      </c>
      <c r="J81" s="118">
        <f>+Actuals!G83</f>
        <v>0</v>
      </c>
      <c r="K81" s="119">
        <f>+Actuals!H83</f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1288484.8459999976</v>
      </c>
      <c r="F82" s="91">
        <f>F16+F24+F29+F36+F43+F45+F47+F49</f>
        <v>0</v>
      </c>
      <c r="G82" s="92">
        <f>SUM(G72:G81)+G16+G24+G29+G36+G43+G45+G47+G49+G51+G56+G61+G66</f>
        <v>-158335.73000000001</v>
      </c>
      <c r="H82" s="91">
        <f>H16+H24+H29+H36+H43+H45+H47+H49</f>
        <v>0</v>
      </c>
      <c r="I82" s="92">
        <f>SUM(I72:I81)+I16+I24+I29+I36+I43+I45+I47+I49+I51+I56+I61+I66</f>
        <v>740264.45999999973</v>
      </c>
      <c r="J82" s="91">
        <f>J16+J24+J29+J36+J43+J45+J47+J49</f>
        <v>0</v>
      </c>
      <c r="K82" s="110">
        <f>SUM(K72:K81)+K16+K24+K29+K36+K43+K45+K47+K49+K51+K56+K61+K66</f>
        <v>716650.94199999922</v>
      </c>
      <c r="L82" s="91">
        <f>L16+L24+L29+L36+L43+L45+L47+L49</f>
        <v>0</v>
      </c>
      <c r="M82" s="92">
        <f>SUM(M72:M81)+M16+M24+M29+M36+M43+M45+M47+M49+M51+M56+M61+M66</f>
        <v>-132761.49100000013</v>
      </c>
      <c r="N82" s="91">
        <f>N16+N24+N29+N36+N43+N45+N47+N49</f>
        <v>0</v>
      </c>
      <c r="O82" s="92">
        <f>SUM(O72:O81)+O16+O24+O29+O36+O43+O45+O47+O49+O51+O56+O61+O66</f>
        <v>122666.66500000001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I84" s="45"/>
      <c r="K84" s="131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H21" activePane="bottomRight" state="frozen"/>
      <selection activeCell="N31" sqref="N31"/>
      <selection pane="topRight" activeCell="N31" sqref="N31"/>
      <selection pane="bottomLeft" activeCell="N31" sqref="N31"/>
      <selection pane="bottomRight" activeCell="O51" sqref="O5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4" width="15.42578125" style="31" customWidth="1"/>
    <col min="5" max="5" width="16.5703125" style="31" bestFit="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201697101</v>
      </c>
      <c r="E11" s="38">
        <f>SUM(G11,I11,K11,M11,O11,Q11,S11,U11,W11,Y11,AA11,AC11,AE11)</f>
        <v>508088969.34999996</v>
      </c>
      <c r="F11" s="60">
        <f>('TIE-OUT'!L11+'TIE-OUT'!J11)+(RECLASS!J11+RECLASS!H11)</f>
        <v>0</v>
      </c>
      <c r="G11" s="38">
        <f>('TIE-OUT'!M11+'TIE-OUT'!K11)+(RECLASS!K11+RECLASS!I11)</f>
        <v>5844055</v>
      </c>
      <c r="H11" s="60">
        <f>'EAST-EGM-GL'!H11+'EAST-LRC-GL'!H11</f>
        <v>198439347</v>
      </c>
      <c r="I11" s="38">
        <f>'EAST-EGM-GL'!I11+'EAST-LRC-GL'!I11</f>
        <v>488817983.10999995</v>
      </c>
      <c r="J11" s="60">
        <f>'EAST-EGM-GL'!J11+'EAST-LRC-GL'!J11</f>
        <v>7199170</v>
      </c>
      <c r="K11" s="38">
        <f>'EAST-EGM-GL'!K11+'EAST-LRC-GL'!K11</f>
        <v>21662661.390000001</v>
      </c>
      <c r="L11" s="60">
        <f>'EAST-EGM-GL'!L11+'EAST-LRC-GL'!L11</f>
        <v>-5500435</v>
      </c>
      <c r="M11" s="38">
        <f>'EAST-EGM-GL'!M11+'EAST-LRC-GL'!M11</f>
        <v>-12203575.140000001</v>
      </c>
      <c r="N11" s="60">
        <f>'EAST-EGM-GL'!N11+'EAST-LRC-GL'!N11</f>
        <v>1559019</v>
      </c>
      <c r="O11" s="38">
        <f>'EAST-EGM-GL'!O11+'EAST-LRC-GL'!O11</f>
        <v>3967844.9899999998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-3868579.8</v>
      </c>
      <c r="F12" s="60">
        <f>('TIE-OUT'!L12+'TIE-OUT'!J12)+(RECLASS!J12+RECLASS!H12)</f>
        <v>0</v>
      </c>
      <c r="G12" s="38">
        <f>('TIE-OUT'!M12+'TIE-OUT'!K12)+(RECLASS!K12+RECLASS!I12)</f>
        <v>-3872175.8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3596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20295362</v>
      </c>
      <c r="E13" s="38">
        <f t="shared" si="0"/>
        <v>51966198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71628606</v>
      </c>
      <c r="I13" s="38">
        <f>'EAST-EGM-GL'!I13+'EAST-LRC-GL'!I13</f>
        <v>185895133</v>
      </c>
      <c r="J13" s="60">
        <f>'EAST-EGM-GL'!J13+'EAST-LRC-GL'!J13</f>
        <v>-51333347</v>
      </c>
      <c r="K13" s="38">
        <f>'EAST-EGM-GL'!K13+'EAST-LRC-GL'!K13</f>
        <v>-133933759</v>
      </c>
      <c r="L13" s="60">
        <f>'EAST-EGM-GL'!L13+'EAST-LRC-GL'!L13</f>
        <v>4403</v>
      </c>
      <c r="M13" s="38">
        <f>'EAST-EGM-GL'!M13+'EAST-LRC-GL'!M13</f>
        <v>14283</v>
      </c>
      <c r="N13" s="60">
        <f>'EAST-EGM-GL'!N13+'EAST-LRC-GL'!N13</f>
        <v>-4300</v>
      </c>
      <c r="O13" s="38">
        <f>'EAST-EGM-GL'!O13+'EAST-LRC-GL'!O13</f>
        <v>-9459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5733061.2600000007</v>
      </c>
      <c r="F15" s="81">
        <f>('TIE-OUT'!L15+'TIE-OUT'!J15)+(RECLASS!J15+RECLASS!H15)</f>
        <v>0</v>
      </c>
      <c r="G15" s="82">
        <f>('TIE-OUT'!M15+'TIE-OUT'!K15)+(RECLASS!K15+RECLASS!I15)</f>
        <v>-11326633</v>
      </c>
      <c r="H15" s="60">
        <f>'EAST-EGM-GL'!H15+'EAST-LRC-GL'!H15</f>
        <v>0</v>
      </c>
      <c r="I15" s="38">
        <f>'EAST-EGM-GL'!I15+'EAST-LRC-GL'!I15</f>
        <v>14932935.800000001</v>
      </c>
      <c r="J15" s="60">
        <f>'EAST-EGM-GL'!J15+'EAST-LRC-GL'!J15</f>
        <v>0</v>
      </c>
      <c r="K15" s="38">
        <f>'EAST-EGM-GL'!K15+'EAST-LRC-GL'!K15</f>
        <v>254808.88</v>
      </c>
      <c r="L15" s="60">
        <f>'EAST-EGM-GL'!L15+'EAST-LRC-GL'!L15</f>
        <v>0</v>
      </c>
      <c r="M15" s="38">
        <f>'EAST-EGM-GL'!M15+'EAST-LRC-GL'!M15</f>
        <v>1901257.24</v>
      </c>
      <c r="N15" s="60">
        <f>'EAST-EGM-GL'!N15+'EAST-LRC-GL'!N15</f>
        <v>0</v>
      </c>
      <c r="O15" s="38">
        <f>'EAST-EGM-GL'!O15+'EAST-LRC-GL'!O15</f>
        <v>-29307.66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221992463</v>
      </c>
      <c r="E16" s="39">
        <f t="shared" si="1"/>
        <v>561919648.80999994</v>
      </c>
      <c r="F16" s="61">
        <f t="shared" si="1"/>
        <v>0</v>
      </c>
      <c r="G16" s="39">
        <f t="shared" si="1"/>
        <v>-9354753.8000000007</v>
      </c>
      <c r="H16" s="61">
        <f t="shared" si="1"/>
        <v>270067953</v>
      </c>
      <c r="I16" s="39">
        <f t="shared" si="1"/>
        <v>689646051.90999985</v>
      </c>
      <c r="J16" s="61">
        <f t="shared" si="1"/>
        <v>-44134177</v>
      </c>
      <c r="K16" s="39">
        <f t="shared" si="1"/>
        <v>-112012692.73</v>
      </c>
      <c r="L16" s="61">
        <f t="shared" si="1"/>
        <v>-5496032</v>
      </c>
      <c r="M16" s="39">
        <f t="shared" si="1"/>
        <v>-10288034.9</v>
      </c>
      <c r="N16" s="61">
        <f>SUM(N11:N15)</f>
        <v>1554719</v>
      </c>
      <c r="O16" s="39">
        <f>SUM(O11:O15)</f>
        <v>3929078.3299999996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-190267092</v>
      </c>
      <c r="E19" s="38">
        <f t="shared" si="2"/>
        <v>-450089399.12</v>
      </c>
      <c r="F19" s="64">
        <f>('TIE-OUT'!L19+'TIE-OUT'!J19)+(RECLASS!J19+RECLASS!H19)</f>
        <v>0</v>
      </c>
      <c r="G19" s="68">
        <f>('TIE-OUT'!M19+'TIE-OUT'!K19)+(RECLASS!K19+RECLASS!I19)</f>
        <v>2539443</v>
      </c>
      <c r="H19" s="60">
        <f>'EAST-EGM-GL'!H19+'EAST-LRC-GL'!H19</f>
        <v>-190981052</v>
      </c>
      <c r="I19" s="38">
        <f>'EAST-EGM-GL'!I19+'EAST-LRC-GL'!I19</f>
        <v>-458895870.02000004</v>
      </c>
      <c r="J19" s="60">
        <f>'EAST-EGM-GL'!J19+'EAST-LRC-GL'!J19</f>
        <v>85871</v>
      </c>
      <c r="K19" s="38">
        <f>'EAST-EGM-GL'!K19+'EAST-LRC-GL'!K19</f>
        <v>-280704.13999999966</v>
      </c>
      <c r="L19" s="60">
        <f>'EAST-EGM-GL'!L19+'EAST-LRC-GL'!L19</f>
        <v>1907396</v>
      </c>
      <c r="M19" s="38">
        <f>'EAST-EGM-GL'!M19+'EAST-LRC-GL'!M19</f>
        <v>3055995.91</v>
      </c>
      <c r="N19" s="60">
        <f>'EAST-EGM-GL'!N19+'EAST-LRC-GL'!N19</f>
        <v>-1279307</v>
      </c>
      <c r="O19" s="38">
        <f>'EAST-EGM-GL'!O19+'EAST-LRC-GL'!O19</f>
        <v>3491736.1300000004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-9201555.1899999995</v>
      </c>
      <c r="F20" s="60">
        <f>('TIE-OUT'!L20+'TIE-OUT'!J20)+(RECLASS!J20+RECLASS!H20)</f>
        <v>0</v>
      </c>
      <c r="G20" s="38">
        <f>('TIE-OUT'!M20+'TIE-OUT'!K20)+(RECLASS!K20+RECLASS!I20)</f>
        <v>-9176533.7799999993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-25021.41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-19756732</v>
      </c>
      <c r="E21" s="38">
        <f t="shared" si="2"/>
        <v>-54147992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-71003668</v>
      </c>
      <c r="I21" s="38">
        <f>'EAST-EGM-GL'!I21+'EAST-LRC-GL'!I21</f>
        <v>-187641099</v>
      </c>
      <c r="J21" s="60">
        <f>'EAST-EGM-GL'!J21+'EAST-LRC-GL'!J21</f>
        <v>51204961</v>
      </c>
      <c r="K21" s="38">
        <f>'EAST-EGM-GL'!K21+'EAST-LRC-GL'!K21</f>
        <v>133403760</v>
      </c>
      <c r="L21" s="60">
        <f>'EAST-EGM-GL'!L21+'EAST-LRC-GL'!L21</f>
        <v>39502</v>
      </c>
      <c r="M21" s="38">
        <f>'EAST-EGM-GL'!M21+'EAST-LRC-GL'!M21</f>
        <v>86114</v>
      </c>
      <c r="N21" s="60">
        <f>'EAST-EGM-GL'!N21+'EAST-LRC-GL'!N21</f>
        <v>2473</v>
      </c>
      <c r="O21" s="38">
        <f>'EAST-EGM-GL'!O21+'EAST-LRC-GL'!O21</f>
        <v>3233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1412225</v>
      </c>
      <c r="E23" s="38">
        <f t="shared" si="2"/>
        <v>3227241.176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1597692</v>
      </c>
      <c r="I23" s="38">
        <f>'EAST-EGM-GL'!I23+'EAST-LRC-GL'!I23</f>
        <v>3749783.1239999998</v>
      </c>
      <c r="J23" s="60">
        <f>'EAST-EGM-GL'!J23+'EAST-LRC-GL'!J23</f>
        <v>122849</v>
      </c>
      <c r="K23" s="38">
        <f>'EAST-EGM-GL'!K23+'EAST-LRC-GL'!K23</f>
        <v>290726.75599999999</v>
      </c>
      <c r="L23" s="60">
        <f>'EAST-EGM-GL'!L23+'EAST-LRC-GL'!L23</f>
        <v>13796</v>
      </c>
      <c r="M23" s="38">
        <f>'EAST-EGM-GL'!M23+'EAST-LRC-GL'!M23</f>
        <v>34779.935000000012</v>
      </c>
      <c r="N23" s="60">
        <f>'EAST-EGM-GL'!N23+'EAST-LRC-GL'!N23</f>
        <v>-322112</v>
      </c>
      <c r="O23" s="38">
        <f>'EAST-EGM-GL'!O23+'EAST-LRC-GL'!O23</f>
        <v>-848048.63899999997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-208611599</v>
      </c>
      <c r="E24" s="39">
        <f t="shared" si="3"/>
        <v>-510211705.134</v>
      </c>
      <c r="F24" s="61">
        <f t="shared" si="3"/>
        <v>0</v>
      </c>
      <c r="G24" s="39">
        <f t="shared" si="3"/>
        <v>-6637090.7799999993</v>
      </c>
      <c r="H24" s="61">
        <f t="shared" si="3"/>
        <v>-260387028</v>
      </c>
      <c r="I24" s="39">
        <f t="shared" si="3"/>
        <v>-642787185.89600003</v>
      </c>
      <c r="J24" s="61">
        <f t="shared" si="3"/>
        <v>51413681</v>
      </c>
      <c r="K24" s="39">
        <f t="shared" si="3"/>
        <v>133413782.616</v>
      </c>
      <c r="L24" s="61">
        <f t="shared" si="3"/>
        <v>1960694</v>
      </c>
      <c r="M24" s="39">
        <f t="shared" si="3"/>
        <v>3151868.4350000001</v>
      </c>
      <c r="N24" s="61">
        <f>SUM(N19:N23)</f>
        <v>-1598946</v>
      </c>
      <c r="O24" s="39">
        <f>SUM(O19:O23)</f>
        <v>2646920.4910000004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18070482</v>
      </c>
      <c r="E27" s="38">
        <f>SUM(G27,I27,K27,M27,O27,Q27,S27,U27,W27,Y27,AA27,AC27,AE27)</f>
        <v>43607290.700000003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19076248</v>
      </c>
      <c r="I27" s="38">
        <f>'EAST-EGM-GL'!I27+'EAST-LRC-GL'!I27</f>
        <v>46036743.340000004</v>
      </c>
      <c r="J27" s="60">
        <f>'EAST-EGM-GL'!J27+'EAST-LRC-GL'!J27</f>
        <v>-479710</v>
      </c>
      <c r="K27" s="38">
        <f>'EAST-EGM-GL'!K27+'EAST-LRC-GL'!K27</f>
        <v>-1167563.5</v>
      </c>
      <c r="L27" s="60">
        <f>'EAST-EGM-GL'!L27+'EAST-LRC-GL'!L27</f>
        <v>-539666</v>
      </c>
      <c r="M27" s="38">
        <f>'EAST-EGM-GL'!M27+'EAST-LRC-GL'!M27</f>
        <v>-1317368.33</v>
      </c>
      <c r="N27" s="60">
        <f>'EAST-EGM-GL'!N27+'EAST-LRC-GL'!N27</f>
        <v>13610</v>
      </c>
      <c r="O27" s="38">
        <f>'EAST-EGM-GL'!O27+'EAST-LRC-GL'!O27</f>
        <v>55479.19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-19442044</v>
      </c>
      <c r="E28" s="38">
        <f>SUM(G28,I28,K28,M28,O28,Q28,S28,U28,W28,Y28,AA28,AC28,AE28)</f>
        <v>-47087580.920000009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-20245583</v>
      </c>
      <c r="I28" s="38">
        <f>'EAST-EGM-GL'!I28+'EAST-LRC-GL'!I28</f>
        <v>-49103068.719999999</v>
      </c>
      <c r="J28" s="60">
        <f>'EAST-EGM-GL'!J28+'EAST-LRC-GL'!J28</f>
        <v>240720</v>
      </c>
      <c r="K28" s="38">
        <f>'EAST-EGM-GL'!K28+'EAST-LRC-GL'!K28</f>
        <v>638284.23</v>
      </c>
      <c r="L28" s="60">
        <f>'EAST-EGM-GL'!L28+'EAST-LRC-GL'!L28</f>
        <v>534026</v>
      </c>
      <c r="M28" s="38">
        <f>'EAST-EGM-GL'!M28+'EAST-LRC-GL'!M28</f>
        <v>1323684.5899999999</v>
      </c>
      <c r="N28" s="60">
        <f>'EAST-EGM-GL'!N28+'EAST-LRC-GL'!N28</f>
        <v>28793</v>
      </c>
      <c r="O28" s="38">
        <f>'EAST-EGM-GL'!O28+'EAST-LRC-GL'!O28</f>
        <v>53518.98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-1371562</v>
      </c>
      <c r="E29" s="39">
        <f t="shared" si="4"/>
        <v>-3480290.2200000063</v>
      </c>
      <c r="F29" s="61">
        <f t="shared" si="4"/>
        <v>0</v>
      </c>
      <c r="G29" s="39">
        <f t="shared" si="4"/>
        <v>0</v>
      </c>
      <c r="H29" s="61">
        <f t="shared" si="4"/>
        <v>-1169335</v>
      </c>
      <c r="I29" s="39">
        <f t="shared" si="4"/>
        <v>-3066325.3799999952</v>
      </c>
      <c r="J29" s="61">
        <f t="shared" si="4"/>
        <v>-238990</v>
      </c>
      <c r="K29" s="39">
        <f t="shared" si="4"/>
        <v>-529279.27</v>
      </c>
      <c r="L29" s="61">
        <f t="shared" si="4"/>
        <v>-5640</v>
      </c>
      <c r="M29" s="39">
        <f t="shared" si="4"/>
        <v>6316.2599999997765</v>
      </c>
      <c r="N29" s="61">
        <f>SUM(N27:N28)</f>
        <v>42403</v>
      </c>
      <c r="O29" s="39">
        <f>SUM(O27:O28)</f>
        <v>108998.17000000001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-1860943</v>
      </c>
      <c r="E32" s="38">
        <f t="shared" si="5"/>
        <v>-4367633.216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-947426</v>
      </c>
      <c r="I32" s="38">
        <f>'EAST-EGM-GL'!I32+'EAST-LRC-GL'!I32</f>
        <v>-2223608.8220000002</v>
      </c>
      <c r="J32" s="60">
        <f>'EAST-EGM-GL'!J32+'EAST-LRC-GL'!J32</f>
        <v>1397357</v>
      </c>
      <c r="K32" s="38">
        <f>'EAST-EGM-GL'!K32+'EAST-LRC-GL'!K32</f>
        <v>3279596.8819999998</v>
      </c>
      <c r="L32" s="60">
        <f>'EAST-EGM-GL'!L32+'EAST-LRC-GL'!L32</f>
        <v>-3939041</v>
      </c>
      <c r="M32" s="38">
        <f>'EAST-EGM-GL'!M32+'EAST-LRC-GL'!M32</f>
        <v>-9244929.227</v>
      </c>
      <c r="N32" s="60">
        <f>'EAST-EGM-GL'!N32+'EAST-LRC-GL'!N32</f>
        <v>1628167</v>
      </c>
      <c r="O32" s="38">
        <f>'EAST-EGM-GL'!O32+'EAST-LRC-GL'!O32</f>
        <v>3821307.9509999999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-3106022</v>
      </c>
      <c r="E33" s="38">
        <f t="shared" si="5"/>
        <v>-2207237.5699999998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-554147</v>
      </c>
      <c r="K33" s="38">
        <f>'EAST-EGM-GL'!K33+'EAST-LRC-GL'!K33</f>
        <v>-1606345.77</v>
      </c>
      <c r="L33" s="60">
        <f>'EAST-EGM-GL'!L33+'EAST-LRC-GL'!L33</f>
        <v>-2315616</v>
      </c>
      <c r="M33" s="38">
        <f>'EAST-EGM-GL'!M33+'EAST-LRC-GL'!M33</f>
        <v>-5865.47</v>
      </c>
      <c r="N33" s="60">
        <f>'EAST-EGM-GL'!N33+'EAST-LRC-GL'!N33</f>
        <v>-236259</v>
      </c>
      <c r="O33" s="38">
        <f>'EAST-EGM-GL'!O33+'EAST-LRC-GL'!O33</f>
        <v>-595026.32999999996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2533309</v>
      </c>
      <c r="E34" s="38">
        <f t="shared" si="5"/>
        <v>1039877.84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45566</v>
      </c>
      <c r="K34" s="38">
        <f>'EAST-EGM-GL'!K34+'EAST-LRC-GL'!K34</f>
        <v>159040.41</v>
      </c>
      <c r="L34" s="60">
        <f>'EAST-EGM-GL'!L34+'EAST-LRC-GL'!L34</f>
        <v>2392518</v>
      </c>
      <c r="M34" s="38">
        <f>'EAST-EGM-GL'!M34+'EAST-LRC-GL'!M34</f>
        <v>151691.6</v>
      </c>
      <c r="N34" s="60">
        <f>'EAST-EGM-GL'!N34+'EAST-LRC-GL'!N34</f>
        <v>95225</v>
      </c>
      <c r="O34" s="38">
        <f>'EAST-EGM-GL'!O34+'EAST-LRC-GL'!O34</f>
        <v>729145.83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-1460000</v>
      </c>
      <c r="E35" s="38">
        <f t="shared" si="5"/>
        <v>-4392333.01</v>
      </c>
      <c r="F35" s="81">
        <f>('TIE-OUT'!L35+'TIE-OUT'!J35)+(RECLASS!J35+RECLASS!H35)</f>
        <v>-730000</v>
      </c>
      <c r="G35" s="82">
        <f>('TIE-OUT'!M35+'TIE-OUT'!K35)+(RECLASS!K35+RECLASS!I35)</f>
        <v>-4392333</v>
      </c>
      <c r="H35" s="60">
        <f>'EAST-EGM-GL'!H35+'EAST-LRC-GL'!H35</f>
        <v>0</v>
      </c>
      <c r="I35" s="38">
        <f>'EAST-EGM-GL'!I35+'EAST-LRC-GL'!I35</f>
        <v>0</v>
      </c>
      <c r="J35" s="60">
        <f>'EAST-EGM-GL'!J35+'EAST-LRC-GL'!J35</f>
        <v>0</v>
      </c>
      <c r="K35" s="38">
        <f>'EAST-EGM-GL'!K35+'EAST-LRC-GL'!K35</f>
        <v>0</v>
      </c>
      <c r="L35" s="60">
        <f>'EAST-EGM-GL'!L35+'EAST-LRC-GL'!L35</f>
        <v>-730000</v>
      </c>
      <c r="M35" s="38">
        <f>'EAST-EGM-GL'!M35+'EAST-LRC-GL'!M35</f>
        <v>-0.01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-3893656</v>
      </c>
      <c r="E36" s="39">
        <f t="shared" si="6"/>
        <v>-9927325.9560000002</v>
      </c>
      <c r="F36" s="61">
        <f t="shared" si="6"/>
        <v>-730000</v>
      </c>
      <c r="G36" s="39">
        <f t="shared" si="6"/>
        <v>-4392333</v>
      </c>
      <c r="H36" s="61">
        <f t="shared" si="6"/>
        <v>-947426</v>
      </c>
      <c r="I36" s="39">
        <f t="shared" si="6"/>
        <v>-2223608.8220000002</v>
      </c>
      <c r="J36" s="61">
        <f t="shared" si="6"/>
        <v>888776</v>
      </c>
      <c r="K36" s="39">
        <f t="shared" si="6"/>
        <v>1832291.5219999996</v>
      </c>
      <c r="L36" s="61">
        <f t="shared" si="6"/>
        <v>-4592139</v>
      </c>
      <c r="M36" s="39">
        <f t="shared" si="6"/>
        <v>-9099103.1070000008</v>
      </c>
      <c r="N36" s="61">
        <f>SUM(N32:N35)</f>
        <v>1487133</v>
      </c>
      <c r="O36" s="39">
        <f>SUM(O32:O35)</f>
        <v>3955427.4509999999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750232</v>
      </c>
      <c r="E39" s="38">
        <f t="shared" si="7"/>
        <v>1519293.5199999998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4</v>
      </c>
      <c r="I39" s="38">
        <f>'EAST-EGM-GL'!I39+'EAST-LRC-GL'!I39</f>
        <v>9.39</v>
      </c>
      <c r="J39" s="60">
        <f>'EAST-EGM-GL'!J39+'EAST-LRC-GL'!J39</f>
        <v>770309</v>
      </c>
      <c r="K39" s="38">
        <f>'EAST-EGM-GL'!K39+'EAST-LRC-GL'!K39</f>
        <v>1566414.25</v>
      </c>
      <c r="L39" s="60">
        <f>'EAST-EGM-GL'!L39+'EAST-LRC-GL'!L39</f>
        <v>-20081</v>
      </c>
      <c r="M39" s="38">
        <f>'EAST-EGM-GL'!M39+'EAST-LRC-GL'!M39</f>
        <v>-47130.12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-6619348</v>
      </c>
      <c r="E40" s="38">
        <f t="shared" si="7"/>
        <v>-14647651.74</v>
      </c>
      <c r="F40" s="60">
        <f>('TIE-OUT'!L40+'TIE-OUT'!J40)+(RECLASS!J40+RECLASS!H40)</f>
        <v>730000</v>
      </c>
      <c r="G40" s="38">
        <f>('TIE-OUT'!M40+'TIE-OUT'!K40)+(RECLASS!K40+RECLASS!I40)</f>
        <v>1854200</v>
      </c>
      <c r="H40" s="60">
        <f>'EAST-EGM-GL'!H40+'EAST-LRC-GL'!H40</f>
        <v>-3453689</v>
      </c>
      <c r="I40" s="38">
        <f>'EAST-EGM-GL'!I40+'EAST-LRC-GL'!I40</f>
        <v>-8713594.5299999993</v>
      </c>
      <c r="J40" s="60">
        <f>'EAST-EGM-GL'!J40+'EAST-LRC-GL'!J40</f>
        <v>-3118320</v>
      </c>
      <c r="K40" s="38">
        <f>'EAST-EGM-GL'!K40+'EAST-LRC-GL'!K40</f>
        <v>-6271264.9199999999</v>
      </c>
      <c r="L40" s="60">
        <f>'EAST-EGM-GL'!L40+'EAST-LRC-GL'!L40</f>
        <v>-473240</v>
      </c>
      <c r="M40" s="38">
        <f>'EAST-EGM-GL'!M40+'EAST-LRC-GL'!M40</f>
        <v>-761624.74</v>
      </c>
      <c r="N40" s="60">
        <f>'EAST-EGM-GL'!N40+'EAST-LRC-GL'!N40</f>
        <v>-304099</v>
      </c>
      <c r="O40" s="38">
        <f>'EAST-EGM-GL'!O40+'EAST-LRC-GL'!O40</f>
        <v>-755367.55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-6619348</v>
      </c>
      <c r="E42" s="39">
        <f t="shared" si="8"/>
        <v>-14647651.74</v>
      </c>
      <c r="F42" s="61">
        <f t="shared" si="8"/>
        <v>730000</v>
      </c>
      <c r="G42" s="39">
        <f t="shared" si="8"/>
        <v>1854200</v>
      </c>
      <c r="H42" s="61">
        <f t="shared" si="8"/>
        <v>-3453689</v>
      </c>
      <c r="I42" s="39">
        <f t="shared" si="8"/>
        <v>-8713594.5299999993</v>
      </c>
      <c r="J42" s="61">
        <f t="shared" si="8"/>
        <v>-3118320</v>
      </c>
      <c r="K42" s="39">
        <f t="shared" si="8"/>
        <v>-6271264.9199999999</v>
      </c>
      <c r="L42" s="61">
        <f t="shared" si="8"/>
        <v>-473240</v>
      </c>
      <c r="M42" s="39">
        <f t="shared" si="8"/>
        <v>-761624.74</v>
      </c>
      <c r="N42" s="61">
        <f>SUM(N40:N41)</f>
        <v>-304099</v>
      </c>
      <c r="O42" s="39">
        <f>SUM(O40:O41)</f>
        <v>-755367.55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-5869116</v>
      </c>
      <c r="E43" s="39">
        <f t="shared" si="9"/>
        <v>-13128358.220000001</v>
      </c>
      <c r="F43" s="61">
        <f t="shared" si="9"/>
        <v>730000</v>
      </c>
      <c r="G43" s="39">
        <f t="shared" si="9"/>
        <v>1854200</v>
      </c>
      <c r="H43" s="61">
        <f t="shared" si="9"/>
        <v>-3453685</v>
      </c>
      <c r="I43" s="39">
        <f t="shared" si="9"/>
        <v>-8713585.1399999987</v>
      </c>
      <c r="J43" s="61">
        <f t="shared" si="9"/>
        <v>-2348011</v>
      </c>
      <c r="K43" s="39">
        <f t="shared" si="9"/>
        <v>-4704850.67</v>
      </c>
      <c r="L43" s="61">
        <f t="shared" si="9"/>
        <v>-493321</v>
      </c>
      <c r="M43" s="39">
        <f t="shared" si="9"/>
        <v>-808754.86</v>
      </c>
      <c r="N43" s="61">
        <f>N42+N39</f>
        <v>-304099</v>
      </c>
      <c r="O43" s="39">
        <f>O42+O39</f>
        <v>-755367.55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4326</v>
      </c>
      <c r="E45" s="38">
        <f>SUM(G45,I45,K45,M45,O45,Q45,S45,U45,W45,Y45,AA45,AC45,AE45)</f>
        <v>17.010000000000002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4326</v>
      </c>
      <c r="K45" s="38">
        <f>'EAST-EGM-GL'!K45+'EAST-LRC-GL'!K45</f>
        <v>17.010000000000002</v>
      </c>
      <c r="L45" s="60">
        <f>'EAST-EGM-GL'!L45+'EAST-LRC-GL'!L45</f>
        <v>4326</v>
      </c>
      <c r="M45" s="38">
        <f>'EAST-EGM-GL'!M45+'EAST-LRC-GL'!M45</f>
        <v>17.010000000000002</v>
      </c>
      <c r="N45" s="60">
        <f>'EAST-EGM-GL'!N45+'EAST-LRC-GL'!N45</f>
        <v>-4326</v>
      </c>
      <c r="O45" s="38">
        <f>'EAST-EGM-GL'!O45+'EAST-LRC-GL'!O45</f>
        <v>-17.010000000000002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-2250856</v>
      </c>
      <c r="E49" s="38">
        <f>SUM(G49,I49,K49,M49,O49,Q49,S49,U49,W49,Y49,AA49,AC49,AE49)</f>
        <v>-5282759.0319999978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-4110479</v>
      </c>
      <c r="I49" s="38">
        <f>'EAST-EGM-GL'!I49+'EAST-LRC-GL'!I49</f>
        <v>-9647294.2130000014</v>
      </c>
      <c r="J49" s="60">
        <f>'EAST-EGM-GL'!J49+'EAST-LRC-GL'!J49</f>
        <v>-5585605</v>
      </c>
      <c r="K49" s="38">
        <f>'EAST-EGM-GL'!K49+'EAST-LRC-GL'!K49</f>
        <v>-13109414.934999997</v>
      </c>
      <c r="L49" s="60">
        <f>'EAST-EGM-GL'!L49+'EAST-LRC-GL'!L49</f>
        <v>8622112</v>
      </c>
      <c r="M49" s="38">
        <f>'EAST-EGM-GL'!M49+'EAST-LRC-GL'!M49</f>
        <v>20236096.864</v>
      </c>
      <c r="N49" s="60">
        <f>'EAST-EGM-GL'!N49+'EAST-LRC-GL'!N49</f>
        <v>-1176884</v>
      </c>
      <c r="O49" s="38">
        <f>'EAST-EGM-GL'!O49+'EAST-LRC-GL'!O49</f>
        <v>-2762146.7480000001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-2226151</v>
      </c>
      <c r="E51" s="38">
        <f>SUM(G51,I51,K51,M51,O51,Q51,S51,U51,W51,Y51,AA51,AC51,AE51)</f>
        <v>-5211672.32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-1597692</v>
      </c>
      <c r="I51" s="38">
        <f>'EAST-EGM-GL'!I51+'EAST-LRC-GL'!I51</f>
        <v>-3749783.1239999998</v>
      </c>
      <c r="J51" s="60">
        <f>'EAST-EGM-GL'!J51+'EAST-LRC-GL'!J51</f>
        <v>-129549</v>
      </c>
      <c r="K51" s="38">
        <f>'EAST-EGM-GL'!K51+'EAST-LRC-GL'!K51</f>
        <v>-306671.75599999999</v>
      </c>
      <c r="L51" s="60">
        <f>'EAST-EGM-GL'!L51+'EAST-LRC-GL'!L51</f>
        <v>-20496</v>
      </c>
      <c r="M51" s="38">
        <f>'EAST-EGM-GL'!M51+'EAST-LRC-GL'!M51</f>
        <v>-50725.935000000012</v>
      </c>
      <c r="N51" s="60">
        <f>'EAST-EGM-GL'!N51+'EAST-LRC-GL'!N51</f>
        <v>-478414</v>
      </c>
      <c r="O51" s="38">
        <f>'EAST-EGM-GL'!O51+'EAST-LRC-GL'!O51</f>
        <v>-1104491.5049999999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-132577470</v>
      </c>
      <c r="E54" s="38">
        <f>SUM(G54,I54,K54,M54,O54,Q54,S54,U54,W54,Y54,AA54,AC54,AE54)</f>
        <v>-2995256.12</v>
      </c>
      <c r="F54" s="64">
        <f>('TIE-OUT'!L54+'TIE-OUT'!J54)+(RECLASS!J54+RECLASS!H54)</f>
        <v>0</v>
      </c>
      <c r="G54" s="68">
        <f>('TIE-OUT'!M54+'TIE-OUT'!K54)+(RECLASS!K54+RECLASS!I54)</f>
        <v>55940</v>
      </c>
      <c r="H54" s="60">
        <f>'EAST-EGM-GL'!H54+'EAST-LRC-GL'!H54</f>
        <v>-157687723</v>
      </c>
      <c r="I54" s="38">
        <f>'EAST-EGM-GL'!I54+'EAST-LRC-GL'!I54</f>
        <v>-2362930</v>
      </c>
      <c r="J54" s="60">
        <f>'EAST-EGM-GL'!J54+'EAST-LRC-GL'!J54</f>
        <v>28139750</v>
      </c>
      <c r="K54" s="38">
        <f>'EAST-EGM-GL'!K54+'EAST-LRC-GL'!K54</f>
        <v>1049202.02</v>
      </c>
      <c r="L54" s="60">
        <f>'EAST-EGM-GL'!L54+'EAST-LRC-GL'!L54</f>
        <v>-1173052</v>
      </c>
      <c r="M54" s="38">
        <f>'EAST-EGM-GL'!M54+'EAST-LRC-GL'!M54</f>
        <v>-1656853.35</v>
      </c>
      <c r="N54" s="60">
        <f>'EAST-EGM-GL'!N54+'EAST-LRC-GL'!N54</f>
        <v>-1856445</v>
      </c>
      <c r="O54" s="38">
        <f>'EAST-EGM-GL'!O54+'EAST-LRC-GL'!O54</f>
        <v>-80614.790000000008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-6962042.2200000007</v>
      </c>
      <c r="F55" s="81">
        <f>('TIE-OUT'!L55+'TIE-OUT'!J55)+(RECLASS!J55+RECLASS!H55)</f>
        <v>0</v>
      </c>
      <c r="G55" s="82">
        <f>('TIE-OUT'!M55+'TIE-OUT'!K55)+(RECLASS!K55+RECLASS!I55)</f>
        <v>37782</v>
      </c>
      <c r="H55" s="60">
        <f>'EAST-EGM-GL'!H55+'EAST-LRC-GL'!H55</f>
        <v>0</v>
      </c>
      <c r="I55" s="38">
        <f>'EAST-EGM-GL'!I55+'EAST-LRC-GL'!I55</f>
        <v>-6131068.8900000006</v>
      </c>
      <c r="J55" s="60">
        <f>'EAST-EGM-GL'!J55+'EAST-LRC-GL'!J55</f>
        <v>0</v>
      </c>
      <c r="K55" s="38">
        <f>'EAST-EGM-GL'!K55+'EAST-LRC-GL'!K55</f>
        <v>-608301.96</v>
      </c>
      <c r="L55" s="60">
        <f>'EAST-EGM-GL'!L55+'EAST-LRC-GL'!L55</f>
        <v>0</v>
      </c>
      <c r="M55" s="38">
        <f>'EAST-EGM-GL'!M55+'EAST-LRC-GL'!M55</f>
        <v>-265948.82</v>
      </c>
      <c r="N55" s="60">
        <f>'EAST-EGM-GL'!N55+'EAST-LRC-GL'!N55</f>
        <v>0</v>
      </c>
      <c r="O55" s="38">
        <f>'EAST-EGM-GL'!O55+'EAST-LRC-GL'!O55</f>
        <v>5495.45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-132577470</v>
      </c>
      <c r="E56" s="39">
        <f t="shared" si="10"/>
        <v>-9957298.3399999999</v>
      </c>
      <c r="F56" s="61">
        <f t="shared" si="10"/>
        <v>0</v>
      </c>
      <c r="G56" s="39">
        <f t="shared" si="10"/>
        <v>93722</v>
      </c>
      <c r="H56" s="61">
        <f t="shared" si="10"/>
        <v>-157687723</v>
      </c>
      <c r="I56" s="39">
        <f t="shared" si="10"/>
        <v>-8493998.8900000006</v>
      </c>
      <c r="J56" s="61">
        <f t="shared" si="10"/>
        <v>28139750</v>
      </c>
      <c r="K56" s="39">
        <f t="shared" si="10"/>
        <v>440900.06000000006</v>
      </c>
      <c r="L56" s="61">
        <f t="shared" si="10"/>
        <v>-1173052</v>
      </c>
      <c r="M56" s="39">
        <f t="shared" si="10"/>
        <v>-1922802.1700000002</v>
      </c>
      <c r="N56" s="61">
        <f>SUM(N54:N55)</f>
        <v>-1856445</v>
      </c>
      <c r="O56" s="39">
        <f>SUM(O54:O55)</f>
        <v>-75119.340000000011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2838395</v>
      </c>
      <c r="E59" s="38">
        <f>SUM(G59,I59,K59,M59,O59,Q59,S59,U59,W59,Y59,AA59,AC59,AE59)</f>
        <v>-65989.34</v>
      </c>
      <c r="F59" s="64">
        <f>('TIE-OUT'!L59+'TIE-OUT'!J59)+(RECLASS!J59+RECLASS!H59)</f>
        <v>0</v>
      </c>
      <c r="G59" s="68">
        <f>('TIE-OUT'!M59+'TIE-OUT'!K59)+(RECLASS!K59+RECLASS!I59)</f>
        <v>-170000</v>
      </c>
      <c r="H59" s="60">
        <f>'EAST-EGM-GL'!H59+'EAST-LRC-GL'!H59</f>
        <v>2702272</v>
      </c>
      <c r="I59" s="38">
        <f>'EAST-EGM-GL'!I59+'EAST-LRC-GL'!I59</f>
        <v>105021.34</v>
      </c>
      <c r="J59" s="60">
        <f>'EAST-EGM-GL'!J59+'EAST-LRC-GL'!J59</f>
        <v>447564</v>
      </c>
      <c r="K59" s="38">
        <f>'EAST-EGM-GL'!K59+'EAST-LRC-GL'!K59</f>
        <v>-19336.399999999998</v>
      </c>
      <c r="L59" s="60">
        <f>'EAST-EGM-GL'!L59+'EAST-LRC-GL'!L59</f>
        <v>-311441</v>
      </c>
      <c r="M59" s="38">
        <f>'EAST-EGM-GL'!M59+'EAST-LRC-GL'!M59</f>
        <v>18325.72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954</v>
      </c>
      <c r="E60" s="38">
        <f>SUM(G60,I60,K60,M60,O60,Q60,S60,U60,W60,Y60,AA60,AC60,AE60)</f>
        <v>170000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954</v>
      </c>
      <c r="I60" s="38">
        <f>'EAST-EGM-GL'!I60+'EAST-LRC-GL'!I60</f>
        <v>170000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2839349</v>
      </c>
      <c r="E61" s="39">
        <f t="shared" si="11"/>
        <v>104010.66</v>
      </c>
      <c r="F61" s="61">
        <f t="shared" si="11"/>
        <v>0</v>
      </c>
      <c r="G61" s="39">
        <f t="shared" si="11"/>
        <v>-170000</v>
      </c>
      <c r="H61" s="61">
        <f t="shared" si="11"/>
        <v>2703226</v>
      </c>
      <c r="I61" s="39">
        <f t="shared" si="11"/>
        <v>275021.33999999997</v>
      </c>
      <c r="J61" s="61">
        <f t="shared" si="11"/>
        <v>447564</v>
      </c>
      <c r="K61" s="39">
        <f t="shared" si="11"/>
        <v>-19336.399999999998</v>
      </c>
      <c r="L61" s="61">
        <f t="shared" si="11"/>
        <v>-311441</v>
      </c>
      <c r="M61" s="39">
        <f t="shared" si="11"/>
        <v>18325.72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-24119525</v>
      </c>
      <c r="E64" s="38">
        <f>SUM(G64,I64,K64,M64,O64,Q64,S64,U64,W64,Y64,AA64,AC64,AE64)</f>
        <v>-2911525.15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-16988349</v>
      </c>
      <c r="I64" s="38">
        <f>'EAST-EGM-GL'!I64+'EAST-LRC-GL'!I64</f>
        <v>-2723749.53</v>
      </c>
      <c r="J64" s="60">
        <f>'EAST-EGM-GL'!J64+'EAST-LRC-GL'!J64</f>
        <v>-7410016</v>
      </c>
      <c r="K64" s="38">
        <f>'EAST-EGM-GL'!K64+'EAST-LRC-GL'!K64</f>
        <v>-215659.62</v>
      </c>
      <c r="L64" s="60">
        <f>'EAST-EGM-GL'!L64+'EAST-LRC-GL'!L64</f>
        <v>278840</v>
      </c>
      <c r="M64" s="38">
        <f>'EAST-EGM-GL'!M64+'EAST-LRC-GL'!M64</f>
        <v>27884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24119525</v>
      </c>
      <c r="E65" s="38">
        <f>SUM(G65,I65,K65,M65,O65,Q65,S65,U65,W65,Y65,AA65,AC65,AE65)</f>
        <v>2911525.15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16987318</v>
      </c>
      <c r="I65" s="38">
        <f>'EAST-EGM-GL'!I65+'EAST-LRC-GL'!I65</f>
        <v>2724036.52</v>
      </c>
      <c r="J65" s="60">
        <f>'EAST-EGM-GL'!J65+'EAST-LRC-GL'!J65</f>
        <v>7411047</v>
      </c>
      <c r="K65" s="38">
        <f>'EAST-EGM-GL'!K65+'EAST-LRC-GL'!K65</f>
        <v>215372.62</v>
      </c>
      <c r="L65" s="60">
        <f>'EAST-EGM-GL'!L65+'EAST-LRC-GL'!L65</f>
        <v>-278840</v>
      </c>
      <c r="M65" s="38">
        <f>'EAST-EGM-GL'!M65+'EAST-LRC-GL'!M65</f>
        <v>-27883.99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-1031</v>
      </c>
      <c r="I66" s="39">
        <f t="shared" si="12"/>
        <v>286.99000000022352</v>
      </c>
      <c r="J66" s="61">
        <f t="shared" si="12"/>
        <v>1031</v>
      </c>
      <c r="K66" s="39">
        <f t="shared" si="12"/>
        <v>-287</v>
      </c>
      <c r="L66" s="61">
        <f t="shared" si="12"/>
        <v>0</v>
      </c>
      <c r="M66" s="39">
        <f t="shared" si="12"/>
        <v>9.9999999983992893E-3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13133657.73</v>
      </c>
      <c r="F70" s="64">
        <f>('TIE-OUT'!L70+'TIE-OUT'!J70)+(RECLASS!J70+RECLASS!H70)</f>
        <v>0</v>
      </c>
      <c r="G70" s="68">
        <f>('TIE-OUT'!M70+'TIE-OUT'!K70)+(RECLASS!K70+RECLASS!I70)</f>
        <v>13133657.73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-5194257</v>
      </c>
      <c r="F71" s="81">
        <f>('TIE-OUT'!L71+'TIE-OUT'!J71)+(RECLASS!J71+RECLASS!H71)</f>
        <v>0</v>
      </c>
      <c r="G71" s="82">
        <f>('TIE-OUT'!M71+'TIE-OUT'!K71)+(RECLASS!K71+RECLASS!I71)</f>
        <v>-5194257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7939400.7300000004</v>
      </c>
      <c r="F72" s="61">
        <f t="shared" si="13"/>
        <v>0</v>
      </c>
      <c r="G72" s="39">
        <f t="shared" si="13"/>
        <v>7939400.7300000004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-6864622.4600000009</v>
      </c>
      <c r="F74" s="60">
        <f>('TIE-OUT'!L74+'TIE-OUT'!J74)+(RECLASS!J74+RECLASS!H74)</f>
        <v>0</v>
      </c>
      <c r="G74" s="60">
        <f>('TIE-OUT'!M74+'TIE-OUT'!K74)+(RECLASS!K74+RECLASS!I74)</f>
        <v>-25387118.350000001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18522495.890000001</v>
      </c>
      <c r="N74" s="60">
        <f>'EAST-EGM-GL'!N74+'EAST-LRC-GL'!N74</f>
        <v>0</v>
      </c>
      <c r="O74" s="38"/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323400</v>
      </c>
      <c r="F75" s="60">
        <f>('TIE-OUT'!L75+'TIE-OUT'!J75)+(RECLASS!J75+RECLASS!H75)</f>
        <v>0</v>
      </c>
      <c r="G75" s="60">
        <f>('TIE-OUT'!M75+'TIE-OUT'!K75)+(RECLASS!K75+RECLASS!I75)</f>
        <v>323400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-5528.49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-8979.5400000000009</v>
      </c>
      <c r="J76" s="60">
        <f>'EAST-EGM-GL'!J76+'EAST-LRC-GL'!J76</f>
        <v>0</v>
      </c>
      <c r="K76" s="38">
        <f>'EAST-EGM-GL'!K76+'EAST-LRC-GL'!K76</f>
        <v>-3678.71</v>
      </c>
      <c r="L76" s="60">
        <f>'EAST-EGM-GL'!L76+'EAST-LRC-GL'!L76</f>
        <v>0</v>
      </c>
      <c r="M76" s="38">
        <f>'EAST-EGM-GL'!M76+'EAST-LRC-GL'!M76</f>
        <v>7129.76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-2658334</v>
      </c>
      <c r="F77" s="60">
        <f>('TIE-OUT'!L77+'TIE-OUT'!J77)+(RECLASS!J77+RECLASS!H77)</f>
        <v>0</v>
      </c>
      <c r="G77" s="60">
        <f>('TIE-OUT'!M77+'TIE-OUT'!K77)+(RECLASS!K77+RECLASS!I77)</f>
        <v>-2658334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25279</v>
      </c>
      <c r="F78" s="60">
        <f>('TIE-OUT'!L78+'TIE-OUT'!J78)+(RECLASS!J78+RECLASS!H78)</f>
        <v>0</v>
      </c>
      <c r="G78" s="60">
        <f>('TIE-OUT'!M78+'TIE-OUT'!K78)+(RECLASS!K78+RECLASS!I78)</f>
        <v>25279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-0.41000000000349246</v>
      </c>
      <c r="F81" s="60">
        <f>('TIE-OUT'!L81+'TIE-OUT'!J81)+(RECLASS!J81+RECLASS!H81)</f>
        <v>0</v>
      </c>
      <c r="G81" s="60">
        <f>('TIE-OUT'!M81+'TIE-OUT'!K81)+(RECLASS!K81+RECLASS!I81)</f>
        <v>-226414</v>
      </c>
      <c r="H81" s="60">
        <f>'EAST-EGM-GL'!H81+'EAST-LRC-GL'!H81</f>
        <v>0</v>
      </c>
      <c r="I81" s="38">
        <f>'EAST-EGM-GL'!I81+'EAST-LRC-GL'!I81</f>
        <v>201134.56</v>
      </c>
      <c r="J81" s="60">
        <f>'EAST-EGM-GL'!J81+'EAST-LRC-GL'!J81</f>
        <v>0</v>
      </c>
      <c r="K81" s="38">
        <f>'EAST-EGM-GL'!K81+'EAST-LRC-GL'!K81</f>
        <v>25279.03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3583861.6279999427</v>
      </c>
      <c r="F82" s="91">
        <f>F16+F24+F29+F36+F43+F45+F47+F49</f>
        <v>0</v>
      </c>
      <c r="G82" s="92">
        <f>SUM(G72:G81)+G16+G24+G29+G36+G43+G45+G47+G49+G51+G56+G61+G66</f>
        <v>-38590042.200000003</v>
      </c>
      <c r="H82" s="91">
        <f>H16+H24+H29+H36+H43+H45+H47+H49</f>
        <v>0</v>
      </c>
      <c r="I82" s="92">
        <f>SUM(I72:I81)+I16+I24+I29+I36+I43+I45+I47+I49+I51+I56+I61+I66</f>
        <v>11431733.79499981</v>
      </c>
      <c r="J82" s="91">
        <f>J16+J24+J29+J36+J43+J45+J47+J49</f>
        <v>0</v>
      </c>
      <c r="K82" s="92">
        <f>SUM(K72:K81)+K16+K24+K29+K36+K43+K45+K47+K49+K51+K56+K61+K66</f>
        <v>5026058.7669999916</v>
      </c>
      <c r="L82" s="91">
        <f>L16+L24+L29+L36+L43+L45+L47+L49</f>
        <v>0</v>
      </c>
      <c r="M82" s="92">
        <f>SUM(M72:M81)+M16+M24+M29+M36+M43+M45+M47+M49+M51+M56+M61+M66</f>
        <v>19772828.977000002</v>
      </c>
      <c r="N82" s="91">
        <f>N16+N24+N29+N36+N43+N45+N47+N49</f>
        <v>0</v>
      </c>
      <c r="O82" s="92">
        <f>SUM(O72:O81)+O16+O24+O29+O36+O43+O45+O47+O49+O51+O56+O61+O66</f>
        <v>5943282.2889999999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E84" s="14">
        <f>+'EAST-LRC-GL'!E82+'EAST-EGM-GL'!E82</f>
        <v>3519652.4679999794</v>
      </c>
      <c r="G84" s="14">
        <f>+'EAST-LRC-GL'!G82+'EAST-EGM-GL'!G82</f>
        <v>-38590042.199999996</v>
      </c>
      <c r="I84" s="14">
        <f>+'EAST-LRC-GL'!I82+'EAST-EGM-GL'!I82</f>
        <v>11431733.794999858</v>
      </c>
      <c r="K84" s="14">
        <f>+'EAST-LRC-GL'!K82+'EAST-EGM-GL'!K82</f>
        <v>5026058.766999986</v>
      </c>
    </row>
    <row r="85" spans="1:77" x14ac:dyDescent="0.2">
      <c r="A85" s="4" t="s">
        <v>173</v>
      </c>
      <c r="B85" s="3"/>
      <c r="F85" s="31"/>
      <c r="G85" s="31"/>
      <c r="H85" s="31"/>
      <c r="I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477103</v>
      </c>
      <c r="F86" s="145">
        <f>'EAST-EGM-GL'!F86+'EAST-LRC-GL'!F86</f>
        <v>0</v>
      </c>
      <c r="G86" s="145">
        <f>'EAST-EGM-GL'!G86+'EAST-LRC-GL'!G86</f>
        <v>477103</v>
      </c>
      <c r="H86" s="145">
        <f>'EAST-EGM-GL'!H86+'EAST-LRC-GL'!H86</f>
        <v>0</v>
      </c>
      <c r="I86" s="145">
        <f>'EAST-EGM-GL'!I86+'EAST-LRC-GL'!I86</f>
        <v>0</v>
      </c>
      <c r="J86" s="145">
        <f>'EAST-EGM-GL'!J86+'EAST-LRC-GL'!J86</f>
        <v>0</v>
      </c>
      <c r="K86" s="145">
        <f>'EAST-EGM-GL'!K86+'EAST-LRC-GL'!K86</f>
        <v>0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'EAST-EGM-GL'!F87+'EAST-LRC-GL'!F87</f>
        <v>0</v>
      </c>
      <c r="G87" s="146">
        <f>'EAST-EGM-GL'!G87+'EAST-LRC-GL'!G87</f>
        <v>0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477103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</row>
    <row r="91" spans="1:77" s="127" customFormat="1" ht="20.25" customHeight="1" x14ac:dyDescent="0.2">
      <c r="A91" s="158"/>
      <c r="B91" s="159"/>
      <c r="C91" s="157" t="s">
        <v>172</v>
      </c>
      <c r="D91" s="160">
        <f>+D82+D89</f>
        <v>0</v>
      </c>
      <c r="E91" s="160">
        <f t="shared" ref="E91:M91" si="19">+E82+E89</f>
        <v>4060964.6279999427</v>
      </c>
      <c r="F91" s="160">
        <f t="shared" si="19"/>
        <v>0</v>
      </c>
      <c r="G91" s="160">
        <f t="shared" si="19"/>
        <v>-38112939.200000003</v>
      </c>
      <c r="H91" s="160">
        <f t="shared" si="19"/>
        <v>0</v>
      </c>
      <c r="I91" s="160">
        <f t="shared" si="19"/>
        <v>11431733.79499981</v>
      </c>
      <c r="J91" s="160">
        <f t="shared" si="19"/>
        <v>0</v>
      </c>
      <c r="K91" s="160">
        <f t="shared" si="19"/>
        <v>5026058.7669999916</v>
      </c>
      <c r="L91" s="160">
        <f t="shared" si="19"/>
        <v>0</v>
      </c>
      <c r="M91" s="160">
        <f t="shared" si="19"/>
        <v>19772828.977000002</v>
      </c>
      <c r="N91" s="160">
        <f t="shared" ref="N91:AE91" si="20">+N82+N89</f>
        <v>0</v>
      </c>
      <c r="O91" s="160">
        <f t="shared" si="20"/>
        <v>5943282.2889999999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O179"/>
  <sheetViews>
    <sheetView zoomScale="75" workbookViewId="0">
      <pane xSplit="3" ySplit="9" topLeftCell="E75" activePane="bottomRight" state="frozen"/>
      <selection activeCell="N31" sqref="N31"/>
      <selection pane="topRight" activeCell="N31" sqref="N31"/>
      <selection pane="bottomLeft" activeCell="N31" sqref="N31"/>
      <selection pane="bottomRight" activeCell="N31" sqref="N3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'TIE-OUT'!N11+RECLASS!L11</f>
        <v>0</v>
      </c>
      <c r="G11" s="38">
        <f>'TIE-OUT'!O11+RECLASS!M11</f>
        <v>0</v>
      </c>
      <c r="H11" s="118">
        <v>0</v>
      </c>
      <c r="I11" s="118">
        <v>0</v>
      </c>
      <c r="J11" s="118">
        <v>0</v>
      </c>
      <c r="K11" s="118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'TIE-OUT'!N12+RECLASS!L12</f>
        <v>0</v>
      </c>
      <c r="G12" s="38">
        <f>'TIE-OUT'!O12+RECLASS!M12</f>
        <v>0</v>
      </c>
      <c r="H12" s="118">
        <v>0</v>
      </c>
      <c r="I12" s="118">
        <v>0</v>
      </c>
      <c r="J12" s="118">
        <v>0</v>
      </c>
      <c r="K12" s="118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'TIE-OUT'!N13+RECLASS!L13</f>
        <v>0</v>
      </c>
      <c r="G13" s="38">
        <f>'TIE-OUT'!O13+RECLASS!M13</f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'TIE-OUT'!N14+RECLASS!L14</f>
        <v>0</v>
      </c>
      <c r="G14" s="38">
        <f>'TIE-OUT'!O14+RECLASS!M14</f>
        <v>0</v>
      </c>
      <c r="H14" s="118">
        <v>0</v>
      </c>
      <c r="I14" s="118">
        <v>0</v>
      </c>
      <c r="J14" s="118">
        <v>0</v>
      </c>
      <c r="K14" s="118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'TIE-OUT'!N15+RECLASS!L15</f>
        <v>0</v>
      </c>
      <c r="G15" s="82">
        <f>'TIE-OUT'!O15+RECLASS!M15</f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61">
        <f t="shared" si="1"/>
        <v>0</v>
      </c>
      <c r="J16" s="61">
        <f t="shared" ref="J16:AO16" si="2">SUM(J11:J15)</f>
        <v>0</v>
      </c>
      <c r="K16" s="61">
        <f t="shared" si="2"/>
        <v>0</v>
      </c>
      <c r="L16" s="61">
        <f t="shared" si="2"/>
        <v>0</v>
      </c>
      <c r="M16" s="61">
        <f t="shared" si="2"/>
        <v>0</v>
      </c>
      <c r="N16" s="61">
        <f>SUM(N11:N15)</f>
        <v>0</v>
      </c>
      <c r="O16" s="61">
        <f>SUM(O11:O15)</f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'TIE-OUT'!N19+RECLASS!L19</f>
        <v>0</v>
      </c>
      <c r="G19" s="68">
        <f>'TIE-OUT'!O19+RECLASS!M19</f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'TIE-OUT'!N20+RECLASS!L20</f>
        <v>0</v>
      </c>
      <c r="G20" s="38">
        <f>'TIE-OUT'!O20+RECLASS!M20</f>
        <v>0</v>
      </c>
      <c r="H20" s="118">
        <v>0</v>
      </c>
      <c r="I20" s="118">
        <v>0</v>
      </c>
      <c r="J20" s="118">
        <v>0</v>
      </c>
      <c r="K20" s="118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'TIE-OUT'!N21+RECLASS!L21</f>
        <v>0</v>
      </c>
      <c r="G21" s="38">
        <f>'TIE-OUT'!O21+RECLASS!M21</f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'TIE-OUT'!N22+RECLASS!L22</f>
        <v>0</v>
      </c>
      <c r="G22" s="38">
        <f>'TIE-OUT'!O22+RECLASS!M22</f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'TIE-OUT'!N23+RECLASS!L23</f>
        <v>0</v>
      </c>
      <c r="G23" s="82">
        <f>'TIE-OUT'!O23+RECLASS!M23</f>
        <v>0</v>
      </c>
      <c r="H23" s="118">
        <v>0</v>
      </c>
      <c r="I23" s="118">
        <v>0</v>
      </c>
      <c r="J23" s="118">
        <v>0</v>
      </c>
      <c r="K23" s="118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61">
        <f t="shared" si="4"/>
        <v>0</v>
      </c>
      <c r="J24" s="61">
        <f t="shared" ref="J24:AO24" si="5">SUM(J19:J23)</f>
        <v>0</v>
      </c>
      <c r="K24" s="61">
        <f t="shared" si="5"/>
        <v>0</v>
      </c>
      <c r="L24" s="61">
        <f t="shared" si="5"/>
        <v>0</v>
      </c>
      <c r="M24" s="61">
        <f t="shared" si="5"/>
        <v>0</v>
      </c>
      <c r="N24" s="61">
        <f>SUM(N19:N23)</f>
        <v>0</v>
      </c>
      <c r="O24" s="61">
        <f>SUM(O19:O23)</f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'TIE-OUT'!N27+RECLASS!L27</f>
        <v>0</v>
      </c>
      <c r="G27" s="68">
        <f>'TIE-OUT'!O27+RECLASS!M27</f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'TIE-OUT'!N28+RECLASS!L28</f>
        <v>0</v>
      </c>
      <c r="G28" s="82">
        <f>'TIE-OUT'!O28+RECLASS!M28</f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61">
        <f t="shared" si="6"/>
        <v>0</v>
      </c>
      <c r="J29" s="61">
        <f t="shared" ref="J29:AO29" si="7">SUM(J27:J28)</f>
        <v>0</v>
      </c>
      <c r="K29" s="61">
        <f t="shared" si="7"/>
        <v>0</v>
      </c>
      <c r="L29" s="61">
        <f t="shared" si="7"/>
        <v>0</v>
      </c>
      <c r="M29" s="61">
        <f t="shared" si="7"/>
        <v>0</v>
      </c>
      <c r="N29" s="61">
        <f>SUM(N27:N28)</f>
        <v>0</v>
      </c>
      <c r="O29" s="61">
        <f>SUM(O27:O28)</f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'TIE-OUT'!N32+RECLASS!L32</f>
        <v>0</v>
      </c>
      <c r="G32" s="68">
        <f>'TIE-OUT'!O32+RECLASS!M32</f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'TIE-OUT'!N33+RECLASS!L33</f>
        <v>0</v>
      </c>
      <c r="G33" s="38">
        <f>'TIE-OUT'!O33+RECLASS!M33</f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'TIE-OUT'!N34+RECLASS!L34</f>
        <v>0</v>
      </c>
      <c r="G34" s="38">
        <f>'TIE-OUT'!O34+RECLASS!M34</f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'TIE-OUT'!N35+RECLASS!L35</f>
        <v>0</v>
      </c>
      <c r="G35" s="82">
        <f>'TIE-OUT'!O35+RECLASS!M35</f>
        <v>0</v>
      </c>
      <c r="H35" s="118">
        <v>0</v>
      </c>
      <c r="I35" s="118">
        <v>0</v>
      </c>
      <c r="J35" s="118">
        <v>0</v>
      </c>
      <c r="K35" s="118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61">
        <f t="shared" si="9"/>
        <v>0</v>
      </c>
      <c r="J36" s="61">
        <f t="shared" ref="J36:AO36" si="10">SUM(J32:J35)</f>
        <v>0</v>
      </c>
      <c r="K36" s="61">
        <f t="shared" si="10"/>
        <v>0</v>
      </c>
      <c r="L36" s="61">
        <f t="shared" si="10"/>
        <v>0</v>
      </c>
      <c r="M36" s="61">
        <f t="shared" si="10"/>
        <v>0</v>
      </c>
      <c r="N36" s="61">
        <f>SUM(N32:N35)</f>
        <v>0</v>
      </c>
      <c r="O36" s="61">
        <f>SUM(O32:O35)</f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'TIE-OUT'!N39+RECLASS!L39</f>
        <v>0</v>
      </c>
      <c r="G39" s="68">
        <f>'TIE-OUT'!O39+RECLASS!M39</f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'TIE-OUT'!N40+RECLASS!L40</f>
        <v>0</v>
      </c>
      <c r="G40" s="38">
        <f>'TIE-OUT'!O40+RECLASS!M40</f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'TIE-OUT'!N41+RECLASS!L41</f>
        <v>0</v>
      </c>
      <c r="G41" s="82">
        <f>'TIE-OUT'!O41+RECLASS!M41</f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61">
        <f t="shared" si="12"/>
        <v>0</v>
      </c>
      <c r="J42" s="61">
        <f t="shared" ref="J42:AO42" si="13">SUM(J40:J41)</f>
        <v>0</v>
      </c>
      <c r="K42" s="61">
        <f t="shared" si="13"/>
        <v>0</v>
      </c>
      <c r="L42" s="61">
        <f t="shared" si="13"/>
        <v>0</v>
      </c>
      <c r="M42" s="61">
        <f t="shared" si="13"/>
        <v>0</v>
      </c>
      <c r="N42" s="61">
        <f>SUM(N40:N41)</f>
        <v>0</v>
      </c>
      <c r="O42" s="61">
        <f>SUM(O40:O41)</f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61">
        <f t="shared" si="14"/>
        <v>0</v>
      </c>
      <c r="J43" s="61">
        <f t="shared" ref="J43:AO43" si="15">J42+J39</f>
        <v>0</v>
      </c>
      <c r="K43" s="61">
        <f t="shared" si="15"/>
        <v>0</v>
      </c>
      <c r="L43" s="61">
        <f t="shared" si="15"/>
        <v>0</v>
      </c>
      <c r="M43" s="61">
        <f t="shared" si="15"/>
        <v>0</v>
      </c>
      <c r="N43" s="61">
        <f>N42+N39</f>
        <v>0</v>
      </c>
      <c r="O43" s="61">
        <f>O42+O39</f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'TIE-OUT'!N45+RECLASS!L45</f>
        <v>0</v>
      </c>
      <c r="G45" s="68">
        <f>'TIE-OUT'!O45+RECLASS!M45</f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'TIE-OUT'!N47+RECLASS!L47</f>
        <v>0</v>
      </c>
      <c r="G47" s="38">
        <f>'TIE-OUT'!O47+RECLASS!M47</f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'TIE-OUT'!N49+RECLASS!L49</f>
        <v>0</v>
      </c>
      <c r="G49" s="38">
        <f>'TIE-OUT'!O49+RECLASS!M49</f>
        <v>0</v>
      </c>
      <c r="H49" s="118">
        <v>0</v>
      </c>
      <c r="I49" s="118">
        <v>0</v>
      </c>
      <c r="J49" s="118">
        <v>0</v>
      </c>
      <c r="K49" s="118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'TIE-OUT'!N51+RECLASS!L51</f>
        <v>0</v>
      </c>
      <c r="G51" s="38">
        <f>'TIE-OUT'!O51+RECLASS!M51</f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'TIE-OUT'!N54+RECLASS!L54</f>
        <v>0</v>
      </c>
      <c r="G54" s="68">
        <f>'TIE-OUT'!O54+RECLASS!M54</f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'TIE-OUT'!N55+RECLASS!L55</f>
        <v>0</v>
      </c>
      <c r="G55" s="82">
        <f>'TIE-OUT'!O55+RECLASS!M55</f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61">
        <f t="shared" si="16"/>
        <v>0</v>
      </c>
      <c r="J56" s="61">
        <f t="shared" ref="J56:AO56" si="17">SUM(J54:J55)</f>
        <v>0</v>
      </c>
      <c r="K56" s="61">
        <f t="shared" si="17"/>
        <v>0</v>
      </c>
      <c r="L56" s="61">
        <f t="shared" si="17"/>
        <v>0</v>
      </c>
      <c r="M56" s="61">
        <f t="shared" si="17"/>
        <v>0</v>
      </c>
      <c r="N56" s="61">
        <f>SUM(N54:N55)</f>
        <v>0</v>
      </c>
      <c r="O56" s="61">
        <f>SUM(O54:O55)</f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'TIE-OUT'!N59+RECLASS!L59</f>
        <v>0</v>
      </c>
      <c r="G59" s="68">
        <f>'TIE-OUT'!O59+RECLASS!M59</f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'TIE-OUT'!N60+RECLASS!L60</f>
        <v>0</v>
      </c>
      <c r="G60" s="82">
        <f>'TIE-OUT'!O60+RECLASS!M60</f>
        <v>0</v>
      </c>
      <c r="H60" s="118">
        <v>0</v>
      </c>
      <c r="I60" s="118">
        <v>0</v>
      </c>
      <c r="J60" s="118">
        <v>0</v>
      </c>
      <c r="K60" s="118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61">
        <f t="shared" si="18"/>
        <v>0</v>
      </c>
      <c r="J61" s="61">
        <f t="shared" ref="J61:AO61" si="19">SUM(J59:J60)</f>
        <v>0</v>
      </c>
      <c r="K61" s="61">
        <f t="shared" si="19"/>
        <v>0</v>
      </c>
      <c r="L61" s="61">
        <f t="shared" si="19"/>
        <v>0</v>
      </c>
      <c r="M61" s="61">
        <f t="shared" si="19"/>
        <v>0</v>
      </c>
      <c r="N61" s="61">
        <f>SUM(N59:N60)</f>
        <v>0</v>
      </c>
      <c r="O61" s="61">
        <f>SUM(O59:O60)</f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'TIE-OUT'!N64+RECLASS!L64</f>
        <v>0</v>
      </c>
      <c r="G64" s="68">
        <f>'TIE-OUT'!O64+RECLASS!M64</f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'TIE-OUT'!N65+RECLASS!L65</f>
        <v>0</v>
      </c>
      <c r="G65" s="82">
        <f>'TIE-OUT'!O65+RECLASS!M65</f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61">
        <f t="shared" si="20"/>
        <v>0</v>
      </c>
      <c r="J66" s="61">
        <f t="shared" ref="J66:AO66" si="21">SUM(J64:J65)</f>
        <v>0</v>
      </c>
      <c r="K66" s="61">
        <f t="shared" si="21"/>
        <v>0</v>
      </c>
      <c r="L66" s="61">
        <f t="shared" si="21"/>
        <v>0</v>
      </c>
      <c r="M66" s="61">
        <f t="shared" si="21"/>
        <v>0</v>
      </c>
      <c r="N66" s="61">
        <f>SUM(N64:N65)</f>
        <v>0</v>
      </c>
      <c r="O66" s="61">
        <f>SUM(O64:O65)</f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'TIE-OUT'!N70+RECLASS!L70</f>
        <v>0</v>
      </c>
      <c r="G70" s="68">
        <f>'TIE-OUT'!O70+RECLASS!M70</f>
        <v>0</v>
      </c>
      <c r="H70" s="118">
        <v>0</v>
      </c>
      <c r="I70" s="118">
        <v>0</v>
      </c>
      <c r="J70" s="118">
        <v>0</v>
      </c>
      <c r="K70" s="118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'TIE-OUT'!N71+RECLASS!L71</f>
        <v>0</v>
      </c>
      <c r="G71" s="82">
        <f>'TIE-OUT'!O71+RECLASS!M71</f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61">
        <f t="shared" si="22"/>
        <v>0</v>
      </c>
      <c r="J72" s="61">
        <f t="shared" ref="J72:AO72" si="23">SUM(J70:J71)</f>
        <v>0</v>
      </c>
      <c r="K72" s="61">
        <f t="shared" si="23"/>
        <v>0</v>
      </c>
      <c r="L72" s="61">
        <f t="shared" si="23"/>
        <v>0</v>
      </c>
      <c r="M72" s="61">
        <f t="shared" si="23"/>
        <v>0</v>
      </c>
      <c r="N72" s="61">
        <f>SUM(N70:N71)</f>
        <v>0</v>
      </c>
      <c r="O72" s="61">
        <f>SUM(O70:O71)</f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'TIE-OUT'!N73+RECLASS!L73</f>
        <v>0</v>
      </c>
      <c r="G73" s="60">
        <f>'TIE-OUT'!O73+RECLASS!M73</f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'TIE-OUT'!N74+RECLASS!L74</f>
        <v>0</v>
      </c>
      <c r="G74" s="60">
        <f>'TIE-OUT'!O74+RECLASS!M74</f>
        <v>0</v>
      </c>
      <c r="H74" s="118">
        <v>0</v>
      </c>
      <c r="I74" s="118">
        <v>0</v>
      </c>
      <c r="J74" s="118">
        <v>0</v>
      </c>
      <c r="K74" s="118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'TIE-OUT'!N75+RECLASS!L75</f>
        <v>0</v>
      </c>
      <c r="G75" s="60">
        <f>'TIE-OUT'!O75+RECLASS!M75</f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'TIE-OUT'!N76+RECLASS!L76</f>
        <v>0</v>
      </c>
      <c r="G76" s="60">
        <f>'TIE-OUT'!O76+RECLASS!M76</f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'TIE-OUT'!N77+RECLASS!L77</f>
        <v>0</v>
      </c>
      <c r="G77" s="60">
        <f>'TIE-OUT'!O77+RECLASS!M77</f>
        <v>0</v>
      </c>
      <c r="H77" s="118">
        <v>0</v>
      </c>
      <c r="I77" s="118">
        <v>0</v>
      </c>
      <c r="J77" s="118">
        <v>0</v>
      </c>
      <c r="K77" s="118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'TIE-OUT'!N78+RECLASS!L78</f>
        <v>0</v>
      </c>
      <c r="G78" s="60">
        <f>'TIE-OUT'!O78+RECLASS!M78</f>
        <v>0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'TIE-OUT'!N79+RECLASS!L79</f>
        <v>0</v>
      </c>
      <c r="G79" s="60">
        <f>'TIE-OUT'!O79+RECLASS!M79</f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'TIE-OUT'!N80+RECLASS!L80</f>
        <v>0</v>
      </c>
      <c r="G80" s="60">
        <f>'TIE-OUT'!O80+RECLASS!M80</f>
        <v>0</v>
      </c>
      <c r="H80" s="118">
        <v>0</v>
      </c>
      <c r="I80" s="118">
        <v>0</v>
      </c>
      <c r="J80" s="118">
        <v>0</v>
      </c>
      <c r="K80" s="118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'TIE-OUT'!N81+RECLASS!L81</f>
        <v>0</v>
      </c>
      <c r="G81" s="60">
        <f>'TIE-OUT'!O81+RECLASS!M81</f>
        <v>0</v>
      </c>
      <c r="H81" s="118">
        <v>0</v>
      </c>
      <c r="I81" s="118">
        <v>0</v>
      </c>
      <c r="J81" s="118">
        <v>0</v>
      </c>
      <c r="K81" s="118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55" sqref="O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17436162</v>
      </c>
      <c r="E11" s="38">
        <f>SUM(G11,I11,K11,M11,O11,Q11,S11,U11,W11,Y11,AA11,AC11,AE11)</f>
        <v>46261926.950000003</v>
      </c>
      <c r="F11" s="60">
        <f>'TIE-OUT'!V11+RECLASS!T11</f>
        <v>0</v>
      </c>
      <c r="G11" s="38">
        <f>'TIE-OUT'!W11+RECLASS!U11</f>
        <v>0</v>
      </c>
      <c r="H11" s="118">
        <f>+Actuals!E444</f>
        <v>17351815</v>
      </c>
      <c r="I11" s="119">
        <f>+Actuals!F444</f>
        <v>44535953.909999996</v>
      </c>
      <c r="J11" s="118">
        <f>+Actuals!G444</f>
        <v>34669</v>
      </c>
      <c r="K11" s="119">
        <f>+Actuals!H444</f>
        <v>59569.52</v>
      </c>
      <c r="L11" s="118">
        <f>+Actuals!I444</f>
        <v>-20609</v>
      </c>
      <c r="M11" s="119">
        <f>+Actuals!J444</f>
        <v>1517667.59</v>
      </c>
      <c r="N11" s="118">
        <f>+Actuals!K444</f>
        <v>70287</v>
      </c>
      <c r="O11" s="119">
        <f>+Actuals!L444</f>
        <v>148735.93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-6244446.9299999997</v>
      </c>
      <c r="F12" s="60">
        <f>'TIE-OUT'!V12+RECLASS!T12</f>
        <v>0</v>
      </c>
      <c r="G12" s="38">
        <f>'TIE-OUT'!W12+RECLASS!U12</f>
        <v>-6216367.9299999997</v>
      </c>
      <c r="H12" s="118">
        <f>+Actuals!E445</f>
        <v>0</v>
      </c>
      <c r="I12" s="119">
        <f>+Actuals!F445</f>
        <v>0</v>
      </c>
      <c r="J12" s="118">
        <f>+Actuals!G445</f>
        <v>0</v>
      </c>
      <c r="K12" s="215">
        <f>+Actuals!H445-28079</f>
        <v>-28079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1475282</v>
      </c>
      <c r="E13" s="38">
        <f t="shared" si="0"/>
        <v>3402547</v>
      </c>
      <c r="F13" s="60">
        <f>'TIE-OUT'!V13+RECLASS!T13</f>
        <v>0</v>
      </c>
      <c r="G13" s="38">
        <f>'TIE-OUT'!W13+RECLASS!U13</f>
        <v>0</v>
      </c>
      <c r="H13" s="118">
        <f>+Actuals!E446</f>
        <v>11332509</v>
      </c>
      <c r="I13" s="119">
        <f>+Actuals!F446</f>
        <v>26371437</v>
      </c>
      <c r="J13" s="118">
        <f>+Actuals!G446</f>
        <v>-9857227</v>
      </c>
      <c r="K13" s="119">
        <f>+Actuals!H446</f>
        <v>-22968890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f>+Actuals!E447</f>
        <v>0</v>
      </c>
      <c r="I14" s="119">
        <f>+Actuals!F447</f>
        <v>0</v>
      </c>
      <c r="J14" s="118">
        <f>+Actuals!G447</f>
        <v>0</v>
      </c>
      <c r="K14" s="119">
        <f>+Actuals!H447</f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2491160</v>
      </c>
      <c r="F15" s="81">
        <f>'TIE-OUT'!V15+RECLASS!T15</f>
        <v>0</v>
      </c>
      <c r="G15" s="82">
        <f>'TIE-OUT'!W15+RECLASS!U15</f>
        <v>0</v>
      </c>
      <c r="H15" s="118">
        <f>+Actuals!E448</f>
        <v>0</v>
      </c>
      <c r="I15" s="119">
        <f>+Actuals!F448</f>
        <v>2498660</v>
      </c>
      <c r="J15" s="118">
        <f>+Actuals!G448</f>
        <v>0</v>
      </c>
      <c r="K15" s="119">
        <f>+Actuals!H448</f>
        <v>-7500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18911444</v>
      </c>
      <c r="E16" s="39">
        <f t="shared" si="1"/>
        <v>45911187.020000003</v>
      </c>
      <c r="F16" s="61">
        <f t="shared" si="1"/>
        <v>0</v>
      </c>
      <c r="G16" s="39">
        <f t="shared" si="1"/>
        <v>-6216367.9299999997</v>
      </c>
      <c r="H16" s="61">
        <f t="shared" si="1"/>
        <v>28684324</v>
      </c>
      <c r="I16" s="39">
        <f t="shared" si="1"/>
        <v>73406050.909999996</v>
      </c>
      <c r="J16" s="61">
        <f t="shared" ref="J16:AO16" si="2">SUM(J11:J15)</f>
        <v>-9822558</v>
      </c>
      <c r="K16" s="39">
        <f t="shared" si="2"/>
        <v>-22944899.48</v>
      </c>
      <c r="L16" s="61">
        <f t="shared" si="2"/>
        <v>-20609</v>
      </c>
      <c r="M16" s="39">
        <f t="shared" si="2"/>
        <v>1517667.59</v>
      </c>
      <c r="N16" s="61">
        <f>SUM(N11:N15)</f>
        <v>70287</v>
      </c>
      <c r="O16" s="39">
        <f>SUM(O11:O15)</f>
        <v>148735.93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-4563404</v>
      </c>
      <c r="E19" s="38">
        <f t="shared" si="3"/>
        <v>-10284723.299999999</v>
      </c>
      <c r="F19" s="64">
        <f>'TIE-OUT'!V19+RECLASS!T19</f>
        <v>0</v>
      </c>
      <c r="G19" s="68">
        <f>'TIE-OUT'!W19+RECLASS!U19</f>
        <v>0</v>
      </c>
      <c r="H19" s="118">
        <f>+Actuals!E449</f>
        <v>-4128498</v>
      </c>
      <c r="I19" s="119">
        <f>+Actuals!F449</f>
        <v>-9292599.4399999995</v>
      </c>
      <c r="J19" s="118">
        <f>+Actuals!G449</f>
        <v>-215827</v>
      </c>
      <c r="K19" s="119">
        <f>+Actuals!H449</f>
        <v>-509657.66</v>
      </c>
      <c r="L19" s="118">
        <f>+Actuals!I449</f>
        <v>-111862</v>
      </c>
      <c r="M19" s="119">
        <f>+Actuals!J449</f>
        <v>-233753.79</v>
      </c>
      <c r="N19" s="118">
        <f>+Actuals!K449</f>
        <v>-107217</v>
      </c>
      <c r="O19" s="119">
        <f>+Actuals!L449</f>
        <v>-248712.41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1843371.23</v>
      </c>
      <c r="F20" s="60">
        <f>'TIE-OUT'!V20+RECLASS!T20</f>
        <v>0</v>
      </c>
      <c r="G20" s="38">
        <f>'TIE-OUT'!W20+RECLASS!U20</f>
        <v>1882156.23</v>
      </c>
      <c r="H20" s="118">
        <f>+Actuals!E450</f>
        <v>0</v>
      </c>
      <c r="I20" s="119">
        <f>+Actuals!F450</f>
        <v>0</v>
      </c>
      <c r="J20" s="118">
        <f>+Actuals!G450</f>
        <v>0</v>
      </c>
      <c r="K20" s="215">
        <v>0</v>
      </c>
      <c r="L20" s="118">
        <f>+Actuals!I450</f>
        <v>0</v>
      </c>
      <c r="M20" s="215">
        <f>+Actuals!J450-38785</f>
        <v>-38785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-139069</v>
      </c>
      <c r="E21" s="38">
        <f t="shared" si="3"/>
        <v>-296117</v>
      </c>
      <c r="F21" s="60">
        <f>'TIE-OUT'!V21+RECLASS!T21</f>
        <v>0</v>
      </c>
      <c r="G21" s="38">
        <f>'TIE-OUT'!W21+RECLASS!U21</f>
        <v>0</v>
      </c>
      <c r="H21" s="118">
        <f>+Actuals!E451</f>
        <v>-9997007</v>
      </c>
      <c r="I21" s="119">
        <f>+Actuals!F451</f>
        <v>-23266574</v>
      </c>
      <c r="J21" s="118">
        <f>+Actuals!G451</f>
        <v>9857938</v>
      </c>
      <c r="K21" s="119">
        <f>+Actuals!H451</f>
        <v>22970457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f>+Actuals!E452</f>
        <v>0</v>
      </c>
      <c r="I22" s="119">
        <f>+Actuals!F452</f>
        <v>0</v>
      </c>
      <c r="J22" s="118">
        <f>+Actuals!G452</f>
        <v>0</v>
      </c>
      <c r="K22" s="119">
        <f>+Actuals!H452</f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13806</v>
      </c>
      <c r="E23" s="38">
        <f t="shared" si="3"/>
        <v>31381.038</v>
      </c>
      <c r="F23" s="81">
        <f>'TIE-OUT'!V23+RECLASS!T23</f>
        <v>0</v>
      </c>
      <c r="G23" s="82">
        <f>'TIE-OUT'!W23+RECLASS!U23</f>
        <v>0</v>
      </c>
      <c r="H23" s="118">
        <f>+Actuals!E453</f>
        <v>12946</v>
      </c>
      <c r="I23" s="119">
        <f>+Actuals!F453</f>
        <v>29426.258000000002</v>
      </c>
      <c r="J23" s="118">
        <f>+Actuals!G453</f>
        <v>860</v>
      </c>
      <c r="K23" s="119">
        <f>+Actuals!H453</f>
        <v>1954.78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-4688667</v>
      </c>
      <c r="E24" s="39">
        <f t="shared" si="4"/>
        <v>-8706088.0319999978</v>
      </c>
      <c r="F24" s="61">
        <f t="shared" si="4"/>
        <v>0</v>
      </c>
      <c r="G24" s="39">
        <f t="shared" si="4"/>
        <v>1882156.23</v>
      </c>
      <c r="H24" s="61">
        <f t="shared" si="4"/>
        <v>-14112559</v>
      </c>
      <c r="I24" s="39">
        <f t="shared" si="4"/>
        <v>-32529747.181999996</v>
      </c>
      <c r="J24" s="61">
        <f t="shared" ref="J24:AO24" si="5">SUM(J19:J23)</f>
        <v>9642971</v>
      </c>
      <c r="K24" s="39">
        <f t="shared" si="5"/>
        <v>22462754.120000001</v>
      </c>
      <c r="L24" s="61">
        <f t="shared" si="5"/>
        <v>-111862</v>
      </c>
      <c r="M24" s="39">
        <f t="shared" si="5"/>
        <v>-272538.79000000004</v>
      </c>
      <c r="N24" s="61">
        <f>SUM(N19:N23)</f>
        <v>-107217</v>
      </c>
      <c r="O24" s="39">
        <f>SUM(O19:O23)</f>
        <v>-248712.41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6599514</v>
      </c>
      <c r="E27" s="38">
        <f>SUM(G27,I27,K27,M27,O27,Q27,S27,U27,W27,Y27,AA27,AC27,AE27)</f>
        <v>15744279.02</v>
      </c>
      <c r="F27" s="64">
        <f>'TIE-OUT'!V27+RECLASS!T27</f>
        <v>0</v>
      </c>
      <c r="G27" s="68">
        <f>'TIE-OUT'!W27+RECLASS!U27</f>
        <v>0</v>
      </c>
      <c r="H27" s="118">
        <f>+Actuals!E454</f>
        <v>6450055</v>
      </c>
      <c r="I27" s="119">
        <f>+Actuals!F454</f>
        <v>16394383.42</v>
      </c>
      <c r="J27" s="118">
        <f>+Actuals!G454</f>
        <v>16073</v>
      </c>
      <c r="K27" s="119">
        <f>+Actuals!H454</f>
        <v>-976463.09</v>
      </c>
      <c r="L27" s="118">
        <f>+Actuals!I454</f>
        <v>70908</v>
      </c>
      <c r="M27" s="119">
        <f>+Actuals!J454</f>
        <v>177502.15</v>
      </c>
      <c r="N27" s="118">
        <f>+Actuals!K454</f>
        <v>62478</v>
      </c>
      <c r="O27" s="119">
        <f>+Actuals!L454</f>
        <v>148856.54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-19804360</v>
      </c>
      <c r="E28" s="38">
        <f>SUM(G28,I28,K28,M28,O28,Q28,S28,U28,W28,Y28,AA28,AC28,AE28)</f>
        <v>-45186991.870000005</v>
      </c>
      <c r="F28" s="81">
        <f>'TIE-OUT'!V28+RECLASS!T28</f>
        <v>0</v>
      </c>
      <c r="G28" s="82">
        <f>'TIE-OUT'!W28+RECLASS!U28</f>
        <v>0</v>
      </c>
      <c r="H28" s="118">
        <f>+Actuals!E455</f>
        <v>-11229972</v>
      </c>
      <c r="I28" s="119">
        <f>+Actuals!F455</f>
        <v>-24334015.760000002</v>
      </c>
      <c r="J28" s="118">
        <f>+Actuals!G455</f>
        <v>-8916073</v>
      </c>
      <c r="K28" s="119">
        <f>+Actuals!H455</f>
        <v>-21661192.199999999</v>
      </c>
      <c r="L28" s="118">
        <f>+Actuals!I455</f>
        <v>329988</v>
      </c>
      <c r="M28" s="119">
        <f>+Actuals!J455</f>
        <v>778867.19</v>
      </c>
      <c r="N28" s="118">
        <f>+Actuals!K455</f>
        <v>11697</v>
      </c>
      <c r="O28" s="119">
        <f>+Actuals!L455</f>
        <v>29348.9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-13204846</v>
      </c>
      <c r="E29" s="39">
        <f t="shared" si="6"/>
        <v>-29442712.850000005</v>
      </c>
      <c r="F29" s="61">
        <f t="shared" si="6"/>
        <v>0</v>
      </c>
      <c r="G29" s="39">
        <f t="shared" si="6"/>
        <v>0</v>
      </c>
      <c r="H29" s="61">
        <f t="shared" si="6"/>
        <v>-4779917</v>
      </c>
      <c r="I29" s="39">
        <f t="shared" si="6"/>
        <v>-7939632.3400000017</v>
      </c>
      <c r="J29" s="61">
        <f t="shared" ref="J29:AO29" si="7">SUM(J27:J28)</f>
        <v>-8900000</v>
      </c>
      <c r="K29" s="39">
        <f t="shared" si="7"/>
        <v>-22637655.289999999</v>
      </c>
      <c r="L29" s="61">
        <f t="shared" si="7"/>
        <v>400896</v>
      </c>
      <c r="M29" s="39">
        <f t="shared" si="7"/>
        <v>956369.34</v>
      </c>
      <c r="N29" s="61">
        <f>SUM(N27:N28)</f>
        <v>74175</v>
      </c>
      <c r="O29" s="39">
        <f>SUM(O27:O28)</f>
        <v>178205.44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-22693</v>
      </c>
      <c r="E32" s="38">
        <f t="shared" si="8"/>
        <v>-51581.18899999815</v>
      </c>
      <c r="F32" s="64">
        <f>'TIE-OUT'!V32+RECLASS!T32</f>
        <v>0</v>
      </c>
      <c r="G32" s="68">
        <f>'TIE-OUT'!W32+RECLASS!U32</f>
        <v>0</v>
      </c>
      <c r="H32" s="118">
        <f>+Actuals!E456</f>
        <v>-9731818</v>
      </c>
      <c r="I32" s="119">
        <f>+Actuals!F456</f>
        <v>-22120422.313999999</v>
      </c>
      <c r="J32" s="118">
        <f>+Actuals!G456</f>
        <v>9729276</v>
      </c>
      <c r="K32" s="119">
        <f>+Actuals!H456</f>
        <v>22114644.348000001</v>
      </c>
      <c r="L32" s="118">
        <f>+Actuals!I456</f>
        <v>-20151</v>
      </c>
      <c r="M32" s="119">
        <f>+Actuals!J456</f>
        <v>-45803.222999999998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f>+Actuals!E457</f>
        <v>0</v>
      </c>
      <c r="I33" s="119">
        <f>+Actuals!F457</f>
        <v>0</v>
      </c>
      <c r="J33" s="118">
        <f>+Actuals!G457</f>
        <v>0</v>
      </c>
      <c r="K33" s="119">
        <f>+Actuals!H457</f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f>+Actuals!E458</f>
        <v>0</v>
      </c>
      <c r="I34" s="119">
        <f>+Actuals!F458</f>
        <v>0</v>
      </c>
      <c r="J34" s="118">
        <f>+Actuals!G458</f>
        <v>0</v>
      </c>
      <c r="K34" s="119">
        <f>+Actuals!H458</f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f>+Actuals!E459</f>
        <v>0</v>
      </c>
      <c r="I35" s="119">
        <f>+Actuals!F459</f>
        <v>0</v>
      </c>
      <c r="J35" s="118">
        <f>+Actuals!G459</f>
        <v>0</v>
      </c>
      <c r="K35" s="119">
        <f>+Actuals!H459</f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-22693</v>
      </c>
      <c r="E36" s="39">
        <f t="shared" si="9"/>
        <v>-51581.18899999815</v>
      </c>
      <c r="F36" s="61">
        <f t="shared" si="9"/>
        <v>0</v>
      </c>
      <c r="G36" s="39">
        <f t="shared" si="9"/>
        <v>0</v>
      </c>
      <c r="H36" s="61">
        <f t="shared" si="9"/>
        <v>-9731818</v>
      </c>
      <c r="I36" s="39">
        <f t="shared" si="9"/>
        <v>-22120422.313999999</v>
      </c>
      <c r="J36" s="61">
        <f t="shared" ref="J36:AO36" si="10">SUM(J32:J35)</f>
        <v>9729276</v>
      </c>
      <c r="K36" s="39">
        <f t="shared" si="10"/>
        <v>22114644.348000001</v>
      </c>
      <c r="L36" s="61">
        <f t="shared" si="10"/>
        <v>-20151</v>
      </c>
      <c r="M36" s="39">
        <f t="shared" si="10"/>
        <v>-45803.222999999998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f>+Actuals!E460</f>
        <v>0</v>
      </c>
      <c r="I39" s="119">
        <f>+Actuals!F460</f>
        <v>0</v>
      </c>
      <c r="J39" s="118">
        <f>+Actuals!G460</f>
        <v>0</v>
      </c>
      <c r="K39" s="119">
        <f>+Actuals!H460</f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-969922</v>
      </c>
      <c r="E40" s="38">
        <f t="shared" si="11"/>
        <v>-4110436.89</v>
      </c>
      <c r="F40" s="60">
        <f>'TIE-OUT'!V40+RECLASS!T40</f>
        <v>0</v>
      </c>
      <c r="G40" s="38">
        <f>'TIE-OUT'!W40+RECLASS!U40</f>
        <v>0</v>
      </c>
      <c r="H40" s="118">
        <f>+Actuals!E461</f>
        <v>-140000</v>
      </c>
      <c r="I40" s="119">
        <f>+Actuals!F461</f>
        <v>-299275.48</v>
      </c>
      <c r="J40" s="118">
        <f>+Actuals!G461</f>
        <v>-624794</v>
      </c>
      <c r="K40" s="119">
        <f>+Actuals!H461</f>
        <v>-2870676.72</v>
      </c>
      <c r="L40" s="118">
        <f>+Actuals!I461</f>
        <v>-205128</v>
      </c>
      <c r="M40" s="119">
        <f>+Actuals!J461</f>
        <v>-940484.69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f>+Actuals!E462</f>
        <v>0</v>
      </c>
      <c r="I41" s="119">
        <f>+Actuals!F462</f>
        <v>0</v>
      </c>
      <c r="J41" s="118">
        <f>+Actuals!G462</f>
        <v>0</v>
      </c>
      <c r="K41" s="119">
        <f>+Actuals!H462</f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-969922</v>
      </c>
      <c r="E42" s="39">
        <f t="shared" si="12"/>
        <v>-4110436.89</v>
      </c>
      <c r="F42" s="61">
        <f t="shared" si="12"/>
        <v>0</v>
      </c>
      <c r="G42" s="39">
        <f t="shared" si="12"/>
        <v>0</v>
      </c>
      <c r="H42" s="61">
        <f t="shared" si="12"/>
        <v>-140000</v>
      </c>
      <c r="I42" s="39">
        <f t="shared" si="12"/>
        <v>-299275.48</v>
      </c>
      <c r="J42" s="61">
        <f t="shared" ref="J42:AO42" si="13">SUM(J40:J41)</f>
        <v>-624794</v>
      </c>
      <c r="K42" s="39">
        <f t="shared" si="13"/>
        <v>-2870676.72</v>
      </c>
      <c r="L42" s="61">
        <f t="shared" si="13"/>
        <v>-205128</v>
      </c>
      <c r="M42" s="39">
        <f t="shared" si="13"/>
        <v>-940484.69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-969922</v>
      </c>
      <c r="E43" s="39">
        <f t="shared" si="14"/>
        <v>-4110436.89</v>
      </c>
      <c r="F43" s="61">
        <f t="shared" si="14"/>
        <v>0</v>
      </c>
      <c r="G43" s="39">
        <f t="shared" si="14"/>
        <v>0</v>
      </c>
      <c r="H43" s="61">
        <f t="shared" si="14"/>
        <v>-140000</v>
      </c>
      <c r="I43" s="39">
        <f t="shared" si="14"/>
        <v>-299275.48</v>
      </c>
      <c r="J43" s="61">
        <f t="shared" ref="J43:AO43" si="15">J42+J39</f>
        <v>-624794</v>
      </c>
      <c r="K43" s="39">
        <f t="shared" si="15"/>
        <v>-2870676.72</v>
      </c>
      <c r="L43" s="61">
        <f t="shared" si="15"/>
        <v>-205128</v>
      </c>
      <c r="M43" s="39">
        <f t="shared" si="15"/>
        <v>-940484.69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f>+Actuals!E463</f>
        <v>0</v>
      </c>
      <c r="I45" s="119">
        <f>+Actuals!F463</f>
        <v>0</v>
      </c>
      <c r="J45" s="118">
        <f>+Actuals!G463</f>
        <v>0</v>
      </c>
      <c r="K45" s="119">
        <f>+Actuals!H463</f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f>+Actuals!E464</f>
        <v>0</v>
      </c>
      <c r="I47" s="119">
        <f>+Actuals!F464</f>
        <v>0</v>
      </c>
      <c r="J47" s="118">
        <f>+Actuals!G464</f>
        <v>0</v>
      </c>
      <c r="K47" s="119">
        <f>+Actuals!H464</f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-25316</v>
      </c>
      <c r="E49" s="38">
        <f>SUM(G49,I49,K49,M49,O49,Q49,S49,U49,W49,Y49,AA49,AC49,AE49)</f>
        <v>-57543.267999999982</v>
      </c>
      <c r="F49" s="60">
        <f>'TIE-OUT'!V49+RECLASS!T49</f>
        <v>0</v>
      </c>
      <c r="G49" s="38">
        <f>'TIE-OUT'!W49+RECLASS!U49</f>
        <v>0</v>
      </c>
      <c r="H49" s="118">
        <f>+Actuals!E465</f>
        <v>79970</v>
      </c>
      <c r="I49" s="119">
        <f>+Actuals!F465</f>
        <v>181771.81</v>
      </c>
      <c r="J49" s="118">
        <f>+Actuals!G465</f>
        <v>-24895</v>
      </c>
      <c r="K49" s="119">
        <f>+Actuals!H465</f>
        <v>-56586.334999999992</v>
      </c>
      <c r="L49" s="118">
        <f>+Actuals!I465</f>
        <v>-43146</v>
      </c>
      <c r="M49" s="119">
        <f>+Actuals!J465</f>
        <v>-98070.857999999993</v>
      </c>
      <c r="N49" s="118">
        <f>+Actuals!K465</f>
        <v>-37245</v>
      </c>
      <c r="O49" s="119">
        <f>+Actuals!L465</f>
        <v>-84657.884999999995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'TIE-OUT'!V51+RECLASS!T51</f>
        <v>0</v>
      </c>
      <c r="G51" s="38">
        <f>'TIE-OUT'!W51+RECLASS!U51</f>
        <v>0</v>
      </c>
      <c r="H51" s="118">
        <f>+Actuals!E466</f>
        <v>-12946</v>
      </c>
      <c r="I51" s="119">
        <f>+Actuals!F466</f>
        <v>-29426.258000000002</v>
      </c>
      <c r="J51" s="118">
        <f>+Actuals!G466</f>
        <v>-860</v>
      </c>
      <c r="K51" s="119">
        <f>+Actuals!H466</f>
        <v>-1954.78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-16449022</v>
      </c>
      <c r="E54" s="38">
        <f>SUM(G54,I54,K54,M54,O54,Q54,S54,U54,W54,Y54,AA54,AC54,AE54)</f>
        <v>-402334.96</v>
      </c>
      <c r="F54" s="64">
        <f>'TIE-OUT'!V54+RECLASS!T54</f>
        <v>0</v>
      </c>
      <c r="G54" s="68">
        <f>'TIE-OUT'!W54+RECLASS!U54</f>
        <v>0</v>
      </c>
      <c r="H54" s="118">
        <f>+Actuals!E467</f>
        <v>-6709702</v>
      </c>
      <c r="I54" s="119">
        <f>+Actuals!F467</f>
        <v>-213269.27</v>
      </c>
      <c r="J54" s="118">
        <f>+Actuals!G467</f>
        <v>-9720573</v>
      </c>
      <c r="K54" s="119">
        <f>+Actuals!H467</f>
        <v>-205871.48</v>
      </c>
      <c r="L54" s="118">
        <f>+Actuals!I467</f>
        <v>-27495</v>
      </c>
      <c r="M54" s="119">
        <f>+Actuals!J467</f>
        <v>10606.04</v>
      </c>
      <c r="N54" s="118">
        <f>+Actuals!K467</f>
        <v>8748</v>
      </c>
      <c r="O54" s="119">
        <f>+Actuals!L467</f>
        <v>6199.75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-143319.06</v>
      </c>
      <c r="F55" s="81">
        <f>'TIE-OUT'!V55+RECLASS!T55</f>
        <v>0</v>
      </c>
      <c r="G55" s="82">
        <f>'TIE-OUT'!W55+RECLASS!U55</f>
        <v>0</v>
      </c>
      <c r="H55" s="118">
        <f>+Actuals!E468</f>
        <v>0</v>
      </c>
      <c r="I55" s="119">
        <f>+Actuals!F468</f>
        <v>-51152</v>
      </c>
      <c r="J55" s="118">
        <f>+Actuals!G468</f>
        <v>0</v>
      </c>
      <c r="K55" s="119">
        <f>+Actuals!H468</f>
        <v>-93300</v>
      </c>
      <c r="L55" s="118">
        <f>+Actuals!I468</f>
        <v>0</v>
      </c>
      <c r="M55" s="119">
        <f>+Actuals!J468</f>
        <v>1152</v>
      </c>
      <c r="N55" s="118">
        <f>+Actuals!K468</f>
        <v>0</v>
      </c>
      <c r="O55" s="119">
        <f>+Actuals!L468</f>
        <v>-19.059999999999999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-16449022</v>
      </c>
      <c r="E56" s="39">
        <f t="shared" si="16"/>
        <v>-545654.02</v>
      </c>
      <c r="F56" s="61">
        <f t="shared" si="16"/>
        <v>0</v>
      </c>
      <c r="G56" s="39">
        <f t="shared" si="16"/>
        <v>0</v>
      </c>
      <c r="H56" s="61">
        <f t="shared" si="16"/>
        <v>-6709702</v>
      </c>
      <c r="I56" s="39">
        <f t="shared" si="16"/>
        <v>-264421.27</v>
      </c>
      <c r="J56" s="61">
        <f t="shared" ref="J56:AO56" si="17">SUM(J54:J55)</f>
        <v>-9720573</v>
      </c>
      <c r="K56" s="39">
        <f t="shared" si="17"/>
        <v>-299171.48</v>
      </c>
      <c r="L56" s="61">
        <f t="shared" si="17"/>
        <v>-27495</v>
      </c>
      <c r="M56" s="39">
        <f t="shared" si="17"/>
        <v>11758.04</v>
      </c>
      <c r="N56" s="61">
        <f>SUM(N54:N55)</f>
        <v>8748</v>
      </c>
      <c r="O56" s="39">
        <f>SUM(O54:O55)</f>
        <v>6180.69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f>+Actuals!E469</f>
        <v>0</v>
      </c>
      <c r="I59" s="119">
        <f>+Actuals!F469</f>
        <v>0</v>
      </c>
      <c r="J59" s="118">
        <f>+Actuals!G469</f>
        <v>0</v>
      </c>
      <c r="K59" s="119">
        <f>+Actuals!H469</f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f>+Actuals!E470</f>
        <v>0</v>
      </c>
      <c r="I60" s="119">
        <f>+Actuals!F470</f>
        <v>0</v>
      </c>
      <c r="J60" s="118">
        <f>+Actuals!G470</f>
        <v>0</v>
      </c>
      <c r="K60" s="119">
        <f>+Actuals!H470</f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-971.85</v>
      </c>
      <c r="F64" s="64">
        <f>'TIE-OUT'!V64+RECLASS!T64</f>
        <v>0</v>
      </c>
      <c r="G64" s="68">
        <f>'TIE-OUT'!W64+RECLASS!U64</f>
        <v>0</v>
      </c>
      <c r="H64" s="118">
        <f>+Actuals!E471</f>
        <v>0</v>
      </c>
      <c r="I64" s="119">
        <f>+Actuals!F471</f>
        <v>0</v>
      </c>
      <c r="J64" s="118">
        <f>+Actuals!G471</f>
        <v>0</v>
      </c>
      <c r="K64" s="119">
        <f>+Actuals!H471</f>
        <v>-971.85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f>+Actuals!E472</f>
        <v>0</v>
      </c>
      <c r="I65" s="119">
        <f>+Actuals!F472</f>
        <v>0</v>
      </c>
      <c r="J65" s="118">
        <f>+Actuals!G472</f>
        <v>0</v>
      </c>
      <c r="K65" s="119">
        <f>+Actuals!H472</f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-971.85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-971.85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'TIE-OUT'!V70+RECLASS!T70</f>
        <v>0</v>
      </c>
      <c r="G70" s="68">
        <f>'TIE-OUT'!W70+RECLASS!U70</f>
        <v>-2639306.77</v>
      </c>
      <c r="H70" s="118">
        <f>+Actuals!E473</f>
        <v>0</v>
      </c>
      <c r="I70" s="119">
        <f>+Actuals!F473</f>
        <v>0</v>
      </c>
      <c r="J70" s="118">
        <f>+Actuals!G473</f>
        <v>0</v>
      </c>
      <c r="K70" s="119">
        <f>+Actuals!H473</f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'TIE-OUT'!V71+RECLASS!T71</f>
        <v>0</v>
      </c>
      <c r="G71" s="82">
        <f>'TIE-OUT'!W71+RECLASS!U71</f>
        <v>739518.78</v>
      </c>
      <c r="H71" s="118">
        <f>+Actuals!E474</f>
        <v>0</v>
      </c>
      <c r="I71" s="119">
        <f>+Actuals!F474</f>
        <v>0</v>
      </c>
      <c r="J71" s="118">
        <f>+Actuals!G474</f>
        <v>0</v>
      </c>
      <c r="K71" s="119">
        <f>+Actuals!H474</f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-1899787.99</v>
      </c>
      <c r="F72" s="61">
        <f t="shared" si="22"/>
        <v>0</v>
      </c>
      <c r="G72" s="39">
        <f t="shared" si="22"/>
        <v>-1899787.99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f>+Actuals!E475</f>
        <v>0</v>
      </c>
      <c r="I73" s="119">
        <f>+Actuals!F475</f>
        <v>0</v>
      </c>
      <c r="J73" s="118">
        <f>+Actuals!G475</f>
        <v>0</v>
      </c>
      <c r="K73" s="119">
        <f>+Actuals!H475</f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-197969.77000000002</v>
      </c>
      <c r="F74" s="60">
        <f>'TIE-OUT'!V74+RECLASS!T74</f>
        <v>0</v>
      </c>
      <c r="G74" s="60">
        <f>'TIE-OUT'!W74+RECLASS!U74</f>
        <v>-169890.73</v>
      </c>
      <c r="H74" s="118">
        <f>+Actuals!E476</f>
        <v>0</v>
      </c>
      <c r="I74" s="119">
        <f>+Actuals!F476</f>
        <v>0</v>
      </c>
      <c r="J74" s="118">
        <f>+Actuals!G476</f>
        <v>0</v>
      </c>
      <c r="K74" s="119">
        <f>+Actuals!H476</f>
        <v>0</v>
      </c>
      <c r="L74" s="118">
        <f>+Actuals!I476</f>
        <v>0</v>
      </c>
      <c r="M74" s="215">
        <f>+Actuals!J476-34309.74+6230.7</f>
        <v>-28079.039999999997</v>
      </c>
      <c r="N74" s="118">
        <f>+Actuals!K476</f>
        <v>0</v>
      </c>
      <c r="O74" s="119"/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17700</v>
      </c>
      <c r="F75" s="60">
        <f>'TIE-OUT'!V75+RECLASS!T75</f>
        <v>0</v>
      </c>
      <c r="G75" s="60">
        <f>'TIE-OUT'!W75+RECLASS!U75</f>
        <v>17700</v>
      </c>
      <c r="H75" s="118">
        <f>+Actuals!E477</f>
        <v>0</v>
      </c>
      <c r="I75" s="119">
        <f>+Actuals!F477</f>
        <v>0</v>
      </c>
      <c r="J75" s="118">
        <f>+Actuals!G477</f>
        <v>0</v>
      </c>
      <c r="K75" s="119">
        <f>+Actuals!H477</f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-2541.2800000000002</v>
      </c>
      <c r="F76" s="60">
        <f>'TIE-OUT'!V76+RECLASS!T76</f>
        <v>0</v>
      </c>
      <c r="G76" s="60">
        <f>'TIE-OUT'!W76+RECLASS!U76</f>
        <v>0</v>
      </c>
      <c r="H76" s="118">
        <f>+Actuals!E478</f>
        <v>0</v>
      </c>
      <c r="I76" s="119">
        <f>+Actuals!F478</f>
        <v>0</v>
      </c>
      <c r="J76" s="118">
        <f>+Actuals!G478</f>
        <v>0</v>
      </c>
      <c r="K76" s="119">
        <f>+Actuals!H478</f>
        <v>-2541.2800000000002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f>+Actuals!E479</f>
        <v>0</v>
      </c>
      <c r="I77" s="119">
        <f>+Actuals!F479</f>
        <v>0</v>
      </c>
      <c r="J77" s="118">
        <f>+Actuals!G479</f>
        <v>0</v>
      </c>
      <c r="K77" s="119">
        <f>+Actuals!H479</f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f>+Actuals!E480</f>
        <v>0</v>
      </c>
      <c r="I78" s="119">
        <f>+Actuals!F480</f>
        <v>0</v>
      </c>
      <c r="J78" s="118">
        <f>+Actuals!G480</f>
        <v>0</v>
      </c>
      <c r="K78" s="119">
        <f>+Actuals!H480</f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f>+Actuals!E481</f>
        <v>0</v>
      </c>
      <c r="I79" s="119">
        <f>+Actuals!F481</f>
        <v>0</v>
      </c>
      <c r="J79" s="118">
        <f>+Actuals!G481</f>
        <v>0</v>
      </c>
      <c r="K79" s="119">
        <f>+Actuals!H481</f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f>+Actuals!E482</f>
        <v>0</v>
      </c>
      <c r="I80" s="119">
        <f>+Actuals!F482</f>
        <v>0</v>
      </c>
      <c r="J80" s="118">
        <f>+Actuals!G482</f>
        <v>0</v>
      </c>
      <c r="K80" s="119">
        <f>+Actuals!H482</f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f>+Actuals!E483</f>
        <v>0</v>
      </c>
      <c r="I81" s="119">
        <f>+Actuals!F483</f>
        <v>0</v>
      </c>
      <c r="J81" s="118">
        <f>+Actuals!G483</f>
        <v>0</v>
      </c>
      <c r="K81" s="119">
        <f>+Actuals!H483</f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882218.84300000279</v>
      </c>
      <c r="F82" s="91">
        <f>F16+F24+F29+F36+F43+F45+F47+F49</f>
        <v>0</v>
      </c>
      <c r="G82" s="92">
        <f>SUM(G72:G81)+G16+G24+G29+G36+G43+G45+G47+G49+G51+G56+G61+G66</f>
        <v>-6386190.4199999999</v>
      </c>
      <c r="H82" s="91">
        <f>H16+H24+H29+H36+H43+H45+H47+H49</f>
        <v>0</v>
      </c>
      <c r="I82" s="92">
        <f>SUM(I72:I81)+I16+I24+I29+I36+I43+I45+I47+I49+I51+I56+I61+I66</f>
        <v>10404897.875999998</v>
      </c>
      <c r="J82" s="91">
        <f>J16+J24+J29+J36+J43+J45+J47+J49</f>
        <v>0</v>
      </c>
      <c r="K82" s="140">
        <f>SUM(K72:K81)+K16+K24+K29+K36+K43+K45+K47+K49+K51+K56+K61+K66</f>
        <v>-4237058.7469999976</v>
      </c>
      <c r="L82" s="91">
        <f>L16+L24+L29+L36+L43+L45+L47+L49</f>
        <v>0</v>
      </c>
      <c r="M82" s="92">
        <f>SUM(M72:M81)+M16+M24+M29+M36+M43+M45+M47+M49+M51+M56+M61+M66</f>
        <v>1100818.3690000004</v>
      </c>
      <c r="N82" s="91">
        <f>N16+N24+N29+N36+N43+N45+N47+N49</f>
        <v>0</v>
      </c>
      <c r="O82" s="92">
        <f>SUM(O72:O81)+O16+O24+O29+O36+O43+O45+O47+O49+O51+O56+O61+O66</f>
        <v>-248.23500000000331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  <c r="I84" s="45"/>
    </row>
    <row r="85" spans="1:77" x14ac:dyDescent="0.2">
      <c r="A85" s="4" t="s">
        <v>170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/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29">+E82+E89</f>
        <v>882218.84300000279</v>
      </c>
      <c r="F91" s="155">
        <f t="shared" si="29"/>
        <v>0</v>
      </c>
      <c r="G91" s="155">
        <f t="shared" si="29"/>
        <v>-6386190.4199999999</v>
      </c>
      <c r="H91" s="155">
        <f t="shared" si="29"/>
        <v>0</v>
      </c>
      <c r="I91" s="155">
        <f t="shared" si="29"/>
        <v>10404897.875999998</v>
      </c>
      <c r="J91" s="155">
        <f t="shared" si="29"/>
        <v>0</v>
      </c>
      <c r="K91" s="155">
        <f t="shared" si="29"/>
        <v>-4237058.7469999976</v>
      </c>
      <c r="L91" s="155">
        <f t="shared" si="29"/>
        <v>0</v>
      </c>
      <c r="M91" s="155">
        <f t="shared" si="29"/>
        <v>1100818.3690000004</v>
      </c>
      <c r="N91" s="155">
        <f t="shared" ref="N91:AE91" si="30">+N82+N89</f>
        <v>0</v>
      </c>
      <c r="O91" s="155">
        <f t="shared" si="30"/>
        <v>-248.23500000000331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O176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82" sqref="O82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116720</v>
      </c>
      <c r="E11" s="38">
        <f>SUM(G11,I11,K11,M11,O11,Q11,S11,U11,W11,Y11,AA11,AC11,AE11)</f>
        <v>275575.92</v>
      </c>
      <c r="F11" s="60">
        <f>'TIE-OUT'!T11+RECLASS!R11</f>
        <v>0</v>
      </c>
      <c r="G11" s="38">
        <f>'TIE-OUT'!U11+RECLASS!S11</f>
        <v>0</v>
      </c>
      <c r="H11" s="118">
        <f>+Actuals!E4</f>
        <v>115828</v>
      </c>
      <c r="I11" s="119">
        <f>+Actuals!F4</f>
        <v>273469.90999999997</v>
      </c>
      <c r="J11" s="118">
        <f>+Actuals!G4</f>
        <v>892</v>
      </c>
      <c r="K11" s="119">
        <f>+Actuals!H4</f>
        <v>2106.0100000000002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-4575.6000000000004</v>
      </c>
      <c r="F12" s="60">
        <f>'TIE-OUT'!T12+RECLASS!R12</f>
        <v>0</v>
      </c>
      <c r="G12" s="38">
        <f>'TIE-OUT'!U12+RECLASS!S12</f>
        <v>-4575.6000000000004</v>
      </c>
      <c r="H12" s="118">
        <f>+Actuals!E5</f>
        <v>0</v>
      </c>
      <c r="I12" s="119">
        <f>+Actuals!F5</f>
        <v>0</v>
      </c>
      <c r="J12" s="118">
        <f>+Actuals!G5</f>
        <v>0</v>
      </c>
      <c r="K12" s="119">
        <f>+Actuals!H5</f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f>+Actuals!E6</f>
        <v>0</v>
      </c>
      <c r="I13" s="119">
        <f>+Actuals!F6</f>
        <v>0</v>
      </c>
      <c r="J13" s="118">
        <f>+Actuals!G6</f>
        <v>0</v>
      </c>
      <c r="K13" s="119">
        <f>+Actuals!H6</f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f>+Actuals!E7</f>
        <v>0</v>
      </c>
      <c r="I14" s="119">
        <f>+Actuals!F7</f>
        <v>0</v>
      </c>
      <c r="J14" s="118">
        <f>+Actuals!G7</f>
        <v>0</v>
      </c>
      <c r="K14" s="119">
        <f>+Actuals!H7</f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f>+Actuals!E8</f>
        <v>0</v>
      </c>
      <c r="I15" s="119">
        <f>+Actuals!F8</f>
        <v>0</v>
      </c>
      <c r="J15" s="118">
        <f>+Actuals!G8</f>
        <v>0</v>
      </c>
      <c r="K15" s="119">
        <f>+Actuals!H8</f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116720</v>
      </c>
      <c r="E16" s="39">
        <f t="shared" si="1"/>
        <v>271000.32000000001</v>
      </c>
      <c r="F16" s="61">
        <f t="shared" si="1"/>
        <v>0</v>
      </c>
      <c r="G16" s="39">
        <f t="shared" si="1"/>
        <v>-4575.6000000000004</v>
      </c>
      <c r="H16" s="61">
        <f t="shared" si="1"/>
        <v>115828</v>
      </c>
      <c r="I16" s="39">
        <f t="shared" si="1"/>
        <v>273469.90999999997</v>
      </c>
      <c r="J16" s="61">
        <f t="shared" si="1"/>
        <v>892</v>
      </c>
      <c r="K16" s="39">
        <f t="shared" si="1"/>
        <v>2106.0100000000002</v>
      </c>
      <c r="L16" s="61">
        <f t="shared" si="1"/>
        <v>0</v>
      </c>
      <c r="M16" s="39">
        <f t="shared" si="1"/>
        <v>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-13568</v>
      </c>
      <c r="F19" s="64">
        <f>'TIE-OUT'!T19+RECLASS!R19</f>
        <v>0</v>
      </c>
      <c r="G19" s="68">
        <f>'TIE-OUT'!U19+RECLASS!S19</f>
        <v>0</v>
      </c>
      <c r="H19" s="118">
        <f>+Actuals!E9</f>
        <v>0</v>
      </c>
      <c r="I19" s="119">
        <f>+Actuals!F9-13568</f>
        <v>-13568</v>
      </c>
      <c r="J19" s="118">
        <f>+Actuals!G9</f>
        <v>0</v>
      </c>
      <c r="K19" s="119">
        <f>+Actuals!H9</f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f>+Actuals!E10</f>
        <v>0</v>
      </c>
      <c r="I20" s="119">
        <f>+Actuals!F10</f>
        <v>0</v>
      </c>
      <c r="J20" s="118">
        <f>+Actuals!G10</f>
        <v>0</v>
      </c>
      <c r="K20" s="119">
        <f>+Actuals!H10</f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f>+Actuals!E11</f>
        <v>0</v>
      </c>
      <c r="I21" s="119">
        <f>+Actuals!F11</f>
        <v>0</v>
      </c>
      <c r="J21" s="118">
        <f>+Actuals!G11</f>
        <v>0</v>
      </c>
      <c r="K21" s="119">
        <f>+Actuals!H11</f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f>+Actuals!E12</f>
        <v>0</v>
      </c>
      <c r="I22" s="119">
        <f>+Actuals!F12</f>
        <v>0</v>
      </c>
      <c r="J22" s="118">
        <f>+Actuals!G12</f>
        <v>0</v>
      </c>
      <c r="K22" s="119">
        <f>+Actuals!H12</f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f>+Actuals!E13</f>
        <v>0</v>
      </c>
      <c r="I23" s="119">
        <f>+Actuals!F13</f>
        <v>0</v>
      </c>
      <c r="J23" s="118">
        <f>+Actuals!G13</f>
        <v>0</v>
      </c>
      <c r="K23" s="119">
        <f>+Actuals!H13</f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-13568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-13568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10392</v>
      </c>
      <c r="E27" s="38">
        <f>SUM(G27,I27,K27,M27,O27,Q27,S27,U27,W27,Y27,AA27,AC27,AE27)</f>
        <v>24317.279999999999</v>
      </c>
      <c r="F27" s="64">
        <f>'TIE-OUT'!T27+RECLASS!R27</f>
        <v>0</v>
      </c>
      <c r="G27" s="68">
        <f>'TIE-OUT'!U27+RECLASS!S27</f>
        <v>0</v>
      </c>
      <c r="H27" s="118">
        <f>+Actuals!E14</f>
        <v>0</v>
      </c>
      <c r="I27" s="119">
        <f>+Actuals!F14</f>
        <v>0</v>
      </c>
      <c r="J27" s="118">
        <f>+Actuals!G14</f>
        <v>0</v>
      </c>
      <c r="K27" s="119">
        <f>+Actuals!H14</f>
        <v>0</v>
      </c>
      <c r="L27" s="118">
        <f>+Actuals!I14</f>
        <v>0</v>
      </c>
      <c r="M27" s="119">
        <f>+Actuals!J14</f>
        <v>0</v>
      </c>
      <c r="N27" s="118">
        <f>+Actuals!K14</f>
        <v>10392</v>
      </c>
      <c r="O27" s="119">
        <f>+Actuals!L14</f>
        <v>24317.279999999999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-127112</v>
      </c>
      <c r="E28" s="38">
        <f>SUM(G28,I28,K28,M28,O28,Q28,S28,U28,W28,Y28,AA28,AC28,AE28)</f>
        <v>-297026.39999999997</v>
      </c>
      <c r="F28" s="81">
        <f>'TIE-OUT'!T28+RECLASS!R28</f>
        <v>0</v>
      </c>
      <c r="G28" s="82">
        <f>'TIE-OUT'!U28+RECLASS!S28</f>
        <v>0</v>
      </c>
      <c r="H28" s="118">
        <f>+Actuals!E15</f>
        <v>-115828</v>
      </c>
      <c r="I28" s="119">
        <f>+Actuals!F15</f>
        <v>-5134.3100000000004</v>
      </c>
      <c r="J28" s="118">
        <f>+Actuals!G15</f>
        <v>-892</v>
      </c>
      <c r="K28" s="119">
        <f>+Actuals!H15</f>
        <v>-267990.49</v>
      </c>
      <c r="L28" s="118">
        <f>+Actuals!I15</f>
        <v>0</v>
      </c>
      <c r="M28" s="119">
        <f>+Actuals!J15</f>
        <v>0</v>
      </c>
      <c r="N28" s="118">
        <f>+Actuals!K15</f>
        <v>-10392</v>
      </c>
      <c r="O28" s="119">
        <f>+Actuals!L15</f>
        <v>-23901.599999999999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-116720</v>
      </c>
      <c r="E29" s="39">
        <f t="shared" si="4"/>
        <v>-272709.12</v>
      </c>
      <c r="F29" s="61">
        <f t="shared" si="4"/>
        <v>0</v>
      </c>
      <c r="G29" s="39">
        <f t="shared" si="4"/>
        <v>0</v>
      </c>
      <c r="H29" s="61">
        <f t="shared" si="4"/>
        <v>-115828</v>
      </c>
      <c r="I29" s="39">
        <f t="shared" si="4"/>
        <v>-5134.3100000000004</v>
      </c>
      <c r="J29" s="61">
        <f t="shared" si="4"/>
        <v>-892</v>
      </c>
      <c r="K29" s="39">
        <f t="shared" si="4"/>
        <v>-267990.49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415.68000000000029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f>+Actuals!E16</f>
        <v>0</v>
      </c>
      <c r="I32" s="119">
        <f>+Actuals!F16</f>
        <v>0</v>
      </c>
      <c r="J32" s="118">
        <f>+Actuals!G16</f>
        <v>0</v>
      </c>
      <c r="K32" s="119">
        <f>+Actuals!H16</f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f>+Actuals!E17</f>
        <v>0</v>
      </c>
      <c r="I33" s="119">
        <f>+Actuals!F17</f>
        <v>0</v>
      </c>
      <c r="J33" s="118">
        <f>+Actuals!G17</f>
        <v>0</v>
      </c>
      <c r="K33" s="119">
        <f>+Actuals!H17</f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f>+Actuals!E18</f>
        <v>0</v>
      </c>
      <c r="I34" s="119">
        <f>+Actuals!F18</f>
        <v>0</v>
      </c>
      <c r="J34" s="118">
        <f>+Actuals!G18</f>
        <v>0</v>
      </c>
      <c r="K34" s="119">
        <f>+Actuals!H18</f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f>+Actuals!E19</f>
        <v>0</v>
      </c>
      <c r="I35" s="119">
        <f>+Actuals!F19</f>
        <v>0</v>
      </c>
      <c r="J35" s="118">
        <f>+Actuals!G19</f>
        <v>0</v>
      </c>
      <c r="K35" s="119">
        <f>+Actuals!H19</f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f>+Actuals!E20</f>
        <v>0</v>
      </c>
      <c r="I39" s="119">
        <f>+Actuals!F20</f>
        <v>0</v>
      </c>
      <c r="J39" s="118">
        <f>+Actuals!G20</f>
        <v>0</v>
      </c>
      <c r="K39" s="119">
        <f>+Actuals!H20</f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f>+Actuals!E21</f>
        <v>0</v>
      </c>
      <c r="I40" s="119">
        <f>+Actuals!F21</f>
        <v>0</v>
      </c>
      <c r="J40" s="118">
        <f>+Actuals!G21</f>
        <v>0</v>
      </c>
      <c r="K40" s="119">
        <f>+Actuals!H21</f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f>+Actuals!E22</f>
        <v>0</v>
      </c>
      <c r="I41" s="119">
        <f>+Actuals!F22</f>
        <v>0</v>
      </c>
      <c r="J41" s="118">
        <f>+Actuals!G22</f>
        <v>0</v>
      </c>
      <c r="K41" s="119">
        <f>+Actuals!H22</f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f>+Actuals!E23</f>
        <v>0</v>
      </c>
      <c r="I45" s="119">
        <f>+Actuals!F23</f>
        <v>0</v>
      </c>
      <c r="J45" s="118">
        <f>+Actuals!G23</f>
        <v>0</v>
      </c>
      <c r="K45" s="119">
        <f>+Actuals!H23</f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'TIE-OUT'!T47+RECLASS!R47</f>
        <v>0</v>
      </c>
      <c r="G47" s="38">
        <f>'TIE-OUT'!U47+RECLASS!S47</f>
        <v>0</v>
      </c>
      <c r="H47" s="118">
        <f>+Actuals!E24</f>
        <v>0</v>
      </c>
      <c r="I47" s="119">
        <f>+Actuals!F24</f>
        <v>0</v>
      </c>
      <c r="J47" s="118">
        <f>+Actuals!G24</f>
        <v>0</v>
      </c>
      <c r="K47" s="119">
        <f>+Actuals!H24</f>
        <v>0</v>
      </c>
      <c r="L47" s="118">
        <f>+Actuals!I24</f>
        <v>0</v>
      </c>
      <c r="M47" s="119">
        <f>+Actuals!J24</f>
        <v>113410.16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'TIE-OUT'!T49+RECLASS!R49</f>
        <v>0</v>
      </c>
      <c r="G49" s="38">
        <f>'TIE-OUT'!U49+RECLASS!S49</f>
        <v>0</v>
      </c>
      <c r="H49" s="118">
        <f>+Actuals!E25</f>
        <v>0</v>
      </c>
      <c r="I49" s="119">
        <f>+Actuals!F25</f>
        <v>0</v>
      </c>
      <c r="J49" s="118">
        <f>+Actuals!G25</f>
        <v>0</v>
      </c>
      <c r="K49" s="119">
        <f>+Actuals!H25</f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f>+Actuals!E26</f>
        <v>0</v>
      </c>
      <c r="I51" s="119">
        <f>+Actuals!F26</f>
        <v>0</v>
      </c>
      <c r="J51" s="118">
        <f>+Actuals!G26</f>
        <v>0</v>
      </c>
      <c r="K51" s="119">
        <f>+Actuals!H26</f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'TIE-OUT'!T54+RECLASS!R54</f>
        <v>0</v>
      </c>
      <c r="G54" s="68">
        <f>'TIE-OUT'!U54+RECLASS!S54</f>
        <v>0</v>
      </c>
      <c r="H54" s="118">
        <f>+Actuals!E27</f>
        <v>0</v>
      </c>
      <c r="I54" s="119">
        <f>+Actuals!F27</f>
        <v>0</v>
      </c>
      <c r="J54" s="118">
        <f>+Actuals!G27</f>
        <v>0</v>
      </c>
      <c r="K54" s="119">
        <f>+Actuals!H27</f>
        <v>0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f>+Actuals!E28</f>
        <v>0</v>
      </c>
      <c r="I55" s="119">
        <f>+Actuals!F28</f>
        <v>0</v>
      </c>
      <c r="J55" s="118">
        <f>+Actuals!G28</f>
        <v>0</v>
      </c>
      <c r="K55" s="119">
        <f>+Actuals!H28</f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f>+Actuals!E29</f>
        <v>0</v>
      </c>
      <c r="I59" s="119">
        <f>+Actuals!F29</f>
        <v>0</v>
      </c>
      <c r="J59" s="118">
        <f>+Actuals!G29</f>
        <v>0</v>
      </c>
      <c r="K59" s="119">
        <f>+Actuals!H29</f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f>+Actuals!E30</f>
        <v>0</v>
      </c>
      <c r="I60" s="119">
        <f>+Actuals!F30</f>
        <v>0</v>
      </c>
      <c r="J60" s="118">
        <f>+Actuals!G30</f>
        <v>0</v>
      </c>
      <c r="K60" s="119">
        <f>+Actuals!H30</f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f>+Actuals!E31</f>
        <v>0</v>
      </c>
      <c r="I64" s="119">
        <f>+Actuals!F31</f>
        <v>0</v>
      </c>
      <c r="J64" s="118">
        <f>+Actuals!G31</f>
        <v>0</v>
      </c>
      <c r="K64" s="119">
        <f>+Actuals!H31</f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f>+Actuals!E32</f>
        <v>0</v>
      </c>
      <c r="I65" s="119">
        <f>+Actuals!F32</f>
        <v>0</v>
      </c>
      <c r="J65" s="118">
        <f>+Actuals!G32</f>
        <v>0</v>
      </c>
      <c r="K65" s="119">
        <f>+Actuals!H32</f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f>+Actuals!E33</f>
        <v>0</v>
      </c>
      <c r="I70" s="119">
        <f>+Actuals!F33</f>
        <v>0</v>
      </c>
      <c r="J70" s="118">
        <f>+Actuals!G33</f>
        <v>0</v>
      </c>
      <c r="K70" s="119">
        <f>+Actuals!H33</f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f>+Actuals!E34</f>
        <v>0</v>
      </c>
      <c r="I71" s="119">
        <f>+Actuals!F34</f>
        <v>0</v>
      </c>
      <c r="J71" s="118">
        <f>+Actuals!G34</f>
        <v>0</v>
      </c>
      <c r="K71" s="119">
        <f>+Actuals!H34</f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f>+Actuals!E35</f>
        <v>0</v>
      </c>
      <c r="I73" s="119">
        <f>+Actuals!F35</f>
        <v>0</v>
      </c>
      <c r="J73" s="118">
        <f>+Actuals!G35</f>
        <v>0</v>
      </c>
      <c r="K73" s="119">
        <f>+Actuals!H35</f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f>+Actuals!E36</f>
        <v>0</v>
      </c>
      <c r="I74" s="119">
        <f>+Actuals!F36</f>
        <v>0</v>
      </c>
      <c r="J74" s="118">
        <f>+Actuals!G36</f>
        <v>0</v>
      </c>
      <c r="K74" s="119">
        <f>+Actuals!H36</f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f>+Actuals!E37</f>
        <v>0</v>
      </c>
      <c r="I75" s="119">
        <f>+Actuals!F37</f>
        <v>0</v>
      </c>
      <c r="J75" s="118">
        <f>+Actuals!G37</f>
        <v>0</v>
      </c>
      <c r="K75" s="119">
        <f>+Actuals!H37</f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f>+Actuals!E38</f>
        <v>0</v>
      </c>
      <c r="I76" s="119">
        <f>+Actuals!F38</f>
        <v>0</v>
      </c>
      <c r="J76" s="118">
        <f>+Actuals!G38</f>
        <v>0</v>
      </c>
      <c r="K76" s="119">
        <f>+Actuals!H38</f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f>+Actuals!E39</f>
        <v>0</v>
      </c>
      <c r="I77" s="119">
        <f>+Actuals!F39</f>
        <v>0</v>
      </c>
      <c r="J77" s="118">
        <f>+Actuals!G39</f>
        <v>0</v>
      </c>
      <c r="K77" s="119">
        <f>+Actuals!H39</f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f>+Actuals!E40</f>
        <v>0</v>
      </c>
      <c r="I78" s="119">
        <f>+Actuals!F40</f>
        <v>0</v>
      </c>
      <c r="J78" s="118">
        <f>+Actuals!G40</f>
        <v>0</v>
      </c>
      <c r="K78" s="119">
        <f>+Actuals!H40</f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f>+Actuals!E41</f>
        <v>0</v>
      </c>
      <c r="I79" s="119">
        <f>+Actuals!F41</f>
        <v>0</v>
      </c>
      <c r="J79" s="118">
        <f>+Actuals!G41</f>
        <v>0</v>
      </c>
      <c r="K79" s="119">
        <f>+Actuals!H41</f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f>+Actuals!E42</f>
        <v>0</v>
      </c>
      <c r="I80" s="119">
        <f>+Actuals!F42</f>
        <v>0</v>
      </c>
      <c r="J80" s="118">
        <f>+Actuals!G42</f>
        <v>0</v>
      </c>
      <c r="K80" s="119">
        <f>+Actuals!H42</f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f>+Actuals!E43</f>
        <v>0</v>
      </c>
      <c r="I81" s="139">
        <f>+Actuals!F43</f>
        <v>0</v>
      </c>
      <c r="J81" s="118">
        <f>+Actuals!G43</f>
        <v>0</v>
      </c>
      <c r="K81" s="139">
        <f>+Actuals!H43</f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98133.360000000015</v>
      </c>
      <c r="F82" s="91">
        <f>F16+F24+F29+F36+F43+F45+F47+F49</f>
        <v>0</v>
      </c>
      <c r="G82" s="92">
        <f>SUM(G72:G81)+G16+G24+G29+G36+G43+G45+G47+G49+G51+G56+G61+G66</f>
        <v>-4575.6000000000004</v>
      </c>
      <c r="H82" s="91">
        <f>H16+H24+H29+H36+H43+H45+H47+H49</f>
        <v>0</v>
      </c>
      <c r="I82" s="92">
        <f>SUM(I72:I81)+I16+I24+I29+I36+I43+I45+I47+I49+I51+I56+I61+I66</f>
        <v>254767.59999999998</v>
      </c>
      <c r="J82" s="91">
        <f>J16+J24+J29+J36+J43+J45+J47+J49</f>
        <v>0</v>
      </c>
      <c r="K82" s="110">
        <f>SUM(K72:K81)+K16+K24+K29+K36+K43+K45+K47+K49+K51+K56+K61+K66</f>
        <v>-265884.48</v>
      </c>
      <c r="L82" s="91">
        <f>L16+L24+L29+L36+L43+L45+L47+L49</f>
        <v>0</v>
      </c>
      <c r="M82" s="92">
        <f>SUM(M72:M81)+M16+M24+M29+M36+M43+M45+M47+M49+M51+M56+M61+M66</f>
        <v>113410.16</v>
      </c>
      <c r="N82" s="91">
        <f>N16+N24+N29+N36+N43+N45+N47+N49</f>
        <v>0</v>
      </c>
      <c r="O82" s="92">
        <f>SUM(O72:O81)+O16+O24+O29+O36+O43+O45+O47+O49+O51+O56+O61+O66</f>
        <v>415.68000000000029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O176"/>
  <sheetViews>
    <sheetView zoomScale="75" workbookViewId="0">
      <pane xSplit="3" ySplit="9" topLeftCell="D69" activePane="bottomRight" state="frozen"/>
      <selection activeCell="N31" sqref="N31"/>
      <selection pane="topRight" activeCell="N31" sqref="N31"/>
      <selection pane="bottomLeft" activeCell="N31" sqref="N31"/>
      <selection pane="bottomRight" activeCell="E87" sqref="E87"/>
    </sheetView>
  </sheetViews>
  <sheetFormatPr defaultRowHeight="12.75" x14ac:dyDescent="0.2"/>
  <cols>
    <col min="1" max="1" width="8" style="2" customWidth="1"/>
    <col min="2" max="2" width="2.5703125" customWidth="1"/>
    <col min="3" max="3" width="36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38412173</v>
      </c>
      <c r="E11" s="38">
        <f>SUM(G11,I11,K11,M11,O11,Q11,S11,U11,W11,Y11,AA11,AC11,AE11)</f>
        <v>91060005</v>
      </c>
      <c r="F11" s="60">
        <f>'TIE-OUT'!X11+RECLASS!V11</f>
        <v>0</v>
      </c>
      <c r="G11" s="38">
        <f>'TIE-OUT'!Y11+RECLASS!W11</f>
        <v>265657</v>
      </c>
      <c r="H11" s="118">
        <v>38204135</v>
      </c>
      <c r="I11" s="118">
        <v>90645653</v>
      </c>
      <c r="J11" s="118">
        <v>-152838</v>
      </c>
      <c r="K11" s="119">
        <v>-848620</v>
      </c>
      <c r="L11" s="118">
        <v>268300</v>
      </c>
      <c r="M11" s="119">
        <v>789994</v>
      </c>
      <c r="N11" s="118">
        <v>92576</v>
      </c>
      <c r="O11" s="119">
        <v>207321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-1420122.48</v>
      </c>
      <c r="F12" s="60">
        <f>'TIE-OUT'!X12+RECLASS!V12</f>
        <v>0</v>
      </c>
      <c r="G12" s="38">
        <f>'TIE-OUT'!Y12+RECLASS!W12</f>
        <v>-1420122.48</v>
      </c>
      <c r="H12" s="118">
        <v>0</v>
      </c>
      <c r="I12" s="118">
        <v>0</v>
      </c>
      <c r="J12" s="118">
        <v>0</v>
      </c>
      <c r="K12" s="215">
        <v>0</v>
      </c>
      <c r="L12" s="118">
        <v>0</v>
      </c>
      <c r="M12" s="119">
        <v>0</v>
      </c>
      <c r="N12" s="118"/>
      <c r="O12" s="119"/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-2491160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8">
        <v>0</v>
      </c>
      <c r="J13" s="118">
        <v>0</v>
      </c>
      <c r="K13" s="119">
        <v>0</v>
      </c>
      <c r="L13" s="118">
        <v>0</v>
      </c>
      <c r="M13" s="215">
        <v>-2491160</v>
      </c>
      <c r="N13" s="118"/>
      <c r="O13" s="119"/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8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120000</v>
      </c>
      <c r="F15" s="81">
        <f>'TIE-OUT'!X15+RECLASS!V15</f>
        <v>0</v>
      </c>
      <c r="G15" s="82">
        <f>'TIE-OUT'!Y15+RECLASS!W15</f>
        <v>120000</v>
      </c>
      <c r="H15" s="118">
        <v>0</v>
      </c>
      <c r="I15" s="118">
        <v>0</v>
      </c>
      <c r="J15" s="118">
        <v>0</v>
      </c>
      <c r="K15" s="119">
        <v>0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38412173</v>
      </c>
      <c r="E16" s="39">
        <f t="shared" si="1"/>
        <v>87268722.519999996</v>
      </c>
      <c r="F16" s="61">
        <f t="shared" si="1"/>
        <v>0</v>
      </c>
      <c r="G16" s="39">
        <f t="shared" si="1"/>
        <v>-1034465.48</v>
      </c>
      <c r="H16" s="61">
        <f t="shared" si="1"/>
        <v>38204135</v>
      </c>
      <c r="I16" s="61">
        <f t="shared" si="1"/>
        <v>90645653</v>
      </c>
      <c r="J16" s="61">
        <f t="shared" si="1"/>
        <v>-152838</v>
      </c>
      <c r="K16" s="39">
        <f t="shared" si="1"/>
        <v>-848620</v>
      </c>
      <c r="L16" s="61">
        <f t="shared" si="1"/>
        <v>268300</v>
      </c>
      <c r="M16" s="39">
        <f t="shared" si="1"/>
        <v>-1701166</v>
      </c>
      <c r="N16" s="61">
        <f>SUM(N11:N15)</f>
        <v>92576</v>
      </c>
      <c r="O16" s="39">
        <f>SUM(O11:O15)</f>
        <v>207321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60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60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-50042790</v>
      </c>
      <c r="E19" s="38">
        <f t="shared" si="2"/>
        <v>-113359959</v>
      </c>
      <c r="F19" s="64">
        <f>'TIE-OUT'!X19+RECLASS!V19</f>
        <v>0</v>
      </c>
      <c r="G19" s="68">
        <f>'TIE-OUT'!Y19+RECLASS!W19</f>
        <v>-144747</v>
      </c>
      <c r="H19" s="118">
        <v>-49409342</v>
      </c>
      <c r="I19" s="118">
        <v>-111798217</v>
      </c>
      <c r="J19" s="118">
        <v>-602441</v>
      </c>
      <c r="K19" s="119">
        <v>-1376401</v>
      </c>
      <c r="L19" s="118">
        <v>-88640</v>
      </c>
      <c r="M19" s="119">
        <v>-166448</v>
      </c>
      <c r="N19" s="118">
        <v>57633</v>
      </c>
      <c r="O19" s="119">
        <v>125854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-105702.19</v>
      </c>
      <c r="F20" s="60">
        <f>'TIE-OUT'!X20+RECLASS!V20</f>
        <v>0</v>
      </c>
      <c r="G20" s="38">
        <f>'TIE-OUT'!Y20+RECLASS!W20</f>
        <v>-11462.19</v>
      </c>
      <c r="H20" s="118">
        <v>0</v>
      </c>
      <c r="I20" s="118">
        <v>0</v>
      </c>
      <c r="J20" s="118">
        <v>0</v>
      </c>
      <c r="K20" s="119">
        <v>0</v>
      </c>
      <c r="L20" s="118">
        <v>0</v>
      </c>
      <c r="M20" s="215">
        <v>-94240</v>
      </c>
      <c r="N20" s="118"/>
      <c r="O20" s="119"/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8">
        <v>0</v>
      </c>
      <c r="J21" s="118">
        <v>0</v>
      </c>
      <c r="K21" s="119">
        <v>0</v>
      </c>
      <c r="L21" s="118">
        <v>0</v>
      </c>
      <c r="M21" s="119">
        <v>0</v>
      </c>
      <c r="N21" s="118"/>
      <c r="O21" s="119"/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8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8">
        <v>0</v>
      </c>
      <c r="J23" s="118">
        <v>0</v>
      </c>
      <c r="K23" s="119">
        <v>0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-50042790</v>
      </c>
      <c r="E24" s="39">
        <f t="shared" si="3"/>
        <v>-113465661.19</v>
      </c>
      <c r="F24" s="61">
        <f t="shared" si="3"/>
        <v>0</v>
      </c>
      <c r="G24" s="39">
        <f t="shared" si="3"/>
        <v>-156209.19</v>
      </c>
      <c r="H24" s="61">
        <f t="shared" si="3"/>
        <v>-49409342</v>
      </c>
      <c r="I24" s="61">
        <f t="shared" si="3"/>
        <v>-111798217</v>
      </c>
      <c r="J24" s="61">
        <f t="shared" si="3"/>
        <v>-602441</v>
      </c>
      <c r="K24" s="39">
        <f t="shared" si="3"/>
        <v>-1376401</v>
      </c>
      <c r="L24" s="61">
        <f t="shared" si="3"/>
        <v>-88640</v>
      </c>
      <c r="M24" s="39">
        <f t="shared" si="3"/>
        <v>-260688</v>
      </c>
      <c r="N24" s="61">
        <f>SUM(N19:N23)</f>
        <v>57633</v>
      </c>
      <c r="O24" s="39">
        <f>SUM(O19:O23)</f>
        <v>125854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60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60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21549381</v>
      </c>
      <c r="E27" s="38">
        <f>SUM(G27,I27,K27,M27,O27,Q27,S27,U27,W27,Y27,AA27,AC27,AE27)</f>
        <v>49630068</v>
      </c>
      <c r="F27" s="64">
        <f>'TIE-OUT'!X27+RECLASS!V27</f>
        <v>0</v>
      </c>
      <c r="G27" s="68">
        <f>'TIE-OUT'!Y27+RECLASS!W27</f>
        <v>0</v>
      </c>
      <c r="H27" s="118">
        <f>12707112+118122</f>
        <v>12825234</v>
      </c>
      <c r="I27" s="118">
        <f>28478116+276172</f>
        <v>28754288</v>
      </c>
      <c r="J27" s="118">
        <f>8963154+6392</f>
        <v>8969546</v>
      </c>
      <c r="K27" s="119">
        <f>21398561+14684</f>
        <v>21413245</v>
      </c>
      <c r="L27" s="118">
        <f>-222453+2598</f>
        <v>-219855</v>
      </c>
      <c r="M27" s="119">
        <f>-466808+6170</f>
        <v>-460638</v>
      </c>
      <c r="N27" s="118">
        <v>-25544</v>
      </c>
      <c r="O27" s="119">
        <v>-76827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-7708461</v>
      </c>
      <c r="E28" s="38">
        <f>SUM(G28,I28,K28,M28,O28,Q28,S28,U28,W28,Y28,AA28,AC28,AE28)</f>
        <v>-18382971</v>
      </c>
      <c r="F28" s="81">
        <f>'TIE-OUT'!X28+RECLASS!V28</f>
        <v>0</v>
      </c>
      <c r="G28" s="82">
        <f>'TIE-OUT'!Y28+RECLASS!W28</f>
        <v>0</v>
      </c>
      <c r="H28" s="118">
        <v>-7998355</v>
      </c>
      <c r="I28" s="118">
        <v>-19023411</v>
      </c>
      <c r="J28" s="118">
        <v>333383</v>
      </c>
      <c r="K28" s="119">
        <v>752184</v>
      </c>
      <c r="L28" s="118">
        <v>-33097</v>
      </c>
      <c r="M28" s="119">
        <v>-89077</v>
      </c>
      <c r="N28" s="118">
        <v>-10392</v>
      </c>
      <c r="O28" s="119">
        <f>1650-24317</f>
        <v>-22667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13840920</v>
      </c>
      <c r="E29" s="39">
        <f t="shared" si="4"/>
        <v>31247097</v>
      </c>
      <c r="F29" s="61">
        <f t="shared" si="4"/>
        <v>0</v>
      </c>
      <c r="G29" s="39">
        <f t="shared" si="4"/>
        <v>0</v>
      </c>
      <c r="H29" s="61">
        <f t="shared" si="4"/>
        <v>4826879</v>
      </c>
      <c r="I29" s="61">
        <f t="shared" si="4"/>
        <v>9730877</v>
      </c>
      <c r="J29" s="61">
        <f t="shared" si="4"/>
        <v>9302929</v>
      </c>
      <c r="K29" s="39">
        <f t="shared" si="4"/>
        <v>22165429</v>
      </c>
      <c r="L29" s="61">
        <f t="shared" si="4"/>
        <v>-252952</v>
      </c>
      <c r="M29" s="39">
        <f t="shared" si="4"/>
        <v>-549715</v>
      </c>
      <c r="N29" s="61">
        <f>SUM(N27:N28)</f>
        <v>-35936</v>
      </c>
      <c r="O29" s="39">
        <f>SUM(O27:O28)</f>
        <v>-99494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60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60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175523</v>
      </c>
      <c r="E32" s="38">
        <f t="shared" si="5"/>
        <v>398964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8">
        <v>0</v>
      </c>
      <c r="J32" s="118">
        <v>242922</v>
      </c>
      <c r="K32" s="119">
        <v>552162</v>
      </c>
      <c r="L32" s="118">
        <v>-164385</v>
      </c>
      <c r="M32" s="119">
        <v>-373647</v>
      </c>
      <c r="N32" s="118">
        <v>96986</v>
      </c>
      <c r="O32" s="119">
        <v>220449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8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8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8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175523</v>
      </c>
      <c r="E36" s="39">
        <f t="shared" si="6"/>
        <v>398964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61">
        <f t="shared" si="6"/>
        <v>0</v>
      </c>
      <c r="J36" s="61">
        <f t="shared" si="6"/>
        <v>242922</v>
      </c>
      <c r="K36" s="39">
        <f t="shared" si="6"/>
        <v>552162</v>
      </c>
      <c r="L36" s="61">
        <f t="shared" si="6"/>
        <v>-164385</v>
      </c>
      <c r="M36" s="39">
        <f t="shared" si="6"/>
        <v>-373647</v>
      </c>
      <c r="N36" s="61">
        <f>SUM(N32:N35)</f>
        <v>96986</v>
      </c>
      <c r="O36" s="39">
        <f>SUM(O32:O35)</f>
        <v>220449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60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60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'TIE-OUT'!X39+RECLASS!V39</f>
        <v>0</v>
      </c>
      <c r="G39" s="68">
        <f>'TIE-OUT'!Y39+RECLASS!W39</f>
        <v>-120910</v>
      </c>
      <c r="H39" s="118">
        <v>0</v>
      </c>
      <c r="I39" s="118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-2562387</v>
      </c>
      <c r="E40" s="38">
        <f t="shared" si="7"/>
        <v>-5989021</v>
      </c>
      <c r="F40" s="60">
        <f>'TIE-OUT'!X40+RECLASS!V40</f>
        <v>0</v>
      </c>
      <c r="G40" s="38">
        <f>'TIE-OUT'!Y40+RECLASS!W40</f>
        <v>0</v>
      </c>
      <c r="H40" s="118">
        <v>0</v>
      </c>
      <c r="I40" s="118">
        <v>0</v>
      </c>
      <c r="J40" s="118">
        <v>-2767625</v>
      </c>
      <c r="K40" s="119">
        <v>-6454445</v>
      </c>
      <c r="L40" s="118">
        <v>205238</v>
      </c>
      <c r="M40" s="119">
        <v>463579</v>
      </c>
      <c r="N40" s="118"/>
      <c r="O40" s="119">
        <v>1845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-146152</v>
      </c>
      <c r="F41" s="81">
        <f>'TIE-OUT'!X41+RECLASS!V41</f>
        <v>0</v>
      </c>
      <c r="G41" s="82">
        <f>'TIE-OUT'!Y41+RECLASS!W41</f>
        <v>-146152</v>
      </c>
      <c r="H41" s="118">
        <v>0</v>
      </c>
      <c r="I41" s="118">
        <v>0</v>
      </c>
      <c r="J41" s="118">
        <v>0</v>
      </c>
      <c r="K41" s="119">
        <v>0</v>
      </c>
      <c r="L41" s="118">
        <v>0</v>
      </c>
      <c r="M41" s="215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-2562387</v>
      </c>
      <c r="E42" s="39">
        <f t="shared" si="8"/>
        <v>-6135173</v>
      </c>
      <c r="F42" s="61">
        <f t="shared" si="8"/>
        <v>0</v>
      </c>
      <c r="G42" s="39">
        <f t="shared" si="8"/>
        <v>-146152</v>
      </c>
      <c r="H42" s="61">
        <f t="shared" si="8"/>
        <v>0</v>
      </c>
      <c r="I42" s="61">
        <f t="shared" si="8"/>
        <v>0</v>
      </c>
      <c r="J42" s="61">
        <f t="shared" si="8"/>
        <v>-2767625</v>
      </c>
      <c r="K42" s="39">
        <f t="shared" si="8"/>
        <v>-6454445</v>
      </c>
      <c r="L42" s="61">
        <f t="shared" si="8"/>
        <v>205238</v>
      </c>
      <c r="M42" s="39">
        <f t="shared" si="8"/>
        <v>463579</v>
      </c>
      <c r="N42" s="61">
        <f>SUM(N40:N41)</f>
        <v>0</v>
      </c>
      <c r="O42" s="39">
        <f>SUM(O40:O41)</f>
        <v>1845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-2562387</v>
      </c>
      <c r="E43" s="39">
        <f t="shared" si="9"/>
        <v>-6256083</v>
      </c>
      <c r="F43" s="61">
        <f t="shared" si="9"/>
        <v>0</v>
      </c>
      <c r="G43" s="39">
        <f t="shared" si="9"/>
        <v>-267062</v>
      </c>
      <c r="H43" s="61">
        <f t="shared" si="9"/>
        <v>0</v>
      </c>
      <c r="I43" s="61">
        <f t="shared" si="9"/>
        <v>0</v>
      </c>
      <c r="J43" s="61">
        <f t="shared" si="9"/>
        <v>-2767625</v>
      </c>
      <c r="K43" s="39">
        <f t="shared" si="9"/>
        <v>-6454445</v>
      </c>
      <c r="L43" s="61">
        <f t="shared" si="9"/>
        <v>205238</v>
      </c>
      <c r="M43" s="39">
        <f t="shared" si="9"/>
        <v>463579</v>
      </c>
      <c r="N43" s="61">
        <f>N42+N39</f>
        <v>0</v>
      </c>
      <c r="O43" s="39">
        <f>O42+O39</f>
        <v>1845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60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8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60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8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60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176561</v>
      </c>
      <c r="E49" s="38">
        <f>SUM(G49,I49,K49,M49,O49,Q49,S49,U49,W49,Y49,AA49,AC49,AE49)</f>
        <v>401323</v>
      </c>
      <c r="F49" s="60">
        <f>'TIE-OUT'!X49+RECLASS!V49</f>
        <v>0</v>
      </c>
      <c r="G49" s="38">
        <f>'TIE-OUT'!Y49+RECLASS!W49</f>
        <v>0</v>
      </c>
      <c r="H49" s="118">
        <v>6378328</v>
      </c>
      <c r="I49" s="118">
        <v>14497940</v>
      </c>
      <c r="J49" s="118">
        <v>-6022947</v>
      </c>
      <c r="K49" s="119">
        <v>-13690159</v>
      </c>
      <c r="L49" s="118">
        <v>32439</v>
      </c>
      <c r="M49" s="119">
        <v>73734</v>
      </c>
      <c r="N49" s="118">
        <v>-211259</v>
      </c>
      <c r="O49" s="119">
        <v>-480192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60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8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60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60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-1365278</v>
      </c>
      <c r="F54" s="64">
        <f>'TIE-OUT'!X54+RECLASS!V54</f>
        <v>0</v>
      </c>
      <c r="G54" s="68">
        <f>'TIE-OUT'!Y54+RECLASS!W54</f>
        <v>-1365278</v>
      </c>
      <c r="H54" s="118">
        <v>0</v>
      </c>
      <c r="I54" s="118">
        <v>0</v>
      </c>
      <c r="J54" s="118">
        <v>0</v>
      </c>
      <c r="K54" s="119">
        <v>0</v>
      </c>
      <c r="L54" s="118">
        <v>0</v>
      </c>
      <c r="M54" s="215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143300</v>
      </c>
      <c r="F55" s="81">
        <f>'TIE-OUT'!X55+RECLASS!V55</f>
        <v>0</v>
      </c>
      <c r="G55" s="82">
        <f>'TIE-OUT'!Y55+RECLASS!W55</f>
        <v>93300</v>
      </c>
      <c r="H55" s="118">
        <v>0</v>
      </c>
      <c r="I55" s="118">
        <v>60000</v>
      </c>
      <c r="J55" s="118">
        <v>0</v>
      </c>
      <c r="K55" s="119">
        <v>-10000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-1221978</v>
      </c>
      <c r="F56" s="61">
        <f t="shared" si="10"/>
        <v>0</v>
      </c>
      <c r="G56" s="39">
        <f t="shared" si="10"/>
        <v>-1271978</v>
      </c>
      <c r="H56" s="61">
        <f t="shared" si="10"/>
        <v>0</v>
      </c>
      <c r="I56" s="61">
        <f t="shared" si="10"/>
        <v>60000</v>
      </c>
      <c r="J56" s="61">
        <f t="shared" si="10"/>
        <v>0</v>
      </c>
      <c r="K56" s="39">
        <f t="shared" si="10"/>
        <v>-10000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60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60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8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-55559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8">
        <f>123262-123262</f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f>-148750+93191</f>
        <v>-55559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-55559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61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60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60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8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8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61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60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60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60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8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8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61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8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1960449.6800000002</v>
      </c>
      <c r="F74" s="60">
        <f>'TIE-OUT'!X74+RECLASS!V74</f>
        <v>0</v>
      </c>
      <c r="G74" s="60">
        <f>'TIE-OUT'!Y74+RECLASS!W74</f>
        <v>-760086.32</v>
      </c>
      <c r="H74" s="118">
        <v>0</v>
      </c>
      <c r="I74" s="118">
        <v>0</v>
      </c>
      <c r="J74" s="118">
        <v>0</v>
      </c>
      <c r="K74" s="119">
        <v>0</v>
      </c>
      <c r="L74" s="118">
        <v>0</v>
      </c>
      <c r="M74" s="215">
        <v>720750</v>
      </c>
      <c r="N74" s="118">
        <v>0</v>
      </c>
      <c r="O74" s="139">
        <f>-7905+2007691</f>
        <v>1999786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'TIE-OUT'!X75+RECLASS!V75</f>
        <v>0</v>
      </c>
      <c r="G75" s="60">
        <f>'TIE-OUT'!Y75+RECLASS!W75</f>
        <v>0</v>
      </c>
      <c r="H75" s="118">
        <v>0</v>
      </c>
      <c r="I75" s="118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8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'TIE-OUT'!X77+RECLASS!V77</f>
        <v>0</v>
      </c>
      <c r="G77" s="60">
        <f>'TIE-OUT'!Y77+RECLASS!W77</f>
        <v>-98300</v>
      </c>
      <c r="H77" s="118">
        <v>0</v>
      </c>
      <c r="I77" s="118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8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8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8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8">
        <v>0</v>
      </c>
      <c r="J81" s="118">
        <v>0</v>
      </c>
      <c r="K81" s="119">
        <v>0</v>
      </c>
      <c r="L81" s="118">
        <v>0</v>
      </c>
      <c r="M81" s="215">
        <v>-61128</v>
      </c>
      <c r="N81" s="118">
        <v>0</v>
      </c>
      <c r="O81" s="119"/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117847.01000000536</v>
      </c>
      <c r="F82" s="91">
        <f>F16+F24+F29+F36+F43+F45+F47+F49</f>
        <v>0</v>
      </c>
      <c r="G82" s="92">
        <f>SUM(G72:G81)+G16+G24+G29+G36+G43+G45+G47+G49+G51+G56+G61+G66</f>
        <v>-3588100.9899999998</v>
      </c>
      <c r="H82" s="91">
        <f>H16+H24+H29+H36+H43+H45+H47+H49</f>
        <v>0</v>
      </c>
      <c r="I82" s="92">
        <f>SUM(I72:I81)+I16+I24+I29+I36+I43+I45+I47+I49+I51+I56+I61+I66</f>
        <v>3136253</v>
      </c>
      <c r="J82" s="91">
        <f>J16+J24+J29+J36+J43+J45+J47+J49</f>
        <v>0</v>
      </c>
      <c r="K82" s="110">
        <f>SUM(K72:K81)+K16+K24+K29+K36+K43+K45+K47+K49+K51+K56+K61+K66</f>
        <v>337966</v>
      </c>
      <c r="L82" s="91">
        <f>L16+L24+L29+L36+L43+L45+L47+L49</f>
        <v>0</v>
      </c>
      <c r="M82" s="92">
        <f>SUM(M72:M81)+M16+M24+M29+M36+M43+M45+M47+M49+M51+M56+M61+M66</f>
        <v>-1688281</v>
      </c>
      <c r="N82" s="91">
        <f>N16+N24+N29+N36+N43+N45+N47+N49</f>
        <v>0</v>
      </c>
      <c r="O82" s="92">
        <f>SUM(O72:O81)+O16+O24+O29+O36+O43+O45+O47+O49+O51+O56+O61+O66</f>
        <v>1920010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 t="s">
        <v>170</v>
      </c>
      <c r="B85" s="3"/>
      <c r="F85" s="31"/>
      <c r="G85" s="31"/>
      <c r="H85" s="31"/>
      <c r="I85" s="31"/>
      <c r="K85"/>
    </row>
    <row r="86" spans="1:41" x14ac:dyDescent="0.2">
      <c r="A86" s="144"/>
      <c r="B86" s="3"/>
      <c r="C86" s="10" t="s">
        <v>166</v>
      </c>
      <c r="D86" s="145">
        <f t="shared" ref="D86:E88" si="15">SUM(F86,H86,J86,L86,N86,P86,R86,T86,V86,X86,Z86,AB86,AD86)</f>
        <v>0</v>
      </c>
      <c r="E86" s="146">
        <f t="shared" si="15"/>
        <v>2679418.91</v>
      </c>
      <c r="F86" s="145">
        <f>'TIE-OUT'!X86+RECLASS!V86</f>
        <v>0</v>
      </c>
      <c r="G86" s="146">
        <f>'TIE-OUT'!Y86+RECLASS!W86</f>
        <v>2598320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f>779530.91-57416</f>
        <v>722114.91</v>
      </c>
      <c r="N86" s="145">
        <v>0</v>
      </c>
      <c r="O86" s="145">
        <v>-641016</v>
      </c>
    </row>
    <row r="87" spans="1:41" x14ac:dyDescent="0.2">
      <c r="A87" s="144"/>
      <c r="B87" s="3"/>
      <c r="C87" s="10" t="s">
        <v>71</v>
      </c>
      <c r="D87" s="146">
        <f t="shared" si="15"/>
        <v>0</v>
      </c>
      <c r="E87" s="146">
        <f t="shared" si="15"/>
        <v>0</v>
      </c>
      <c r="F87" s="146">
        <f>'TIE-OUT'!X87+RECLASS!V87</f>
        <v>0</v>
      </c>
      <c r="G87" s="146">
        <f>'TIE-OUT'!Y87+RECLASS!W87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</row>
    <row r="88" spans="1:41" x14ac:dyDescent="0.2">
      <c r="A88" s="144"/>
      <c r="B88" s="3"/>
      <c r="C88" s="10" t="s">
        <v>72</v>
      </c>
      <c r="D88" s="147">
        <f t="shared" si="15"/>
        <v>0</v>
      </c>
      <c r="E88" s="147">
        <f t="shared" si="15"/>
        <v>-2147419</v>
      </c>
      <c r="F88" s="147">
        <f>'TIE-OUT'!X88+RECLASS!V88</f>
        <v>0</v>
      </c>
      <c r="G88" s="147">
        <f>'TIE-OUT'!Y88+RECLASS!W88</f>
        <v>-2057500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-89919</v>
      </c>
      <c r="N88" s="147">
        <v>0</v>
      </c>
      <c r="O88" s="147">
        <v>0</v>
      </c>
    </row>
    <row r="89" spans="1:41" ht="15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K89" si="16">SUM(E86:E88)</f>
        <v>531999.91000000015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>SUM(L86:L88)</f>
        <v>0</v>
      </c>
      <c r="M89" s="155">
        <f>SUM(M86:M88)</f>
        <v>632195.91</v>
      </c>
      <c r="N89" s="155">
        <f>SUM(N86:N88)</f>
        <v>0</v>
      </c>
      <c r="O89" s="155">
        <f>SUM(O86:O88)</f>
        <v>-641016</v>
      </c>
    </row>
    <row r="90" spans="1:41" x14ac:dyDescent="0.2">
      <c r="A90" s="4"/>
      <c r="B90" s="3"/>
      <c r="F90" s="31"/>
      <c r="G90" s="31"/>
      <c r="H90" s="31"/>
      <c r="I90" s="31"/>
      <c r="K90"/>
    </row>
    <row r="91" spans="1:41" ht="15" x14ac:dyDescent="0.2">
      <c r="A91" s="151"/>
      <c r="B91" s="152"/>
      <c r="C91" s="157" t="s">
        <v>172</v>
      </c>
      <c r="D91" s="155">
        <f>+D82+D89</f>
        <v>0</v>
      </c>
      <c r="E91" s="155">
        <f t="shared" ref="E91:K91" si="17">+E82+E89</f>
        <v>649846.92000000551</v>
      </c>
      <c r="F91" s="155">
        <f t="shared" si="17"/>
        <v>0</v>
      </c>
      <c r="G91" s="155">
        <f t="shared" si="17"/>
        <v>-3047280.9899999998</v>
      </c>
      <c r="H91" s="155">
        <f t="shared" si="17"/>
        <v>0</v>
      </c>
      <c r="I91" s="155">
        <f t="shared" si="17"/>
        <v>3136253</v>
      </c>
      <c r="J91" s="155">
        <f t="shared" si="17"/>
        <v>0</v>
      </c>
      <c r="K91" s="155">
        <f t="shared" si="17"/>
        <v>337966</v>
      </c>
      <c r="L91" s="155">
        <f>+L82+L89</f>
        <v>0</v>
      </c>
      <c r="M91" s="155">
        <f>+M82+M89</f>
        <v>-1056085.0899999999</v>
      </c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</sheetData>
  <pageMargins left="0.5" right="0.5" top="0.5" bottom="0.5" header="0.5" footer="0.5"/>
  <pageSetup paperSize="5" scale="36" orientation="landscape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G43" activePane="bottomRight" state="frozen"/>
      <selection activeCell="N31" sqref="N31"/>
      <selection pane="topRight" activeCell="N31" sqref="N31"/>
      <selection pane="bottomLeft" activeCell="N31" sqref="N31"/>
      <selection pane="bottomRight" activeCell="N31" sqref="N31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55965055</v>
      </c>
      <c r="E11" s="38">
        <f>SUM(G11,I11,K11,M11,O11,Q11,S11,U11,W11,Y11,AA11,AC11,AE11)</f>
        <v>137597507.87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265657</v>
      </c>
      <c r="H11" s="60">
        <f>'TX-EGM-GL'!H11+'TX-HPLR-GL '!H11+'TX-HPLC-GL'!H11</f>
        <v>55671778</v>
      </c>
      <c r="I11" s="38">
        <f>'TX-EGM-GL'!I11+'TX-HPLR-GL '!I11+'TX-HPLC-GL'!I11</f>
        <v>135455076.81999999</v>
      </c>
      <c r="J11" s="60">
        <f>'TX-EGM-GL'!J11+'TX-HPLR-GL '!J11+'TX-HPLC-GL'!J11</f>
        <v>-117277</v>
      </c>
      <c r="K11" s="38">
        <f>'TX-EGM-GL'!K11+'TX-HPLR-GL '!K11+'TX-HPLC-GL'!K11</f>
        <v>-786944.47</v>
      </c>
      <c r="L11" s="60">
        <f>'TX-EGM-GL'!L11+'TX-HPLR-GL '!L11+'TX-HPLC-GL'!L11</f>
        <v>247691</v>
      </c>
      <c r="M11" s="38">
        <f>'TX-EGM-GL'!M11+'TX-HPLR-GL '!M11+'TX-HPLC-GL'!M11</f>
        <v>2307661.59</v>
      </c>
      <c r="N11" s="60">
        <f>'TX-EGM-GL'!N11+'TX-HPLR-GL '!N11+'TX-HPLC-GL'!N11</f>
        <v>162863</v>
      </c>
      <c r="O11" s="38">
        <f>'TX-EGM-GL'!O11+'TX-HPLR-GL '!O11+'TX-HPLC-GL'!O11</f>
        <v>356056.93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-7669145.0099999998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-7641066.0099999998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-28079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1475282</v>
      </c>
      <c r="E13" s="38">
        <f t="shared" si="0"/>
        <v>911387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11332509</v>
      </c>
      <c r="I13" s="38">
        <f>'TX-EGM-GL'!I13+'TX-HPLR-GL '!I13+'TX-HPLC-GL'!I13</f>
        <v>26371437</v>
      </c>
      <c r="J13" s="60">
        <f>'TX-EGM-GL'!J13+'TX-HPLR-GL '!J13+'TX-HPLC-GL'!J13</f>
        <v>-9857227</v>
      </c>
      <c r="K13" s="38">
        <f>'TX-EGM-GL'!K13+'TX-HPLR-GL '!K13+'TX-HPLC-GL'!K13</f>
        <v>-22968890</v>
      </c>
      <c r="L13" s="60">
        <f>'TX-EGM-GL'!L13+'TX-HPLR-GL '!L13+'TX-HPLC-GL'!L13</f>
        <v>0</v>
      </c>
      <c r="M13" s="38">
        <f>'TX-EGM-GL'!M13+'TX-HPLR-GL '!M13+'TX-HPLC-GL'!M13</f>
        <v>-2491160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2611160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120000</v>
      </c>
      <c r="H15" s="60">
        <f>'TX-EGM-GL'!H15+'TX-HPLR-GL '!H15+'TX-HPLC-GL'!H15</f>
        <v>0</v>
      </c>
      <c r="I15" s="38">
        <f>'TX-EGM-GL'!I15+'TX-HPLR-GL '!I15+'TX-HPLC-GL'!I15</f>
        <v>2498660</v>
      </c>
      <c r="J15" s="60">
        <f>'TX-EGM-GL'!J15+'TX-HPLR-GL '!J15+'TX-HPLC-GL'!J15</f>
        <v>0</v>
      </c>
      <c r="K15" s="38">
        <f>'TX-EGM-GL'!K15+'TX-HPLR-GL '!K15+'TX-HPLC-GL'!K15</f>
        <v>-7500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57440337</v>
      </c>
      <c r="E16" s="39">
        <f t="shared" si="1"/>
        <v>133450909.86</v>
      </c>
      <c r="F16" s="61">
        <f t="shared" si="1"/>
        <v>0</v>
      </c>
      <c r="G16" s="39">
        <f t="shared" si="1"/>
        <v>-7255409.0099999998</v>
      </c>
      <c r="H16" s="61">
        <f t="shared" si="1"/>
        <v>67004287</v>
      </c>
      <c r="I16" s="39">
        <f t="shared" si="1"/>
        <v>164325173.81999999</v>
      </c>
      <c r="J16" s="61">
        <f t="shared" si="1"/>
        <v>-9974504</v>
      </c>
      <c r="K16" s="39">
        <f t="shared" si="1"/>
        <v>-23791413.469999999</v>
      </c>
      <c r="L16" s="61">
        <f t="shared" si="1"/>
        <v>247691</v>
      </c>
      <c r="M16" s="39">
        <f t="shared" si="1"/>
        <v>-183498.41000000015</v>
      </c>
      <c r="N16" s="61">
        <f>SUM(N11:N15)</f>
        <v>162863</v>
      </c>
      <c r="O16" s="39">
        <f>SUM(O11:O15)</f>
        <v>356056.93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-54606194</v>
      </c>
      <c r="E19" s="38">
        <f t="shared" si="2"/>
        <v>-123658250.3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-144747</v>
      </c>
      <c r="H19" s="60">
        <f>'TX-EGM-GL'!H19+'TX-HPLR-GL '!H19+'TX-HPLC-GL'!H19</f>
        <v>-53537840</v>
      </c>
      <c r="I19" s="38">
        <f>'TX-EGM-GL'!I19+'TX-HPLR-GL '!I19+'TX-HPLC-GL'!I19</f>
        <v>-121104384.44</v>
      </c>
      <c r="J19" s="60">
        <f>'TX-EGM-GL'!J19+'TX-HPLR-GL '!J19+'TX-HPLC-GL'!J19</f>
        <v>-818268</v>
      </c>
      <c r="K19" s="38">
        <f>'TX-EGM-GL'!K19+'TX-HPLR-GL '!K19+'TX-HPLC-GL'!K19</f>
        <v>-1886058.66</v>
      </c>
      <c r="L19" s="60">
        <f>'TX-EGM-GL'!L19+'TX-HPLR-GL '!L19+'TX-HPLC-GL'!L19</f>
        <v>-200502</v>
      </c>
      <c r="M19" s="38">
        <f>'TX-EGM-GL'!M19+'TX-HPLR-GL '!M19+'TX-HPLC-GL'!M19</f>
        <v>-400201.79000000004</v>
      </c>
      <c r="N19" s="60">
        <f>'TX-EGM-GL'!N19+'TX-HPLR-GL '!N19+'TX-HPLC-GL'!N19</f>
        <v>-49584</v>
      </c>
      <c r="O19" s="38">
        <f>'TX-EGM-GL'!O19+'TX-HPLR-GL '!O19+'TX-HPLC-GL'!O19</f>
        <v>-122858.41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1737669.04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1870694.04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0</v>
      </c>
      <c r="L20" s="60">
        <f>'TX-EGM-GL'!L20+'TX-HPLR-GL '!L20+'TX-HPLC-GL'!L20</f>
        <v>0</v>
      </c>
      <c r="M20" s="38">
        <f>'TX-EGM-GL'!M20+'TX-HPLR-GL '!M20+'TX-HPLC-GL'!M20</f>
        <v>-133025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-139069</v>
      </c>
      <c r="E21" s="38">
        <f t="shared" si="2"/>
        <v>-296117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-9997007</v>
      </c>
      <c r="I21" s="38">
        <f>'TX-EGM-GL'!I21+'TX-HPLR-GL '!I21+'TX-HPLC-GL'!I21</f>
        <v>-23266574</v>
      </c>
      <c r="J21" s="60">
        <f>'TX-EGM-GL'!J21+'TX-HPLR-GL '!J21+'TX-HPLC-GL'!J21</f>
        <v>9857938</v>
      </c>
      <c r="K21" s="38">
        <f>'TX-EGM-GL'!K21+'TX-HPLR-GL '!K21+'TX-HPLC-GL'!K21</f>
        <v>22970457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13806</v>
      </c>
      <c r="E23" s="38">
        <f t="shared" si="2"/>
        <v>31381.038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12946</v>
      </c>
      <c r="I23" s="38">
        <f>'TX-EGM-GL'!I23+'TX-HPLR-GL '!I23+'TX-HPLC-GL'!I23</f>
        <v>29426.258000000002</v>
      </c>
      <c r="J23" s="60">
        <f>'TX-EGM-GL'!J23+'TX-HPLR-GL '!J23+'TX-HPLC-GL'!J23</f>
        <v>860</v>
      </c>
      <c r="K23" s="38">
        <f>'TX-EGM-GL'!K23+'TX-HPLR-GL '!K23+'TX-HPLC-GL'!K23</f>
        <v>1954.78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-54731457</v>
      </c>
      <c r="E24" s="39">
        <f t="shared" si="3"/>
        <v>-122185317.22199999</v>
      </c>
      <c r="F24" s="61">
        <f t="shared" si="3"/>
        <v>0</v>
      </c>
      <c r="G24" s="39">
        <f t="shared" si="3"/>
        <v>1725947.04</v>
      </c>
      <c r="H24" s="61">
        <f t="shared" si="3"/>
        <v>-63521901</v>
      </c>
      <c r="I24" s="39">
        <f t="shared" si="3"/>
        <v>-144341532.18200001</v>
      </c>
      <c r="J24" s="61">
        <f t="shared" si="3"/>
        <v>9040530</v>
      </c>
      <c r="K24" s="39">
        <f t="shared" si="3"/>
        <v>21086353.120000001</v>
      </c>
      <c r="L24" s="61">
        <f t="shared" si="3"/>
        <v>-200502</v>
      </c>
      <c r="M24" s="39">
        <f t="shared" si="3"/>
        <v>-533226.79</v>
      </c>
      <c r="N24" s="61">
        <f>SUM(N19:N23)</f>
        <v>-49584</v>
      </c>
      <c r="O24" s="39">
        <f>SUM(O19:O23)</f>
        <v>-122858.41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28159287</v>
      </c>
      <c r="E27" s="38">
        <f>SUM(G27,I27,K27,M27,O27,Q27,S27,U27,W27,Y27,AA27,AC27,AE27)</f>
        <v>65398664.299999997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19275289</v>
      </c>
      <c r="I27" s="38">
        <f>'TX-EGM-GL'!I27+'TX-HPLR-GL '!I27+'TX-HPLC-GL'!I27</f>
        <v>45148671.420000002</v>
      </c>
      <c r="J27" s="60">
        <f>'TX-EGM-GL'!J27+'TX-HPLR-GL '!J27+'TX-HPLC-GL'!J27</f>
        <v>8985619</v>
      </c>
      <c r="K27" s="38">
        <f>'TX-EGM-GL'!K27+'TX-HPLR-GL '!K27+'TX-HPLC-GL'!K27</f>
        <v>20436781.91</v>
      </c>
      <c r="L27" s="60">
        <f>'TX-EGM-GL'!L27+'TX-HPLR-GL '!L27+'TX-HPLC-GL'!L27</f>
        <v>-148947</v>
      </c>
      <c r="M27" s="38">
        <f>'TX-EGM-GL'!M27+'TX-HPLR-GL '!M27+'TX-HPLC-GL'!M27</f>
        <v>-283135.84999999998</v>
      </c>
      <c r="N27" s="60">
        <f>'TX-EGM-GL'!N27+'TX-HPLR-GL '!N27+'TX-HPLC-GL'!N27</f>
        <v>47326</v>
      </c>
      <c r="O27" s="38">
        <f>'TX-EGM-GL'!O27+'TX-HPLR-GL '!O27+'TX-HPLC-GL'!O27</f>
        <v>96346.82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-27639933</v>
      </c>
      <c r="E28" s="38">
        <f>SUM(G28,I28,K28,M28,O28,Q28,S28,U28,W28,Y28,AA28,AC28,AE28)</f>
        <v>-63866989.270000003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-19344155</v>
      </c>
      <c r="I28" s="38">
        <f>'TX-EGM-GL'!I28+'TX-HPLR-GL '!I28+'TX-HPLC-GL'!I28</f>
        <v>-43362561.07</v>
      </c>
      <c r="J28" s="60">
        <f>'TX-EGM-GL'!J28+'TX-HPLR-GL '!J28+'TX-HPLC-GL'!J28</f>
        <v>-8583582</v>
      </c>
      <c r="K28" s="38">
        <f>'TX-EGM-GL'!K28+'TX-HPLR-GL '!K28+'TX-HPLC-GL'!K28</f>
        <v>-21176998.689999998</v>
      </c>
      <c r="L28" s="60">
        <f>'TX-EGM-GL'!L28+'TX-HPLR-GL '!L28+'TX-HPLC-GL'!L28</f>
        <v>296891</v>
      </c>
      <c r="M28" s="38">
        <f>'TX-EGM-GL'!M28+'TX-HPLR-GL '!M28+'TX-HPLC-GL'!M28</f>
        <v>689790.19</v>
      </c>
      <c r="N28" s="60">
        <f>'TX-EGM-GL'!N28+'TX-HPLR-GL '!N28+'TX-HPLC-GL'!N28</f>
        <v>-9087</v>
      </c>
      <c r="O28" s="38">
        <f>'TX-EGM-GL'!O28+'TX-HPLR-GL '!O28+'TX-HPLC-GL'!O28</f>
        <v>-17219.699999999997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519354</v>
      </c>
      <c r="E29" s="39">
        <f t="shared" si="4"/>
        <v>1531675.0299999937</v>
      </c>
      <c r="F29" s="61">
        <f t="shared" si="4"/>
        <v>0</v>
      </c>
      <c r="G29" s="39">
        <f t="shared" si="4"/>
        <v>0</v>
      </c>
      <c r="H29" s="61">
        <f t="shared" si="4"/>
        <v>-68866</v>
      </c>
      <c r="I29" s="39">
        <f t="shared" si="4"/>
        <v>1786110.3500000015</v>
      </c>
      <c r="J29" s="61">
        <f t="shared" si="4"/>
        <v>402037</v>
      </c>
      <c r="K29" s="39">
        <f t="shared" si="4"/>
        <v>-740216.77999999747</v>
      </c>
      <c r="L29" s="61">
        <f t="shared" si="4"/>
        <v>147944</v>
      </c>
      <c r="M29" s="39">
        <f t="shared" si="4"/>
        <v>406654.33999999997</v>
      </c>
      <c r="N29" s="61">
        <f>SUM(N27:N28)</f>
        <v>38239</v>
      </c>
      <c r="O29" s="39">
        <f>SUM(O27:O28)</f>
        <v>79127.12000000001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152830</v>
      </c>
      <c r="E32" s="38">
        <f t="shared" si="5"/>
        <v>347382.81100000185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-9731818</v>
      </c>
      <c r="I32" s="38">
        <f>'TX-EGM-GL'!I32+'TX-HPLR-GL '!I32+'TX-HPLC-GL'!I32</f>
        <v>-22120422.313999999</v>
      </c>
      <c r="J32" s="60">
        <f>'TX-EGM-GL'!J32+'TX-HPLR-GL '!J32+'TX-HPLC-GL'!J32</f>
        <v>9972198</v>
      </c>
      <c r="K32" s="38">
        <f>'TX-EGM-GL'!K32+'TX-HPLR-GL '!K32+'TX-HPLC-GL'!K32</f>
        <v>22666806.348000001</v>
      </c>
      <c r="L32" s="60">
        <f>'TX-EGM-GL'!L32+'TX-HPLR-GL '!L32+'TX-HPLC-GL'!L32</f>
        <v>-184536</v>
      </c>
      <c r="M32" s="38">
        <f>'TX-EGM-GL'!M32+'TX-HPLR-GL '!M32+'TX-HPLC-GL'!M32</f>
        <v>-419450.223</v>
      </c>
      <c r="N32" s="60">
        <f>'TX-EGM-GL'!N32+'TX-HPLR-GL '!N32+'TX-HPLC-GL'!N32</f>
        <v>96986</v>
      </c>
      <c r="O32" s="38">
        <f>'TX-EGM-GL'!O32+'TX-HPLR-GL '!O32+'TX-HPLC-GL'!O32</f>
        <v>220449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0</v>
      </c>
      <c r="I35" s="38">
        <f>'TX-EGM-GL'!I35+'TX-HPLR-GL '!I35+'TX-HPLC-GL'!I35</f>
        <v>0</v>
      </c>
      <c r="J35" s="60">
        <f>'TX-EGM-GL'!J35+'TX-HPLR-GL '!J35+'TX-HPLC-GL'!J35</f>
        <v>0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152830</v>
      </c>
      <c r="E36" s="39">
        <f t="shared" si="6"/>
        <v>347382.81100000185</v>
      </c>
      <c r="F36" s="61">
        <f t="shared" si="6"/>
        <v>0</v>
      </c>
      <c r="G36" s="39">
        <f t="shared" si="6"/>
        <v>0</v>
      </c>
      <c r="H36" s="61">
        <f t="shared" si="6"/>
        <v>-9731818</v>
      </c>
      <c r="I36" s="39">
        <f t="shared" si="6"/>
        <v>-22120422.313999999</v>
      </c>
      <c r="J36" s="61">
        <f t="shared" si="6"/>
        <v>9972198</v>
      </c>
      <c r="K36" s="39">
        <f t="shared" si="6"/>
        <v>22666806.348000001</v>
      </c>
      <c r="L36" s="61">
        <f t="shared" si="6"/>
        <v>-184536</v>
      </c>
      <c r="M36" s="39">
        <f t="shared" si="6"/>
        <v>-419450.223</v>
      </c>
      <c r="N36" s="61">
        <f>SUM(N32:N35)</f>
        <v>96986</v>
      </c>
      <c r="O36" s="39">
        <f>SUM(O32:O35)</f>
        <v>220449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-120910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-120910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-3532309</v>
      </c>
      <c r="E40" s="38">
        <f t="shared" si="7"/>
        <v>-10099457.890000001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-140000</v>
      </c>
      <c r="I40" s="38">
        <f>'TX-EGM-GL'!I40+'TX-HPLR-GL '!I40+'TX-HPLC-GL'!I40</f>
        <v>-299275.48</v>
      </c>
      <c r="J40" s="60">
        <f>'TX-EGM-GL'!J40+'TX-HPLR-GL '!J40+'TX-HPLC-GL'!J40</f>
        <v>-3392419</v>
      </c>
      <c r="K40" s="38">
        <f>'TX-EGM-GL'!K40+'TX-HPLR-GL '!K40+'TX-HPLC-GL'!K40</f>
        <v>-9325121.7200000007</v>
      </c>
      <c r="L40" s="60">
        <f>'TX-EGM-GL'!L40+'TX-HPLR-GL '!L40+'TX-HPLC-GL'!L40</f>
        <v>110</v>
      </c>
      <c r="M40" s="38">
        <f>'TX-EGM-GL'!M40+'TX-HPLR-GL '!M40+'TX-HPLC-GL'!M40</f>
        <v>-476905.68999999994</v>
      </c>
      <c r="N40" s="60">
        <f>'TX-EGM-GL'!N40+'TX-HPLR-GL '!N40+'TX-HPLC-GL'!N40</f>
        <v>0</v>
      </c>
      <c r="O40" s="38">
        <f>'TX-EGM-GL'!O40+'TX-HPLR-GL '!O40+'TX-HPLC-GL'!O40</f>
        <v>1845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-146152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-146152</v>
      </c>
      <c r="H41" s="60">
        <f>'TX-EGM-GL'!H41+'TX-HPLR-GL '!H41+'TX-HPLC-GL'!H41</f>
        <v>0</v>
      </c>
      <c r="I41" s="38">
        <f>'TX-EGM-GL'!I41+'TX-HPLR-GL '!I41+'TX-HPLC-GL'!I41</f>
        <v>0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-3532309</v>
      </c>
      <c r="E42" s="39">
        <f t="shared" si="8"/>
        <v>-10245609.890000001</v>
      </c>
      <c r="F42" s="61">
        <f t="shared" si="8"/>
        <v>0</v>
      </c>
      <c r="G42" s="39">
        <f t="shared" si="8"/>
        <v>-146152</v>
      </c>
      <c r="H42" s="61">
        <f t="shared" si="8"/>
        <v>-140000</v>
      </c>
      <c r="I42" s="39">
        <f t="shared" si="8"/>
        <v>-299275.48</v>
      </c>
      <c r="J42" s="61">
        <f t="shared" si="8"/>
        <v>-3392419</v>
      </c>
      <c r="K42" s="39">
        <f t="shared" si="8"/>
        <v>-9325121.7200000007</v>
      </c>
      <c r="L42" s="61">
        <f t="shared" si="8"/>
        <v>110</v>
      </c>
      <c r="M42" s="39">
        <f t="shared" si="8"/>
        <v>-476905.68999999994</v>
      </c>
      <c r="N42" s="61">
        <f>SUM(N40:N41)</f>
        <v>0</v>
      </c>
      <c r="O42" s="39">
        <f>SUM(O40:O41)</f>
        <v>1845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-3532309</v>
      </c>
      <c r="E43" s="39">
        <f t="shared" si="9"/>
        <v>-10366519.890000001</v>
      </c>
      <c r="F43" s="61">
        <f t="shared" si="9"/>
        <v>0</v>
      </c>
      <c r="G43" s="39">
        <f t="shared" si="9"/>
        <v>-267062</v>
      </c>
      <c r="H43" s="61">
        <f t="shared" si="9"/>
        <v>-140000</v>
      </c>
      <c r="I43" s="39">
        <f t="shared" si="9"/>
        <v>-299275.48</v>
      </c>
      <c r="J43" s="61">
        <f t="shared" si="9"/>
        <v>-3392419</v>
      </c>
      <c r="K43" s="39">
        <f t="shared" si="9"/>
        <v>-9325121.7200000007</v>
      </c>
      <c r="L43" s="61">
        <f t="shared" si="9"/>
        <v>110</v>
      </c>
      <c r="M43" s="39">
        <f t="shared" si="9"/>
        <v>-476905.68999999994</v>
      </c>
      <c r="N43" s="61">
        <f>N42+N39</f>
        <v>0</v>
      </c>
      <c r="O43" s="39">
        <f>O42+O39</f>
        <v>1845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113410.16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113410.16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151245</v>
      </c>
      <c r="E49" s="38">
        <f>SUM(G49,I49,K49,M49,O49,Q49,S49,U49,W49,Y49,AA49,AC49,AE49)</f>
        <v>343779.73199999961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6458298</v>
      </c>
      <c r="I49" s="38">
        <f>'TX-EGM-GL'!I49+'TX-HPLR-GL '!I49+'TX-HPLC-GL'!I49</f>
        <v>14679711.810000001</v>
      </c>
      <c r="J49" s="60">
        <f>'TX-EGM-GL'!J49+'TX-HPLR-GL '!J49+'TX-HPLC-GL'!J49</f>
        <v>-6047842</v>
      </c>
      <c r="K49" s="38">
        <f>'TX-EGM-GL'!K49+'TX-HPLR-GL '!K49+'TX-HPLC-GL'!K49</f>
        <v>-13746745.335000001</v>
      </c>
      <c r="L49" s="60">
        <f>'TX-EGM-GL'!L49+'TX-HPLR-GL '!L49+'TX-HPLC-GL'!L49</f>
        <v>-10707</v>
      </c>
      <c r="M49" s="38">
        <f>'TX-EGM-GL'!M49+'TX-HPLR-GL '!M49+'TX-HPLC-GL'!M49</f>
        <v>-24336.857999999993</v>
      </c>
      <c r="N49" s="60">
        <f>'TX-EGM-GL'!N49+'TX-HPLR-GL '!N49+'TX-HPLC-GL'!N49</f>
        <v>-248504</v>
      </c>
      <c r="O49" s="38">
        <f>'TX-EGM-GL'!O49+'TX-HPLR-GL '!O49+'TX-HPLC-GL'!O49</f>
        <v>-564849.88500000001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-13806</v>
      </c>
      <c r="E51" s="38">
        <f>SUM(G51,I51,K51,M51,O51,Q51,S51,U51,W51,Y51,AA51,AC51,AE51)</f>
        <v>-31381.038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-12946</v>
      </c>
      <c r="I51" s="38">
        <f>'TX-EGM-GL'!I51+'TX-HPLR-GL '!I51+'TX-HPLC-GL'!I51</f>
        <v>-29426.258000000002</v>
      </c>
      <c r="J51" s="60">
        <f>'TX-EGM-GL'!J51+'TX-HPLR-GL '!J51+'TX-HPLC-GL'!J51</f>
        <v>-860</v>
      </c>
      <c r="K51" s="38">
        <f>'TX-EGM-GL'!K51+'TX-HPLR-GL '!K51+'TX-HPLC-GL'!K51</f>
        <v>-1954.78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-16449022</v>
      </c>
      <c r="E54" s="38">
        <f>SUM(G54,I54,K54,M54,O54,Q54,S54,U54,W54,Y54,AA54,AC54,AE54)</f>
        <v>-1767612.96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-1365278</v>
      </c>
      <c r="H54" s="60">
        <f>'TX-EGM-GL'!H54+'TX-HPLR-GL '!H54+'TX-HPLC-GL'!H54</f>
        <v>-6709702</v>
      </c>
      <c r="I54" s="38">
        <f>'TX-EGM-GL'!I54+'TX-HPLR-GL '!I54+'TX-HPLC-GL'!I54</f>
        <v>-213269.27</v>
      </c>
      <c r="J54" s="60">
        <f>'TX-EGM-GL'!J54+'TX-HPLR-GL '!J54+'TX-HPLC-GL'!J54</f>
        <v>-9720573</v>
      </c>
      <c r="K54" s="38">
        <f>'TX-EGM-GL'!K54+'TX-HPLR-GL '!K54+'TX-HPLC-GL'!K54</f>
        <v>-205871.48</v>
      </c>
      <c r="L54" s="60">
        <f>'TX-EGM-GL'!L54+'TX-HPLR-GL '!L54+'TX-HPLC-GL'!L54</f>
        <v>-27495</v>
      </c>
      <c r="M54" s="38">
        <f>'TX-EGM-GL'!M54+'TX-HPLR-GL '!M54+'TX-HPLC-GL'!M54</f>
        <v>10606.04</v>
      </c>
      <c r="N54" s="60">
        <f>'TX-EGM-GL'!N54+'TX-HPLR-GL '!N54+'TX-HPLC-GL'!N54</f>
        <v>8748</v>
      </c>
      <c r="O54" s="38">
        <f>'TX-EGM-GL'!O54+'TX-HPLR-GL '!O54+'TX-HPLC-GL'!O54</f>
        <v>6199.75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-19.059999999999999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93300</v>
      </c>
      <c r="H55" s="60">
        <f>'TX-EGM-GL'!H55+'TX-HPLR-GL '!H55+'TX-HPLC-GL'!H55</f>
        <v>0</v>
      </c>
      <c r="I55" s="38">
        <f>'TX-EGM-GL'!I55+'TX-HPLR-GL '!I55+'TX-HPLC-GL'!I55</f>
        <v>8848</v>
      </c>
      <c r="J55" s="60">
        <f>'TX-EGM-GL'!J55+'TX-HPLR-GL '!J55+'TX-HPLC-GL'!J55</f>
        <v>0</v>
      </c>
      <c r="K55" s="38">
        <f>'TX-EGM-GL'!K55+'TX-HPLR-GL '!K55+'TX-HPLC-GL'!K55</f>
        <v>-103300</v>
      </c>
      <c r="L55" s="60">
        <f>'TX-EGM-GL'!L55+'TX-HPLR-GL '!L55+'TX-HPLC-GL'!L55</f>
        <v>0</v>
      </c>
      <c r="M55" s="38">
        <f>'TX-EGM-GL'!M55+'TX-HPLR-GL '!M55+'TX-HPLC-GL'!M55</f>
        <v>1152</v>
      </c>
      <c r="N55" s="60">
        <f>'TX-EGM-GL'!N55+'TX-HPLR-GL '!N55+'TX-HPLC-GL'!N55</f>
        <v>0</v>
      </c>
      <c r="O55" s="38">
        <f>'TX-EGM-GL'!O55+'TX-HPLR-GL '!O55+'TX-HPLC-GL'!O55</f>
        <v>-19.059999999999999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-16449022</v>
      </c>
      <c r="E56" s="39">
        <f t="shared" si="10"/>
        <v>-1767632.02</v>
      </c>
      <c r="F56" s="61">
        <f t="shared" si="10"/>
        <v>0</v>
      </c>
      <c r="G56" s="39">
        <f t="shared" si="10"/>
        <v>-1271978</v>
      </c>
      <c r="H56" s="61">
        <f t="shared" si="10"/>
        <v>-6709702</v>
      </c>
      <c r="I56" s="39">
        <f t="shared" si="10"/>
        <v>-204421.27</v>
      </c>
      <c r="J56" s="61">
        <f t="shared" si="10"/>
        <v>-9720573</v>
      </c>
      <c r="K56" s="39">
        <f t="shared" si="10"/>
        <v>-309171.48</v>
      </c>
      <c r="L56" s="61">
        <f t="shared" si="10"/>
        <v>-27495</v>
      </c>
      <c r="M56" s="39">
        <f t="shared" si="10"/>
        <v>11758.04</v>
      </c>
      <c r="N56" s="61">
        <f>SUM(N54:N55)</f>
        <v>8748</v>
      </c>
      <c r="O56" s="39">
        <f>SUM(O54:O55)</f>
        <v>6180.69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-55559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-55559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-55559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-55559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-971.85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-971.85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-971.85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-971.85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-2639306.77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-2639306.77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739518.78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739518.78</v>
      </c>
      <c r="H71" s="60">
        <f>'TX-EGM-GL'!H71+'TX-HPLR-GL '!H71+'TX-HPLC-GL'!H71</f>
        <v>0</v>
      </c>
      <c r="I71" s="38">
        <f>'TX-EGM-GL'!I71+'TX-HPLR-GL '!I71+'TX-HPLC-GL'!I71</f>
        <v>0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-1899787.99</v>
      </c>
      <c r="F72" s="61">
        <f t="shared" si="13"/>
        <v>0</v>
      </c>
      <c r="G72" s="39">
        <f t="shared" si="13"/>
        <v>-1899787.99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1762479.91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-929977.05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0</v>
      </c>
      <c r="L74" s="60">
        <f>'TX-EGM-GL'!L74+'TX-HPLR-GL '!L74+'TX-HPLC-GL'!L74</f>
        <v>0</v>
      </c>
      <c r="M74" s="38">
        <f>'TX-EGM-GL'!M74+'TX-HPLR-GL '!M74+'TX-HPLC-GL'!M74</f>
        <v>692670.96</v>
      </c>
      <c r="N74" s="60">
        <f>'TX-EGM-GL'!N74+'TX-HPLR-GL '!N74+'TX-HPLC-GL'!N74</f>
        <v>0</v>
      </c>
      <c r="O74" s="38">
        <f>'TX-EGM-GL'!O74+'TX-HPLR-GL '!O74+'TX-HPLC-GL'!O74</f>
        <v>1999786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17700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17700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-2541.2800000000002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0</v>
      </c>
      <c r="J76" s="60">
        <f>'TX-EGM-GL'!J76+'TX-HPLR-GL '!J76+'TX-HPLC-GL'!J76</f>
        <v>0</v>
      </c>
      <c r="K76" s="38">
        <f>'TX-EGM-GL'!K76+'TX-HPLR-GL '!K76+'TX-HPLC-GL'!K76</f>
        <v>-2541.2800000000002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-98300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-98300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-61128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0</v>
      </c>
      <c r="J81" s="60">
        <f>'TX-EGM-GL'!J81+'TX-HPLR-GL '!J81+'TX-HPLC-GL'!J81</f>
        <v>0</v>
      </c>
      <c r="K81" s="38">
        <f>'TX-EGM-GL'!K81+'TX-HPLR-GL '!K81+'TX-HPLC-GL'!K81</f>
        <v>0</v>
      </c>
      <c r="L81" s="60">
        <f>'TX-EGM-GL'!L81+'TX-HPLR-GL '!L81+'TX-HPLC-GL'!L81</f>
        <v>0</v>
      </c>
      <c r="M81" s="38">
        <f>'TX-EGM-GL'!M81+'TX-HPLR-GL '!M81+'TX-HPLC-GL'!M81</f>
        <v>-61128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1098199.2130000074</v>
      </c>
      <c r="F82" s="91">
        <f>F16+F24+F29+F36+F43+F45+F47+F49</f>
        <v>0</v>
      </c>
      <c r="G82" s="92">
        <f>SUM(G72:G81)+G16+G24+G29+G36+G43+G45+G47+G49+G51+G56+G61+G66</f>
        <v>-9978867.0100000016</v>
      </c>
      <c r="H82" s="91">
        <f>H16+H24+H29+H36+H43+H45+H47+H49</f>
        <v>0</v>
      </c>
      <c r="I82" s="92">
        <f>SUM(I72:I81)+I16+I24+I29+I36+I43+I45+I47+I49+I51+I56+I61+I66</f>
        <v>13795918.475999985</v>
      </c>
      <c r="J82" s="91">
        <f>J16+J24+J29+J36+J43+J45+J47+J49</f>
        <v>0</v>
      </c>
      <c r="K82" s="92">
        <f>SUM(K72:K81)+K16+K24+K29+K36+K43+K45+K47+K49+K51+K56+K61+K66</f>
        <v>-4164977.2269999967</v>
      </c>
      <c r="L82" s="91">
        <f>L16+L24+L29+L36+L43+L45+L47+L49</f>
        <v>0</v>
      </c>
      <c r="M82" s="92">
        <f>SUM(M72:M81)+M16+M24+M29+M36+M43+M45+M47+M49+M51+M56+M61+M66</f>
        <v>-474052.47100000019</v>
      </c>
      <c r="N82" s="91">
        <f>N16+N24+N29+N36+N43+N45+N47+N49</f>
        <v>0</v>
      </c>
      <c r="O82" s="92">
        <f>SUM(O72:O81)+O16+O24+O29+O36+O43+O45+O47+O49+O51+O56+O61+O66</f>
        <v>1920177.4450000001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170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2598320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2598320</v>
      </c>
      <c r="H86" s="145">
        <f>'TX-EGM-GL'!H86+'TX-HPLR-GL '!H86+'TX-HPLC-GL'!H86</f>
        <v>0</v>
      </c>
      <c r="I86" s="145">
        <f>'TX-EGM-GL'!I86+'TX-HPLR-GL '!I86+'TX-HPLC-GL'!I86</f>
        <v>0</v>
      </c>
      <c r="J86" s="145">
        <f>'TX-EGM-GL'!J86+'TX-HPLR-GL '!J86+'TX-HPLC-GL'!J86</f>
        <v>0</v>
      </c>
      <c r="K86" s="145">
        <f>'TX-EGM-GL'!K86+'TX-HPLR-GL '!K86+'TX-HPLC-GL'!K86</f>
        <v>0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0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0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-2057500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-2057500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540820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0</v>
      </c>
      <c r="J89" s="155">
        <f>SUM(J86:J88)</f>
        <v>0</v>
      </c>
      <c r="K89" s="155">
        <f>SUM(K86:K88)</f>
        <v>0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1639019.2130000074</v>
      </c>
      <c r="F91" s="155">
        <f t="shared" si="19"/>
        <v>0</v>
      </c>
      <c r="G91" s="155">
        <f t="shared" si="19"/>
        <v>-9438047.0100000016</v>
      </c>
      <c r="H91" s="155">
        <f t="shared" si="19"/>
        <v>0</v>
      </c>
      <c r="I91" s="155">
        <f t="shared" si="19"/>
        <v>13795918.475999985</v>
      </c>
      <c r="J91" s="155">
        <f>+J82+J89</f>
        <v>0</v>
      </c>
      <c r="K91" s="155">
        <f>+K82+K89</f>
        <v>-4164977.2269999967</v>
      </c>
      <c r="L91" s="155">
        <f t="shared" si="19"/>
        <v>0</v>
      </c>
      <c r="M91" s="155">
        <f t="shared" si="19"/>
        <v>-474052.47100000019</v>
      </c>
      <c r="N91" s="155">
        <f t="shared" ref="N91:AE91" si="20">+N82+N89</f>
        <v>0</v>
      </c>
      <c r="O91" s="155">
        <f t="shared" si="20"/>
        <v>1920177.4450000001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O179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13" sqref="O1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27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41098169</v>
      </c>
      <c r="E11" s="38">
        <f>SUM(G11,I11,K11,M11,O11,Q11,S11,U11,W11,Y11,AA11,AC11,AE11)</f>
        <v>92204414.050000012</v>
      </c>
      <c r="F11" s="60">
        <f>'TIE-OUT'!P11+RECLASS!N11</f>
        <v>0</v>
      </c>
      <c r="G11" s="38">
        <f>'TIE-OUT'!Q11+RECLASS!O11</f>
        <v>0</v>
      </c>
      <c r="H11" s="118">
        <f>+Actuals!E484</f>
        <v>41151063</v>
      </c>
      <c r="I11" s="119">
        <f>+Actuals!F484</f>
        <v>92392968.040000007</v>
      </c>
      <c r="J11" s="118">
        <f>+Actuals!G484</f>
        <v>-87867</v>
      </c>
      <c r="K11" s="119">
        <f>+Actuals!H484</f>
        <v>-269007.28000000003</v>
      </c>
      <c r="L11" s="118">
        <f>+Actuals!I484</f>
        <v>58779</v>
      </c>
      <c r="M11" s="119">
        <f>+Actuals!J484</f>
        <v>128065.06</v>
      </c>
      <c r="N11" s="118">
        <f>+Actuals!K484</f>
        <v>-23806</v>
      </c>
      <c r="O11" s="119">
        <f>+Actuals!L484</f>
        <v>-47611.77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2368361.73</v>
      </c>
      <c r="F12" s="60">
        <f>'TIE-OUT'!P12+RECLASS!N12</f>
        <v>0</v>
      </c>
      <c r="G12" s="38">
        <f>'TIE-OUT'!Q12+RECLASS!O12</f>
        <v>2551788.73</v>
      </c>
      <c r="H12" s="118">
        <f>+Actuals!E485</f>
        <v>0</v>
      </c>
      <c r="I12" s="119">
        <f>+Actuals!F485</f>
        <v>0</v>
      </c>
      <c r="J12" s="118">
        <f>+Actuals!G485</f>
        <v>0</v>
      </c>
      <c r="K12" s="215">
        <f>+Actuals!H485-195152</f>
        <v>-195152</v>
      </c>
      <c r="L12" s="118">
        <f>+Actuals!I485</f>
        <v>0</v>
      </c>
      <c r="M12" s="215">
        <f>+Actuals!J485+11725</f>
        <v>11725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'TIE-OUT'!P13+RECLASS!N13</f>
        <v>0</v>
      </c>
      <c r="G13" s="38">
        <f>'TIE-OUT'!Q13+RECLASS!O13</f>
        <v>0</v>
      </c>
      <c r="H13" s="118">
        <f>+Actuals!E486</f>
        <v>19208491</v>
      </c>
      <c r="I13" s="119">
        <f>+Actuals!F486</f>
        <v>45307321</v>
      </c>
      <c r="J13" s="118">
        <f>+Actuals!G486</f>
        <v>-19208491</v>
      </c>
      <c r="K13" s="119">
        <f>+Actuals!H486</f>
        <v>-45307321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f>+Actuals!E487</f>
        <v>0</v>
      </c>
      <c r="I14" s="119">
        <f>+Actuals!F487</f>
        <v>0</v>
      </c>
      <c r="J14" s="118">
        <f>+Actuals!G487</f>
        <v>0</v>
      </c>
      <c r="K14" s="119">
        <f>+Actuals!H487</f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1131020.68</v>
      </c>
      <c r="F15" s="81">
        <f>'TIE-OUT'!P15+RECLASS!N15</f>
        <v>0</v>
      </c>
      <c r="G15" s="82">
        <f>'TIE-OUT'!Q15+RECLASS!O15</f>
        <v>0</v>
      </c>
      <c r="H15" s="118">
        <f>+Actuals!E488</f>
        <v>0</v>
      </c>
      <c r="I15" s="119">
        <f>+Actuals!F488</f>
        <v>1129129</v>
      </c>
      <c r="J15" s="118">
        <f>+Actuals!G488</f>
        <v>0</v>
      </c>
      <c r="K15" s="119">
        <f>+Actuals!H488</f>
        <v>1891.68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41098169</v>
      </c>
      <c r="E16" s="39">
        <f t="shared" si="1"/>
        <v>95703796.460000023</v>
      </c>
      <c r="F16" s="61">
        <f t="shared" si="1"/>
        <v>0</v>
      </c>
      <c r="G16" s="39">
        <f t="shared" si="1"/>
        <v>2551788.73</v>
      </c>
      <c r="H16" s="61">
        <f t="shared" si="1"/>
        <v>60359554</v>
      </c>
      <c r="I16" s="39">
        <f t="shared" si="1"/>
        <v>138829418.04000002</v>
      </c>
      <c r="J16" s="61">
        <f t="shared" ref="J16:AO16" si="2">SUM(J11:J15)</f>
        <v>-19296358</v>
      </c>
      <c r="K16" s="39">
        <f t="shared" si="2"/>
        <v>-45769588.600000001</v>
      </c>
      <c r="L16" s="61">
        <f t="shared" si="2"/>
        <v>58779</v>
      </c>
      <c r="M16" s="39">
        <f t="shared" si="2"/>
        <v>139790.06</v>
      </c>
      <c r="N16" s="61">
        <f>SUM(N11:N15)</f>
        <v>-23806</v>
      </c>
      <c r="O16" s="39">
        <f>SUM(O11:O15)</f>
        <v>-47611.77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-42906776</v>
      </c>
      <c r="E19" s="38">
        <f t="shared" si="3"/>
        <v>-96368748.659999982</v>
      </c>
      <c r="F19" s="64">
        <f>'TIE-OUT'!P19+RECLASS!N19</f>
        <v>0</v>
      </c>
      <c r="G19" s="68">
        <f>'TIE-OUT'!Q19+RECLASS!O19</f>
        <v>0</v>
      </c>
      <c r="H19" s="118">
        <f>+Actuals!E489</f>
        <v>-42688795</v>
      </c>
      <c r="I19" s="119">
        <f>+Actuals!F489</f>
        <v>-96195381.11999999</v>
      </c>
      <c r="J19" s="118">
        <f>+Actuals!G489</f>
        <v>-229268</v>
      </c>
      <c r="K19" s="119">
        <f>+Actuals!H489</f>
        <v>-194596.82</v>
      </c>
      <c r="L19" s="118">
        <f>+Actuals!I489</f>
        <v>21407</v>
      </c>
      <c r="M19" s="119">
        <f>+Actuals!J489</f>
        <v>46190.879999999997</v>
      </c>
      <c r="N19" s="118">
        <f>+Actuals!K489</f>
        <v>-10120</v>
      </c>
      <c r="O19" s="119">
        <f>+Actuals!L489</f>
        <v>-24961.599999999999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-76977.850000000006</v>
      </c>
      <c r="F20" s="60">
        <f>'TIE-OUT'!P20+RECLASS!N20</f>
        <v>0</v>
      </c>
      <c r="G20" s="38">
        <f>'TIE-OUT'!Q20+RECLASS!O20</f>
        <v>-76977.850000000006</v>
      </c>
      <c r="H20" s="118">
        <f>+Actuals!E490</f>
        <v>0</v>
      </c>
      <c r="I20" s="119">
        <f>+Actuals!F490</f>
        <v>0</v>
      </c>
      <c r="J20" s="118">
        <f>+Actuals!G490</f>
        <v>0</v>
      </c>
      <c r="K20" s="215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-67499</v>
      </c>
      <c r="E21" s="38">
        <f t="shared" si="3"/>
        <v>-145658</v>
      </c>
      <c r="F21" s="60">
        <f>'TIE-OUT'!P21+RECLASS!N21</f>
        <v>0</v>
      </c>
      <c r="G21" s="38">
        <f>'TIE-OUT'!Q21+RECLASS!O21</f>
        <v>0</v>
      </c>
      <c r="H21" s="118">
        <f>+Actuals!E491</f>
        <v>-19275990</v>
      </c>
      <c r="I21" s="119">
        <f>+Actuals!F491</f>
        <v>-45452981</v>
      </c>
      <c r="J21" s="118">
        <f>+Actuals!G491</f>
        <v>19208491</v>
      </c>
      <c r="K21" s="119">
        <f>+Actuals!H491</f>
        <v>45307323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f>+Actuals!E492</f>
        <v>0</v>
      </c>
      <c r="I22" s="119">
        <f>+Actuals!F492</f>
        <v>0</v>
      </c>
      <c r="J22" s="118">
        <f>+Actuals!G492</f>
        <v>0</v>
      </c>
      <c r="K22" s="119">
        <f>+Actuals!H492</f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719124</v>
      </c>
      <c r="E23" s="38">
        <f t="shared" si="3"/>
        <v>1587106.6679999998</v>
      </c>
      <c r="F23" s="81">
        <f>'TIE-OUT'!P23+RECLASS!N23</f>
        <v>0</v>
      </c>
      <c r="G23" s="82">
        <f>'TIE-OUT'!Q23+RECLASS!O23</f>
        <v>0</v>
      </c>
      <c r="H23" s="118">
        <f>+Actuals!E493</f>
        <v>719145</v>
      </c>
      <c r="I23" s="119">
        <f>+Actuals!F493</f>
        <v>1587153.0149999999</v>
      </c>
      <c r="J23" s="118">
        <f>+Actuals!G493</f>
        <v>-21</v>
      </c>
      <c r="K23" s="119">
        <f>+Actuals!H493</f>
        <v>-46.347000000000001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-42255151</v>
      </c>
      <c r="E24" s="39">
        <f t="shared" si="4"/>
        <v>-95004277.841999978</v>
      </c>
      <c r="F24" s="61">
        <f t="shared" si="4"/>
        <v>0</v>
      </c>
      <c r="G24" s="39">
        <f t="shared" si="4"/>
        <v>-76977.850000000006</v>
      </c>
      <c r="H24" s="61">
        <f t="shared" si="4"/>
        <v>-61245640</v>
      </c>
      <c r="I24" s="39">
        <f t="shared" si="4"/>
        <v>-140061209.10500002</v>
      </c>
      <c r="J24" s="61">
        <f t="shared" ref="J24:AO24" si="5">SUM(J19:J23)</f>
        <v>18979202</v>
      </c>
      <c r="K24" s="39">
        <f t="shared" si="5"/>
        <v>45112679.832999997</v>
      </c>
      <c r="L24" s="61">
        <f t="shared" si="5"/>
        <v>21407</v>
      </c>
      <c r="M24" s="39">
        <f t="shared" si="5"/>
        <v>46190.879999999997</v>
      </c>
      <c r="N24" s="61">
        <f>SUM(N19:N23)</f>
        <v>-10120</v>
      </c>
      <c r="O24" s="39">
        <f>SUM(O19:O23)</f>
        <v>-24961.599999999999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857593</v>
      </c>
      <c r="E27" s="38">
        <f>SUM(G27,I27,K27,M27,O27,Q27,S27,U27,W27,Y27,AA27,AC27,AE27)</f>
        <v>2021036.0799999998</v>
      </c>
      <c r="F27" s="64">
        <f>'TIE-OUT'!P27+RECLASS!N27</f>
        <v>0</v>
      </c>
      <c r="G27" s="68">
        <f>'TIE-OUT'!Q27+RECLASS!O27</f>
        <v>0</v>
      </c>
      <c r="H27" s="118">
        <f>+Actuals!E494</f>
        <v>859628</v>
      </c>
      <c r="I27" s="119">
        <f>+Actuals!F494</f>
        <v>2026388.13</v>
      </c>
      <c r="J27" s="118">
        <f>+Actuals!G494</f>
        <v>-2035</v>
      </c>
      <c r="K27" s="119">
        <f>+Actuals!H494</f>
        <v>-5352.05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'TIE-OUT'!P28+RECLASS!N28</f>
        <v>0</v>
      </c>
      <c r="G28" s="82">
        <f>'TIE-OUT'!Q28+RECLASS!O28</f>
        <v>0</v>
      </c>
      <c r="H28" s="118">
        <f>+Actuals!E495</f>
        <v>0</v>
      </c>
      <c r="I28" s="119">
        <f>+Actuals!F495</f>
        <v>0</v>
      </c>
      <c r="J28" s="118">
        <f>+Actuals!G495</f>
        <v>0</v>
      </c>
      <c r="K28" s="119">
        <f>+Actuals!H495</f>
        <v>0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857593</v>
      </c>
      <c r="E29" s="39">
        <f t="shared" si="6"/>
        <v>2021036.0799999998</v>
      </c>
      <c r="F29" s="61">
        <f t="shared" si="6"/>
        <v>0</v>
      </c>
      <c r="G29" s="39">
        <f t="shared" si="6"/>
        <v>0</v>
      </c>
      <c r="H29" s="61">
        <f t="shared" si="6"/>
        <v>859628</v>
      </c>
      <c r="I29" s="39">
        <f t="shared" si="6"/>
        <v>2026388.13</v>
      </c>
      <c r="J29" s="61">
        <f t="shared" ref="J29:AO29" si="7">SUM(J27:J28)</f>
        <v>-2035</v>
      </c>
      <c r="K29" s="39">
        <f t="shared" si="7"/>
        <v>-5352.05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-62506</v>
      </c>
      <c r="E32" s="38">
        <f t="shared" si="8"/>
        <v>-137950.74199999988</v>
      </c>
      <c r="F32" s="64">
        <f>'TIE-OUT'!P32+RECLASS!N32</f>
        <v>0</v>
      </c>
      <c r="G32" s="68">
        <f>'TIE-OUT'!Q32+RECLASS!O32</f>
        <v>0</v>
      </c>
      <c r="H32" s="118">
        <f>+Actuals!E496</f>
        <v>-57911</v>
      </c>
      <c r="I32" s="119">
        <f>+Actuals!F496</f>
        <v>-127809.577</v>
      </c>
      <c r="J32" s="118">
        <f>+Actuals!G496</f>
        <v>-1702877</v>
      </c>
      <c r="K32" s="119">
        <f>+Actuals!H496</f>
        <v>-3758249.5389999999</v>
      </c>
      <c r="L32" s="118">
        <f>+Actuals!I496</f>
        <v>1708683</v>
      </c>
      <c r="M32" s="119">
        <f>+Actuals!J496</f>
        <v>3771063.3810000001</v>
      </c>
      <c r="N32" s="118">
        <f>+Actuals!K496</f>
        <v>-10401</v>
      </c>
      <c r="O32" s="119">
        <f>+Actuals!L496</f>
        <v>-22955.007000000001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-570</v>
      </c>
      <c r="E33" s="38">
        <f t="shared" si="8"/>
        <v>-1268.22</v>
      </c>
      <c r="F33" s="60">
        <f>'TIE-OUT'!P33+RECLASS!N33</f>
        <v>0</v>
      </c>
      <c r="G33" s="38">
        <f>'TIE-OUT'!Q33+RECLASS!O33</f>
        <v>0</v>
      </c>
      <c r="H33" s="118">
        <f>+Actuals!E497</f>
        <v>0</v>
      </c>
      <c r="I33" s="119">
        <f>+Actuals!F497</f>
        <v>0</v>
      </c>
      <c r="J33" s="118">
        <f>+Actuals!G497</f>
        <v>-569</v>
      </c>
      <c r="K33" s="119">
        <f>+Actuals!H497</f>
        <v>-1266.03</v>
      </c>
      <c r="L33" s="118">
        <f>+Actuals!I497</f>
        <v>-1</v>
      </c>
      <c r="M33" s="119">
        <f>+Actuals!J497</f>
        <v>-2.19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6</v>
      </c>
      <c r="E34" s="38">
        <f t="shared" si="8"/>
        <v>12.9</v>
      </c>
      <c r="F34" s="60">
        <f>'TIE-OUT'!P34+RECLASS!N34</f>
        <v>0</v>
      </c>
      <c r="G34" s="38">
        <f>'TIE-OUT'!Q34+RECLASS!O34</f>
        <v>0</v>
      </c>
      <c r="H34" s="118">
        <f>+Actuals!E498</f>
        <v>0</v>
      </c>
      <c r="I34" s="119">
        <f>+Actuals!F498</f>
        <v>0</v>
      </c>
      <c r="J34" s="118">
        <f>+Actuals!G498</f>
        <v>0</v>
      </c>
      <c r="K34" s="119">
        <f>+Actuals!H498</f>
        <v>0</v>
      </c>
      <c r="L34" s="118">
        <f>+Actuals!I498</f>
        <v>6</v>
      </c>
      <c r="M34" s="119">
        <f>+Actuals!J498</f>
        <v>12.9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'TIE-OUT'!P35+RECLASS!N35</f>
        <v>0</v>
      </c>
      <c r="G35" s="82">
        <f>'TIE-OUT'!Q35+RECLASS!O35</f>
        <v>0</v>
      </c>
      <c r="H35" s="118">
        <f>+Actuals!E499</f>
        <v>0</v>
      </c>
      <c r="I35" s="119">
        <f>+Actuals!F499</f>
        <v>0</v>
      </c>
      <c r="J35" s="118">
        <f>+Actuals!G499</f>
        <v>0</v>
      </c>
      <c r="K35" s="119">
        <f>+Actuals!H499</f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-63070</v>
      </c>
      <c r="E36" s="39">
        <f t="shared" si="9"/>
        <v>-139206.06199999989</v>
      </c>
      <c r="F36" s="61">
        <f t="shared" si="9"/>
        <v>0</v>
      </c>
      <c r="G36" s="39">
        <f t="shared" si="9"/>
        <v>0</v>
      </c>
      <c r="H36" s="61">
        <f t="shared" si="9"/>
        <v>-57911</v>
      </c>
      <c r="I36" s="39">
        <f t="shared" si="9"/>
        <v>-127809.577</v>
      </c>
      <c r="J36" s="61">
        <f t="shared" ref="J36:AO36" si="10">SUM(J32:J35)</f>
        <v>-1703446</v>
      </c>
      <c r="K36" s="39">
        <f t="shared" si="10"/>
        <v>-3759515.5689999997</v>
      </c>
      <c r="L36" s="61">
        <f t="shared" si="10"/>
        <v>1708688</v>
      </c>
      <c r="M36" s="39">
        <f t="shared" si="10"/>
        <v>3771074.091</v>
      </c>
      <c r="N36" s="61">
        <f>SUM(N32:N35)</f>
        <v>-10401</v>
      </c>
      <c r="O36" s="39">
        <f>SUM(O32:O35)</f>
        <v>-22955.007000000001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221557</v>
      </c>
      <c r="E39" s="38">
        <f t="shared" si="11"/>
        <v>488978.93</v>
      </c>
      <c r="F39" s="64">
        <f>'TIE-OUT'!P39+RECLASS!N39</f>
        <v>0</v>
      </c>
      <c r="G39" s="68">
        <f>'TIE-OUT'!Q39+RECLASS!O39</f>
        <v>0</v>
      </c>
      <c r="H39" s="118">
        <f>+Actuals!E500</f>
        <v>3701</v>
      </c>
      <c r="I39" s="119">
        <f>+Actuals!F500</f>
        <v>8168.11</v>
      </c>
      <c r="J39" s="118">
        <f>+Actuals!G500</f>
        <v>217856</v>
      </c>
      <c r="K39" s="119">
        <f>+Actuals!H500</f>
        <v>480810.82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'TIE-OUT'!P40+RECLASS!N40</f>
        <v>0</v>
      </c>
      <c r="G40" s="38">
        <f>'TIE-OUT'!Q40+RECLASS!O40</f>
        <v>0</v>
      </c>
      <c r="H40" s="118">
        <f>+Actuals!E501</f>
        <v>0</v>
      </c>
      <c r="I40" s="119">
        <f>+Actuals!F501</f>
        <v>0</v>
      </c>
      <c r="J40" s="118">
        <f>+Actuals!G501</f>
        <v>0</v>
      </c>
      <c r="K40" s="119">
        <f>+Actuals!H501</f>
        <v>0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'TIE-OUT'!P41+RECLASS!N41</f>
        <v>0</v>
      </c>
      <c r="G41" s="82">
        <f>'TIE-OUT'!Q41+RECLASS!O41</f>
        <v>0</v>
      </c>
      <c r="H41" s="118">
        <f>+Actuals!E502</f>
        <v>0</v>
      </c>
      <c r="I41" s="119">
        <f>+Actuals!F502</f>
        <v>0</v>
      </c>
      <c r="J41" s="118">
        <f>+Actuals!G502</f>
        <v>0</v>
      </c>
      <c r="K41" s="119">
        <f>+Actuals!H502</f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ref="J42:AO42" si="13">SUM(J40:J41)</f>
        <v>0</v>
      </c>
      <c r="K42" s="39">
        <f t="shared" si="13"/>
        <v>0</v>
      </c>
      <c r="L42" s="61">
        <f t="shared" si="13"/>
        <v>0</v>
      </c>
      <c r="M42" s="39">
        <f t="shared" si="13"/>
        <v>0</v>
      </c>
      <c r="N42" s="61">
        <f>SUM(N40:N41)</f>
        <v>0</v>
      </c>
      <c r="O42" s="39">
        <f>SUM(O40:O41)</f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221557</v>
      </c>
      <c r="E43" s="39">
        <f t="shared" si="14"/>
        <v>488978.93</v>
      </c>
      <c r="F43" s="61">
        <f t="shared" si="14"/>
        <v>0</v>
      </c>
      <c r="G43" s="39">
        <f t="shared" si="14"/>
        <v>0</v>
      </c>
      <c r="H43" s="61">
        <f t="shared" si="14"/>
        <v>3701</v>
      </c>
      <c r="I43" s="39">
        <f t="shared" si="14"/>
        <v>8168.11</v>
      </c>
      <c r="J43" s="61">
        <f t="shared" ref="J43:AO43" si="15">J42+J39</f>
        <v>217856</v>
      </c>
      <c r="K43" s="39">
        <f t="shared" si="15"/>
        <v>480810.82</v>
      </c>
      <c r="L43" s="61">
        <f t="shared" si="15"/>
        <v>0</v>
      </c>
      <c r="M43" s="39">
        <f t="shared" si="15"/>
        <v>0</v>
      </c>
      <c r="N43" s="61">
        <f>N42+N39</f>
        <v>0</v>
      </c>
      <c r="O43" s="39">
        <f>O42+O39</f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'TIE-OUT'!P45+RECLASS!N45</f>
        <v>0</v>
      </c>
      <c r="G45" s="68">
        <f>'TIE-OUT'!Q45+RECLASS!O45</f>
        <v>0</v>
      </c>
      <c r="H45" s="118">
        <f>+Actuals!E503</f>
        <v>0</v>
      </c>
      <c r="I45" s="119">
        <f>+Actuals!F503</f>
        <v>0</v>
      </c>
      <c r="J45" s="118">
        <f>+Actuals!G503</f>
        <v>0</v>
      </c>
      <c r="K45" s="119">
        <f>+Actuals!H503</f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f>+Actuals!E504</f>
        <v>0</v>
      </c>
      <c r="I47" s="119">
        <f>+Actuals!F504</f>
        <v>0</v>
      </c>
      <c r="J47" s="118">
        <f>+Actuals!G504</f>
        <v>0</v>
      </c>
      <c r="K47" s="119">
        <f>+Actuals!H504</f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140902</v>
      </c>
      <c r="E49" s="38">
        <f>SUM(G49,I49,K49,M49,O49,Q49,S49,U49,W49,Y49,AA49,AC49,AE49)</f>
        <v>310970.71399999992</v>
      </c>
      <c r="F49" s="60">
        <f>'TIE-OUT'!P49+RECLASS!N49</f>
        <v>0</v>
      </c>
      <c r="G49" s="38">
        <f>'TIE-OUT'!Q49+RECLASS!O49</f>
        <v>0</v>
      </c>
      <c r="H49" s="118">
        <f>+Actuals!E505</f>
        <v>80668</v>
      </c>
      <c r="I49" s="119">
        <f>+Actuals!F505</f>
        <v>178034.27600000001</v>
      </c>
      <c r="J49" s="118">
        <f>+Actuals!G505</f>
        <v>1804781</v>
      </c>
      <c r="K49" s="119">
        <f>+Actuals!H505</f>
        <v>3983151.6669999999</v>
      </c>
      <c r="L49" s="118">
        <f>+Actuals!I505</f>
        <v>-1788874</v>
      </c>
      <c r="M49" s="119">
        <f>+Actuals!J505</f>
        <v>-3948044.9180000001</v>
      </c>
      <c r="N49" s="118">
        <f>+Actuals!K505</f>
        <v>44327</v>
      </c>
      <c r="O49" s="119">
        <f>+Actuals!L505</f>
        <v>97829.688999999998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-719124</v>
      </c>
      <c r="E51" s="38">
        <f>SUM(G51,I51,K51,M51,O51,Q51,S51,U51,W51,Y51,AA51,AC51,AE51)</f>
        <v>-1587106.6679999998</v>
      </c>
      <c r="F51" s="60">
        <f>'TIE-OUT'!P51+RECLASS!N51</f>
        <v>0</v>
      </c>
      <c r="G51" s="38">
        <f>'TIE-OUT'!Q51+RECLASS!O51</f>
        <v>0</v>
      </c>
      <c r="H51" s="118">
        <f>+Actuals!E506</f>
        <v>-719145</v>
      </c>
      <c r="I51" s="119">
        <f>+Actuals!F506</f>
        <v>-1587153.0149999999</v>
      </c>
      <c r="J51" s="118">
        <f>+Actuals!G506</f>
        <v>21</v>
      </c>
      <c r="K51" s="119">
        <f>+Actuals!H506</f>
        <v>46.347000000000001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-25543694</v>
      </c>
      <c r="E54" s="38">
        <f>SUM(G54,I54,K54,M54,O54,Q54,S54,U54,W54,Y54,AA54,AC54,AE54)</f>
        <v>-393621.56</v>
      </c>
      <c r="F54" s="64">
        <f>'TIE-OUT'!P54+RECLASS!N54</f>
        <v>0</v>
      </c>
      <c r="G54" s="68">
        <f>'TIE-OUT'!Q54+RECLASS!O54</f>
        <v>0</v>
      </c>
      <c r="H54" s="118">
        <f>+Actuals!E507</f>
        <v>-24183369</v>
      </c>
      <c r="I54" s="119">
        <f>+Actuals!F507</f>
        <v>-379380.82</v>
      </c>
      <c r="J54" s="118">
        <f>+Actuals!G507</f>
        <v>-2294047</v>
      </c>
      <c r="K54" s="119">
        <f>+Actuals!H507</f>
        <v>-14240.75</v>
      </c>
      <c r="L54" s="118">
        <f>+Actuals!I507</f>
        <v>1699793</v>
      </c>
      <c r="M54" s="119">
        <f>+Actuals!J507</f>
        <v>9.9999999999980105E-3</v>
      </c>
      <c r="N54" s="118">
        <f>+Actuals!K507</f>
        <v>-766071</v>
      </c>
      <c r="O54" s="119">
        <f>+Actuals!L507</f>
        <v>1.3500311979441904E-13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-5448663.5700000003</v>
      </c>
      <c r="F55" s="81">
        <f>'TIE-OUT'!P55+RECLASS!N55</f>
        <v>0</v>
      </c>
      <c r="G55" s="82">
        <f>'TIE-OUT'!Q55+RECLASS!O55</f>
        <v>0</v>
      </c>
      <c r="H55" s="118">
        <f>+Actuals!E508</f>
        <v>0</v>
      </c>
      <c r="I55" s="119">
        <f>+Actuals!F508</f>
        <v>-2278451.4500000002</v>
      </c>
      <c r="J55" s="118">
        <f>+Actuals!G508</f>
        <v>0</v>
      </c>
      <c r="K55" s="119">
        <f>+Actuals!H508</f>
        <v>-3170212.12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-25543694</v>
      </c>
      <c r="E56" s="39">
        <f t="shared" si="16"/>
        <v>-5842285.1299999999</v>
      </c>
      <c r="F56" s="61">
        <f t="shared" si="16"/>
        <v>0</v>
      </c>
      <c r="G56" s="39">
        <f t="shared" si="16"/>
        <v>0</v>
      </c>
      <c r="H56" s="61">
        <f t="shared" si="16"/>
        <v>-24183369</v>
      </c>
      <c r="I56" s="39">
        <f t="shared" si="16"/>
        <v>-2657832.27</v>
      </c>
      <c r="J56" s="61">
        <f t="shared" ref="J56:AO56" si="17">SUM(J54:J55)</f>
        <v>-2294047</v>
      </c>
      <c r="K56" s="39">
        <f t="shared" si="17"/>
        <v>-3184452.87</v>
      </c>
      <c r="L56" s="61">
        <f t="shared" si="17"/>
        <v>1699793</v>
      </c>
      <c r="M56" s="39">
        <f t="shared" si="17"/>
        <v>9.9999999999980105E-3</v>
      </c>
      <c r="N56" s="61">
        <f>SUM(N54:N55)</f>
        <v>-766071</v>
      </c>
      <c r="O56" s="39">
        <f>SUM(O54:O55)</f>
        <v>1.3500311979441904E-13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'TIE-OUT'!P59+RECLASS!N59</f>
        <v>0</v>
      </c>
      <c r="G59" s="68">
        <f>'TIE-OUT'!Q59+RECLASS!O59</f>
        <v>0</v>
      </c>
      <c r="H59" s="118">
        <f>+Actuals!E509</f>
        <v>0</v>
      </c>
      <c r="I59" s="119">
        <f>+Actuals!F509</f>
        <v>0</v>
      </c>
      <c r="J59" s="118">
        <f>+Actuals!G509</f>
        <v>0</v>
      </c>
      <c r="K59" s="119">
        <f>+Actuals!H509</f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'TIE-OUT'!P60+RECLASS!N60</f>
        <v>0</v>
      </c>
      <c r="G60" s="82">
        <f>'TIE-OUT'!Q60+RECLASS!O60</f>
        <v>0</v>
      </c>
      <c r="H60" s="118">
        <f>+Actuals!E510</f>
        <v>0</v>
      </c>
      <c r="I60" s="119">
        <f>+Actuals!F510</f>
        <v>0</v>
      </c>
      <c r="J60" s="118">
        <f>+Actuals!G510</f>
        <v>0</v>
      </c>
      <c r="K60" s="119">
        <f>+Actuals!H510</f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'TIE-OUT'!P64+RECLASS!N64</f>
        <v>0</v>
      </c>
      <c r="G64" s="68">
        <f>'TIE-OUT'!Q64+RECLASS!O64</f>
        <v>0</v>
      </c>
      <c r="H64" s="118">
        <f>+Actuals!E511</f>
        <v>0</v>
      </c>
      <c r="I64" s="119">
        <f>+Actuals!F511</f>
        <v>0</v>
      </c>
      <c r="J64" s="118">
        <f>+Actuals!G511</f>
        <v>0</v>
      </c>
      <c r="K64" s="119">
        <f>+Actuals!H511</f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'TIE-OUT'!P65+RECLASS!N65</f>
        <v>0</v>
      </c>
      <c r="G65" s="82">
        <f>'TIE-OUT'!Q65+RECLASS!O65</f>
        <v>0</v>
      </c>
      <c r="H65" s="118">
        <f>+Actuals!E512</f>
        <v>0</v>
      </c>
      <c r="I65" s="119">
        <f>+Actuals!F512</f>
        <v>0</v>
      </c>
      <c r="J65" s="118">
        <f>+Actuals!G512</f>
        <v>0</v>
      </c>
      <c r="K65" s="119">
        <f>+Actuals!H512</f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6953222</v>
      </c>
      <c r="F70" s="64">
        <f>'TIE-OUT'!P70+RECLASS!N70</f>
        <v>0</v>
      </c>
      <c r="G70" s="68">
        <f>'TIE-OUT'!Q70+RECLASS!O70</f>
        <v>6953222</v>
      </c>
      <c r="H70" s="118">
        <f>+Actuals!E513</f>
        <v>0</v>
      </c>
      <c r="I70" s="119">
        <f>+Actuals!F513</f>
        <v>0</v>
      </c>
      <c r="J70" s="118">
        <f>+Actuals!G513</f>
        <v>0</v>
      </c>
      <c r="K70" s="119">
        <f>+Actuals!H513</f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-2053660</v>
      </c>
      <c r="F71" s="81">
        <f>'TIE-OUT'!P71+RECLASS!N71</f>
        <v>0</v>
      </c>
      <c r="G71" s="82">
        <f>'TIE-OUT'!Q71+RECLASS!O71</f>
        <v>-2053660</v>
      </c>
      <c r="H71" s="118">
        <f>+Actuals!E514</f>
        <v>0</v>
      </c>
      <c r="I71" s="119">
        <f>+Actuals!F514</f>
        <v>0</v>
      </c>
      <c r="J71" s="118">
        <f>+Actuals!G514</f>
        <v>0</v>
      </c>
      <c r="K71" s="119">
        <f>+Actuals!H514</f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4899562</v>
      </c>
      <c r="F72" s="61">
        <f t="shared" si="22"/>
        <v>0</v>
      </c>
      <c r="G72" s="39">
        <f t="shared" si="22"/>
        <v>4899562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60">
        <f>'TIE-OUT'!Q73+RECLASS!O73</f>
        <v>0</v>
      </c>
      <c r="H73" s="118">
        <f>+Actuals!E515</f>
        <v>0</v>
      </c>
      <c r="I73" s="119">
        <f>+Actuals!F515</f>
        <v>0</v>
      </c>
      <c r="J73" s="118">
        <f>+Actuals!G515</f>
        <v>0</v>
      </c>
      <c r="K73" s="119">
        <f>+Actuals!H515</f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1433657.44</v>
      </c>
      <c r="F74" s="60">
        <f>'TIE-OUT'!P74+RECLASS!N74</f>
        <v>0</v>
      </c>
      <c r="G74" s="60">
        <f>'TIE-OUT'!Q74+RECLASS!O74</f>
        <v>1421257.44</v>
      </c>
      <c r="H74" s="118">
        <f>+Actuals!E516</f>
        <v>0</v>
      </c>
      <c r="I74" s="119">
        <f>+Actuals!F516</f>
        <v>0</v>
      </c>
      <c r="J74" s="118">
        <f>+Actuals!G516</f>
        <v>0</v>
      </c>
      <c r="K74" s="119">
        <f>+Actuals!H516</f>
        <v>0</v>
      </c>
      <c r="L74" s="118">
        <f>+Actuals!I516</f>
        <v>0</v>
      </c>
      <c r="M74" s="215">
        <f>+Actuals!J516+12400</f>
        <v>12400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354800</v>
      </c>
      <c r="F75" s="60">
        <f>'TIE-OUT'!P75+RECLASS!N75</f>
        <v>0</v>
      </c>
      <c r="G75" s="60">
        <f>'TIE-OUT'!Q75+RECLASS!O75</f>
        <v>354800</v>
      </c>
      <c r="H75" s="118">
        <f>+Actuals!E517</f>
        <v>0</v>
      </c>
      <c r="I75" s="119">
        <f>+Actuals!F517</f>
        <v>0</v>
      </c>
      <c r="J75" s="118">
        <f>+Actuals!G517</f>
        <v>0</v>
      </c>
      <c r="K75" s="119">
        <f>+Actuals!H517</f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-10021.69</v>
      </c>
      <c r="F76" s="60">
        <f>'TIE-OUT'!P76+RECLASS!N76</f>
        <v>0</v>
      </c>
      <c r="G76" s="60">
        <f>'TIE-OUT'!Q76+RECLASS!O76</f>
        <v>0</v>
      </c>
      <c r="H76" s="118">
        <f>+Actuals!E518</f>
        <v>0</v>
      </c>
      <c r="I76" s="119">
        <f>+Actuals!F518</f>
        <v>-9739.94</v>
      </c>
      <c r="J76" s="118">
        <f>+Actuals!G518</f>
        <v>0</v>
      </c>
      <c r="K76" s="119">
        <f>+Actuals!H518</f>
        <v>-281.75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60">
        <f>'TIE-OUT'!Q77+RECLASS!O77</f>
        <v>0</v>
      </c>
      <c r="H77" s="118">
        <f>+Actuals!E519</f>
        <v>0</v>
      </c>
      <c r="I77" s="119">
        <f>+Actuals!F519</f>
        <v>0</v>
      </c>
      <c r="J77" s="118">
        <f>+Actuals!G519</f>
        <v>0</v>
      </c>
      <c r="K77" s="119">
        <f>+Actuals!H519</f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60">
        <f>'TIE-OUT'!Q78+RECLASS!O78</f>
        <v>0</v>
      </c>
      <c r="H78" s="118">
        <f>+Actuals!E520</f>
        <v>0</v>
      </c>
      <c r="I78" s="119">
        <f>+Actuals!F520</f>
        <v>0</v>
      </c>
      <c r="J78" s="118">
        <f>+Actuals!G520</f>
        <v>0</v>
      </c>
      <c r="K78" s="119">
        <f>+Actuals!H520</f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60">
        <f>'TIE-OUT'!Q79+RECLASS!O79</f>
        <v>0</v>
      </c>
      <c r="H79" s="118">
        <f>+Actuals!E521</f>
        <v>0</v>
      </c>
      <c r="I79" s="119">
        <f>+Actuals!F521</f>
        <v>0</v>
      </c>
      <c r="J79" s="118">
        <f>+Actuals!G521</f>
        <v>0</v>
      </c>
      <c r="K79" s="119">
        <f>+Actuals!H521</f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60">
        <f>'TIE-OUT'!Q80+RECLASS!O80</f>
        <v>0</v>
      </c>
      <c r="H80" s="118">
        <f>+Actuals!E522</f>
        <v>0</v>
      </c>
      <c r="I80" s="119">
        <f>+Actuals!F522</f>
        <v>0</v>
      </c>
      <c r="J80" s="118">
        <f>+Actuals!G522</f>
        <v>0</v>
      </c>
      <c r="K80" s="119">
        <f>+Actuals!H522</f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7142.86</v>
      </c>
      <c r="F81" s="60">
        <f>'TIE-OUT'!P81+RECLASS!N81</f>
        <v>0</v>
      </c>
      <c r="G81" s="60">
        <f>'TIE-OUT'!Q81+RECLASS!O81</f>
        <v>0</v>
      </c>
      <c r="H81" s="118">
        <f>+Actuals!E523</f>
        <v>0</v>
      </c>
      <c r="I81" s="119">
        <f>+Actuals!F523</f>
        <v>7142.86</v>
      </c>
      <c r="J81" s="118">
        <f>+Actuals!G523</f>
        <v>0</v>
      </c>
      <c r="K81" s="119">
        <f>+Actuals!H523</f>
        <v>0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2637047.0920000458</v>
      </c>
      <c r="F82" s="91">
        <f>F16+F24+F29+F36+F43+F45+F47+F49</f>
        <v>0</v>
      </c>
      <c r="G82" s="92">
        <f>SUM(G72:G81)+G16+G24+G29+G36+G43+G45+G47+G49+G51+G56+G61+G66</f>
        <v>9150430.3200000003</v>
      </c>
      <c r="H82" s="91">
        <f>H16+H24+H29+H36+H43+H45+H47+H49</f>
        <v>0</v>
      </c>
      <c r="I82" s="92">
        <f>SUM(I72:I81)+I16+I24+I29+I36+I43+I45+I47+I49+I51+I56+I61+I66</f>
        <v>-3394592.4910000106</v>
      </c>
      <c r="J82" s="91">
        <f>J16+J24+J29+J36+J43+J45+J47+J49</f>
        <v>0</v>
      </c>
      <c r="K82" s="137">
        <f>SUM(K72:K81)+K16+K24+K29+K36+K43+K45+K47+K49+K51+K56+K61+K66</f>
        <v>-3142502.1720000049</v>
      </c>
      <c r="L82" s="91">
        <f>L16+L24+L29+L36+L43+L45+L47+L49</f>
        <v>0</v>
      </c>
      <c r="M82" s="92">
        <f>SUM(M72:M81)+M16+M24+M29+M36+M43+M45+M47+M49+M51+M56+M61+M66</f>
        <v>21410.122999999894</v>
      </c>
      <c r="N82" s="91">
        <f>N16+N24+N29+N36+N43+N45+N47+N49</f>
        <v>0</v>
      </c>
      <c r="O82" s="92">
        <f>SUM(O72:O81)+O16+O24+O29+O36+O43+O45+O47+O49+O51+O56+O61+O66</f>
        <v>2301.3120000000054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I59" activePane="bottomRight" state="frozen"/>
      <selection activeCell="N31" sqref="N31"/>
      <selection pane="topRight" activeCell="N31" sqref="N31"/>
      <selection pane="bottomLeft" activeCell="N31" sqref="N31"/>
      <selection pane="bottomRight" activeCell="O75" sqref="O7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199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4109285</v>
      </c>
      <c r="E11" s="38">
        <f>SUM(G11,I11,K11,M11,O11,Q11,S11,U11,W11,Y11,AA11,AC11,AE11)</f>
        <v>8933225.290000001</v>
      </c>
      <c r="F11" s="60">
        <f>'TIE-OUT'!R11+RECLASS!P11</f>
        <v>0</v>
      </c>
      <c r="G11" s="38">
        <f>'TIE-OUT'!S11+RECLASS!Q11</f>
        <v>0</v>
      </c>
      <c r="H11" s="118">
        <f>+Actuals!E204</f>
        <v>4255797</v>
      </c>
      <c r="I11" s="119">
        <f>+Actuals!F204</f>
        <v>9230933.0700000003</v>
      </c>
      <c r="J11" s="118">
        <f>+Actuals!G204</f>
        <v>-800585</v>
      </c>
      <c r="K11" s="119">
        <f>+Actuals!H204</f>
        <v>-1724157.76</v>
      </c>
      <c r="L11" s="118">
        <f>+Actuals!I204</f>
        <v>654073</v>
      </c>
      <c r="M11" s="119">
        <f>+Actuals!J204</f>
        <v>1426449.98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-386881.57</v>
      </c>
      <c r="F12" s="60">
        <f>'TIE-OUT'!R12+RECLASS!P12</f>
        <v>0</v>
      </c>
      <c r="G12" s="38">
        <f>'TIE-OUT'!S12+RECLASS!Q12</f>
        <v>-386881.57</v>
      </c>
      <c r="H12" s="118">
        <f>+Actuals!E205</f>
        <v>0</v>
      </c>
      <c r="I12" s="119">
        <f>+Actuals!F205</f>
        <v>0</v>
      </c>
      <c r="J12" s="118">
        <f>+Actuals!G205</f>
        <v>0</v>
      </c>
      <c r="K12" s="119">
        <f>+Actuals!H205</f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354469</v>
      </c>
      <c r="E13" s="38">
        <f t="shared" si="0"/>
        <v>818936</v>
      </c>
      <c r="F13" s="60">
        <f>'TIE-OUT'!R13+RECLASS!P13</f>
        <v>0</v>
      </c>
      <c r="G13" s="38">
        <f>'TIE-OUT'!S13+RECLASS!Q13</f>
        <v>0</v>
      </c>
      <c r="H13" s="118">
        <f>+Actuals!E206</f>
        <v>4105116</v>
      </c>
      <c r="I13" s="119">
        <f>+Actuals!F206</f>
        <v>9214231</v>
      </c>
      <c r="J13" s="118">
        <f>+Actuals!G206</f>
        <v>-3750647</v>
      </c>
      <c r="K13" s="119">
        <f>+Actuals!H206</f>
        <v>-8395295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f>+Actuals!E207</f>
        <v>0</v>
      </c>
      <c r="I14" s="119">
        <f>+Actuals!F207</f>
        <v>0</v>
      </c>
      <c r="J14" s="118">
        <f>+Actuals!G207</f>
        <v>0</v>
      </c>
      <c r="K14" s="119">
        <f>+Actuals!H207</f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6132.42</v>
      </c>
      <c r="F15" s="81">
        <f>'TIE-OUT'!R15+RECLASS!P15</f>
        <v>0</v>
      </c>
      <c r="G15" s="82">
        <f>'TIE-OUT'!S15+RECLASS!Q15</f>
        <v>0</v>
      </c>
      <c r="H15" s="118">
        <f>+Actuals!E208</f>
        <v>0</v>
      </c>
      <c r="I15" s="119">
        <f>+Actuals!F208</f>
        <v>6132.42</v>
      </c>
      <c r="J15" s="118">
        <f>+Actuals!G208</f>
        <v>0</v>
      </c>
      <c r="K15" s="119">
        <f>+Actuals!H208</f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4463754</v>
      </c>
      <c r="E16" s="39">
        <f t="shared" si="1"/>
        <v>9371412.1400000006</v>
      </c>
      <c r="F16" s="61">
        <f t="shared" si="1"/>
        <v>0</v>
      </c>
      <c r="G16" s="39">
        <f t="shared" si="1"/>
        <v>-386881.57</v>
      </c>
      <c r="H16" s="61">
        <f t="shared" si="1"/>
        <v>8360913</v>
      </c>
      <c r="I16" s="39">
        <f t="shared" si="1"/>
        <v>18451296.490000002</v>
      </c>
      <c r="J16" s="61">
        <f t="shared" ref="J16:AO16" si="2">SUM(J11:J15)</f>
        <v>-4551232</v>
      </c>
      <c r="K16" s="39">
        <f t="shared" si="2"/>
        <v>-10119452.76</v>
      </c>
      <c r="L16" s="61">
        <f t="shared" si="2"/>
        <v>654073</v>
      </c>
      <c r="M16" s="39">
        <f t="shared" si="2"/>
        <v>1426449.98</v>
      </c>
      <c r="N16" s="61">
        <f>SUM(N11:N15)</f>
        <v>0</v>
      </c>
      <c r="O16" s="39">
        <f>SUM(O11:O15)</f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-4880727</v>
      </c>
      <c r="E19" s="38">
        <f t="shared" si="3"/>
        <v>-10188373.58</v>
      </c>
      <c r="F19" s="64">
        <f>'TIE-OUT'!R19+RECLASS!P19</f>
        <v>0</v>
      </c>
      <c r="G19" s="68">
        <f>'TIE-OUT'!S19+RECLASS!Q19</f>
        <v>0</v>
      </c>
      <c r="H19" s="118">
        <f>+Actuals!E209</f>
        <v>-5156799</v>
      </c>
      <c r="I19" s="119">
        <f>+Actuals!F209</f>
        <v>-11003538.18</v>
      </c>
      <c r="J19" s="118">
        <f>+Actuals!G209</f>
        <v>1015831</v>
      </c>
      <c r="K19" s="119">
        <f>+Actuals!H209</f>
        <v>2401256.29</v>
      </c>
      <c r="L19" s="118">
        <f>+Actuals!I209</f>
        <v>-739759</v>
      </c>
      <c r="M19" s="119">
        <f>+Actuals!J209</f>
        <v>-1586091.69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263447.03999999998</v>
      </c>
      <c r="F20" s="60">
        <f>'TIE-OUT'!R20+RECLASS!P20</f>
        <v>0</v>
      </c>
      <c r="G20" s="38">
        <f>'TIE-OUT'!S20+RECLASS!Q20</f>
        <v>263447.03999999998</v>
      </c>
      <c r="H20" s="118">
        <f>+Actuals!E210</f>
        <v>0</v>
      </c>
      <c r="I20" s="119">
        <f>+Actuals!F210</f>
        <v>0</v>
      </c>
      <c r="J20" s="118">
        <f>+Actuals!G210</f>
        <v>0</v>
      </c>
      <c r="K20" s="119">
        <f>+Actuals!H210</f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-93</v>
      </c>
      <c r="E21" s="38">
        <f t="shared" si="3"/>
        <v>-219</v>
      </c>
      <c r="F21" s="60">
        <f>'TIE-OUT'!R21+RECLASS!P21</f>
        <v>0</v>
      </c>
      <c r="G21" s="38">
        <f>'TIE-OUT'!S21+RECLASS!Q21</f>
        <v>0</v>
      </c>
      <c r="H21" s="118">
        <f>+Actuals!E211</f>
        <v>-3759464</v>
      </c>
      <c r="I21" s="119">
        <f>+Actuals!F211</f>
        <v>-8415663</v>
      </c>
      <c r="J21" s="118">
        <f>+Actuals!G211</f>
        <v>3759371</v>
      </c>
      <c r="K21" s="119">
        <f>+Actuals!H211</f>
        <v>8415444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f>+Actuals!E212</f>
        <v>0</v>
      </c>
      <c r="I22" s="119">
        <f>+Actuals!F212</f>
        <v>0</v>
      </c>
      <c r="J22" s="118">
        <f>+Actuals!G212</f>
        <v>0</v>
      </c>
      <c r="K22" s="119">
        <f>+Actuals!H212</f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2687</v>
      </c>
      <c r="E23" s="38">
        <f t="shared" si="3"/>
        <v>5798.5460000000003</v>
      </c>
      <c r="F23" s="81">
        <f>'TIE-OUT'!R23+RECLASS!P23</f>
        <v>0</v>
      </c>
      <c r="G23" s="82">
        <f>'TIE-OUT'!S23+RECLASS!Q23</f>
        <v>0</v>
      </c>
      <c r="H23" s="118">
        <f>+Actuals!E213</f>
        <v>2687</v>
      </c>
      <c r="I23" s="119">
        <f>+Actuals!F213</f>
        <v>5798.5460000000003</v>
      </c>
      <c r="J23" s="118">
        <f>+Actuals!G213</f>
        <v>0</v>
      </c>
      <c r="K23" s="119">
        <f>+Actuals!H213</f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-4878133</v>
      </c>
      <c r="E24" s="39">
        <f t="shared" si="4"/>
        <v>-9919346.9940000009</v>
      </c>
      <c r="F24" s="61">
        <f t="shared" si="4"/>
        <v>0</v>
      </c>
      <c r="G24" s="39">
        <f t="shared" si="4"/>
        <v>263447.03999999998</v>
      </c>
      <c r="H24" s="61">
        <f t="shared" si="4"/>
        <v>-8913576</v>
      </c>
      <c r="I24" s="39">
        <f t="shared" si="4"/>
        <v>-19413402.634</v>
      </c>
      <c r="J24" s="61">
        <f t="shared" ref="J24:AO24" si="5">SUM(J19:J23)</f>
        <v>4775202</v>
      </c>
      <c r="K24" s="39">
        <f t="shared" si="5"/>
        <v>10816700.289999999</v>
      </c>
      <c r="L24" s="61">
        <f t="shared" si="5"/>
        <v>-739759</v>
      </c>
      <c r="M24" s="39">
        <f t="shared" si="5"/>
        <v>-1586091.69</v>
      </c>
      <c r="N24" s="61">
        <f>SUM(N19:N23)</f>
        <v>0</v>
      </c>
      <c r="O24" s="39">
        <f>SUM(O19:O23)</f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f>+Actuals!E214</f>
        <v>0</v>
      </c>
      <c r="I27" s="119">
        <f>+Actuals!F214</f>
        <v>0</v>
      </c>
      <c r="J27" s="118">
        <f>+Actuals!G214</f>
        <v>0</v>
      </c>
      <c r="K27" s="119">
        <f>+Actuals!H214</f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f>+Actuals!E215</f>
        <v>0</v>
      </c>
      <c r="I28" s="119">
        <f>+Actuals!F215</f>
        <v>0</v>
      </c>
      <c r="J28" s="118">
        <f>+Actuals!G215</f>
        <v>0</v>
      </c>
      <c r="K28" s="119">
        <f>+Actuals!H215</f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>SUM(N27:N28)</f>
        <v>0</v>
      </c>
      <c r="O29" s="39">
        <f>SUM(O27:O28)</f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-3181</v>
      </c>
      <c r="E32" s="38">
        <f t="shared" si="7"/>
        <v>14910.360000000015</v>
      </c>
      <c r="F32" s="64">
        <f>'TIE-OUT'!R32+RECLASS!P32</f>
        <v>0</v>
      </c>
      <c r="G32" s="68">
        <f>'TIE-OUT'!S32+RECLASS!Q32</f>
        <v>0</v>
      </c>
      <c r="H32" s="118">
        <f>+Actuals!E216</f>
        <v>69347</v>
      </c>
      <c r="I32" s="119">
        <f>+Actuals!F216</f>
        <v>171425.78400000001</v>
      </c>
      <c r="J32" s="118">
        <f>+Actuals!G216</f>
        <v>-72528</v>
      </c>
      <c r="K32" s="119">
        <f>+Actuals!H216</f>
        <v>-156515.424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f>+Actuals!E217</f>
        <v>0</v>
      </c>
      <c r="I33" s="119">
        <f>+Actuals!F217</f>
        <v>0</v>
      </c>
      <c r="J33" s="118">
        <f>+Actuals!G217</f>
        <v>0</v>
      </c>
      <c r="K33" s="119">
        <f>+Actuals!H217</f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f>+Actuals!E218</f>
        <v>0</v>
      </c>
      <c r="I34" s="119">
        <f>+Actuals!F218</f>
        <v>0</v>
      </c>
      <c r="J34" s="118">
        <f>+Actuals!G218</f>
        <v>0</v>
      </c>
      <c r="K34" s="119">
        <f>+Actuals!H218</f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f>+Actuals!E219</f>
        <v>0</v>
      </c>
      <c r="I35" s="119">
        <f>+Actuals!F219</f>
        <v>0</v>
      </c>
      <c r="J35" s="118">
        <f>+Actuals!G219</f>
        <v>0</v>
      </c>
      <c r="K35" s="119">
        <f>+Actuals!H219</f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">
      <c r="A36" s="9"/>
      <c r="B36" s="7" t="s">
        <v>43</v>
      </c>
      <c r="C36" s="6"/>
      <c r="D36" s="61">
        <f t="shared" ref="D36:I36" si="8">SUM(D32:D35)</f>
        <v>-3181</v>
      </c>
      <c r="E36" s="39">
        <f t="shared" si="8"/>
        <v>14910.360000000015</v>
      </c>
      <c r="F36" s="61">
        <f t="shared" si="8"/>
        <v>0</v>
      </c>
      <c r="G36" s="39">
        <f t="shared" si="8"/>
        <v>0</v>
      </c>
      <c r="H36" s="61">
        <f t="shared" si="8"/>
        <v>69347</v>
      </c>
      <c r="I36" s="39">
        <f t="shared" si="8"/>
        <v>171425.78400000001</v>
      </c>
      <c r="J36" s="61">
        <f t="shared" ref="J36:AO36" si="9">SUM(J32:J35)</f>
        <v>-72528</v>
      </c>
      <c r="K36" s="39">
        <f t="shared" si="9"/>
        <v>-156515.424</v>
      </c>
      <c r="L36" s="61">
        <f t="shared" si="9"/>
        <v>0</v>
      </c>
      <c r="M36" s="39">
        <f t="shared" si="9"/>
        <v>0</v>
      </c>
      <c r="N36" s="61">
        <f>SUM(N32:N35)</f>
        <v>0</v>
      </c>
      <c r="O36" s="39">
        <f>SUM(O32:O35)</f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f>+Actuals!E220</f>
        <v>0</v>
      </c>
      <c r="I39" s="119">
        <f>+Actuals!F220</f>
        <v>0</v>
      </c>
      <c r="J39" s="118">
        <f>+Actuals!G220</f>
        <v>0</v>
      </c>
      <c r="K39" s="119">
        <f>+Actuals!H220</f>
        <v>0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f>+Actuals!E221</f>
        <v>0</v>
      </c>
      <c r="I40" s="119">
        <f>+Actuals!F221</f>
        <v>0</v>
      </c>
      <c r="J40" s="118">
        <f>+Actuals!G221</f>
        <v>0</v>
      </c>
      <c r="K40" s="119">
        <f>+Actuals!H221</f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f>+Actuals!E222</f>
        <v>0</v>
      </c>
      <c r="I41" s="119">
        <f>+Actuals!F222</f>
        <v>0</v>
      </c>
      <c r="J41" s="118">
        <f>+Actuals!G222</f>
        <v>0</v>
      </c>
      <c r="K41" s="119">
        <f>+Actuals!H222</f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">
      <c r="A42" s="9"/>
      <c r="B42" s="7"/>
      <c r="C42" s="53" t="s">
        <v>48</v>
      </c>
      <c r="D42" s="61">
        <f t="shared" ref="D42:I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ref="J42:AO42" si="12">SUM(J40:J41)</f>
        <v>0</v>
      </c>
      <c r="K42" s="39">
        <f t="shared" si="12"/>
        <v>0</v>
      </c>
      <c r="L42" s="61">
        <f t="shared" si="12"/>
        <v>0</v>
      </c>
      <c r="M42" s="39">
        <f t="shared" si="12"/>
        <v>0</v>
      </c>
      <c r="N42" s="61">
        <f>SUM(N40:N41)</f>
        <v>0</v>
      </c>
      <c r="O42" s="39">
        <f>SUM(O40:O41)</f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0</v>
      </c>
      <c r="I43" s="39">
        <f t="shared" si="13"/>
        <v>0</v>
      </c>
      <c r="J43" s="61">
        <f t="shared" ref="J43:AO43" si="14">J42+J39</f>
        <v>0</v>
      </c>
      <c r="K43" s="39">
        <f t="shared" si="14"/>
        <v>0</v>
      </c>
      <c r="L43" s="61">
        <f t="shared" si="14"/>
        <v>0</v>
      </c>
      <c r="M43" s="39">
        <f t="shared" si="14"/>
        <v>0</v>
      </c>
      <c r="N43" s="61">
        <f>N42+N39</f>
        <v>0</v>
      </c>
      <c r="O43" s="39">
        <f>O42+O39</f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f>+Actuals!E223</f>
        <v>0</v>
      </c>
      <c r="I45" s="119">
        <f>+Actuals!F223</f>
        <v>0</v>
      </c>
      <c r="J45" s="118">
        <f>+Actuals!G223</f>
        <v>0</v>
      </c>
      <c r="K45" s="119">
        <f>+Actuals!H223</f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f>+Actuals!E224</f>
        <v>0</v>
      </c>
      <c r="I47" s="119">
        <f>+Actuals!F224</f>
        <v>0</v>
      </c>
      <c r="J47" s="118">
        <f>+Actuals!G224</f>
        <v>0</v>
      </c>
      <c r="K47" s="119">
        <f>+Actuals!H224</f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417560</v>
      </c>
      <c r="E49" s="38">
        <f>SUM(G49,I49,K49,M49,O49,Q49,S49,U49,W49,Y49,AA49,AC49,AE49)</f>
        <v>901094.48</v>
      </c>
      <c r="F49" s="60">
        <f>'TIE-OUT'!R49+RECLASS!P49</f>
        <v>0</v>
      </c>
      <c r="G49" s="38">
        <f>'TIE-OUT'!S49+RECLASS!Q49</f>
        <v>0</v>
      </c>
      <c r="H49" s="118">
        <f>+Actuals!E225</f>
        <v>483316</v>
      </c>
      <c r="I49" s="119">
        <f>+Actuals!F225</f>
        <v>1042995.928</v>
      </c>
      <c r="J49" s="118">
        <f>+Actuals!G225</f>
        <v>-151442</v>
      </c>
      <c r="K49" s="119">
        <f>+Actuals!H225</f>
        <v>-326811.83600000001</v>
      </c>
      <c r="L49" s="118">
        <f>+Actuals!I225</f>
        <v>85686</v>
      </c>
      <c r="M49" s="119">
        <f>+Actuals!J225</f>
        <v>184910.38800000001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-2687</v>
      </c>
      <c r="E51" s="38">
        <f>SUM(G51,I51,K51,M51,O51,Q51,S51,U51,W51,Y51,AA51,AC51,AE51)</f>
        <v>-5798.5460000000003</v>
      </c>
      <c r="F51" s="60">
        <f>'TIE-OUT'!R51+RECLASS!P51</f>
        <v>0</v>
      </c>
      <c r="G51" s="38">
        <f>'TIE-OUT'!S51+RECLASS!Q51</f>
        <v>0</v>
      </c>
      <c r="H51" s="118">
        <f>+Actuals!E226</f>
        <v>-2687</v>
      </c>
      <c r="I51" s="119">
        <f>+Actuals!F226</f>
        <v>-5798.5460000000003</v>
      </c>
      <c r="J51" s="118">
        <f>+Actuals!G226</f>
        <v>0</v>
      </c>
      <c r="K51" s="119">
        <f>+Actuals!H226</f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-7503498</v>
      </c>
      <c r="E54" s="38">
        <f>SUM(G54,I54,K54,M54,O54,Q54,S54,U54,W54,Y54,AA54,AC54,AE54)</f>
        <v>-108503.09</v>
      </c>
      <c r="F54" s="64">
        <f>'TIE-OUT'!R54+RECLASS!P54</f>
        <v>0</v>
      </c>
      <c r="G54" s="68">
        <f>'TIE-OUT'!S54+RECLASS!Q54</f>
        <v>0</v>
      </c>
      <c r="H54" s="118">
        <f>+Actuals!E227</f>
        <v>-7210765</v>
      </c>
      <c r="I54" s="119">
        <f>+Actuals!F227</f>
        <v>-87576.6</v>
      </c>
      <c r="J54" s="118">
        <f>+Actuals!G227</f>
        <v>1817205</v>
      </c>
      <c r="K54" s="119">
        <f>+Actuals!H227</f>
        <v>-39282.769999999997</v>
      </c>
      <c r="L54" s="118">
        <f>+Actuals!I227</f>
        <v>-2182684</v>
      </c>
      <c r="M54" s="119">
        <f>+Actuals!J227</f>
        <v>0</v>
      </c>
      <c r="N54" s="118">
        <f>+Actuals!K227</f>
        <v>72746</v>
      </c>
      <c r="O54" s="119">
        <f>+Actuals!L227</f>
        <v>18356.28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-339324.11000000004</v>
      </c>
      <c r="F55" s="81">
        <f>'TIE-OUT'!R55+RECLASS!P55</f>
        <v>0</v>
      </c>
      <c r="G55" s="82">
        <f>'TIE-OUT'!S55+RECLASS!Q55</f>
        <v>362654</v>
      </c>
      <c r="H55" s="118">
        <f>+Actuals!E228</f>
        <v>0</v>
      </c>
      <c r="I55" s="119">
        <f>+Actuals!F228</f>
        <v>-718092.03</v>
      </c>
      <c r="J55" s="118">
        <f>+Actuals!G228</f>
        <v>0</v>
      </c>
      <c r="K55" s="119">
        <f>+Actuals!H228</f>
        <v>16113.92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">
      <c r="A56" s="9"/>
      <c r="B56" s="7" t="s">
        <v>57</v>
      </c>
      <c r="C56" s="6"/>
      <c r="D56" s="61">
        <f t="shared" ref="D56:AO56" si="15">SUM(D54:D55)</f>
        <v>-7503498</v>
      </c>
      <c r="E56" s="39">
        <f t="shared" si="15"/>
        <v>-447827.20000000007</v>
      </c>
      <c r="F56" s="61">
        <f t="shared" si="15"/>
        <v>0</v>
      </c>
      <c r="G56" s="39">
        <f t="shared" si="15"/>
        <v>362654</v>
      </c>
      <c r="H56" s="61">
        <f t="shared" si="15"/>
        <v>-7210765</v>
      </c>
      <c r="I56" s="39">
        <f t="shared" si="15"/>
        <v>-805668.63</v>
      </c>
      <c r="J56" s="61">
        <f t="shared" si="15"/>
        <v>1817205</v>
      </c>
      <c r="K56" s="39">
        <f t="shared" si="15"/>
        <v>-23168.85</v>
      </c>
      <c r="L56" s="61">
        <f t="shared" si="15"/>
        <v>-2182684</v>
      </c>
      <c r="M56" s="39">
        <f t="shared" si="15"/>
        <v>0</v>
      </c>
      <c r="N56" s="61">
        <f>SUM(N54:N55)</f>
        <v>72746</v>
      </c>
      <c r="O56" s="39">
        <f>SUM(O54:O55)</f>
        <v>18356.28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f>+Actuals!E229</f>
        <v>0</v>
      </c>
      <c r="I59" s="119">
        <f>+Actuals!F229</f>
        <v>0</v>
      </c>
      <c r="J59" s="118">
        <f>+Actuals!G229</f>
        <v>0</v>
      </c>
      <c r="K59" s="119">
        <f>+Actuals!H229</f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f>+Actuals!E230</f>
        <v>0</v>
      </c>
      <c r="I60" s="119">
        <f>+Actuals!F230</f>
        <v>0</v>
      </c>
      <c r="J60" s="118">
        <f>+Actuals!G230</f>
        <v>0</v>
      </c>
      <c r="K60" s="119">
        <f>+Actuals!H230</f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>SUM(N59:N60)</f>
        <v>0</v>
      </c>
      <c r="O61" s="39">
        <f>SUM(O59:O60)</f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f>+Actuals!E231</f>
        <v>0</v>
      </c>
      <c r="I64" s="119">
        <f>+Actuals!F231</f>
        <v>0</v>
      </c>
      <c r="J64" s="118">
        <f>+Actuals!G231</f>
        <v>0</v>
      </c>
      <c r="K64" s="119">
        <f>+Actuals!H231</f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f>+Actuals!E232</f>
        <v>0</v>
      </c>
      <c r="I65" s="119">
        <f>+Actuals!F232</f>
        <v>0</v>
      </c>
      <c r="J65" s="118">
        <f>+Actuals!G232</f>
        <v>0</v>
      </c>
      <c r="K65" s="119">
        <f>+Actuals!H232</f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>SUM(N64:N65)</f>
        <v>0</v>
      </c>
      <c r="O66" s="39">
        <f>SUM(O64:O65)</f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f>+Actuals!E233</f>
        <v>0</v>
      </c>
      <c r="I70" s="119">
        <f>+Actuals!F233</f>
        <v>0</v>
      </c>
      <c r="J70" s="118">
        <f>+Actuals!G233</f>
        <v>0</v>
      </c>
      <c r="K70" s="119">
        <f>+Actuals!H233</f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'TIE-OUT'!R71+RECLASS!P71</f>
        <v>0</v>
      </c>
      <c r="G71" s="82">
        <f>'TIE-OUT'!S71+RECLASS!Q71</f>
        <v>0</v>
      </c>
      <c r="H71" s="118">
        <f>+Actuals!E234</f>
        <v>0</v>
      </c>
      <c r="I71" s="119">
        <f>+Actuals!F234</f>
        <v>0</v>
      </c>
      <c r="J71" s="118">
        <f>+Actuals!G234</f>
        <v>0</v>
      </c>
      <c r="K71" s="119">
        <f>+Actuals!H234</f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">
      <c r="A72" s="9"/>
      <c r="B72" s="3"/>
      <c r="C72" s="55" t="s">
        <v>69</v>
      </c>
      <c r="D72" s="61">
        <f t="shared" ref="D72:I72" si="18">SUM(D70:D71)</f>
        <v>0</v>
      </c>
      <c r="E72" s="39">
        <f t="shared" si="18"/>
        <v>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0</v>
      </c>
      <c r="J72" s="61">
        <f t="shared" ref="J72:AO72" si="19">SUM(J70:J71)</f>
        <v>0</v>
      </c>
      <c r="K72" s="39">
        <f t="shared" si="19"/>
        <v>0</v>
      </c>
      <c r="L72" s="61">
        <f t="shared" si="19"/>
        <v>0</v>
      </c>
      <c r="M72" s="39">
        <f t="shared" si="19"/>
        <v>0</v>
      </c>
      <c r="N72" s="61">
        <f>SUM(N70:N71)</f>
        <v>0</v>
      </c>
      <c r="O72" s="39">
        <f>SUM(O70:O71)</f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f>+Actuals!E235</f>
        <v>0</v>
      </c>
      <c r="I73" s="119">
        <f>+Actuals!F235</f>
        <v>0</v>
      </c>
      <c r="J73" s="118">
        <f>+Actuals!G235</f>
        <v>0</v>
      </c>
      <c r="K73" s="119">
        <f>+Actuals!H235</f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-97941</v>
      </c>
      <c r="F74" s="60">
        <f>'TIE-OUT'!R74+RECLASS!P74</f>
        <v>0</v>
      </c>
      <c r="G74" s="60">
        <f>'TIE-OUT'!S74+RECLASS!Q74</f>
        <v>-79341</v>
      </c>
      <c r="H74" s="118">
        <f>+Actuals!E236</f>
        <v>0</v>
      </c>
      <c r="I74" s="119">
        <f>+Actuals!F236</f>
        <v>0</v>
      </c>
      <c r="J74" s="118">
        <f>+Actuals!G236</f>
        <v>0</v>
      </c>
      <c r="K74" s="119">
        <f>+Actuals!H236</f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v>-18600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f>+Actuals!E237</f>
        <v>0</v>
      </c>
      <c r="I75" s="119">
        <f>+Actuals!F237</f>
        <v>0</v>
      </c>
      <c r="J75" s="118">
        <f>+Actuals!G237</f>
        <v>0</v>
      </c>
      <c r="K75" s="119">
        <f>+Actuals!H237</f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f>+Actuals!E238</f>
        <v>0</v>
      </c>
      <c r="I76" s="119">
        <f>+Actuals!F238</f>
        <v>0</v>
      </c>
      <c r="J76" s="118">
        <f>+Actuals!G238</f>
        <v>0</v>
      </c>
      <c r="K76" s="119">
        <f>+Actuals!H238</f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f>+Actuals!E239</f>
        <v>0</v>
      </c>
      <c r="I77" s="119">
        <f>+Actuals!F239</f>
        <v>0</v>
      </c>
      <c r="J77" s="118">
        <f>+Actuals!G239</f>
        <v>0</v>
      </c>
      <c r="K77" s="119">
        <f>+Actuals!H239</f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f>+Actuals!E240</f>
        <v>0</v>
      </c>
      <c r="I78" s="119">
        <f>+Actuals!F240</f>
        <v>0</v>
      </c>
      <c r="J78" s="118">
        <f>+Actuals!G240</f>
        <v>0</v>
      </c>
      <c r="K78" s="119">
        <f>+Actuals!H240</f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f>+Actuals!E241</f>
        <v>0</v>
      </c>
      <c r="I79" s="119">
        <f>+Actuals!F241</f>
        <v>0</v>
      </c>
      <c r="J79" s="118">
        <f>+Actuals!G241</f>
        <v>0</v>
      </c>
      <c r="K79" s="119">
        <f>+Actuals!H241</f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f>+Actuals!E242</f>
        <v>0</v>
      </c>
      <c r="I80" s="119">
        <f>+Actuals!F242</f>
        <v>0</v>
      </c>
      <c r="J80" s="118">
        <f>+Actuals!G242</f>
        <v>0</v>
      </c>
      <c r="K80" s="119">
        <f>+Actuals!H242</f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416492</v>
      </c>
      <c r="H81" s="118">
        <f>+Actuals!E243</f>
        <v>0</v>
      </c>
      <c r="I81" s="119">
        <f>+Actuals!F243</f>
        <v>0</v>
      </c>
      <c r="J81" s="118">
        <f>+Actuals!G243</f>
        <v>0</v>
      </c>
      <c r="K81" s="119">
        <f>+Actuals!H243</f>
        <v>0</v>
      </c>
      <c r="L81" s="118">
        <f>+Actuals!I243</f>
        <v>0</v>
      </c>
      <c r="M81" s="215">
        <f>+Actuals!J243-416492</f>
        <v>-416492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-183496.76000000036</v>
      </c>
      <c r="F82" s="91">
        <f>F16+F24+F29+F36+F43+F45+F47+F49</f>
        <v>0</v>
      </c>
      <c r="G82" s="92">
        <f>SUM(G72:G81)+G16+G24+G29+G36+G43+G45+G47+G49+G51+G56+G61+G66</f>
        <v>576370.47</v>
      </c>
      <c r="H82" s="91">
        <f>H16+H24+H29+H36+H43+H45+H47+H49</f>
        <v>0</v>
      </c>
      <c r="I82" s="92">
        <f>SUM(I72:I81)+I16+I24+I29+I36+I43+I45+I47+I49+I51+I56+I61+I66</f>
        <v>-559151.60799999756</v>
      </c>
      <c r="J82" s="91">
        <f>J16+J24+J29+J36+J43+J45+J47+J49</f>
        <v>0</v>
      </c>
      <c r="K82" s="137">
        <f>SUM(K72:K81)+K16+K24+K29+K36+K43+K45+K47+K49+K51+K56+K61+K66</f>
        <v>190751.41999999931</v>
      </c>
      <c r="L82" s="91">
        <f>L16+L24+L29+L36+L43+L45+L47+L49</f>
        <v>0</v>
      </c>
      <c r="M82" s="92">
        <f>SUM(M72:M81)+M16+M24+M29+M36+M43+M45+M47+M49+M51+M56+M61+M66</f>
        <v>-391223.32199999993</v>
      </c>
      <c r="N82" s="91">
        <f>N16+N24+N29+N36+N43+N45+N47+N49</f>
        <v>0</v>
      </c>
      <c r="O82" s="92">
        <f>SUM(O72:O81)+O16+O24+O29+O36+O43+O45+O47+O49+O51+O56+O61+O66</f>
        <v>-243.72000000000116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215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21">SUM(F86,H86,J86,L86,N86,P86,R86,T86,V86,X86,Z86,AB86,AD86)</f>
        <v>0</v>
      </c>
      <c r="E86" s="145">
        <f t="shared" si="21"/>
        <v>-101722</v>
      </c>
      <c r="F86" s="145">
        <f>'TIE-OUT'!R86+RECLASS!P86</f>
        <v>0</v>
      </c>
      <c r="G86" s="184">
        <f>'TIE-OUT'!S86+RECLASS!Q86</f>
        <v>-101722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21"/>
        <v>0</v>
      </c>
      <c r="E87" s="146">
        <f t="shared" si="21"/>
        <v>-402</v>
      </c>
      <c r="F87" s="146">
        <f>'TIE-OUT'!R87+RECLASS!P87</f>
        <v>0</v>
      </c>
      <c r="G87" s="185">
        <f>'TIE-OUT'!S87+RECLASS!Q87</f>
        <v>-402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21"/>
        <v>0</v>
      </c>
      <c r="E88" s="147">
        <f t="shared" si="21"/>
        <v>0</v>
      </c>
      <c r="F88" s="147">
        <f>'TIE-OUT'!R88+RECLASS!P88</f>
        <v>0</v>
      </c>
      <c r="G88" s="186">
        <f>'TIE-OUT'!S88+RECLASS!Q88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AO89" si="22">SUM(E86:E88)</f>
        <v>-102124</v>
      </c>
      <c r="F89" s="155">
        <f t="shared" si="22"/>
        <v>0</v>
      </c>
      <c r="G89" s="155">
        <f t="shared" si="22"/>
        <v>-102124</v>
      </c>
      <c r="H89" s="155">
        <f t="shared" si="22"/>
        <v>0</v>
      </c>
      <c r="I89" s="155">
        <f t="shared" si="22"/>
        <v>0</v>
      </c>
      <c r="J89" s="155">
        <f t="shared" si="22"/>
        <v>0</v>
      </c>
      <c r="K89" s="155">
        <f t="shared" si="22"/>
        <v>0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AO91" si="23">+E82+E89</f>
        <v>-285620.76000000036</v>
      </c>
      <c r="F91" s="155">
        <f t="shared" si="23"/>
        <v>0</v>
      </c>
      <c r="G91" s="155">
        <f t="shared" si="23"/>
        <v>474246.47</v>
      </c>
      <c r="H91" s="155">
        <f t="shared" si="23"/>
        <v>0</v>
      </c>
      <c r="I91" s="155">
        <f t="shared" si="23"/>
        <v>-559151.60799999756</v>
      </c>
      <c r="J91" s="155">
        <f t="shared" si="23"/>
        <v>0</v>
      </c>
      <c r="K91" s="155">
        <f t="shared" si="23"/>
        <v>190751.41999999931</v>
      </c>
      <c r="L91" s="155">
        <f t="shared" si="23"/>
        <v>0</v>
      </c>
      <c r="M91" s="155">
        <f t="shared" si="23"/>
        <v>-391223.32199999993</v>
      </c>
      <c r="N91" s="155">
        <f t="shared" si="23"/>
        <v>0</v>
      </c>
      <c r="O91" s="155">
        <f t="shared" si="23"/>
        <v>-243.72000000000116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35" orientation="landscape" r:id="rId1"/>
  <headerFooter alignWithMargins="0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O179"/>
  <sheetViews>
    <sheetView zoomScale="75" workbookViewId="0">
      <pane xSplit="3" ySplit="9" topLeftCell="I51" activePane="bottomRight" state="frozen"/>
      <selection activeCell="N31" sqref="N31"/>
      <selection pane="topRight" activeCell="N31" sqref="N31"/>
      <selection pane="bottomLeft" activeCell="N31" sqref="N31"/>
      <selection pane="bottomRight" activeCell="O55" sqref="O55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162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23304830</v>
      </c>
      <c r="E11" s="38">
        <f>SUM(G11,I11,K11,M11,O11,Q11,S11,U11,W11,Y11,AA11,AC11,AE11)</f>
        <v>41112226.57</v>
      </c>
      <c r="F11" s="60">
        <f>'TIE-OUT'!AF11+RECLASS!AF11</f>
        <v>0</v>
      </c>
      <c r="G11" s="38">
        <f>'TIE-OUT'!AG11+RECLASS!AG11</f>
        <v>-24754232</v>
      </c>
      <c r="H11" s="118">
        <f>+Actuals!E124</f>
        <v>23096407</v>
      </c>
      <c r="I11" s="121">
        <f>+Actuals!F124</f>
        <v>65418776.439999998</v>
      </c>
      <c r="J11" s="118">
        <f>+Actuals!G124</f>
        <v>213423</v>
      </c>
      <c r="K11" s="121">
        <f>+Actuals!H124</f>
        <v>448095.63</v>
      </c>
      <c r="L11" s="118">
        <f>+Actuals!I124</f>
        <v>-7000</v>
      </c>
      <c r="M11" s="121">
        <f>+Actuals!J124</f>
        <v>-17304</v>
      </c>
      <c r="N11" s="118">
        <f>+Actuals!K124</f>
        <v>2000</v>
      </c>
      <c r="O11" s="121">
        <f>+Actuals!L124</f>
        <v>16890.5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'TIE-OUT'!AF12+RECLASS!AF12</f>
        <v>0</v>
      </c>
      <c r="G12" s="38">
        <f>'TIE-OUT'!AG12+RECLASS!AG12</f>
        <v>0</v>
      </c>
      <c r="H12" s="120">
        <f>+Actuals!E125</f>
        <v>0</v>
      </c>
      <c r="I12" s="121">
        <f>+Actuals!F125</f>
        <v>0</v>
      </c>
      <c r="J12" s="120">
        <f>+Actuals!G125</f>
        <v>0</v>
      </c>
      <c r="K12" s="121">
        <f>+Actuals!H125</f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15355051</v>
      </c>
      <c r="E13" s="38">
        <f t="shared" si="0"/>
        <v>43310974</v>
      </c>
      <c r="F13" s="60">
        <f>'TIE-OUT'!AF13+RECLASS!AF13</f>
        <v>0</v>
      </c>
      <c r="G13" s="38">
        <f>'TIE-OUT'!AG13+RECLASS!AG13</f>
        <v>0</v>
      </c>
      <c r="H13" s="120">
        <f>+Actuals!E126</f>
        <v>53673045</v>
      </c>
      <c r="I13" s="121">
        <f>+Actuals!F126</f>
        <v>204754459</v>
      </c>
      <c r="J13" s="120">
        <f>+Actuals!G126</f>
        <v>-38317994</v>
      </c>
      <c r="K13" s="121">
        <f>+Actuals!H126</f>
        <v>-161443485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20">
        <f>+Actuals!E127</f>
        <v>0</v>
      </c>
      <c r="I14" s="121">
        <f>+Actuals!F127</f>
        <v>0</v>
      </c>
      <c r="J14" s="120">
        <f>+Actuals!G127</f>
        <v>0</v>
      </c>
      <c r="K14" s="121">
        <f>+Actuals!H127</f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10488652.91</v>
      </c>
      <c r="F15" s="81">
        <f>'TIE-OUT'!AF15+RECLASS!AF15</f>
        <v>0</v>
      </c>
      <c r="G15" s="82">
        <f>'TIE-OUT'!AG15+RECLASS!AG15</f>
        <v>6508442</v>
      </c>
      <c r="H15" s="120">
        <f>+Actuals!E128</f>
        <v>0</v>
      </c>
      <c r="I15" s="121">
        <f>+Actuals!F128</f>
        <v>14447150</v>
      </c>
      <c r="J15" s="120">
        <f>+Actuals!G128</f>
        <v>0</v>
      </c>
      <c r="K15" s="121">
        <f>+Actuals!H128</f>
        <v>-10449416</v>
      </c>
      <c r="L15" s="120">
        <f>+Actuals!I128</f>
        <v>0</v>
      </c>
      <c r="M15" s="121">
        <f>+Actuals!J128</f>
        <v>-17523.09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">
      <c r="A16" s="9"/>
      <c r="B16" s="7" t="s">
        <v>30</v>
      </c>
      <c r="C16" s="6"/>
      <c r="D16" s="61">
        <f t="shared" ref="D16:I16" si="1">SUM(D11:D15)</f>
        <v>38659881</v>
      </c>
      <c r="E16" s="39">
        <f t="shared" si="1"/>
        <v>94911853.479999989</v>
      </c>
      <c r="F16" s="61">
        <f t="shared" si="1"/>
        <v>0</v>
      </c>
      <c r="G16" s="39">
        <f t="shared" si="1"/>
        <v>-18245790</v>
      </c>
      <c r="H16" s="61">
        <f t="shared" si="1"/>
        <v>76769452</v>
      </c>
      <c r="I16" s="39">
        <f t="shared" si="1"/>
        <v>284620385.44</v>
      </c>
      <c r="J16" s="61">
        <f t="shared" ref="J16:AO16" si="2">SUM(J11:J15)</f>
        <v>-38104571</v>
      </c>
      <c r="K16" s="39">
        <f t="shared" si="2"/>
        <v>-171444805.37</v>
      </c>
      <c r="L16" s="61">
        <f t="shared" si="2"/>
        <v>-7000</v>
      </c>
      <c r="M16" s="39">
        <f t="shared" si="2"/>
        <v>-34827.089999999997</v>
      </c>
      <c r="N16" s="61">
        <f>SUM(N11:N15)</f>
        <v>2000</v>
      </c>
      <c r="O16" s="39">
        <f>SUM(O11:O15)</f>
        <v>16890.5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-7055119</v>
      </c>
      <c r="E19" s="38">
        <f t="shared" si="3"/>
        <v>-15135379.41</v>
      </c>
      <c r="F19" s="64">
        <f>'TIE-OUT'!AF19+RECLASS!AF19</f>
        <v>0</v>
      </c>
      <c r="G19" s="68">
        <f>'TIE-OUT'!AG19+RECLASS!AG19</f>
        <v>3924785</v>
      </c>
      <c r="H19" s="120">
        <f>+Actuals!E129</f>
        <v>-6914217</v>
      </c>
      <c r="I19" s="121">
        <f>+Actuals!F129</f>
        <v>-18314703.440000001</v>
      </c>
      <c r="J19" s="120">
        <f>+Actuals!G129</f>
        <v>-143367</v>
      </c>
      <c r="K19" s="121">
        <f>+Actuals!H129</f>
        <v>-748218.44</v>
      </c>
      <c r="L19" s="120">
        <f>+Actuals!I129</f>
        <v>2465</v>
      </c>
      <c r="M19" s="121">
        <f>+Actuals!J129</f>
        <v>2757.47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-241521</v>
      </c>
      <c r="F20" s="60">
        <f>'TIE-OUT'!AF20+RECLASS!AF20</f>
        <v>0</v>
      </c>
      <c r="G20" s="38">
        <f>'TIE-OUT'!AG20+RECLASS!AG20</f>
        <v>-241521</v>
      </c>
      <c r="H20" s="120">
        <f>+Actuals!E130</f>
        <v>0</v>
      </c>
      <c r="I20" s="121">
        <f>+Actuals!F130</f>
        <v>0</v>
      </c>
      <c r="J20" s="120">
        <f>+Actuals!G130</f>
        <v>0</v>
      </c>
      <c r="K20" s="215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3"/>
        <v>-18600694</v>
      </c>
      <c r="E21" s="38">
        <f t="shared" si="3"/>
        <v>-47844773</v>
      </c>
      <c r="F21" s="60">
        <f>'TIE-OUT'!AF21+RECLASS!AF21</f>
        <v>0</v>
      </c>
      <c r="G21" s="38">
        <f>'TIE-OUT'!AG21+RECLASS!AG21</f>
        <v>0</v>
      </c>
      <c r="H21" s="120">
        <f>+Actuals!E131</f>
        <v>-56862831</v>
      </c>
      <c r="I21" s="121">
        <f>+Actuals!F131</f>
        <v>-209309087</v>
      </c>
      <c r="J21" s="120">
        <f>+Actuals!G131</f>
        <v>38286561</v>
      </c>
      <c r="K21" s="121">
        <f>+Actuals!H131</f>
        <v>161527669</v>
      </c>
      <c r="L21" s="120">
        <f>+Actuals!I131</f>
        <v>-24727</v>
      </c>
      <c r="M21" s="121">
        <f>+Actuals!J131</f>
        <v>-64116</v>
      </c>
      <c r="N21" s="120">
        <f>+Actuals!K131</f>
        <v>303</v>
      </c>
      <c r="O21" s="121">
        <f>+Actuals!L131</f>
        <v>761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'TIE-OUT'!AF22+RECLASS!AF22</f>
        <v>0</v>
      </c>
      <c r="G22" s="38">
        <f>'TIE-OUT'!AG22+RECLASS!AG22</f>
        <v>0</v>
      </c>
      <c r="H22" s="120">
        <f>+Actuals!E132</f>
        <v>0</v>
      </c>
      <c r="I22" s="121">
        <f>+Actuals!F132</f>
        <v>0</v>
      </c>
      <c r="J22" s="120">
        <f>+Actuals!G132</f>
        <v>0</v>
      </c>
      <c r="K22" s="121">
        <f>+Actuals!H132</f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'TIE-OUT'!AF23+RECLASS!AF23</f>
        <v>0</v>
      </c>
      <c r="G23" s="82">
        <f>'TIE-OUT'!AG23+RECLASS!AG23</f>
        <v>0</v>
      </c>
      <c r="H23" s="120">
        <f>+Actuals!E133</f>
        <v>0</v>
      </c>
      <c r="I23" s="121">
        <f>+Actuals!F133</f>
        <v>0</v>
      </c>
      <c r="J23" s="120">
        <f>+Actuals!G133</f>
        <v>0</v>
      </c>
      <c r="K23" s="121">
        <f>+Actuals!H133</f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">
      <c r="A24" s="9"/>
      <c r="B24" s="7" t="s">
        <v>33</v>
      </c>
      <c r="C24" s="6"/>
      <c r="D24" s="61">
        <f t="shared" ref="D24:I24" si="4">SUM(D19:D23)</f>
        <v>-25655813</v>
      </c>
      <c r="E24" s="39">
        <f t="shared" si="4"/>
        <v>-63221673.409999996</v>
      </c>
      <c r="F24" s="61">
        <f t="shared" si="4"/>
        <v>0</v>
      </c>
      <c r="G24" s="39">
        <f t="shared" si="4"/>
        <v>3683264</v>
      </c>
      <c r="H24" s="61">
        <f t="shared" si="4"/>
        <v>-63777048</v>
      </c>
      <c r="I24" s="39">
        <f t="shared" si="4"/>
        <v>-227623790.44</v>
      </c>
      <c r="J24" s="61">
        <f t="shared" ref="J24:AO24" si="5">SUM(J19:J23)</f>
        <v>38143194</v>
      </c>
      <c r="K24" s="39">
        <f t="shared" si="5"/>
        <v>160779450.56</v>
      </c>
      <c r="L24" s="61">
        <f t="shared" si="5"/>
        <v>-22262</v>
      </c>
      <c r="M24" s="39">
        <f t="shared" si="5"/>
        <v>-61358.53</v>
      </c>
      <c r="N24" s="61">
        <f>SUM(N19:N23)</f>
        <v>303</v>
      </c>
      <c r="O24" s="39">
        <f>SUM(O19:O23)</f>
        <v>761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'TIE-OUT'!AF27+RECLASS!AF27</f>
        <v>0</v>
      </c>
      <c r="G27" s="68">
        <f>'TIE-OUT'!AG27+RECLASS!AG27</f>
        <v>0</v>
      </c>
      <c r="H27" s="120">
        <f>+Actuals!E134</f>
        <v>0</v>
      </c>
      <c r="I27" s="121">
        <f>+Actuals!F134</f>
        <v>0</v>
      </c>
      <c r="J27" s="120">
        <f>+Actuals!G134</f>
        <v>0</v>
      </c>
      <c r="K27" s="121">
        <f>+Actuals!H134</f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'TIE-OUT'!AF28+RECLASS!AF28</f>
        <v>0</v>
      </c>
      <c r="G28" s="82">
        <f>'TIE-OUT'!AG28+RECLASS!AG28</f>
        <v>0</v>
      </c>
      <c r="H28" s="120">
        <f>+Actuals!E135</f>
        <v>0</v>
      </c>
      <c r="I28" s="121">
        <f>+Actuals!F135</f>
        <v>0</v>
      </c>
      <c r="J28" s="120">
        <f>+Actuals!G135</f>
        <v>0</v>
      </c>
      <c r="K28" s="121">
        <f>+Actuals!H135</f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">
      <c r="A29" s="9"/>
      <c r="B29" s="7" t="s">
        <v>37</v>
      </c>
      <c r="C29" s="18"/>
      <c r="D29" s="61">
        <f t="shared" ref="D29:I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ref="J29:AO29" si="7">SUM(J27:J28)</f>
        <v>0</v>
      </c>
      <c r="K29" s="39">
        <f t="shared" si="7"/>
        <v>0</v>
      </c>
      <c r="L29" s="61">
        <f t="shared" si="7"/>
        <v>0</v>
      </c>
      <c r="M29" s="39">
        <f t="shared" si="7"/>
        <v>0</v>
      </c>
      <c r="N29" s="61">
        <f>SUM(N27:N28)</f>
        <v>0</v>
      </c>
      <c r="O29" s="39">
        <f>SUM(O27:O28)</f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120"/>
      <c r="I31" s="121"/>
      <c r="J31" s="120"/>
      <c r="K31" s="121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'TIE-OUT'!AF32+RECLASS!AF32</f>
        <v>0</v>
      </c>
      <c r="G32" s="68">
        <f>'TIE-OUT'!AG32+RECLASS!AG32</f>
        <v>0</v>
      </c>
      <c r="H32" s="120">
        <f>+Actuals!E136</f>
        <v>0</v>
      </c>
      <c r="I32" s="121">
        <f>+Actuals!F136</f>
        <v>0</v>
      </c>
      <c r="J32" s="120">
        <f>+Actuals!G136</f>
        <v>0</v>
      </c>
      <c r="K32" s="121">
        <f>+Actuals!H136</f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'TIE-OUT'!AF33+RECLASS!AF33</f>
        <v>0</v>
      </c>
      <c r="G33" s="38">
        <f>'TIE-OUT'!AG33+RECLASS!AG33</f>
        <v>0</v>
      </c>
      <c r="H33" s="120">
        <f>+Actuals!E137</f>
        <v>0</v>
      </c>
      <c r="I33" s="121">
        <f>+Actuals!F137</f>
        <v>0</v>
      </c>
      <c r="J33" s="120">
        <f>+Actuals!G137</f>
        <v>0</v>
      </c>
      <c r="K33" s="121">
        <f>+Actuals!H137</f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'TIE-OUT'!AF34+RECLASS!AF34</f>
        <v>0</v>
      </c>
      <c r="G34" s="38">
        <f>'TIE-OUT'!AG34+RECLASS!AG34</f>
        <v>0</v>
      </c>
      <c r="H34" s="120">
        <f>+Actuals!E138</f>
        <v>0</v>
      </c>
      <c r="I34" s="121">
        <f>+Actuals!F138</f>
        <v>0</v>
      </c>
      <c r="J34" s="120">
        <f>+Actuals!G138</f>
        <v>0</v>
      </c>
      <c r="K34" s="121">
        <f>+Actuals!H138</f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8"/>
        <v>-60039</v>
      </c>
      <c r="E35" s="38">
        <f t="shared" si="8"/>
        <v>-315734</v>
      </c>
      <c r="F35" s="81">
        <f>'TIE-OUT'!AF35+RECLASS!AF35</f>
        <v>-60039</v>
      </c>
      <c r="G35" s="82">
        <f>'TIE-OUT'!AG35+RECLASS!AG35</f>
        <v>-315734</v>
      </c>
      <c r="H35" s="120">
        <f>+Actuals!E139</f>
        <v>0</v>
      </c>
      <c r="I35" s="121">
        <f>+Actuals!F139</f>
        <v>0</v>
      </c>
      <c r="J35" s="120">
        <f>+Actuals!G139</f>
        <v>0</v>
      </c>
      <c r="K35" s="121">
        <f>+Actuals!H139</f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">
      <c r="A36" s="9"/>
      <c r="B36" s="7" t="s">
        <v>43</v>
      </c>
      <c r="C36" s="6"/>
      <c r="D36" s="61">
        <f t="shared" ref="D36:I36" si="9">SUM(D32:D35)</f>
        <v>-60039</v>
      </c>
      <c r="E36" s="39">
        <f t="shared" si="9"/>
        <v>-315734</v>
      </c>
      <c r="F36" s="61">
        <f t="shared" si="9"/>
        <v>-60039</v>
      </c>
      <c r="G36" s="39">
        <f t="shared" si="9"/>
        <v>-315734</v>
      </c>
      <c r="H36" s="61">
        <f t="shared" si="9"/>
        <v>0</v>
      </c>
      <c r="I36" s="39">
        <f t="shared" si="9"/>
        <v>0</v>
      </c>
      <c r="J36" s="61">
        <f t="shared" ref="J36:AO36" si="10">SUM(J32:J35)</f>
        <v>0</v>
      </c>
      <c r="K36" s="39">
        <f t="shared" si="10"/>
        <v>0</v>
      </c>
      <c r="L36" s="61">
        <f t="shared" si="10"/>
        <v>0</v>
      </c>
      <c r="M36" s="39">
        <f t="shared" si="10"/>
        <v>0</v>
      </c>
      <c r="N36" s="61">
        <f>SUM(N32:N35)</f>
        <v>0</v>
      </c>
      <c r="O36" s="39">
        <f>SUM(O32:O35)</f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'TIE-OUT'!AF39+RECLASS!AF39</f>
        <v>0</v>
      </c>
      <c r="G39" s="68">
        <f>'TIE-OUT'!AG39+RECLASS!AG39</f>
        <v>0</v>
      </c>
      <c r="H39" s="120">
        <f>+Actuals!E140</f>
        <v>0</v>
      </c>
      <c r="I39" s="121">
        <f>+Actuals!F140</f>
        <v>0</v>
      </c>
      <c r="J39" s="120">
        <f>+Actuals!G140</f>
        <v>0</v>
      </c>
      <c r="K39" s="121">
        <f>+Actuals!H140</f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11"/>
        <v>-15642229</v>
      </c>
      <c r="E40" s="38">
        <f t="shared" si="11"/>
        <v>-15767237.98</v>
      </c>
      <c r="F40" s="60">
        <f>'TIE-OUT'!AF40+RECLASS!AF40</f>
        <v>60039</v>
      </c>
      <c r="G40" s="38">
        <f>'TIE-OUT'!AG40+RECLASS!AG40</f>
        <v>25122846</v>
      </c>
      <c r="H40" s="120">
        <f>+Actuals!E141</f>
        <v>-15713032</v>
      </c>
      <c r="I40" s="121">
        <f>+Actuals!F141</f>
        <v>-41116357.149999999</v>
      </c>
      <c r="J40" s="120">
        <f>+Actuals!G141</f>
        <v>13877</v>
      </c>
      <c r="K40" s="121">
        <f>+Actuals!H141</f>
        <v>234820.85</v>
      </c>
      <c r="L40" s="120">
        <f>+Actuals!I141</f>
        <v>-1183</v>
      </c>
      <c r="M40" s="121">
        <f>+Actuals!J141</f>
        <v>-3266.96</v>
      </c>
      <c r="N40" s="120">
        <f>+Actuals!K141</f>
        <v>-1930</v>
      </c>
      <c r="O40" s="121">
        <f>+Actuals!L141</f>
        <v>-5280.72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'TIE-OUT'!AF41+RECLASS!AF41</f>
        <v>0</v>
      </c>
      <c r="G41" s="82">
        <f>'TIE-OUT'!AG41+RECLASS!AG41</f>
        <v>0</v>
      </c>
      <c r="H41" s="120">
        <f>+Actuals!E142</f>
        <v>0</v>
      </c>
      <c r="I41" s="121">
        <f>+Actuals!F142</f>
        <v>0</v>
      </c>
      <c r="J41" s="120">
        <f>+Actuals!G142</f>
        <v>0</v>
      </c>
      <c r="K41" s="121">
        <f>+Actuals!H142</f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">
      <c r="A42" s="9"/>
      <c r="B42" s="7"/>
      <c r="C42" s="53" t="s">
        <v>48</v>
      </c>
      <c r="D42" s="61">
        <f t="shared" ref="D42:I42" si="12">SUM(D40:D41)</f>
        <v>-15642229</v>
      </c>
      <c r="E42" s="39">
        <f t="shared" si="12"/>
        <v>-15767237.98</v>
      </c>
      <c r="F42" s="61">
        <f t="shared" si="12"/>
        <v>60039</v>
      </c>
      <c r="G42" s="39">
        <f t="shared" si="12"/>
        <v>25122846</v>
      </c>
      <c r="H42" s="61">
        <f t="shared" si="12"/>
        <v>-15713032</v>
      </c>
      <c r="I42" s="39">
        <f t="shared" si="12"/>
        <v>-41116357.149999999</v>
      </c>
      <c r="J42" s="61">
        <f t="shared" ref="J42:AO42" si="13">SUM(J40:J41)</f>
        <v>13877</v>
      </c>
      <c r="K42" s="39">
        <f t="shared" si="13"/>
        <v>234820.85</v>
      </c>
      <c r="L42" s="61">
        <f t="shared" si="13"/>
        <v>-1183</v>
      </c>
      <c r="M42" s="39">
        <f t="shared" si="13"/>
        <v>-3266.96</v>
      </c>
      <c r="N42" s="61">
        <f>SUM(N40:N41)</f>
        <v>-1930</v>
      </c>
      <c r="O42" s="39">
        <f>SUM(O40:O41)</f>
        <v>-5280.72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I43" si="14">D42+D39</f>
        <v>-15642229</v>
      </c>
      <c r="E43" s="39">
        <f t="shared" si="14"/>
        <v>-15767237.98</v>
      </c>
      <c r="F43" s="61">
        <f t="shared" si="14"/>
        <v>60039</v>
      </c>
      <c r="G43" s="39">
        <f t="shared" si="14"/>
        <v>25122846</v>
      </c>
      <c r="H43" s="61">
        <f t="shared" si="14"/>
        <v>-15713032</v>
      </c>
      <c r="I43" s="39">
        <f t="shared" si="14"/>
        <v>-41116357.149999999</v>
      </c>
      <c r="J43" s="61">
        <f t="shared" ref="J43:AO43" si="15">J42+J39</f>
        <v>13877</v>
      </c>
      <c r="K43" s="39">
        <f t="shared" si="15"/>
        <v>234820.85</v>
      </c>
      <c r="L43" s="61">
        <f t="shared" si="15"/>
        <v>-1183</v>
      </c>
      <c r="M43" s="39">
        <f t="shared" si="15"/>
        <v>-3266.96</v>
      </c>
      <c r="N43" s="61">
        <f>N42+N39</f>
        <v>-1930</v>
      </c>
      <c r="O43" s="39">
        <f>O42+O39</f>
        <v>-5280.72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20">
        <f>+Actuals!E143</f>
        <v>0</v>
      </c>
      <c r="I45" s="121">
        <f>+Actuals!F143</f>
        <v>0</v>
      </c>
      <c r="J45" s="120">
        <f>+Actuals!G143</f>
        <v>0</v>
      </c>
      <c r="K45" s="121">
        <f>+Actuals!H143</f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20">
        <f>+Actuals!E144</f>
        <v>0</v>
      </c>
      <c r="I47" s="121">
        <f>+Actuals!F144</f>
        <v>0</v>
      </c>
      <c r="J47" s="120">
        <f>+Actuals!G144</f>
        <v>0</v>
      </c>
      <c r="K47" s="121">
        <f>+Actuals!H144</f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2698200</v>
      </c>
      <c r="E49" s="38">
        <f>SUM(G49,I49,K49,M49,O49,Q49,S49,U49,W49,Y49,AA49,AC49,AE49)</f>
        <v>6669950.4000000004</v>
      </c>
      <c r="F49" s="60">
        <f>'TIE-OUT'!AF49+RECLASS!AF49</f>
        <v>0</v>
      </c>
      <c r="G49" s="38">
        <f>'TIE-OUT'!AG49+RECLASS!AG49</f>
        <v>0</v>
      </c>
      <c r="H49" s="120">
        <f>+Actuals!E145</f>
        <v>2720628</v>
      </c>
      <c r="I49" s="121">
        <f>+Actuals!F145</f>
        <v>6725392.4160000002</v>
      </c>
      <c r="J49" s="120">
        <f>+Actuals!G145</f>
        <v>-52500</v>
      </c>
      <c r="K49" s="121">
        <f>+Actuals!H145</f>
        <v>-129780</v>
      </c>
      <c r="L49" s="120">
        <f>+Actuals!I145</f>
        <v>30445</v>
      </c>
      <c r="M49" s="121">
        <f>+Actuals!J145</f>
        <v>75260.039999999994</v>
      </c>
      <c r="N49" s="120">
        <f>+Actuals!K145</f>
        <v>-373</v>
      </c>
      <c r="O49" s="121">
        <f>+Actuals!L145</f>
        <v>-922.05600000000004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732012</v>
      </c>
      <c r="E51" s="38">
        <f>SUM(G51,I51,K51,M51,O51,Q51,S51,U51,W51,Y51,AA51,AC51,AE51)</f>
        <v>1809533.6640000001</v>
      </c>
      <c r="F51" s="60">
        <f>'TIE-OUT'!AF51+RECLASS!AF51</f>
        <v>0</v>
      </c>
      <c r="G51" s="38">
        <f>'TIE-OUT'!AG51+RECLASS!AG51</f>
        <v>0</v>
      </c>
      <c r="H51" s="120">
        <f>+Actuals!E146</f>
        <v>0</v>
      </c>
      <c r="I51" s="121">
        <f>+Actuals!F146</f>
        <v>0</v>
      </c>
      <c r="J51" s="120">
        <f>+Actuals!G146</f>
        <v>0</v>
      </c>
      <c r="K51" s="121">
        <f>+Actuals!H146</f>
        <v>0</v>
      </c>
      <c r="L51" s="120">
        <f>+Actuals!I146</f>
        <v>0</v>
      </c>
      <c r="M51" s="121">
        <f>+Actuals!J146</f>
        <v>0</v>
      </c>
      <c r="N51" s="120">
        <f>+Actuals!K146</f>
        <v>732012</v>
      </c>
      <c r="O51" s="121">
        <f>+Actuals!L146</f>
        <v>1809533.6640000001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-31502898</v>
      </c>
      <c r="E54" s="38">
        <f>SUM(G54,I54,K54,M54,O54,Q54,S54,U54,W54,Y54,AA54,AC54,AE54)</f>
        <v>-1284601.6399999997</v>
      </c>
      <c r="F54" s="64">
        <f>'TIE-OUT'!AF54+RECLASS!AF54</f>
        <v>0</v>
      </c>
      <c r="G54" s="68">
        <f>'TIE-OUT'!AG54+RECLASS!AG54</f>
        <v>-57250</v>
      </c>
      <c r="H54" s="120">
        <f>+Actuals!E147</f>
        <v>-29851311</v>
      </c>
      <c r="I54" s="121">
        <f>+Actuals!F147</f>
        <v>-1140474.8999999999</v>
      </c>
      <c r="J54" s="120">
        <f>+Actuals!G147</f>
        <v>-1649603</v>
      </c>
      <c r="K54" s="121">
        <f>+Actuals!H147</f>
        <v>-92298.69</v>
      </c>
      <c r="L54" s="120">
        <f>+Actuals!I147</f>
        <v>4524</v>
      </c>
      <c r="M54" s="121">
        <f>+Actuals!J147</f>
        <v>5834.12</v>
      </c>
      <c r="N54" s="120">
        <f>+Actuals!K147</f>
        <v>-6508</v>
      </c>
      <c r="O54" s="121">
        <f>+Actuals!L147</f>
        <v>-412.17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-10476793.15</v>
      </c>
      <c r="F55" s="81">
        <f>'TIE-OUT'!AF55+RECLASS!AF55</f>
        <v>0</v>
      </c>
      <c r="G55" s="82">
        <f>'TIE-OUT'!AG55+RECLASS!AG55</f>
        <v>-37782</v>
      </c>
      <c r="H55" s="120">
        <f>+Actuals!E148</f>
        <v>0</v>
      </c>
      <c r="I55" s="121">
        <f>+Actuals!F148</f>
        <v>-10481852.52</v>
      </c>
      <c r="J55" s="120">
        <f>+Actuals!G148</f>
        <v>0</v>
      </c>
      <c r="K55" s="121">
        <f>+Actuals!H148</f>
        <v>86576.37</v>
      </c>
      <c r="L55" s="120">
        <f>+Actuals!I148</f>
        <v>0</v>
      </c>
      <c r="M55" s="215">
        <f>+Actuals!J148-43735</f>
        <v>-43735</v>
      </c>
      <c r="N55" s="120">
        <f>+Actuals!K148</f>
        <v>0</v>
      </c>
      <c r="O55" s="121"/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">
      <c r="A56" s="9"/>
      <c r="B56" s="7" t="s">
        <v>57</v>
      </c>
      <c r="C56" s="6"/>
      <c r="D56" s="61">
        <f t="shared" ref="D56:I56" si="16">SUM(D54:D55)</f>
        <v>-31502898</v>
      </c>
      <c r="E56" s="39">
        <f t="shared" si="16"/>
        <v>-11761394.789999999</v>
      </c>
      <c r="F56" s="61">
        <f t="shared" si="16"/>
        <v>0</v>
      </c>
      <c r="G56" s="39">
        <f t="shared" si="16"/>
        <v>-95032</v>
      </c>
      <c r="H56" s="61">
        <f t="shared" si="16"/>
        <v>-29851311</v>
      </c>
      <c r="I56" s="39">
        <f t="shared" si="16"/>
        <v>-11622327.42</v>
      </c>
      <c r="J56" s="61">
        <f t="shared" ref="J56:AO56" si="17">SUM(J54:J55)</f>
        <v>-1649603</v>
      </c>
      <c r="K56" s="39">
        <f t="shared" si="17"/>
        <v>-5722.320000000007</v>
      </c>
      <c r="L56" s="61">
        <f t="shared" si="17"/>
        <v>4524</v>
      </c>
      <c r="M56" s="39">
        <f t="shared" si="17"/>
        <v>-37900.879999999997</v>
      </c>
      <c r="N56" s="61">
        <f>SUM(N54:N55)</f>
        <v>-6508</v>
      </c>
      <c r="O56" s="39">
        <f>SUM(O54:O55)</f>
        <v>-412.17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20">
        <f>+Actuals!E149</f>
        <v>0</v>
      </c>
      <c r="I59" s="121">
        <f>+Actuals!F149</f>
        <v>0</v>
      </c>
      <c r="J59" s="120">
        <f>+Actuals!G149</f>
        <v>0</v>
      </c>
      <c r="K59" s="121">
        <f>+Actuals!H149</f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20">
        <f>+Actuals!E150</f>
        <v>0</v>
      </c>
      <c r="I60" s="121">
        <f>+Actuals!F150</f>
        <v>0</v>
      </c>
      <c r="J60" s="120">
        <f>+Actuals!G150</f>
        <v>0</v>
      </c>
      <c r="K60" s="121">
        <f>+Actuals!H150</f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ref="J61:AO61" si="19">SUM(J59:J60)</f>
        <v>0</v>
      </c>
      <c r="K61" s="39">
        <f t="shared" si="19"/>
        <v>0</v>
      </c>
      <c r="L61" s="61">
        <f t="shared" si="19"/>
        <v>0</v>
      </c>
      <c r="M61" s="39">
        <f t="shared" si="19"/>
        <v>0</v>
      </c>
      <c r="N61" s="61">
        <f>SUM(N59:N60)</f>
        <v>0</v>
      </c>
      <c r="O61" s="39">
        <f>SUM(O59:O60)</f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20">
        <f>+Actuals!E151</f>
        <v>0</v>
      </c>
      <c r="I64" s="121">
        <f>+Actuals!F151</f>
        <v>0</v>
      </c>
      <c r="J64" s="120">
        <f>+Actuals!G151</f>
        <v>0</v>
      </c>
      <c r="K64" s="121">
        <f>+Actuals!H151</f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20">
        <f>+Actuals!E152</f>
        <v>0</v>
      </c>
      <c r="I65" s="121">
        <f>+Actuals!F152</f>
        <v>0</v>
      </c>
      <c r="J65" s="120">
        <f>+Actuals!G152</f>
        <v>0</v>
      </c>
      <c r="K65" s="121">
        <f>+Actuals!H152</f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ref="J66:AO66" si="21">SUM(J64:J65)</f>
        <v>0</v>
      </c>
      <c r="K66" s="39">
        <f t="shared" si="21"/>
        <v>0</v>
      </c>
      <c r="L66" s="61">
        <f t="shared" si="21"/>
        <v>0</v>
      </c>
      <c r="M66" s="39">
        <f t="shared" si="21"/>
        <v>0</v>
      </c>
      <c r="N66" s="61">
        <f>SUM(N64:N65)</f>
        <v>0</v>
      </c>
      <c r="O66" s="39">
        <f>SUM(O64:O65)</f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-413011</v>
      </c>
      <c r="F70" s="64">
        <f>'TIE-OUT'!AF70+RECLASS!AF70</f>
        <v>0</v>
      </c>
      <c r="G70" s="68">
        <f>'TIE-OUT'!AG70+RECLASS!AG70</f>
        <v>-413011</v>
      </c>
      <c r="H70" s="120">
        <f>+Actuals!E153</f>
        <v>0</v>
      </c>
      <c r="I70" s="121">
        <f>+Actuals!F153</f>
        <v>0</v>
      </c>
      <c r="J70" s="120">
        <f>+Actuals!G153</f>
        <v>0</v>
      </c>
      <c r="K70" s="121">
        <f>+Actuals!H153</f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'TIE-OUT'!AF71+RECLASS!AF71</f>
        <v>0</v>
      </c>
      <c r="G71" s="82">
        <f>'TIE-OUT'!AG71+RECLASS!AG71</f>
        <v>0</v>
      </c>
      <c r="H71" s="120">
        <f>+Actuals!E154</f>
        <v>0</v>
      </c>
      <c r="I71" s="121">
        <f>+Actuals!F154</f>
        <v>0</v>
      </c>
      <c r="J71" s="120">
        <f>+Actuals!G154</f>
        <v>0</v>
      </c>
      <c r="K71" s="121">
        <f>+Actuals!H154</f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-413011</v>
      </c>
      <c r="F72" s="61">
        <f t="shared" si="22"/>
        <v>0</v>
      </c>
      <c r="G72" s="39">
        <f t="shared" si="22"/>
        <v>-413011</v>
      </c>
      <c r="H72" s="61">
        <f t="shared" si="22"/>
        <v>0</v>
      </c>
      <c r="I72" s="39">
        <f t="shared" si="22"/>
        <v>0</v>
      </c>
      <c r="J72" s="61">
        <f t="shared" ref="J72:AO72" si="23">SUM(J70:J71)</f>
        <v>0</v>
      </c>
      <c r="K72" s="39">
        <f t="shared" si="23"/>
        <v>0</v>
      </c>
      <c r="L72" s="61">
        <f t="shared" si="23"/>
        <v>0</v>
      </c>
      <c r="M72" s="39">
        <f t="shared" si="23"/>
        <v>0</v>
      </c>
      <c r="N72" s="61">
        <f>SUM(N70:N71)</f>
        <v>0</v>
      </c>
      <c r="O72" s="39">
        <f>SUM(O70:O71)</f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'TIE-OUT'!AF73+RECLASS!AF73</f>
        <v>0</v>
      </c>
      <c r="G73" s="60">
        <f>'TIE-OUT'!AG73+RECLASS!AG73</f>
        <v>0</v>
      </c>
      <c r="H73" s="120">
        <f>+Actuals!E155</f>
        <v>0</v>
      </c>
      <c r="I73" s="121">
        <f>+Actuals!F155</f>
        <v>0</v>
      </c>
      <c r="J73" s="120">
        <f>+Actuals!G155</f>
        <v>0</v>
      </c>
      <c r="K73" s="121">
        <f>+Actuals!H155</f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-6638313.71</v>
      </c>
      <c r="F74" s="60">
        <f>'TIE-OUT'!AF74+RECLASS!AF74</f>
        <v>0</v>
      </c>
      <c r="G74" s="60">
        <f>'TIE-OUT'!AG74+RECLASS!AG74</f>
        <v>-6638313.71</v>
      </c>
      <c r="H74" s="120">
        <f>+Actuals!E156</f>
        <v>0</v>
      </c>
      <c r="I74" s="121">
        <f>+Actuals!F156</f>
        <v>0</v>
      </c>
      <c r="J74" s="120">
        <f>+Actuals!G156</f>
        <v>0</v>
      </c>
      <c r="K74" s="121">
        <f>+Actuals!H156</f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'TIE-OUT'!AF75+RECLASS!AF75</f>
        <v>0</v>
      </c>
      <c r="G75" s="60">
        <f>'TIE-OUT'!AG75+RECLASS!AG75</f>
        <v>0</v>
      </c>
      <c r="H75" s="120">
        <f>+Actuals!E157</f>
        <v>0</v>
      </c>
      <c r="I75" s="121">
        <f>+Actuals!F157</f>
        <v>0</v>
      </c>
      <c r="J75" s="120">
        <f>+Actuals!G157</f>
        <v>0</v>
      </c>
      <c r="K75" s="121">
        <f>+Actuals!H157</f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'TIE-OUT'!AF76+RECLASS!AF76</f>
        <v>0</v>
      </c>
      <c r="G76" s="60">
        <f>'TIE-OUT'!AG76+RECLASS!AG76</f>
        <v>0</v>
      </c>
      <c r="H76" s="120">
        <f>+Actuals!E158</f>
        <v>0</v>
      </c>
      <c r="I76" s="121">
        <f>+Actuals!F158</f>
        <v>0</v>
      </c>
      <c r="J76" s="120">
        <f>+Actuals!G158</f>
        <v>0</v>
      </c>
      <c r="K76" s="121">
        <f>+Actuals!H158</f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'TIE-OUT'!AF77+RECLASS!AF77</f>
        <v>0</v>
      </c>
      <c r="G77" s="60">
        <f>'TIE-OUT'!AG77+RECLASS!AG77</f>
        <v>0</v>
      </c>
      <c r="H77" s="120">
        <f>+Actuals!E159</f>
        <v>0</v>
      </c>
      <c r="I77" s="121">
        <f>+Actuals!F159</f>
        <v>0</v>
      </c>
      <c r="J77" s="120">
        <f>+Actuals!G159</f>
        <v>0</v>
      </c>
      <c r="K77" s="121">
        <f>+Actuals!H159</f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'TIE-OUT'!AF78+RECLASS!AF78</f>
        <v>0</v>
      </c>
      <c r="G78" s="60">
        <f>'TIE-OUT'!AG78+RECLASS!AG78</f>
        <v>0</v>
      </c>
      <c r="H78" s="120">
        <f>+Actuals!E160</f>
        <v>0</v>
      </c>
      <c r="I78" s="121">
        <f>+Actuals!F160</f>
        <v>0</v>
      </c>
      <c r="J78" s="120">
        <f>+Actuals!G160</f>
        <v>0</v>
      </c>
      <c r="K78" s="121">
        <f>+Actuals!H160</f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'TIE-OUT'!AF79+RECLASS!AF79</f>
        <v>0</v>
      </c>
      <c r="G79" s="60">
        <f>'TIE-OUT'!AG79+RECLASS!AG79</f>
        <v>0</v>
      </c>
      <c r="H79" s="120">
        <f>+Actuals!E161</f>
        <v>0</v>
      </c>
      <c r="I79" s="121">
        <f>+Actuals!F161</f>
        <v>0</v>
      </c>
      <c r="J79" s="120">
        <f>+Actuals!G161</f>
        <v>0</v>
      </c>
      <c r="K79" s="121">
        <f>+Actuals!H161</f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'TIE-OUT'!AF80+RECLASS!AF80</f>
        <v>0</v>
      </c>
      <c r="G80" s="60">
        <f>'TIE-OUT'!AG80+RECLASS!AG80</f>
        <v>0</v>
      </c>
      <c r="H80" s="120">
        <f>+Actuals!E162</f>
        <v>0</v>
      </c>
      <c r="I80" s="121">
        <f>+Actuals!F162</f>
        <v>0</v>
      </c>
      <c r="J80" s="120">
        <f>+Actuals!G162</f>
        <v>0</v>
      </c>
      <c r="K80" s="121">
        <f>+Actuals!H162</f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'TIE-OUT'!AF81+RECLASS!AF81</f>
        <v>0</v>
      </c>
      <c r="G81" s="60">
        <f>'TIE-OUT'!AG81+RECLASS!AG81</f>
        <v>0</v>
      </c>
      <c r="H81" s="120">
        <f>+Actuals!E163</f>
        <v>0</v>
      </c>
      <c r="I81" s="121">
        <f>+Actuals!F163</f>
        <v>0</v>
      </c>
      <c r="J81" s="120">
        <f>+Actuals!G163</f>
        <v>0</v>
      </c>
      <c r="K81" s="121">
        <f>+Actuals!H163</f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5273972.6539999992</v>
      </c>
      <c r="F82" s="91">
        <f>F16+F24+F29+F36+F43+F45+F47+F49</f>
        <v>0</v>
      </c>
      <c r="G82" s="92">
        <f>SUM(G72:G81)+G16+G24+G29+G36+G43+G45+G47+G49+G51+G56+G61+G66</f>
        <v>3098229.2899999991</v>
      </c>
      <c r="H82" s="91">
        <f>H16+H24+H29+H36+H43+H45+H47+H49</f>
        <v>0</v>
      </c>
      <c r="I82" s="92">
        <f>SUM(I72:I81)+I16+I24+I29+I36+I43+I45+I47+I49+I51+I56+I61+I66</f>
        <v>10983302.846000003</v>
      </c>
      <c r="J82" s="91">
        <f>J16+J24+J29+J36+J43+J45+J47+J49</f>
        <v>0</v>
      </c>
      <c r="K82" s="137">
        <f>SUM(K72:K81)+K16+K24+K29+K36+K43+K45+K47+K49+K51+K56+K61+K66</f>
        <v>-10566036.280000003</v>
      </c>
      <c r="L82" s="91">
        <f>L16+L24+L29+L36+L43+L45+L47+L49</f>
        <v>0</v>
      </c>
      <c r="M82" s="92">
        <f>SUM(M72:M81)+M16+M24+M29+M36+M43+M45+M47+M49+M51+M56+M61+M66</f>
        <v>-62093.420000000006</v>
      </c>
      <c r="N82" s="91">
        <f>N16+N24+N29+N36+N43+N45+N47+N49</f>
        <v>0</v>
      </c>
      <c r="O82" s="92">
        <f>SUM(O72:O81)+O16+O24+O29+O36+O43+O45+O47+O49+O51+O56+O61+O66</f>
        <v>1820570.2180000001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O168"/>
  <sheetViews>
    <sheetView zoomScale="75" workbookViewId="0">
      <pane xSplit="3" ySplit="9" topLeftCell="I10" activePane="bottomRight" state="frozen"/>
      <selection activeCell="N31" sqref="N31"/>
      <selection pane="topRight" activeCell="N31" sqref="N31"/>
      <selection pane="bottomLeft" activeCell="N31" sqref="N31"/>
      <selection pane="bottomRight" activeCell="O13" sqref="O13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60"/>
      <c r="I11" s="38"/>
      <c r="J11" s="60"/>
      <c r="K11" s="213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60"/>
      <c r="I12" s="38"/>
      <c r="J12" s="60"/>
      <c r="K12" s="213"/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">
      <c r="A13" s="9">
        <v>3</v>
      </c>
      <c r="B13" s="7"/>
      <c r="C13" s="18" t="s">
        <v>208</v>
      </c>
      <c r="D13" s="60">
        <f t="shared" si="0"/>
        <v>0</v>
      </c>
      <c r="E13" s="38">
        <f t="shared" si="0"/>
        <v>6032630</v>
      </c>
      <c r="F13" s="60">
        <f>'TIE-OUT'!Z13+RECLASS!X13</f>
        <v>0</v>
      </c>
      <c r="G13" s="38">
        <f>'TIE-OUT'!AA13+RECLASS!Y13</f>
        <v>0</v>
      </c>
      <c r="H13" s="60"/>
      <c r="I13" s="38"/>
      <c r="J13" s="60"/>
      <c r="K13" s="213">
        <v>0</v>
      </c>
      <c r="L13" s="60"/>
      <c r="M13" s="38">
        <v>6032630</v>
      </c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60"/>
      <c r="I14" s="38"/>
      <c r="J14" s="60"/>
      <c r="K14" s="213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60"/>
      <c r="I15" s="38"/>
      <c r="J15" s="60"/>
      <c r="K15" s="213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6032630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214">
        <f t="shared" si="1"/>
        <v>0</v>
      </c>
      <c r="L16" s="61">
        <f t="shared" si="1"/>
        <v>0</v>
      </c>
      <c r="M16" s="39">
        <f t="shared" si="1"/>
        <v>6032630</v>
      </c>
      <c r="N16" s="61">
        <f>SUM(N11:N15)</f>
        <v>0</v>
      </c>
      <c r="O16" s="39">
        <f>SUM(O11:O15)</f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213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213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60"/>
      <c r="I19" s="38"/>
      <c r="J19" s="60"/>
      <c r="K19" s="213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60"/>
      <c r="I20" s="38"/>
      <c r="J20" s="60"/>
      <c r="K20" s="213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60"/>
      <c r="I21" s="38"/>
      <c r="J21" s="60"/>
      <c r="K21" s="213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60"/>
      <c r="I22" s="38"/>
      <c r="J22" s="60"/>
      <c r="K22" s="213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60"/>
      <c r="I23" s="38"/>
      <c r="J23" s="60"/>
      <c r="K23" s="213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214">
        <f t="shared" si="3"/>
        <v>0</v>
      </c>
      <c r="L24" s="61">
        <f t="shared" si="3"/>
        <v>0</v>
      </c>
      <c r="M24" s="39">
        <f t="shared" si="3"/>
        <v>0</v>
      </c>
      <c r="N24" s="61">
        <f>SUM(N19:N23)</f>
        <v>0</v>
      </c>
      <c r="O24" s="39">
        <f>SUM(O19:O23)</f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213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213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60"/>
      <c r="I27" s="38"/>
      <c r="J27" s="60"/>
      <c r="K27" s="213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60"/>
      <c r="I28" s="38"/>
      <c r="J28" s="60"/>
      <c r="K28" s="213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>SUM(J27:J28)</f>
        <v>0</v>
      </c>
      <c r="K29" s="214">
        <f>SUM(K27:K28)</f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213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213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60"/>
      <c r="I32" s="38"/>
      <c r="J32" s="60"/>
      <c r="K32" s="213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60"/>
      <c r="I33" s="38"/>
      <c r="J33" s="60"/>
      <c r="K33" s="213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60"/>
      <c r="I34" s="38"/>
      <c r="J34" s="60"/>
      <c r="K34" s="213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60"/>
      <c r="I35" s="38"/>
      <c r="J35" s="60"/>
      <c r="K35" s="213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214">
        <f t="shared" si="6"/>
        <v>0</v>
      </c>
      <c r="L36" s="61">
        <f t="shared" si="6"/>
        <v>0</v>
      </c>
      <c r="M36" s="39">
        <f t="shared" si="6"/>
        <v>0</v>
      </c>
      <c r="N36" s="61">
        <f>SUM(N32:N35)</f>
        <v>0</v>
      </c>
      <c r="O36" s="39">
        <f>SUM(O32:O35)</f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213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213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60"/>
      <c r="I39" s="38"/>
      <c r="J39" s="60"/>
      <c r="K39" s="213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60"/>
      <c r="I40" s="38"/>
      <c r="J40" s="60"/>
      <c r="K40" s="213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146152</v>
      </c>
      <c r="F41" s="81">
        <f>'TIE-OUT'!Z41+RECLASS!X41</f>
        <v>0</v>
      </c>
      <c r="G41" s="82">
        <f>'TIE-OUT'!AA41+RECLASS!Y41</f>
        <v>146152</v>
      </c>
      <c r="H41" s="60"/>
      <c r="I41" s="38"/>
      <c r="J41" s="60"/>
      <c r="K41" s="213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146152</v>
      </c>
      <c r="F42" s="61">
        <f t="shared" si="8"/>
        <v>0</v>
      </c>
      <c r="G42" s="39">
        <f t="shared" si="8"/>
        <v>146152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214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146152</v>
      </c>
      <c r="F43" s="61">
        <f t="shared" si="9"/>
        <v>0</v>
      </c>
      <c r="G43" s="39">
        <f t="shared" si="9"/>
        <v>146152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214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213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60"/>
      <c r="I45" s="38"/>
      <c r="J45" s="60"/>
      <c r="K45" s="213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213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60"/>
      <c r="I47" s="38"/>
      <c r="J47" s="60"/>
      <c r="K47" s="213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213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60"/>
      <c r="I49" s="38"/>
      <c r="J49" s="60">
        <v>0</v>
      </c>
      <c r="K49" s="213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213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'TIE-OUT'!Z51+RECLASS!X51</f>
        <v>0</v>
      </c>
      <c r="G51" s="38">
        <f>'TIE-OUT'!AA51+RECLASS!Y51</f>
        <v>0</v>
      </c>
      <c r="H51" s="60"/>
      <c r="I51" s="38"/>
      <c r="J51" s="60">
        <v>0</v>
      </c>
      <c r="K51" s="213">
        <v>0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213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213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60"/>
      <c r="I54" s="38"/>
      <c r="J54" s="60"/>
      <c r="K54" s="213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60"/>
      <c r="I55" s="38"/>
      <c r="J55" s="60"/>
      <c r="K55" s="213"/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>SUM(J54:J55)</f>
        <v>0</v>
      </c>
      <c r="K56" s="214">
        <f>SUM(K54:K55)</f>
        <v>0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213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213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60"/>
      <c r="I59" s="38"/>
      <c r="J59" s="60"/>
      <c r="K59" s="213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">
      <c r="A60" s="9">
        <v>27</v>
      </c>
      <c r="B60" s="11"/>
      <c r="C60" s="18" t="s">
        <v>209</v>
      </c>
      <c r="D60" s="60">
        <f>SUM(F60,H60,J60,L60,N60,P60,R60,T60,V60,X60,Z60,AB60,AD60)</f>
        <v>0</v>
      </c>
      <c r="E60" s="38">
        <f>SUM(G60,I60,K60,M60,O60,Q60,S60,U60,W60,Y60,AA60,AC60,AE60)</f>
        <v>96833</v>
      </c>
      <c r="F60" s="81">
        <f>'TIE-OUT'!Z60+RECLASS!X60</f>
        <v>0</v>
      </c>
      <c r="G60" s="82">
        <f>'TIE-OUT'!AA60+RECLASS!Y60</f>
        <v>0</v>
      </c>
      <c r="H60" s="60"/>
      <c r="I60" s="38"/>
      <c r="J60" s="60"/>
      <c r="K60" s="215">
        <v>96833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96833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>SUM(J59:J60)</f>
        <v>0</v>
      </c>
      <c r="K61" s="214">
        <f>SUM(K59:K60)</f>
        <v>96833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213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213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60"/>
      <c r="I64" s="38"/>
      <c r="J64" s="60"/>
      <c r="K64" s="213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60"/>
      <c r="I65" s="38"/>
      <c r="J65" s="60"/>
      <c r="K65" s="213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>SUM(J64:J65)</f>
        <v>0</v>
      </c>
      <c r="K66" s="214">
        <f>SUM(K64:K65)</f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213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213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213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210</v>
      </c>
      <c r="D70" s="60">
        <f>SUM(F70,H70,J70,L70,N70,P70,R70,T70,V70,X70,Z70,AB70,AD70)</f>
        <v>0</v>
      </c>
      <c r="E70" s="38">
        <f>SUM(G70,I70,K70,M70,O70,Q70,S70,U70,W70,Y70,AA70,AC70,AE70)</f>
        <v>-3011096</v>
      </c>
      <c r="F70" s="64">
        <f>'TIE-OUT'!Z70+RECLASS!X70</f>
        <v>0</v>
      </c>
      <c r="G70" s="68">
        <f>'TIE-OUT'!AA70+RECLASS!Y70</f>
        <v>207406</v>
      </c>
      <c r="H70" s="60"/>
      <c r="I70" s="38">
        <v>0</v>
      </c>
      <c r="J70" s="60"/>
      <c r="K70" s="215">
        <v>0</v>
      </c>
      <c r="L70" s="60"/>
      <c r="M70" s="38">
        <v>-3218502</v>
      </c>
      <c r="N70" s="60"/>
      <c r="O70" s="38"/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-1085483</v>
      </c>
      <c r="F71" s="81">
        <f>'TIE-OUT'!Z71+RECLASS!X71</f>
        <v>0</v>
      </c>
      <c r="G71" s="82">
        <f>'TIE-OUT'!AA71+RECLASS!Y71</f>
        <v>-1085483</v>
      </c>
      <c r="H71" s="60"/>
      <c r="I71" s="38"/>
      <c r="J71" s="60"/>
      <c r="K71" s="213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-4096579</v>
      </c>
      <c r="F72" s="61">
        <f t="shared" si="13"/>
        <v>0</v>
      </c>
      <c r="G72" s="39">
        <f t="shared" si="13"/>
        <v>-878077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214">
        <f t="shared" si="13"/>
        <v>0</v>
      </c>
      <c r="L72" s="61">
        <f t="shared" si="13"/>
        <v>0</v>
      </c>
      <c r="M72" s="39">
        <f t="shared" si="13"/>
        <v>-3218502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131</v>
      </c>
      <c r="D73" s="60">
        <f t="shared" ref="D73:E81" si="14">SUM(F73,H73,J73,L73,N73,P73,R73,T73,V73,X73,Z73,AB73,AD73)</f>
        <v>0</v>
      </c>
      <c r="E73" s="38">
        <f t="shared" si="14"/>
        <v>-281</v>
      </c>
      <c r="F73" s="60">
        <f>'TIE-OUT'!Z73+RECLASS!X73</f>
        <v>0</v>
      </c>
      <c r="G73" s="60">
        <f>'TIE-OUT'!AA73+RECLASS!Y73</f>
        <v>0</v>
      </c>
      <c r="H73" s="60"/>
      <c r="I73" s="38"/>
      <c r="J73" s="60"/>
      <c r="K73" s="213">
        <v>-281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1656275.2999999998</v>
      </c>
      <c r="F74" s="60">
        <f>'TIE-OUT'!Z74+RECLASS!X74</f>
        <v>0</v>
      </c>
      <c r="G74" s="60">
        <f>'TIE-OUT'!AA74+RECLASS!Y74</f>
        <v>1656275.2999999998</v>
      </c>
      <c r="H74" s="60"/>
      <c r="I74" s="38"/>
      <c r="J74" s="60"/>
      <c r="K74" s="139">
        <v>0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'TIE-OUT'!Z75+RECLASS!X75</f>
        <v>0</v>
      </c>
      <c r="G75" s="60">
        <f>'TIE-OUT'!AA75+RECLASS!Y75</f>
        <v>0</v>
      </c>
      <c r="H75" s="60"/>
      <c r="I75" s="38"/>
      <c r="J75" s="60"/>
      <c r="K75" s="213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-9625</v>
      </c>
      <c r="F76" s="60">
        <f>'TIE-OUT'!Z76+RECLASS!X76</f>
        <v>0</v>
      </c>
      <c r="G76" s="60">
        <f>'TIE-OUT'!AA76+RECLASS!Y76</f>
        <v>-9625</v>
      </c>
      <c r="H76" s="60"/>
      <c r="I76" s="38"/>
      <c r="J76" s="60"/>
      <c r="K76" s="213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60"/>
      <c r="I77" s="38"/>
      <c r="J77" s="60"/>
      <c r="K77" s="213">
        <v>-376583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">
      <c r="A78" s="9">
        <v>37</v>
      </c>
      <c r="B78" s="3"/>
      <c r="C78" s="10" t="s">
        <v>211</v>
      </c>
      <c r="D78" s="60">
        <f t="shared" si="14"/>
        <v>0</v>
      </c>
      <c r="E78" s="38">
        <f t="shared" si="14"/>
        <v>820000</v>
      </c>
      <c r="F78" s="60">
        <f>'TIE-OUT'!Z78+RECLASS!X78</f>
        <v>0</v>
      </c>
      <c r="G78" s="60">
        <f>'TIE-OUT'!AA78+RECLASS!Y78</f>
        <v>820000</v>
      </c>
      <c r="H78" s="60"/>
      <c r="I78" s="38"/>
      <c r="J78" s="60"/>
      <c r="K78" s="213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">
      <c r="A79" s="9">
        <v>38</v>
      </c>
      <c r="B79" s="3"/>
      <c r="C79" s="10" t="s">
        <v>212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60"/>
      <c r="I79" s="38"/>
      <c r="J79" s="60"/>
      <c r="K79" s="213">
        <v>-89995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">
      <c r="A80" s="9">
        <v>39</v>
      </c>
      <c r="B80" s="3"/>
      <c r="C80" s="10" t="s">
        <v>213</v>
      </c>
      <c r="D80" s="60">
        <f t="shared" si="14"/>
        <v>0</v>
      </c>
      <c r="E80" s="38">
        <f t="shared" si="14"/>
        <v>-98257</v>
      </c>
      <c r="F80" s="60">
        <f>'TIE-OUT'!Z80+RECLASS!X80</f>
        <v>0</v>
      </c>
      <c r="G80" s="60">
        <f>'TIE-OUT'!AA80+RECLASS!Y80</f>
        <v>0</v>
      </c>
      <c r="H80" s="60"/>
      <c r="I80" s="38"/>
      <c r="J80" s="60"/>
      <c r="K80" s="213">
        <v>-89431</v>
      </c>
      <c r="L80" s="60"/>
      <c r="M80" s="38">
        <v>-8826</v>
      </c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60"/>
      <c r="I81" s="139">
        <v>0</v>
      </c>
      <c r="J81" s="60"/>
      <c r="K81" s="13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4080570.3</v>
      </c>
      <c r="F82" s="91">
        <f>F16+F24+F29+F36+F43+F45+F47+F49</f>
        <v>0</v>
      </c>
      <c r="G82" s="92">
        <f>SUM(G72:G81)+G16+G24+G29+G36+G43+G45+G47+G49+G51+G56+G61+G66</f>
        <v>1734725.2999999998</v>
      </c>
      <c r="H82" s="91">
        <f>H16+H24+H29+H36+H43+H45+H47+H49</f>
        <v>0</v>
      </c>
      <c r="I82" s="140">
        <f>SUM(I72:I81)+I16+I24+I29+I36+I43+I45+I47+I49+I51+I56+I61+I66</f>
        <v>0</v>
      </c>
      <c r="J82" s="91">
        <f>J16+J24+J29+J36+J43+J45+J47+J49</f>
        <v>0</v>
      </c>
      <c r="K82" s="140">
        <f>SUM(K72:K81)+K16+K24+K29+K36+K43+K45+K47+K49+K51+K56+K61+K66</f>
        <v>-459457</v>
      </c>
      <c r="L82" s="91">
        <f>L16+L24+L29+L36+L43+L45+L47+L49</f>
        <v>0</v>
      </c>
      <c r="M82" s="92">
        <f>SUM(M72:M81)+M16+M24+M29+M36+M43+M45+M47+M49+M51+M56+M61+M66</f>
        <v>2805302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5" thickTop="1" x14ac:dyDescent="0.2">
      <c r="A83" s="4"/>
      <c r="B83" s="3"/>
    </row>
    <row r="84" spans="1:41" x14ac:dyDescent="0.2">
      <c r="A84" s="4"/>
      <c r="B84" s="3"/>
      <c r="E84" s="31">
        <f>+E72+E12-G12</f>
        <v>-4096579</v>
      </c>
    </row>
    <row r="85" spans="1:41" x14ac:dyDescent="0.2">
      <c r="A85" s="4"/>
      <c r="B85" s="3"/>
    </row>
    <row r="86" spans="1:41" x14ac:dyDescent="0.2">
      <c r="A86" s="4"/>
      <c r="B86" s="3"/>
    </row>
    <row r="87" spans="1:41" x14ac:dyDescent="0.2">
      <c r="A87" s="4"/>
      <c r="B87" s="3"/>
    </row>
    <row r="88" spans="1:41" x14ac:dyDescent="0.2">
      <c r="A88" s="4"/>
      <c r="B88" s="3"/>
    </row>
    <row r="89" spans="1:41" x14ac:dyDescent="0.2">
      <c r="A89" s="4"/>
      <c r="B89" s="3"/>
    </row>
    <row r="90" spans="1:41" x14ac:dyDescent="0.2">
      <c r="A90" s="4"/>
      <c r="B90" s="3"/>
    </row>
    <row r="91" spans="1:41" x14ac:dyDescent="0.2">
      <c r="A91" s="4"/>
      <c r="B91" s="3"/>
    </row>
    <row r="92" spans="1:41" x14ac:dyDescent="0.2">
      <c r="A92" s="4"/>
      <c r="B92" s="3"/>
    </row>
    <row r="93" spans="1:41" x14ac:dyDescent="0.2">
      <c r="A93" s="4"/>
      <c r="B93" s="3"/>
    </row>
    <row r="94" spans="1:41" x14ac:dyDescent="0.2">
      <c r="A94" s="4"/>
      <c r="B94" s="3"/>
    </row>
    <row r="95" spans="1:41" x14ac:dyDescent="0.2">
      <c r="A95" s="4"/>
      <c r="B95" s="3"/>
    </row>
    <row r="96" spans="1:41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</sheetData>
  <pageMargins left="0.5" right="0.5" top="0.5" bottom="0.5" header="0.25" footer="0.25"/>
  <pageSetup paperSize="5" scale="42" orientation="landscape" horizontalDpi="300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K75" activePane="bottomRight" state="frozen"/>
      <selection activeCell="N31" sqref="N31"/>
      <selection pane="topRight" activeCell="N31" sqref="N31"/>
      <selection pane="bottomLeft" activeCell="N31" sqref="N31"/>
      <selection pane="bottomRight" activeCell="O87" sqref="O87"/>
    </sheetView>
  </sheetViews>
  <sheetFormatPr defaultRowHeight="12.75" x14ac:dyDescent="0.2"/>
  <cols>
    <col min="1" max="1" width="8" style="2" customWidth="1"/>
    <col min="2" max="2" width="2.5703125" customWidth="1"/>
    <col min="3" max="3" width="27.7109375" customWidth="1"/>
    <col min="4" max="5" width="15.42578125" style="31" customWidth="1"/>
    <col min="6" max="10" width="15.42578125" customWidth="1"/>
    <col min="11" max="11" width="15.42578125" style="127" customWidth="1"/>
    <col min="12" max="15" width="15.42578125" customWidth="1"/>
    <col min="16" max="41" width="15.42578125" hidden="1" customWidth="1"/>
  </cols>
  <sheetData>
    <row r="1" spans="1:41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">
      <c r="A2" s="5" t="s">
        <v>97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">
      <c r="A3" s="5" t="s">
        <v>159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">
      <c r="A7" s="4"/>
      <c r="B7" s="19"/>
      <c r="C7" s="19"/>
    </row>
    <row r="8" spans="1:41" x14ac:dyDescent="0.2">
      <c r="A8" s="8"/>
      <c r="B8" s="16"/>
      <c r="C8" s="17"/>
      <c r="D8" s="83" t="s">
        <v>82</v>
      </c>
      <c r="E8" s="25"/>
      <c r="F8" s="26" t="s">
        <v>99</v>
      </c>
      <c r="G8" s="27"/>
      <c r="H8" s="26" t="s">
        <v>198</v>
      </c>
      <c r="I8" s="27"/>
      <c r="J8" s="26" t="s">
        <v>219</v>
      </c>
      <c r="K8" s="128"/>
      <c r="L8" s="26" t="s">
        <v>220</v>
      </c>
      <c r="M8" s="27"/>
      <c r="N8" s="26" t="s">
        <v>221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">
      <c r="A11" s="9">
        <v>1</v>
      </c>
      <c r="B11" s="7"/>
      <c r="C11" s="18" t="s">
        <v>25</v>
      </c>
      <c r="D11" s="60">
        <f>SUM(F11,H11,J11,L11,N11,P11,R11,T11,V11,X11,Z11,AB11,AD11)</f>
        <v>38378987</v>
      </c>
      <c r="E11" s="38">
        <f>SUM(G11,I11,K11,M11,O11,Q11,S11,U11,W11,Y11,AA11,AC11,AE11)</f>
        <v>88075060.319999993</v>
      </c>
      <c r="F11" s="60">
        <f>'TIE-OUT'!AB11+RECLASS!Z11</f>
        <v>0</v>
      </c>
      <c r="G11" s="38">
        <f>'TIE-OUT'!AC11+RECLASS!AA11</f>
        <v>0</v>
      </c>
      <c r="H11" s="118">
        <f>+Actuals!E284</f>
        <v>37751028</v>
      </c>
      <c r="I11" s="119">
        <f>+Actuals!F284</f>
        <v>86842907.959999993</v>
      </c>
      <c r="J11" s="118">
        <f>+Actuals!G284</f>
        <v>0</v>
      </c>
      <c r="K11" s="119">
        <f>+Actuals!H284</f>
        <v>-243551.48</v>
      </c>
      <c r="L11" s="118">
        <f>+Actuals!I284</f>
        <v>0</v>
      </c>
      <c r="M11" s="119">
        <f>+Actuals!J284</f>
        <v>0</v>
      </c>
      <c r="N11" s="118">
        <f>+Actuals!K284</f>
        <v>627959</v>
      </c>
      <c r="O11" s="119">
        <f>+Actuals!L284</f>
        <v>1475703.84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5720848.6699999999</v>
      </c>
      <c r="F12" s="60">
        <f>'TIE-OUT'!AB12+RECLASS!Z12</f>
        <v>0</v>
      </c>
      <c r="G12" s="38">
        <f>'TIE-OUT'!AC12+RECLASS!AA12</f>
        <v>5720848.6699999999</v>
      </c>
      <c r="H12" s="118">
        <f>+Actuals!E285</f>
        <v>0</v>
      </c>
      <c r="I12" s="119">
        <f>+Actuals!F285</f>
        <v>0</v>
      </c>
      <c r="J12" s="118">
        <f>+Actuals!G285</f>
        <v>0</v>
      </c>
      <c r="K12" s="119">
        <f>+Actuals!H285</f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">
      <c r="A13" s="9">
        <v>3</v>
      </c>
      <c r="B13" s="7"/>
      <c r="C13" s="18" t="s">
        <v>27</v>
      </c>
      <c r="D13" s="60">
        <f t="shared" si="0"/>
        <v>1700653</v>
      </c>
      <c r="E13" s="38">
        <f t="shared" si="0"/>
        <v>4279414</v>
      </c>
      <c r="F13" s="60">
        <f>'TIE-OUT'!AB13+RECLASS!Z13</f>
        <v>0</v>
      </c>
      <c r="G13" s="38">
        <f>'TIE-OUT'!AC13+RECLASS!AA13</f>
        <v>0</v>
      </c>
      <c r="H13" s="118">
        <f>+Actuals!E286</f>
        <v>3709833</v>
      </c>
      <c r="I13" s="119">
        <f>+Actuals!F286</f>
        <v>9157794</v>
      </c>
      <c r="J13" s="118">
        <f>+Actuals!G286</f>
        <v>-2009725</v>
      </c>
      <c r="K13" s="119">
        <f>+Actuals!H286</f>
        <v>-4881944</v>
      </c>
      <c r="L13" s="118">
        <f>+Actuals!I286</f>
        <v>0</v>
      </c>
      <c r="M13" s="119">
        <f>+Actuals!J286</f>
        <v>0</v>
      </c>
      <c r="N13" s="118">
        <f>+Actuals!K286</f>
        <v>545</v>
      </c>
      <c r="O13" s="119">
        <f>+Actuals!L286</f>
        <v>3564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f>+Actuals!E287</f>
        <v>0</v>
      </c>
      <c r="I14" s="119">
        <f>+Actuals!F287</f>
        <v>0</v>
      </c>
      <c r="J14" s="118">
        <f>+Actuals!G287</f>
        <v>0</v>
      </c>
      <c r="K14" s="119">
        <f>+Actuals!H287</f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f>+Actuals!E288</f>
        <v>0</v>
      </c>
      <c r="I15" s="119">
        <f>+Actuals!F288</f>
        <v>0</v>
      </c>
      <c r="J15" s="118">
        <f>+Actuals!G288</f>
        <v>0</v>
      </c>
      <c r="K15" s="119">
        <f>+Actuals!H288</f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">
      <c r="A16" s="9"/>
      <c r="B16" s="7" t="s">
        <v>30</v>
      </c>
      <c r="C16" s="6"/>
      <c r="D16" s="61">
        <f t="shared" ref="D16:AO16" si="1">SUM(D11:D15)</f>
        <v>40079640</v>
      </c>
      <c r="E16" s="39">
        <f t="shared" si="1"/>
        <v>98075322.989999995</v>
      </c>
      <c r="F16" s="61">
        <f t="shared" si="1"/>
        <v>0</v>
      </c>
      <c r="G16" s="39">
        <f t="shared" si="1"/>
        <v>5720848.6699999999</v>
      </c>
      <c r="H16" s="61">
        <f t="shared" si="1"/>
        <v>41460861</v>
      </c>
      <c r="I16" s="39">
        <f t="shared" si="1"/>
        <v>96000701.959999993</v>
      </c>
      <c r="J16" s="61">
        <f t="shared" si="1"/>
        <v>-2009725</v>
      </c>
      <c r="K16" s="39">
        <f t="shared" si="1"/>
        <v>-5125495.4800000004</v>
      </c>
      <c r="L16" s="61">
        <f t="shared" si="1"/>
        <v>0</v>
      </c>
      <c r="M16" s="39">
        <f t="shared" si="1"/>
        <v>0</v>
      </c>
      <c r="N16" s="61">
        <f>SUM(N11:N15)</f>
        <v>628504</v>
      </c>
      <c r="O16" s="39">
        <f>SUM(O11:O15)</f>
        <v>1479267.84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-41717681</v>
      </c>
      <c r="E19" s="38">
        <f t="shared" si="2"/>
        <v>-97143601.280000016</v>
      </c>
      <c r="F19" s="64">
        <f>'TIE-OUT'!AB19+RECLASS!Z19</f>
        <v>0</v>
      </c>
      <c r="G19" s="68">
        <f>'TIE-OUT'!AC19+RECLASS!AA19</f>
        <v>0</v>
      </c>
      <c r="H19" s="118">
        <f>+Actuals!E289</f>
        <v>-41086985</v>
      </c>
      <c r="I19" s="119">
        <f>+Actuals!F289</f>
        <v>-95951544.220000014</v>
      </c>
      <c r="J19" s="118">
        <f>+Actuals!G289</f>
        <v>-2729</v>
      </c>
      <c r="K19" s="119">
        <f>+Actuals!H289</f>
        <v>283665.39</v>
      </c>
      <c r="L19" s="118">
        <f>+Actuals!I289</f>
        <v>609669</v>
      </c>
      <c r="M19" s="119">
        <f>+Actuals!J289</f>
        <v>1426625</v>
      </c>
      <c r="N19" s="118">
        <f>+Actuals!K289</f>
        <v>-1237636</v>
      </c>
      <c r="O19" s="119">
        <f>+Actuals!L289</f>
        <v>-2902347.45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-4881100.3499999996</v>
      </c>
      <c r="F20" s="60">
        <f>'TIE-OUT'!AB20+RECLASS!Z20</f>
        <v>0</v>
      </c>
      <c r="G20" s="38">
        <f>'TIE-OUT'!AC20+RECLASS!AA20</f>
        <v>-4881100.3499999996</v>
      </c>
      <c r="H20" s="118">
        <f>+Actuals!E290</f>
        <v>0</v>
      </c>
      <c r="I20" s="119">
        <f>+Actuals!F290</f>
        <v>0</v>
      </c>
      <c r="J20" s="118">
        <f>+Actuals!G290</f>
        <v>0</v>
      </c>
      <c r="K20" s="215">
        <v>0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">
      <c r="A21" s="9">
        <v>8</v>
      </c>
      <c r="B21" s="7"/>
      <c r="C21" s="18" t="s">
        <v>27</v>
      </c>
      <c r="D21" s="60">
        <f t="shared" si="2"/>
        <v>-144182</v>
      </c>
      <c r="E21" s="38">
        <f t="shared" si="2"/>
        <v>-342421</v>
      </c>
      <c r="F21" s="60">
        <f>'TIE-OUT'!AB21+RECLASS!Z21</f>
        <v>0</v>
      </c>
      <c r="G21" s="38">
        <f>'TIE-OUT'!AC21+RECLASS!AA21</f>
        <v>0</v>
      </c>
      <c r="H21" s="118">
        <f>+Actuals!E291</f>
        <v>-139182</v>
      </c>
      <c r="I21" s="119">
        <f>+Actuals!F291</f>
        <v>-331021</v>
      </c>
      <c r="J21" s="118">
        <f>+Actuals!G291</f>
        <v>-5000</v>
      </c>
      <c r="K21" s="119">
        <f>+Actuals!H291</f>
        <v>-11400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f>+Actuals!E292</f>
        <v>0</v>
      </c>
      <c r="I22" s="119">
        <f>+Actuals!F292</f>
        <v>0</v>
      </c>
      <c r="J22" s="118">
        <f>+Actuals!G292</f>
        <v>0</v>
      </c>
      <c r="K22" s="119">
        <f>+Actuals!H292</f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">
      <c r="A23" s="9">
        <v>10</v>
      </c>
      <c r="B23" s="7"/>
      <c r="C23" s="18" t="s">
        <v>32</v>
      </c>
      <c r="D23" s="60">
        <f t="shared" si="2"/>
        <v>65362</v>
      </c>
      <c r="E23" s="38">
        <f t="shared" si="2"/>
        <v>176477.4</v>
      </c>
      <c r="F23" s="81">
        <f>'TIE-OUT'!AB23+RECLASS!Z23</f>
        <v>0</v>
      </c>
      <c r="G23" s="82">
        <f>'TIE-OUT'!AC23+RECLASS!AA23</f>
        <v>0</v>
      </c>
      <c r="H23" s="118">
        <f>+Actuals!E293</f>
        <v>4620</v>
      </c>
      <c r="I23" s="119">
        <f>+Actuals!F293</f>
        <v>12474</v>
      </c>
      <c r="J23" s="118">
        <f>+Actuals!G293</f>
        <v>60742</v>
      </c>
      <c r="K23" s="119">
        <f>+Actuals!H293</f>
        <v>164003.4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">
      <c r="A24" s="9"/>
      <c r="B24" s="7" t="s">
        <v>33</v>
      </c>
      <c r="C24" s="6"/>
      <c r="D24" s="61">
        <f t="shared" ref="D24:AO24" si="3">SUM(D19:D23)</f>
        <v>-41796501</v>
      </c>
      <c r="E24" s="39">
        <f t="shared" si="3"/>
        <v>-102190645.23</v>
      </c>
      <c r="F24" s="61">
        <f t="shared" si="3"/>
        <v>0</v>
      </c>
      <c r="G24" s="39">
        <f t="shared" si="3"/>
        <v>-4881100.3499999996</v>
      </c>
      <c r="H24" s="61">
        <f t="shared" si="3"/>
        <v>-41221547</v>
      </c>
      <c r="I24" s="39">
        <f t="shared" si="3"/>
        <v>-96270091.220000014</v>
      </c>
      <c r="J24" s="61">
        <f t="shared" si="3"/>
        <v>53013</v>
      </c>
      <c r="K24" s="39">
        <f t="shared" si="3"/>
        <v>436268.79000000004</v>
      </c>
      <c r="L24" s="61">
        <f t="shared" si="3"/>
        <v>609669</v>
      </c>
      <c r="M24" s="39">
        <f t="shared" si="3"/>
        <v>1426625</v>
      </c>
      <c r="N24" s="61">
        <f>SUM(N19:N23)</f>
        <v>-1237636</v>
      </c>
      <c r="O24" s="39">
        <f>SUM(O19:O23)</f>
        <v>-2902347.45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f>+Actuals!E294</f>
        <v>0</v>
      </c>
      <c r="I27" s="119">
        <f>+Actuals!F294</f>
        <v>0</v>
      </c>
      <c r="J27" s="118">
        <f>+Actuals!G294</f>
        <v>0</v>
      </c>
      <c r="K27" s="119">
        <f>+Actuals!H294</f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f>+Actuals!E295</f>
        <v>0</v>
      </c>
      <c r="I28" s="119">
        <f>+Actuals!F295</f>
        <v>0</v>
      </c>
      <c r="J28" s="118">
        <f>+Actuals!G295</f>
        <v>0</v>
      </c>
      <c r="K28" s="119">
        <f>+Actuals!H295</f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>SUM(N27:N28)</f>
        <v>0</v>
      </c>
      <c r="O29" s="39">
        <f>SUM(O27:O28)</f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857327</v>
      </c>
      <c r="E32" s="38">
        <f t="shared" si="5"/>
        <v>2314782.9</v>
      </c>
      <c r="F32" s="64">
        <f>'TIE-OUT'!AB32+RECLASS!Z32</f>
        <v>0</v>
      </c>
      <c r="G32" s="68">
        <f>'TIE-OUT'!AC32+RECLASS!AA32</f>
        <v>0</v>
      </c>
      <c r="H32" s="118">
        <f>+Actuals!E296</f>
        <v>-358303</v>
      </c>
      <c r="I32" s="119">
        <f>+Actuals!F296</f>
        <v>-967418.1</v>
      </c>
      <c r="J32" s="118">
        <f>+Actuals!G296</f>
        <v>1218756</v>
      </c>
      <c r="K32" s="119">
        <f>+Actuals!H296</f>
        <v>3290641.2</v>
      </c>
      <c r="L32" s="118">
        <f>+Actuals!I296</f>
        <v>0</v>
      </c>
      <c r="M32" s="119">
        <f>+Actuals!J296</f>
        <v>0</v>
      </c>
      <c r="N32" s="118">
        <f>+Actuals!K296</f>
        <v>-3126</v>
      </c>
      <c r="O32" s="119">
        <f>+Actuals!L296</f>
        <v>-8440.2000000000007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f>+Actuals!E297</f>
        <v>0</v>
      </c>
      <c r="I33" s="119">
        <f>+Actuals!F297</f>
        <v>0</v>
      </c>
      <c r="J33" s="118">
        <f>+Actuals!G297</f>
        <v>0</v>
      </c>
      <c r="K33" s="119">
        <f>+Actuals!H297</f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f>+Actuals!E298</f>
        <v>0</v>
      </c>
      <c r="I34" s="119">
        <f>+Actuals!F298</f>
        <v>0</v>
      </c>
      <c r="J34" s="118">
        <f>+Actuals!G298</f>
        <v>0</v>
      </c>
      <c r="K34" s="119">
        <f>+Actuals!H298</f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f>+Actuals!E299</f>
        <v>0</v>
      </c>
      <c r="I35" s="119">
        <f>+Actuals!F299</f>
        <v>0</v>
      </c>
      <c r="J35" s="118">
        <f>+Actuals!G299</f>
        <v>0</v>
      </c>
      <c r="K35" s="119">
        <f>+Actuals!H299</f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">
      <c r="A36" s="9"/>
      <c r="B36" s="7" t="s">
        <v>43</v>
      </c>
      <c r="C36" s="6"/>
      <c r="D36" s="61">
        <f t="shared" ref="D36:AO36" si="6">SUM(D32:D35)</f>
        <v>857327</v>
      </c>
      <c r="E36" s="39">
        <f t="shared" si="6"/>
        <v>2314782.9</v>
      </c>
      <c r="F36" s="61">
        <f t="shared" si="6"/>
        <v>0</v>
      </c>
      <c r="G36" s="39">
        <f t="shared" si="6"/>
        <v>0</v>
      </c>
      <c r="H36" s="61">
        <f t="shared" si="6"/>
        <v>-358303</v>
      </c>
      <c r="I36" s="39">
        <f t="shared" si="6"/>
        <v>-967418.1</v>
      </c>
      <c r="J36" s="61">
        <f t="shared" si="6"/>
        <v>1218756</v>
      </c>
      <c r="K36" s="39">
        <f t="shared" si="6"/>
        <v>3290641.2</v>
      </c>
      <c r="L36" s="61">
        <f t="shared" si="6"/>
        <v>0</v>
      </c>
      <c r="M36" s="39">
        <f t="shared" si="6"/>
        <v>0</v>
      </c>
      <c r="N36" s="61">
        <f>SUM(N32:N35)</f>
        <v>-3126</v>
      </c>
      <c r="O36" s="39">
        <f>SUM(O32:O35)</f>
        <v>-8440.2000000000007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f>+Actuals!E300</f>
        <v>0</v>
      </c>
      <c r="I39" s="119">
        <f>+Actuals!F300</f>
        <v>0</v>
      </c>
      <c r="J39" s="118">
        <f>+Actuals!G300</f>
        <v>0</v>
      </c>
      <c r="K39" s="119">
        <f>+Actuals!H300</f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f>+Actuals!E301</f>
        <v>0</v>
      </c>
      <c r="I40" s="119">
        <f>+Actuals!F301</f>
        <v>0</v>
      </c>
      <c r="J40" s="118">
        <f>+Actuals!G301</f>
        <v>0</v>
      </c>
      <c r="K40" s="119">
        <f>+Actuals!H301</f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f>+Actuals!E302</f>
        <v>0</v>
      </c>
      <c r="I41" s="119">
        <f>+Actuals!F302</f>
        <v>0</v>
      </c>
      <c r="J41" s="118">
        <f>+Actuals!G302</f>
        <v>0</v>
      </c>
      <c r="K41" s="119">
        <f>+Actuals!H302</f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>SUM(N40:N41)</f>
        <v>0</v>
      </c>
      <c r="O42" s="39">
        <f>SUM(O40:O41)</f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>N42+N39</f>
        <v>0</v>
      </c>
      <c r="O43" s="39">
        <f>O42+O39</f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f>+Actuals!E303</f>
        <v>0</v>
      </c>
      <c r="I45" s="119">
        <f>+Actuals!F303</f>
        <v>0</v>
      </c>
      <c r="J45" s="118">
        <f>+Actuals!G303</f>
        <v>0</v>
      </c>
      <c r="K45" s="119">
        <f>+Actuals!H303</f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f>+Actuals!E304</f>
        <v>0</v>
      </c>
      <c r="I47" s="119">
        <f>+Actuals!F304</f>
        <v>0</v>
      </c>
      <c r="J47" s="118">
        <f>+Actuals!G304</f>
        <v>0</v>
      </c>
      <c r="K47" s="119">
        <f>+Actuals!H304</f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">
      <c r="A49" s="9">
        <v>22</v>
      </c>
      <c r="B49" s="11" t="s">
        <v>52</v>
      </c>
      <c r="C49" s="6"/>
      <c r="D49" s="60">
        <f>SUM(F49,H49,J49,L49,N49,P49,R49,T49,V49,X49,Z49,AB49,AD49)</f>
        <v>859534</v>
      </c>
      <c r="E49" s="38">
        <f>SUM(G49,I49,K49,M49,O49,Q49,S49,U49,W49,Y49,AA49,AC49,AE49)</f>
        <v>2320741.7999999998</v>
      </c>
      <c r="F49" s="60">
        <f>'TIE-OUT'!AB49+RECLASS!Z49</f>
        <v>0</v>
      </c>
      <c r="G49" s="38">
        <f>'TIE-OUT'!AC49+RECLASS!AA49</f>
        <v>0</v>
      </c>
      <c r="H49" s="118">
        <f>+Actuals!E305</f>
        <v>118989</v>
      </c>
      <c r="I49" s="119">
        <f>+Actuals!F305</f>
        <v>321270.3</v>
      </c>
      <c r="J49" s="118">
        <f>+Actuals!G305</f>
        <v>737956</v>
      </c>
      <c r="K49" s="119">
        <f>+Actuals!H305</f>
        <v>1992481.2</v>
      </c>
      <c r="L49" s="118">
        <f>+Actuals!I305</f>
        <v>-609669</v>
      </c>
      <c r="M49" s="119">
        <f>+Actuals!J305</f>
        <v>-1646106.3</v>
      </c>
      <c r="N49" s="118">
        <f>+Actuals!K305</f>
        <v>612258</v>
      </c>
      <c r="O49" s="119">
        <f>+Actuals!L305</f>
        <v>1653096.6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">
      <c r="A51" s="9">
        <v>23</v>
      </c>
      <c r="B51" s="11" t="s">
        <v>53</v>
      </c>
      <c r="C51" s="6"/>
      <c r="D51" s="60">
        <f>SUM(F51,H51,J51,L51,N51,P51,R51,T51,V51,X51,Z51,AB51,AD51)</f>
        <v>-65362</v>
      </c>
      <c r="E51" s="38">
        <f>SUM(G51,I51,K51,M51,O51,Q51,S51,U51,W51,Y51,AA51,AC51,AE51)</f>
        <v>-176477.4</v>
      </c>
      <c r="F51" s="60">
        <f>'TIE-OUT'!AB51+RECLASS!Z51</f>
        <v>0</v>
      </c>
      <c r="G51" s="38">
        <f>'TIE-OUT'!AC51+RECLASS!AA51</f>
        <v>0</v>
      </c>
      <c r="H51" s="118">
        <f>+Actuals!E306</f>
        <v>-4620</v>
      </c>
      <c r="I51" s="119">
        <f>+Actuals!F306</f>
        <v>-12474</v>
      </c>
      <c r="J51" s="118">
        <f>+Actuals!G306</f>
        <v>-60742</v>
      </c>
      <c r="K51" s="119">
        <f>+Actuals!H306</f>
        <v>-164003.4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-138204</v>
      </c>
      <c r="F54" s="64">
        <f>'TIE-OUT'!AB54+RECLASS!Z54</f>
        <v>0</v>
      </c>
      <c r="G54" s="68">
        <f>'TIE-OUT'!AC54+RECLASS!AA54</f>
        <v>0</v>
      </c>
      <c r="H54" s="118">
        <f>+Actuals!E307</f>
        <v>0</v>
      </c>
      <c r="I54" s="119">
        <f>+Actuals!F307</f>
        <v>0</v>
      </c>
      <c r="J54" s="118">
        <f>+Actuals!G307</f>
        <v>0</v>
      </c>
      <c r="K54" s="119">
        <f>+Actuals!H307</f>
        <v>-138293.92000000001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89.92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'TIE-OUT'!AB55+RECLASS!Z55</f>
        <v>0</v>
      </c>
      <c r="G55" s="82">
        <f>'TIE-OUT'!AC55+RECLASS!AA55</f>
        <v>0</v>
      </c>
      <c r="H55" s="118">
        <f>+Actuals!E308</f>
        <v>0</v>
      </c>
      <c r="I55" s="119">
        <f>+Actuals!F308</f>
        <v>0</v>
      </c>
      <c r="J55" s="118">
        <f>+Actuals!G308</f>
        <v>0</v>
      </c>
      <c r="K55" s="119">
        <f>+Actuals!H308</f>
        <v>0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-138204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-138293.92000000001</v>
      </c>
      <c r="L56" s="61">
        <f t="shared" si="10"/>
        <v>0</v>
      </c>
      <c r="M56" s="39">
        <f t="shared" si="10"/>
        <v>0</v>
      </c>
      <c r="N56" s="61">
        <f>SUM(N54:N55)</f>
        <v>0</v>
      </c>
      <c r="O56" s="39">
        <f>SUM(O54:O55)</f>
        <v>89.92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f>+Actuals!E309</f>
        <v>0</v>
      </c>
      <c r="I59" s="119">
        <f>+Actuals!F309</f>
        <v>0</v>
      </c>
      <c r="J59" s="118">
        <f>+Actuals!G309</f>
        <v>0</v>
      </c>
      <c r="K59" s="119">
        <f>+Actuals!H309</f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f>+Actuals!E310</f>
        <v>0</v>
      </c>
      <c r="I60" s="119">
        <f>+Actuals!F310</f>
        <v>0</v>
      </c>
      <c r="J60" s="118">
        <f>+Actuals!G310</f>
        <v>0</v>
      </c>
      <c r="K60" s="119">
        <f>+Actuals!H310</f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>SUM(N59:N60)</f>
        <v>0</v>
      </c>
      <c r="O61" s="39">
        <f>SUM(O59:O60)</f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f>+Actuals!E311</f>
        <v>0</v>
      </c>
      <c r="I64" s="119">
        <f>+Actuals!F311</f>
        <v>0</v>
      </c>
      <c r="J64" s="118">
        <f>+Actuals!G311</f>
        <v>0</v>
      </c>
      <c r="K64" s="119">
        <f>+Actuals!H311</f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f>+Actuals!E312</f>
        <v>0</v>
      </c>
      <c r="I65" s="119">
        <f>+Actuals!F312</f>
        <v>0</v>
      </c>
      <c r="J65" s="118">
        <f>+Actuals!G312</f>
        <v>0</v>
      </c>
      <c r="K65" s="119">
        <f>+Actuals!H312</f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>SUM(N64:N65)</f>
        <v>0</v>
      </c>
      <c r="O66" s="39">
        <f>SUM(O64:O65)</f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1508208.52</v>
      </c>
      <c r="F70" s="64">
        <f>'TIE-OUT'!AB70+RECLASS!Z70</f>
        <v>0</v>
      </c>
      <c r="G70" s="68">
        <f>'TIE-OUT'!AC70+RECLASS!AA70</f>
        <v>1508208.52</v>
      </c>
      <c r="H70" s="118">
        <f>+Actuals!E313</f>
        <v>0</v>
      </c>
      <c r="I70" s="119">
        <f>+Actuals!F313</f>
        <v>0</v>
      </c>
      <c r="J70" s="118">
        <f>+Actuals!G313</f>
        <v>0</v>
      </c>
      <c r="K70" s="119">
        <f>+Actuals!H313</f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-708911.52</v>
      </c>
      <c r="F71" s="81">
        <f>'TIE-OUT'!AB71+RECLASS!Z71</f>
        <v>0</v>
      </c>
      <c r="G71" s="82">
        <f>'TIE-OUT'!AC71+RECLASS!AA71</f>
        <v>-708911.52</v>
      </c>
      <c r="H71" s="118">
        <f>+Actuals!E314</f>
        <v>0</v>
      </c>
      <c r="I71" s="119">
        <f>+Actuals!F314</f>
        <v>0</v>
      </c>
      <c r="J71" s="118">
        <f>+Actuals!G314</f>
        <v>0</v>
      </c>
      <c r="K71" s="119">
        <f>+Actuals!H314</f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799297</v>
      </c>
      <c r="F72" s="61">
        <f t="shared" si="13"/>
        <v>0</v>
      </c>
      <c r="G72" s="183">
        <f t="shared" si="13"/>
        <v>799297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>SUM(N70:N71)</f>
        <v>0</v>
      </c>
      <c r="O72" s="39">
        <f>SUM(O70:O71)</f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f>+Actuals!E315</f>
        <v>0</v>
      </c>
      <c r="I73" s="119">
        <f>+Actuals!F315</f>
        <v>0</v>
      </c>
      <c r="J73" s="118">
        <f>+Actuals!G315</f>
        <v>0</v>
      </c>
      <c r="K73" s="119">
        <f>+Actuals!H315</f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-318309.51</v>
      </c>
      <c r="F74" s="60">
        <f>'TIE-OUT'!AB74+RECLASS!Z74</f>
        <v>0</v>
      </c>
      <c r="G74" s="60">
        <f>'TIE-OUT'!AC74+RECLASS!AA74</f>
        <v>-318309.51</v>
      </c>
      <c r="H74" s="118">
        <f>+Actuals!E316</f>
        <v>0</v>
      </c>
      <c r="I74" s="119">
        <f>+Actuals!F316</f>
        <v>0</v>
      </c>
      <c r="J74" s="118">
        <f>+Actuals!G316</f>
        <v>0</v>
      </c>
      <c r="K74" s="119">
        <f>+Actuals!H316</f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f>+Actuals!E317</f>
        <v>0</v>
      </c>
      <c r="I75" s="119">
        <f>+Actuals!F317</f>
        <v>0</v>
      </c>
      <c r="J75" s="118">
        <f>+Actuals!G317</f>
        <v>0</v>
      </c>
      <c r="K75" s="119">
        <f>+Actuals!H317</f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-342.73</v>
      </c>
      <c r="F76" s="60">
        <f>'TIE-OUT'!AB76+RECLASS!Z76</f>
        <v>0</v>
      </c>
      <c r="G76" s="60">
        <f>'TIE-OUT'!AC76+RECLASS!AA76</f>
        <v>0</v>
      </c>
      <c r="H76" s="118">
        <f>+Actuals!E318</f>
        <v>0</v>
      </c>
      <c r="I76" s="119">
        <f>+Actuals!F318</f>
        <v>-342.73</v>
      </c>
      <c r="J76" s="118">
        <f>+Actuals!G318</f>
        <v>0</v>
      </c>
      <c r="K76" s="119">
        <f>+Actuals!H318</f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f>+Actuals!E319</f>
        <v>0</v>
      </c>
      <c r="I77" s="119">
        <f>+Actuals!F319</f>
        <v>0</v>
      </c>
      <c r="J77" s="118">
        <f>+Actuals!G319</f>
        <v>0</v>
      </c>
      <c r="K77" s="119">
        <f>+Actuals!H319</f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f>+Actuals!E320</f>
        <v>0</v>
      </c>
      <c r="I78" s="119">
        <f>+Actuals!F320</f>
        <v>0</v>
      </c>
      <c r="J78" s="118">
        <f>+Actuals!G320</f>
        <v>0</v>
      </c>
      <c r="K78" s="119">
        <f>+Actuals!H320</f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f>+Actuals!E321</f>
        <v>0</v>
      </c>
      <c r="I79" s="119">
        <f>+Actuals!F321</f>
        <v>0</v>
      </c>
      <c r="J79" s="118">
        <f>+Actuals!G321</f>
        <v>0</v>
      </c>
      <c r="K79" s="119">
        <f>+Actuals!H321</f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f>+Actuals!E322</f>
        <v>0</v>
      </c>
      <c r="I80" s="119">
        <f>+Actuals!F322</f>
        <v>0</v>
      </c>
      <c r="J80" s="118">
        <f>+Actuals!G322</f>
        <v>0</v>
      </c>
      <c r="K80" s="119">
        <f>+Actuals!H322</f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f>+Actuals!E323</f>
        <v>0</v>
      </c>
      <c r="I81" s="119">
        <f>+Actuals!F323</f>
        <v>0</v>
      </c>
      <c r="J81" s="118">
        <f>+Actuals!G323</f>
        <v>0</v>
      </c>
      <c r="K81" s="119">
        <f>+Actuals!H323</f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25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686165.81999999552</v>
      </c>
      <c r="F82" s="91">
        <f>F16+F24+F29+F36+F43+F45+F47+F49</f>
        <v>0</v>
      </c>
      <c r="G82" s="92">
        <f>SUM(G72:G81)+G16+G24+G29+G36+G43+G45+G47+G49+G51+G56+G61+G66</f>
        <v>1320735.8100000005</v>
      </c>
      <c r="H82" s="91">
        <f>H16+H24+H29+H36+H43+H45+H47+H49</f>
        <v>0</v>
      </c>
      <c r="I82" s="92">
        <f>SUM(I72:I81)+I16+I24+I29+I36+I43+I45+I47+I49+I51+I56+I61+I66</f>
        <v>-928353.79000002448</v>
      </c>
      <c r="J82" s="91">
        <f>J16+J24+J29+J36+J43+J45+J47+J49</f>
        <v>0</v>
      </c>
      <c r="K82" s="140">
        <f>SUM(K72:K81)+K16+K24+K29+K36+K43+K45+K47+K49+K51+K56+K61+K66</f>
        <v>291598.38999999966</v>
      </c>
      <c r="L82" s="91">
        <f>L16+L24+L29+L36+L43+L45+L47+L49</f>
        <v>0</v>
      </c>
      <c r="M82" s="92">
        <f>SUM(M72:M81)+M16+M24+M29+M36+M43+M45+M47+M49+M51+M56+M61+M66</f>
        <v>-219481.30000000005</v>
      </c>
      <c r="N82" s="91">
        <f>N16+N24+N29+N36+N43+N45+N47+N49</f>
        <v>0</v>
      </c>
      <c r="O82" s="92">
        <f>SUM(O72:O81)+O16+O24+O29+O36+O43+O45+O47+O49+O51+O56+O61+O66</f>
        <v>221666.71000000005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5" thickTop="1" x14ac:dyDescent="0.2">
      <c r="A83" s="4"/>
      <c r="B83" s="3"/>
    </row>
    <row r="84" spans="1:77" x14ac:dyDescent="0.2">
      <c r="A84" s="4"/>
      <c r="B84" s="3"/>
    </row>
    <row r="85" spans="1:77" x14ac:dyDescent="0.2">
      <c r="A85" s="4" t="s">
        <v>163</v>
      </c>
      <c r="B85" s="3"/>
      <c r="F85" s="31"/>
      <c r="G85" s="31"/>
      <c r="H85" s="31"/>
      <c r="I85" s="31"/>
      <c r="K85"/>
      <c r="L85" s="45"/>
    </row>
    <row r="86" spans="1:77" s="3" customFormat="1" x14ac:dyDescent="0.2">
      <c r="A86" s="144"/>
      <c r="C86" s="10" t="s">
        <v>166</v>
      </c>
      <c r="D86" s="145">
        <f t="shared" ref="D86:E88" si="15">SUM(F86,H86,J86,L86,N86,P86,R86,T86,V86,X86,Z86,AB86,AD86)</f>
        <v>0</v>
      </c>
      <c r="E86" s="145">
        <f t="shared" si="15"/>
        <v>-235704.59</v>
      </c>
      <c r="F86" s="145">
        <f>'TIE-OUT'!AB86+RECLASS!Z86</f>
        <v>0</v>
      </c>
      <c r="G86" s="184">
        <f>'TIE-OUT'!AC86+RECLASS!AA86</f>
        <v>-197030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151433.41</v>
      </c>
      <c r="N86" s="145">
        <v>0</v>
      </c>
      <c r="O86" s="145">
        <v>-190108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">
      <c r="A87" s="144"/>
      <c r="C87" s="10" t="s">
        <v>71</v>
      </c>
      <c r="D87" s="146">
        <f t="shared" si="15"/>
        <v>0</v>
      </c>
      <c r="E87" s="146">
        <f t="shared" si="15"/>
        <v>-9295</v>
      </c>
      <c r="F87" s="146">
        <f>'TIE-OUT'!AB87+RECLASS!Z87</f>
        <v>0</v>
      </c>
      <c r="G87" s="185">
        <f>'TIE-OUT'!AC87+RECLASS!AA87</f>
        <v>-9295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'TIE-OUT'!AB88+RECLASS!Z88</f>
        <v>0</v>
      </c>
      <c r="G88" s="186">
        <f>'TIE-OUT'!AC88+RECLASS!AA88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">
      <c r="A89" s="151"/>
      <c r="B89" s="152"/>
      <c r="C89" s="157" t="s">
        <v>169</v>
      </c>
      <c r="D89" s="155">
        <f>SUM(D86:D88)</f>
        <v>0</v>
      </c>
      <c r="E89" s="155">
        <f t="shared" ref="E89:M89" si="16">SUM(E86:E88)</f>
        <v>-244999.59</v>
      </c>
      <c r="F89" s="155">
        <f t="shared" si="16"/>
        <v>0</v>
      </c>
      <c r="G89" s="155">
        <f t="shared" si="16"/>
        <v>-206325</v>
      </c>
      <c r="H89" s="155">
        <f t="shared" si="16"/>
        <v>0</v>
      </c>
      <c r="I89" s="155">
        <f t="shared" si="16"/>
        <v>0</v>
      </c>
      <c r="J89" s="155">
        <f t="shared" si="16"/>
        <v>0</v>
      </c>
      <c r="K89" s="155">
        <f t="shared" si="16"/>
        <v>0</v>
      </c>
      <c r="L89" s="155">
        <f t="shared" si="16"/>
        <v>0</v>
      </c>
      <c r="M89" s="155">
        <f t="shared" si="16"/>
        <v>151433.41</v>
      </c>
      <c r="N89" s="155">
        <f t="shared" ref="N89:AE89" si="17">SUM(N86:N88)</f>
        <v>0</v>
      </c>
      <c r="O89" s="155">
        <f t="shared" si="17"/>
        <v>-190108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">
      <c r="A91" s="151"/>
      <c r="B91" s="152"/>
      <c r="C91" s="157" t="s">
        <v>172</v>
      </c>
      <c r="D91" s="155">
        <f>+D82+D89</f>
        <v>0</v>
      </c>
      <c r="E91" s="155">
        <f t="shared" ref="E91:M91" si="19">+E82+E89</f>
        <v>441166.22999999556</v>
      </c>
      <c r="F91" s="155">
        <f t="shared" si="19"/>
        <v>0</v>
      </c>
      <c r="G91" s="155">
        <f t="shared" si="19"/>
        <v>1114410.8100000005</v>
      </c>
      <c r="H91" s="155">
        <f t="shared" si="19"/>
        <v>0</v>
      </c>
      <c r="I91" s="155">
        <f t="shared" si="19"/>
        <v>-928353.79000002448</v>
      </c>
      <c r="J91" s="155">
        <f t="shared" si="19"/>
        <v>0</v>
      </c>
      <c r="K91" s="155">
        <f t="shared" si="19"/>
        <v>291598.38999999966</v>
      </c>
      <c r="L91" s="155">
        <f t="shared" si="19"/>
        <v>0</v>
      </c>
      <c r="M91" s="155">
        <f t="shared" si="19"/>
        <v>-68047.890000000043</v>
      </c>
      <c r="N91" s="155">
        <f t="shared" ref="N91:AE91" si="20">+N82+N89</f>
        <v>0</v>
      </c>
      <c r="O91" s="155">
        <f t="shared" si="20"/>
        <v>31558.71000000005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">
      <c r="A92" s="4"/>
      <c r="B92" s="3"/>
    </row>
    <row r="93" spans="1:77" x14ac:dyDescent="0.2">
      <c r="A93" s="4"/>
      <c r="B93" s="3"/>
    </row>
    <row r="94" spans="1:77" x14ac:dyDescent="0.2">
      <c r="A94" s="4"/>
      <c r="B94" s="3"/>
    </row>
    <row r="95" spans="1:77" x14ac:dyDescent="0.2">
      <c r="A95" s="4"/>
      <c r="B95" s="3"/>
    </row>
    <row r="96" spans="1:77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35" orientation="landscape" verticalDpi="300" r:id="rId1"/>
  <headerFooter alignWithMargins="0">
    <oddFooter>&amp;CPage &amp;P&amp;R&amp;D  &amp;T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32" activePane="bottomRight" state="frozen"/>
      <selection activeCell="D10" sqref="D10"/>
      <selection pane="topRight" activeCell="D10" sqref="D10"/>
      <selection pane="bottomLeft" activeCell="D10" sqref="D10"/>
      <selection pane="bottomRight" activeCell="D32" sqref="D32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8554687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'CE-FLSH'!L11</f>
        <v>86480259</v>
      </c>
      <c r="E11" s="66">
        <f>'CE-FLSH'!M11</f>
        <v>202895435</v>
      </c>
      <c r="F11" s="60">
        <f>CE_GL!D11</f>
        <v>86279798</v>
      </c>
      <c r="G11" s="38">
        <f>CE_GL!E11</f>
        <v>201066632.95000002</v>
      </c>
      <c r="H11" s="60">
        <f>F11-D11</f>
        <v>-200461</v>
      </c>
      <c r="I11" s="38">
        <f>G11-E11</f>
        <v>-1828802.0499999821</v>
      </c>
    </row>
    <row r="12" spans="1:22" x14ac:dyDescent="0.2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5424924.2400000002</v>
      </c>
      <c r="H12" s="60">
        <f>F12-D12</f>
        <v>0</v>
      </c>
      <c r="I12" s="38">
        <f>G12-E12</f>
        <v>5424924.2400000002</v>
      </c>
    </row>
    <row r="13" spans="1:22" x14ac:dyDescent="0.2">
      <c r="A13" s="9">
        <v>3</v>
      </c>
      <c r="B13" s="7"/>
      <c r="C13" s="18" t="s">
        <v>27</v>
      </c>
      <c r="D13" s="65">
        <f>'CE-FLSH'!L13</f>
        <v>41011971</v>
      </c>
      <c r="E13" s="66">
        <f>'CE-FLSH'!M13</f>
        <v>97311530</v>
      </c>
      <c r="F13" s="60">
        <f>CE_GL!D13</f>
        <v>19727875</v>
      </c>
      <c r="G13" s="38">
        <f>CE_GL!E13</f>
        <v>46844900</v>
      </c>
      <c r="H13" s="60">
        <f t="shared" ref="H13:I15" si="0">F13-D13</f>
        <v>-21284096</v>
      </c>
      <c r="I13" s="38">
        <f t="shared" si="0"/>
        <v>-50466630</v>
      </c>
    </row>
    <row r="14" spans="1:22" x14ac:dyDescent="0.2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2952125.18</v>
      </c>
      <c r="H15" s="60">
        <f t="shared" si="0"/>
        <v>0</v>
      </c>
      <c r="I15" s="38">
        <f t="shared" si="0"/>
        <v>2952125.18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127492230</v>
      </c>
      <c r="E16" s="39">
        <f t="shared" si="1"/>
        <v>300206965</v>
      </c>
      <c r="F16" s="61">
        <f t="shared" si="1"/>
        <v>106007673</v>
      </c>
      <c r="G16" s="39">
        <f t="shared" si="1"/>
        <v>256288582.37000003</v>
      </c>
      <c r="H16" s="61">
        <f t="shared" si="1"/>
        <v>-21484557</v>
      </c>
      <c r="I16" s="39">
        <f t="shared" si="1"/>
        <v>-43918382.62999998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'CE-FLSH'!L19</f>
        <v>-95357565</v>
      </c>
      <c r="E19" s="66">
        <f>'CE-FLSH'!M19</f>
        <v>-222705101</v>
      </c>
      <c r="F19" s="60">
        <f>CE_GL!D19</f>
        <v>-96232149</v>
      </c>
      <c r="G19" s="38">
        <f>CE_GL!E19</f>
        <v>-227994485.46999997</v>
      </c>
      <c r="H19" s="60">
        <f>F19-D19</f>
        <v>-874584</v>
      </c>
      <c r="I19" s="38">
        <f>G19-E19</f>
        <v>-5289384.469999969</v>
      </c>
    </row>
    <row r="20" spans="1:9" x14ac:dyDescent="0.2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-36885.989999999991</v>
      </c>
      <c r="H20" s="60">
        <f>F20-D20</f>
        <v>0</v>
      </c>
      <c r="I20" s="38">
        <f>G20-E20</f>
        <v>-36885.989999999991</v>
      </c>
    </row>
    <row r="21" spans="1:9" x14ac:dyDescent="0.2">
      <c r="A21" s="9">
        <v>8</v>
      </c>
      <c r="B21" s="7"/>
      <c r="C21" s="18" t="s">
        <v>27</v>
      </c>
      <c r="D21" s="65">
        <f>'CE-FLSH'!L21</f>
        <v>-32340740</v>
      </c>
      <c r="E21" s="66">
        <f>'CE-FLSH'!M21</f>
        <v>-77121536</v>
      </c>
      <c r="F21" s="60">
        <f>CE_GL!D21</f>
        <v>-11470390</v>
      </c>
      <c r="G21" s="38">
        <f>CE_GL!E21</f>
        <v>-27188862</v>
      </c>
      <c r="H21" s="60">
        <f t="shared" ref="H21:I23" si="2">F21-D21</f>
        <v>20870350</v>
      </c>
      <c r="I21" s="38">
        <f t="shared" si="2"/>
        <v>49932674</v>
      </c>
    </row>
    <row r="22" spans="1:9" x14ac:dyDescent="0.2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'CE-FLSH'!L23</f>
        <v>331530</v>
      </c>
      <c r="E23" s="66">
        <f>'CE-FLSH'!M23</f>
        <v>764277</v>
      </c>
      <c r="F23" s="60">
        <f>CE_GL!D23</f>
        <v>811540</v>
      </c>
      <c r="G23" s="38">
        <f>CE_GL!E23</f>
        <v>1884395.8800000001</v>
      </c>
      <c r="H23" s="60">
        <f t="shared" si="2"/>
        <v>480010</v>
      </c>
      <c r="I23" s="38">
        <f t="shared" si="2"/>
        <v>1120118.8800000001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-127366775</v>
      </c>
      <c r="E24" s="39">
        <f t="shared" si="3"/>
        <v>-299062360</v>
      </c>
      <c r="F24" s="61">
        <f t="shared" si="3"/>
        <v>-106890999</v>
      </c>
      <c r="G24" s="39">
        <f t="shared" si="3"/>
        <v>-253335837.57999998</v>
      </c>
      <c r="H24" s="61">
        <f t="shared" si="3"/>
        <v>20475776</v>
      </c>
      <c r="I24" s="39">
        <f t="shared" si="3"/>
        <v>45726522.420000032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156898</v>
      </c>
      <c r="G27" s="38">
        <f>CE_GL!E27</f>
        <v>360096.24</v>
      </c>
      <c r="H27" s="60">
        <f>F27-D27</f>
        <v>156898</v>
      </c>
      <c r="I27" s="38">
        <f>G27-E27</f>
        <v>360096.24</v>
      </c>
    </row>
    <row r="28" spans="1:9" x14ac:dyDescent="0.2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-108664</v>
      </c>
      <c r="G28" s="38">
        <f>CE_GL!E28</f>
        <v>-275999.67</v>
      </c>
      <c r="H28" s="60">
        <f>F28-D28</f>
        <v>-108664</v>
      </c>
      <c r="I28" s="38">
        <f>G28-E28</f>
        <v>-275999.67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48234</v>
      </c>
      <c r="G29" s="70">
        <f t="shared" si="4"/>
        <v>84096.57</v>
      </c>
      <c r="H29" s="69">
        <f t="shared" si="4"/>
        <v>48234</v>
      </c>
      <c r="I29" s="70">
        <f t="shared" si="4"/>
        <v>84096.57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'CE-FLSH'!L32</f>
        <v>16861</v>
      </c>
      <c r="E32" s="66">
        <f>'CE-FLSH'!M32</f>
        <v>16125</v>
      </c>
      <c r="F32" s="60">
        <f>CE_GL!D32</f>
        <v>-243898</v>
      </c>
      <c r="G32" s="38">
        <f>CE_GL!E32</f>
        <v>-566331.15599999961</v>
      </c>
      <c r="H32" s="60">
        <f>F32-D32</f>
        <v>-260759</v>
      </c>
      <c r="I32" s="38">
        <f>G32-E32</f>
        <v>-582456.15599999961</v>
      </c>
    </row>
    <row r="33" spans="1:9" x14ac:dyDescent="0.2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-83544</v>
      </c>
      <c r="G33" s="38">
        <f>CE_GL!E33</f>
        <v>-202085.82</v>
      </c>
      <c r="H33" s="60">
        <f t="shared" ref="H33:I35" si="5">F33-D33</f>
        <v>-83544</v>
      </c>
      <c r="I33" s="38">
        <f t="shared" si="5"/>
        <v>-202085.82</v>
      </c>
    </row>
    <row r="34" spans="1:9" x14ac:dyDescent="0.2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60535</v>
      </c>
      <c r="G34" s="38">
        <f>CE_GL!E34</f>
        <v>135006.99</v>
      </c>
      <c r="H34" s="60">
        <f t="shared" si="5"/>
        <v>60535</v>
      </c>
      <c r="I34" s="38">
        <f t="shared" si="5"/>
        <v>135006.99</v>
      </c>
    </row>
    <row r="35" spans="1:9" x14ac:dyDescent="0.2">
      <c r="A35" s="9">
        <v>16</v>
      </c>
      <c r="B35" s="7"/>
      <c r="C35" s="18" t="s">
        <v>42</v>
      </c>
      <c r="D35" s="65">
        <f>'CE-FLSH'!L35</f>
        <v>252323</v>
      </c>
      <c r="E35" s="66">
        <f>'CE-FLSH'!M35</f>
        <v>582089</v>
      </c>
      <c r="F35" s="60">
        <f>CE_GL!D35</f>
        <v>0</v>
      </c>
      <c r="G35" s="38">
        <f>CE_GL!E35</f>
        <v>0</v>
      </c>
      <c r="H35" s="60">
        <f t="shared" si="5"/>
        <v>-252323</v>
      </c>
      <c r="I35" s="38">
        <f t="shared" si="5"/>
        <v>-582089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269184</v>
      </c>
      <c r="E36" s="39">
        <f t="shared" si="6"/>
        <v>598214</v>
      </c>
      <c r="F36" s="61">
        <f t="shared" si="6"/>
        <v>-266907</v>
      </c>
      <c r="G36" s="39">
        <f t="shared" si="6"/>
        <v>-633409.98599999957</v>
      </c>
      <c r="H36" s="61">
        <f t="shared" si="6"/>
        <v>-536091</v>
      </c>
      <c r="I36" s="39">
        <f t="shared" si="6"/>
        <v>-1231623.9859999996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'CE-FLSH'!L39</f>
        <v>15000</v>
      </c>
      <c r="E39" s="66">
        <f>'CE-FLSH'!M39</f>
        <v>40875</v>
      </c>
      <c r="F39" s="60">
        <f>CE_GL!D39</f>
        <v>521888</v>
      </c>
      <c r="G39" s="38">
        <f>CE_GL!E39</f>
        <v>1211823.93</v>
      </c>
      <c r="H39" s="60">
        <f t="shared" ref="H39:I41" si="7">F39-D39</f>
        <v>506888</v>
      </c>
      <c r="I39" s="38">
        <f t="shared" si="7"/>
        <v>1170948.93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'CE-FLSH'!L40</f>
        <v>-396449</v>
      </c>
      <c r="E40" s="66">
        <f>'CE-FLSH'!M40</f>
        <v>-952639</v>
      </c>
      <c r="F40" s="60">
        <f>CE_GL!D40</f>
        <v>-645126</v>
      </c>
      <c r="G40" s="38">
        <f>CE_GL!E40</f>
        <v>-1401722.22</v>
      </c>
      <c r="H40" s="60">
        <f t="shared" si="7"/>
        <v>-248677</v>
      </c>
      <c r="I40" s="38">
        <f t="shared" si="7"/>
        <v>-449083.22</v>
      </c>
    </row>
    <row r="41" spans="1:9" x14ac:dyDescent="0.2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-396449</v>
      </c>
      <c r="E42" s="70">
        <f t="shared" si="8"/>
        <v>-952639</v>
      </c>
      <c r="F42" s="69">
        <f t="shared" si="8"/>
        <v>-645126</v>
      </c>
      <c r="G42" s="70">
        <f t="shared" si="8"/>
        <v>-1401722.22</v>
      </c>
      <c r="H42" s="69">
        <f t="shared" si="8"/>
        <v>-248677</v>
      </c>
      <c r="I42" s="70">
        <f t="shared" si="8"/>
        <v>-449083.22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-381449</v>
      </c>
      <c r="E43" s="39">
        <f t="shared" si="9"/>
        <v>-911764</v>
      </c>
      <c r="F43" s="61">
        <f t="shared" si="9"/>
        <v>-123238</v>
      </c>
      <c r="G43" s="39">
        <f t="shared" si="9"/>
        <v>-189898.29000000004</v>
      </c>
      <c r="H43" s="61">
        <f t="shared" si="9"/>
        <v>258211</v>
      </c>
      <c r="I43" s="39">
        <f t="shared" si="9"/>
        <v>721865.71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'CE-FLSH'!L49</f>
        <v>-13190</v>
      </c>
      <c r="E49" s="66">
        <f>'CE-FLSH'!M49</f>
        <v>-30627.18</v>
      </c>
      <c r="F49" s="60">
        <f>CE_GL!D49</f>
        <v>1225237</v>
      </c>
      <c r="G49" s="38">
        <f>CE_GL!E49</f>
        <v>2845000.3139999984</v>
      </c>
      <c r="H49" s="60">
        <f>F49-D49</f>
        <v>1238427</v>
      </c>
      <c r="I49" s="38">
        <f>G49-E49</f>
        <v>2875627.4939999986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'CE-FLSH'!L51</f>
        <v>-331530</v>
      </c>
      <c r="E51" s="66">
        <f>'CE-FLSH'!M51</f>
        <v>-764277</v>
      </c>
      <c r="F51" s="60">
        <f>CE_GL!D51</f>
        <v>-811540</v>
      </c>
      <c r="G51" s="38">
        <f>CE_GL!E51</f>
        <v>-1884395.8800000001</v>
      </c>
      <c r="H51" s="60">
        <f>F51-D51</f>
        <v>-480010</v>
      </c>
      <c r="I51" s="38">
        <f>G51-E51</f>
        <v>-1120118.8800000001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-195130</v>
      </c>
      <c r="F54" s="60">
        <f>CE_GL!D54</f>
        <v>-62477450</v>
      </c>
      <c r="G54" s="38">
        <f>CE_GL!E54</f>
        <v>-538391.08000000007</v>
      </c>
      <c r="H54" s="60">
        <f>F54-D54</f>
        <v>-62477450</v>
      </c>
      <c r="I54" s="38">
        <f>G54-E54</f>
        <v>-343261.08000000007</v>
      </c>
    </row>
    <row r="55" spans="1:9" x14ac:dyDescent="0.2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-2688464</v>
      </c>
      <c r="F55" s="60">
        <f>CE_GL!D55</f>
        <v>0</v>
      </c>
      <c r="G55" s="38">
        <f>CE_GL!E55</f>
        <v>-2144478.8000000003</v>
      </c>
      <c r="H55" s="60">
        <f>F55-D55</f>
        <v>0</v>
      </c>
      <c r="I55" s="38">
        <f>G55-E55</f>
        <v>543985.19999999972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-2883594</v>
      </c>
      <c r="F56" s="61">
        <f t="shared" si="10"/>
        <v>-62477450</v>
      </c>
      <c r="G56" s="39">
        <f t="shared" si="10"/>
        <v>-2682869.8800000004</v>
      </c>
      <c r="H56" s="61">
        <f t="shared" si="10"/>
        <v>-62477450</v>
      </c>
      <c r="I56" s="39">
        <f t="shared" si="10"/>
        <v>200724.11999999965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7591856.8829999994</v>
      </c>
      <c r="F70" s="60">
        <f>CE_GL!D70</f>
        <v>0</v>
      </c>
      <c r="G70" s="38">
        <f>CE_GL!E70</f>
        <v>7591856.8799999999</v>
      </c>
      <c r="H70" s="60">
        <f>F70-D70</f>
        <v>0</v>
      </c>
      <c r="I70" s="38">
        <f>G70-E70</f>
        <v>-2.9999995604157448E-3</v>
      </c>
    </row>
    <row r="71" spans="1:9" x14ac:dyDescent="0.2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-1768211</v>
      </c>
      <c r="F71" s="60">
        <f>CE_GL!D71</f>
        <v>0</v>
      </c>
      <c r="G71" s="38">
        <f>CE_GL!E71</f>
        <v>-1768212</v>
      </c>
      <c r="H71" s="60">
        <f>F71-D71</f>
        <v>0</v>
      </c>
      <c r="I71" s="38">
        <f>G71-E71</f>
        <v>-1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5823645.8829999994</v>
      </c>
      <c r="F72" s="69">
        <f t="shared" si="13"/>
        <v>0</v>
      </c>
      <c r="G72" s="70">
        <f t="shared" si="13"/>
        <v>5823644.8799999999</v>
      </c>
      <c r="H72" s="69">
        <f t="shared" si="13"/>
        <v>0</v>
      </c>
      <c r="I72" s="70">
        <f t="shared" si="13"/>
        <v>-1.0029999995604157</v>
      </c>
    </row>
    <row r="73" spans="1:9" x14ac:dyDescent="0.2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-1002755</v>
      </c>
      <c r="F74" s="60">
        <f>CE_GL!D74</f>
        <v>0</v>
      </c>
      <c r="G74" s="38">
        <f>CE_GL!E74</f>
        <v>934514.08999999985</v>
      </c>
      <c r="H74" s="60">
        <f t="shared" ref="H74:I79" si="14">F74-D74</f>
        <v>0</v>
      </c>
      <c r="I74" s="38">
        <f t="shared" si="14"/>
        <v>1937269.0899999999</v>
      </c>
    </row>
    <row r="75" spans="1:9" x14ac:dyDescent="0.2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49575</v>
      </c>
      <c r="F75" s="60">
        <f>CE_GL!D75</f>
        <v>0</v>
      </c>
      <c r="G75" s="38">
        <f>CE_GL!E75</f>
        <v>51500</v>
      </c>
      <c r="H75" s="60">
        <f t="shared" si="14"/>
        <v>0</v>
      </c>
      <c r="I75" s="38">
        <f t="shared" si="14"/>
        <v>1925</v>
      </c>
    </row>
    <row r="76" spans="1:9" x14ac:dyDescent="0.2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-8354</v>
      </c>
      <c r="F76" s="60">
        <f>CE_GL!D76</f>
        <v>0</v>
      </c>
      <c r="G76" s="38">
        <f>CE_GL!E76</f>
        <v>-12463.66</v>
      </c>
      <c r="H76" s="60">
        <f t="shared" si="14"/>
        <v>0</v>
      </c>
      <c r="I76" s="38">
        <f t="shared" si="14"/>
        <v>-4109.66</v>
      </c>
    </row>
    <row r="77" spans="1:9" x14ac:dyDescent="0.2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1211768.94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-1211768.94</v>
      </c>
    </row>
    <row r="80" spans="1:9" x14ac:dyDescent="0.2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0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-5057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5057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3221380.6430000141</v>
      </c>
      <c r="F82" s="71">
        <f>F16+F24+F29+F36+F43+F45+F47+F49</f>
        <v>0</v>
      </c>
      <c r="G82" s="72">
        <f>SUM(G72:G81)+G16+G24+G29+G36+G43+G45+G47+G49+G51+G56+G61+G66</f>
        <v>7288462.9480000511</v>
      </c>
      <c r="H82" s="71">
        <f>H16+H24+H29+H36+H43+H45+H47+H49</f>
        <v>0</v>
      </c>
      <c r="I82" s="72">
        <f>SUM(I72:I81)+I16+I24+I29+I36+I43+I45+I47+I49+I51+I56+I61+I66</f>
        <v>4067082.3050000533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8554687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'SITHE-FLSH'!L11</f>
        <v>7555750</v>
      </c>
      <c r="E11" s="66">
        <f>'SITHE-FLSH'!M11</f>
        <v>17429803</v>
      </c>
      <c r="F11" s="60">
        <f>SITHE_GL!D11</f>
        <v>7555752</v>
      </c>
      <c r="G11" s="38">
        <f>SITHE_GL!E11</f>
        <v>18913657.91</v>
      </c>
      <c r="H11" s="60">
        <f>F11-D11</f>
        <v>2</v>
      </c>
      <c r="I11" s="38">
        <f>G11-E11</f>
        <v>1483854.9100000001</v>
      </c>
    </row>
    <row r="12" spans="1:22" x14ac:dyDescent="0.2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-694586.38</v>
      </c>
      <c r="H12" s="60">
        <f>F12-D12</f>
        <v>0</v>
      </c>
      <c r="I12" s="38">
        <f>G12-E12</f>
        <v>-694586.38</v>
      </c>
    </row>
    <row r="13" spans="1:22" x14ac:dyDescent="0.2">
      <c r="A13" s="9">
        <v>3</v>
      </c>
      <c r="B13" s="7"/>
      <c r="C13" s="18" t="s">
        <v>27</v>
      </c>
      <c r="D13" s="65">
        <f>'SITHE-FLSH'!L13</f>
        <v>3927553</v>
      </c>
      <c r="E13" s="66">
        <f>'SITHE-FLSH'!M13</f>
        <v>9502443</v>
      </c>
      <c r="F13" s="60">
        <f>SITHE_GL!D13</f>
        <v>97419</v>
      </c>
      <c r="G13" s="38">
        <f>SITHE_GL!E13</f>
        <v>275844</v>
      </c>
      <c r="H13" s="60">
        <f t="shared" ref="H13:I15" si="0">F13-D13</f>
        <v>-3830134</v>
      </c>
      <c r="I13" s="38">
        <f t="shared" si="0"/>
        <v>-9226599</v>
      </c>
    </row>
    <row r="14" spans="1:22" x14ac:dyDescent="0.2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11483303</v>
      </c>
      <c r="E16" s="39">
        <f t="shared" si="1"/>
        <v>26932246</v>
      </c>
      <c r="F16" s="61">
        <f t="shared" si="1"/>
        <v>7653171</v>
      </c>
      <c r="G16" s="39">
        <f t="shared" si="1"/>
        <v>18494915.530000001</v>
      </c>
      <c r="H16" s="61">
        <f t="shared" si="1"/>
        <v>-3830132</v>
      </c>
      <c r="I16" s="39">
        <f t="shared" si="1"/>
        <v>-8437330.4700000007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'SITHE-FLSH'!L19</f>
        <v>-4678366</v>
      </c>
      <c r="E19" s="66">
        <f>'SITHE-FLSH'!M19</f>
        <v>-11156729</v>
      </c>
      <c r="F19" s="60">
        <f>SITHE_GL!D19</f>
        <v>-1123774</v>
      </c>
      <c r="G19" s="38">
        <f>SITHE_GL!E19</f>
        <v>-3106881.2600000002</v>
      </c>
      <c r="H19" s="60">
        <f>F19-D19</f>
        <v>3554592</v>
      </c>
      <c r="I19" s="38">
        <f>G19-E19</f>
        <v>8049847.7400000002</v>
      </c>
    </row>
    <row r="20" spans="1:9" x14ac:dyDescent="0.2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-6889.5</v>
      </c>
      <c r="H20" s="60">
        <f>F20-D20</f>
        <v>0</v>
      </c>
      <c r="I20" s="38">
        <f>G20-E20</f>
        <v>-6889.5</v>
      </c>
    </row>
    <row r="21" spans="1:9" x14ac:dyDescent="0.2">
      <c r="A21" s="9">
        <v>8</v>
      </c>
      <c r="B21" s="7"/>
      <c r="C21" s="18" t="s">
        <v>27</v>
      </c>
      <c r="D21" s="65">
        <f>'SITHE-FLSH'!L21</f>
        <v>-6777912</v>
      </c>
      <c r="E21" s="66">
        <f>'SITHE-FLSH'!M21</f>
        <v>-15769833</v>
      </c>
      <c r="F21" s="60">
        <f>SITHE_GL!D21</f>
        <v>-3635325</v>
      </c>
      <c r="G21" s="38">
        <f>SITHE_GL!E21</f>
        <v>-8726513</v>
      </c>
      <c r="H21" s="60">
        <f t="shared" ref="H21:I23" si="2">F21-D21</f>
        <v>3142587</v>
      </c>
      <c r="I21" s="38">
        <f t="shared" si="2"/>
        <v>7043320</v>
      </c>
    </row>
    <row r="22" spans="1:9" x14ac:dyDescent="0.2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'SITHE-FLSH'!L23</f>
        <v>84</v>
      </c>
      <c r="E23" s="66">
        <f>'SITHE-FLSH'!M23</f>
        <v>200</v>
      </c>
      <c r="F23" s="60">
        <f>SITHE_GL!D23</f>
        <v>0</v>
      </c>
      <c r="G23" s="38">
        <f>SITHE_GL!E23</f>
        <v>0</v>
      </c>
      <c r="H23" s="60">
        <f t="shared" si="2"/>
        <v>-84</v>
      </c>
      <c r="I23" s="38">
        <f t="shared" si="2"/>
        <v>-200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-11456194</v>
      </c>
      <c r="E24" s="39">
        <f t="shared" si="3"/>
        <v>-26926362</v>
      </c>
      <c r="F24" s="61">
        <f t="shared" si="3"/>
        <v>-4759099</v>
      </c>
      <c r="G24" s="39">
        <f t="shared" si="3"/>
        <v>-11840283.76</v>
      </c>
      <c r="H24" s="61">
        <f t="shared" si="3"/>
        <v>6697095</v>
      </c>
      <c r="I24" s="39">
        <f t="shared" si="3"/>
        <v>15086078.24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'SITHE-FLSH'!L32</f>
        <v>-56791</v>
      </c>
      <c r="E32" s="66">
        <f>'SITHE-FLSH'!M32</f>
        <v>-58</v>
      </c>
      <c r="F32" s="60">
        <f>SITHE_GL!D32</f>
        <v>0</v>
      </c>
      <c r="G32" s="38">
        <f>SITHE_GL!E32</f>
        <v>0</v>
      </c>
      <c r="H32" s="60">
        <f>F32-D32</f>
        <v>56791</v>
      </c>
      <c r="I32" s="38">
        <f>G32-E32</f>
        <v>58</v>
      </c>
    </row>
    <row r="33" spans="1:9" x14ac:dyDescent="0.2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-56791</v>
      </c>
      <c r="E36" s="39">
        <f t="shared" si="6"/>
        <v>-58</v>
      </c>
      <c r="F36" s="61">
        <f t="shared" si="6"/>
        <v>0</v>
      </c>
      <c r="G36" s="39">
        <f t="shared" si="6"/>
        <v>0</v>
      </c>
      <c r="H36" s="61">
        <f t="shared" si="6"/>
        <v>56791</v>
      </c>
      <c r="I36" s="39">
        <f t="shared" si="6"/>
        <v>58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'SITHE-FLSH'!L39</f>
        <v>0</v>
      </c>
      <c r="E39" s="66">
        <f>'SITHE-FLSH'!M39</f>
        <v>0</v>
      </c>
      <c r="F39" s="60">
        <f>SITHE_GL!D39</f>
        <v>0</v>
      </c>
      <c r="G39" s="38">
        <f>SITHE_GL!E39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'SITHE-FLSH'!L40</f>
        <v>0</v>
      </c>
      <c r="E40" s="66">
        <f>'SITHE-FLSH'!M40</f>
        <v>0</v>
      </c>
      <c r="F40" s="60">
        <f>SITHE_GL!D40</f>
        <v>0</v>
      </c>
      <c r="G40" s="38">
        <f>SITHE_GL!E40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0</v>
      </c>
      <c r="G41" s="38">
        <f>SITHE_GL!E41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'SITHE-FLSH'!L49</f>
        <v>29682</v>
      </c>
      <c r="E49" s="66">
        <f>'SITHE-FLSH'!M49</f>
        <v>67877.929239970021</v>
      </c>
      <c r="F49" s="60">
        <f>SITHE_GL!D49</f>
        <v>-2894072</v>
      </c>
      <c r="G49" s="38">
        <f>SITHE_GL!E49</f>
        <v>-6618742.6639999999</v>
      </c>
      <c r="H49" s="60">
        <f>F49-D49</f>
        <v>-2923754</v>
      </c>
      <c r="I49" s="38">
        <f>G49-E49</f>
        <v>-6686620.5932399696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'SITHE-FLSH'!L51</f>
        <v>-84</v>
      </c>
      <c r="E51" s="66">
        <f>'SITHE-FLSH'!M51</f>
        <v>-200</v>
      </c>
      <c r="F51" s="60">
        <f>SITHE_GL!D51</f>
        <v>0</v>
      </c>
      <c r="G51" s="38">
        <f>SITHE_GL!E51</f>
        <v>0</v>
      </c>
      <c r="H51" s="60">
        <f>F51-D51</f>
        <v>84</v>
      </c>
      <c r="I51" s="38">
        <f>G51-E51</f>
        <v>200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-64</v>
      </c>
      <c r="F54" s="60">
        <f>SITHE_GL!D54</f>
        <v>0</v>
      </c>
      <c r="G54" s="38">
        <f>SITHE_GL!E54</f>
        <v>0</v>
      </c>
      <c r="H54" s="60">
        <f>F54-D54</f>
        <v>0</v>
      </c>
      <c r="I54" s="38">
        <f>G54-E54</f>
        <v>64</v>
      </c>
    </row>
    <row r="55" spans="1:9" x14ac:dyDescent="0.2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-7483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7483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-7547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7547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-322863.26569999999</v>
      </c>
      <c r="F70" s="60">
        <f>SITHE_GL!D70</f>
        <v>0</v>
      </c>
      <c r="G70" s="38">
        <f>SITHE_GL!E70</f>
        <v>-400747</v>
      </c>
      <c r="H70" s="60">
        <f>F70-D70</f>
        <v>0</v>
      </c>
      <c r="I70" s="38">
        <f>G70-E70</f>
        <v>-77883.734300000011</v>
      </c>
    </row>
    <row r="71" spans="1:9" x14ac:dyDescent="0.2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-77884</v>
      </c>
      <c r="F71" s="60">
        <f>SITHE_GL!D71</f>
        <v>0</v>
      </c>
      <c r="G71" s="38">
        <f>SITHE_GL!E71</f>
        <v>0</v>
      </c>
      <c r="H71" s="60">
        <f>F71-D71</f>
        <v>0</v>
      </c>
      <c r="I71" s="38">
        <f>G71-E71</f>
        <v>77884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-400747.26569999999</v>
      </c>
      <c r="F72" s="69">
        <f t="shared" si="13"/>
        <v>0</v>
      </c>
      <c r="G72" s="70">
        <f t="shared" si="13"/>
        <v>-400747</v>
      </c>
      <c r="H72" s="69">
        <f t="shared" si="13"/>
        <v>0</v>
      </c>
      <c r="I72" s="70">
        <f t="shared" si="13"/>
        <v>0.26569999998901039</v>
      </c>
    </row>
    <row r="73" spans="1:9" x14ac:dyDescent="0.2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453414</v>
      </c>
      <c r="F74" s="60">
        <f>SITHE_GL!D74</f>
        <v>0</v>
      </c>
      <c r="G74" s="38">
        <f>SITHE_GL!E74</f>
        <v>451953.34</v>
      </c>
      <c r="H74" s="60">
        <f t="shared" ref="H74:I79" si="14">F74-D74</f>
        <v>0</v>
      </c>
      <c r="I74" s="38">
        <f t="shared" si="14"/>
        <v>-1460.6599999999744</v>
      </c>
    </row>
    <row r="75" spans="1:9" x14ac:dyDescent="0.2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153274</v>
      </c>
      <c r="F81" s="60">
        <f>SITHE_GL!D81</f>
        <v>0</v>
      </c>
      <c r="G81" s="38">
        <f>SITHE_GL!E81</f>
        <v>153274</v>
      </c>
      <c r="H81" s="60">
        <f>F81-D81</f>
        <v>0</v>
      </c>
      <c r="I81" s="38">
        <f>G81-E81</f>
        <v>0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271897.66353996878</v>
      </c>
      <c r="F82" s="71">
        <f>F16+F24+F29+F36+F43+F45+F47+F49</f>
        <v>0</v>
      </c>
      <c r="G82" s="72">
        <f>SUM(G72:G81)+G16+G24+G29+G36+G43+G45+G47+G49+G51+G56+G61+G66</f>
        <v>240369.44600000139</v>
      </c>
      <c r="H82" s="71">
        <f>H16+H24+H29+H36+H43+H45+H47+H49</f>
        <v>0</v>
      </c>
      <c r="I82" s="72">
        <f>SUM(I72:I81)+I16+I24+I29+I36+I43+I45+I47+I49+I51+I56+I61+I66</f>
        <v>-31528.217539970763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customWidth="1"/>
    <col min="8" max="8" width="15.42578125" customWidth="1"/>
    <col min="9" max="9" width="17.140625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107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191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'ARUBA-FLSH'!L11</f>
        <v>16545855</v>
      </c>
      <c r="E11" s="66">
        <f>'ARUBA-FLSH'!M11</f>
        <v>40536583</v>
      </c>
      <c r="F11" s="60">
        <f>ARUBA_GL!D11</f>
        <v>16539748</v>
      </c>
      <c r="G11" s="38">
        <f>ARUBA_GL!E11</f>
        <v>39841775.309999995</v>
      </c>
      <c r="H11" s="60">
        <f>F11-D11</f>
        <v>-6107</v>
      </c>
      <c r="I11" s="38">
        <f>G11-E11</f>
        <v>-694807.69000000507</v>
      </c>
    </row>
    <row r="12" spans="1:22" x14ac:dyDescent="0.2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497314.76</v>
      </c>
      <c r="H12" s="60">
        <f>F12-D12</f>
        <v>0</v>
      </c>
      <c r="I12" s="38">
        <f>G12-E12</f>
        <v>497314.76</v>
      </c>
    </row>
    <row r="13" spans="1:22" x14ac:dyDescent="0.2">
      <c r="A13" s="9">
        <v>3</v>
      </c>
      <c r="B13" s="7"/>
      <c r="C13" s="18" t="s">
        <v>27</v>
      </c>
      <c r="D13" s="65">
        <f>'ARUBA-FLSH'!L13</f>
        <v>25646524</v>
      </c>
      <c r="E13" s="66">
        <f>'ARUBA-FLSH'!M13</f>
        <v>62333419</v>
      </c>
      <c r="F13" s="60">
        <f>ARUBA_GL!D13</f>
        <v>9052758</v>
      </c>
      <c r="G13" s="38">
        <f>ARUBA_GL!E13</f>
        <v>21609190</v>
      </c>
      <c r="H13" s="60">
        <f t="shared" ref="H13:I15" si="0">F13-D13</f>
        <v>-16593766</v>
      </c>
      <c r="I13" s="38">
        <f t="shared" si="0"/>
        <v>-40724229</v>
      </c>
    </row>
    <row r="14" spans="1:22" x14ac:dyDescent="0.2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0</v>
      </c>
      <c r="F15" s="60">
        <f>ARUBA_GL!D15</f>
        <v>0</v>
      </c>
      <c r="G15" s="38">
        <f>ARUBA_GL!E15</f>
        <v>3058363.5</v>
      </c>
      <c r="H15" s="60">
        <f t="shared" si="0"/>
        <v>0</v>
      </c>
      <c r="I15" s="38">
        <f t="shared" si="0"/>
        <v>3058363.5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42192379</v>
      </c>
      <c r="E16" s="39">
        <f t="shared" si="1"/>
        <v>102870002</v>
      </c>
      <c r="F16" s="61">
        <f t="shared" si="1"/>
        <v>25592506</v>
      </c>
      <c r="G16" s="39">
        <f t="shared" si="1"/>
        <v>65006643.569999993</v>
      </c>
      <c r="H16" s="61">
        <f t="shared" si="1"/>
        <v>-16599873</v>
      </c>
      <c r="I16" s="39">
        <f t="shared" si="1"/>
        <v>-37863358.430000007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'ARUBA-FLSH'!L19</f>
        <v>-11681391</v>
      </c>
      <c r="E19" s="66">
        <f>'ARUBA-FLSH'!M19</f>
        <v>-27562027</v>
      </c>
      <c r="F19" s="60">
        <f>ARUBA_GL!D19</f>
        <v>-11681017</v>
      </c>
      <c r="G19" s="38">
        <f>ARUBA_GL!E19</f>
        <v>-27284908.069999997</v>
      </c>
      <c r="H19" s="60">
        <f>F19-D19</f>
        <v>374</v>
      </c>
      <c r="I19" s="38">
        <f>G19-E19</f>
        <v>277118.93000000343</v>
      </c>
    </row>
    <row r="20" spans="1:9" x14ac:dyDescent="0.2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-336602.09</v>
      </c>
      <c r="H20" s="60">
        <f>F20-D20</f>
        <v>0</v>
      </c>
      <c r="I20" s="38">
        <f>G20-E20</f>
        <v>-336602.09</v>
      </c>
    </row>
    <row r="21" spans="1:9" x14ac:dyDescent="0.2">
      <c r="A21" s="9">
        <v>8</v>
      </c>
      <c r="B21" s="7"/>
      <c r="C21" s="18" t="s">
        <v>27</v>
      </c>
      <c r="D21" s="65">
        <f>'ARUBA-FLSH'!L21</f>
        <v>-30848646</v>
      </c>
      <c r="E21" s="66">
        <f>'ARUBA-FLSH'!M21</f>
        <v>-74567387</v>
      </c>
      <c r="F21" s="60">
        <f>ARUBA_GL!D21</f>
        <v>-14244885</v>
      </c>
      <c r="G21" s="38">
        <f>ARUBA_GL!E21</f>
        <v>-33815447</v>
      </c>
      <c r="H21" s="60">
        <f t="shared" ref="H21:I23" si="2">F21-D21</f>
        <v>16603761</v>
      </c>
      <c r="I21" s="38">
        <f t="shared" si="2"/>
        <v>40751940</v>
      </c>
    </row>
    <row r="22" spans="1:9" x14ac:dyDescent="0.2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'ARUBA-FLSH'!L23</f>
        <v>325104</v>
      </c>
      <c r="E23" s="66">
        <f>'ARUBA-FLSH'!M23</f>
        <v>773031</v>
      </c>
      <c r="F23" s="60">
        <f>ARUBA_GL!D23</f>
        <v>0</v>
      </c>
      <c r="G23" s="38">
        <f>ARUBA_GL!E23</f>
        <v>0</v>
      </c>
      <c r="H23" s="60">
        <f t="shared" si="2"/>
        <v>-325104</v>
      </c>
      <c r="I23" s="38">
        <f t="shared" si="2"/>
        <v>-773031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-42204933</v>
      </c>
      <c r="E24" s="39">
        <f t="shared" si="3"/>
        <v>-101356383</v>
      </c>
      <c r="F24" s="61">
        <f t="shared" si="3"/>
        <v>-25925902</v>
      </c>
      <c r="G24" s="39">
        <f t="shared" si="3"/>
        <v>-61436957.159999996</v>
      </c>
      <c r="H24" s="61">
        <f t="shared" si="3"/>
        <v>16279031</v>
      </c>
      <c r="I24" s="39">
        <f t="shared" si="3"/>
        <v>39919425.840000004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'ARUBA-FLSH'!L49</f>
        <v>12554</v>
      </c>
      <c r="E49" s="66">
        <f>'ARUBA-FLSH'!M49</f>
        <v>29721.637375299964</v>
      </c>
      <c r="F49" s="60">
        <f>ARUBA_GL!D49</f>
        <v>333396</v>
      </c>
      <c r="G49" s="38">
        <f>ARUBA_GL!E49</f>
        <v>789481.728</v>
      </c>
      <c r="H49" s="60">
        <f>F49-D49</f>
        <v>320842</v>
      </c>
      <c r="I49" s="38">
        <f>G49-E49</f>
        <v>759760.09062470007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'ARUBA-FLSH'!L51</f>
        <v>-325104</v>
      </c>
      <c r="E51" s="66">
        <f>'ARUBA-FLSH'!M51</f>
        <v>-773031</v>
      </c>
      <c r="F51" s="60">
        <f>ARUBA_GL!D51</f>
        <v>0</v>
      </c>
      <c r="G51" s="38">
        <f>ARUBA_GL!E51</f>
        <v>0</v>
      </c>
      <c r="H51" s="60">
        <f>F51-D51</f>
        <v>325104</v>
      </c>
      <c r="I51" s="38">
        <f>G51-E51</f>
        <v>773031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-71026</v>
      </c>
      <c r="F54" s="60">
        <f>ARUBA_GL!D54</f>
        <v>-7936514</v>
      </c>
      <c r="G54" s="38">
        <f>ARUBA_GL!E54</f>
        <v>-142054.03</v>
      </c>
      <c r="H54" s="60">
        <f>F54-D54</f>
        <v>-7936514</v>
      </c>
      <c r="I54" s="38">
        <f>G54-E54</f>
        <v>-71028.03</v>
      </c>
    </row>
    <row r="55" spans="1:9" x14ac:dyDescent="0.2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0</v>
      </c>
      <c r="F55" s="60">
        <f>ARUBA_GL!D55</f>
        <v>0</v>
      </c>
      <c r="G55" s="38">
        <f>ARUBA_GL!E55</f>
        <v>-3576629.01</v>
      </c>
      <c r="H55" s="60">
        <f>F55-D55</f>
        <v>0</v>
      </c>
      <c r="I55" s="38">
        <f>G55-E55</f>
        <v>-3576629.01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-71026</v>
      </c>
      <c r="F56" s="61">
        <f t="shared" si="10"/>
        <v>-7936514</v>
      </c>
      <c r="G56" s="39">
        <f t="shared" si="10"/>
        <v>-3718683.0399999996</v>
      </c>
      <c r="H56" s="61">
        <f t="shared" si="10"/>
        <v>-7936514</v>
      </c>
      <c r="I56" s="39">
        <f t="shared" si="10"/>
        <v>-3647657.0399999996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12261468.489899993</v>
      </c>
      <c r="F70" s="60">
        <f>ARUBA_GL!D70</f>
        <v>0</v>
      </c>
      <c r="G70" s="38">
        <f>ARUBA_GL!E70</f>
        <v>12261468.49</v>
      </c>
      <c r="H70" s="60">
        <f>F70-D70</f>
        <v>0</v>
      </c>
      <c r="I70" s="38">
        <f>G70-E70</f>
        <v>1.0000728070735931E-4</v>
      </c>
    </row>
    <row r="71" spans="1:9" x14ac:dyDescent="0.2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-14085870</v>
      </c>
      <c r="F71" s="60">
        <f>ARUBA_GL!D71</f>
        <v>0</v>
      </c>
      <c r="G71" s="38">
        <f>ARUBA_GL!E71</f>
        <v>-14085867</v>
      </c>
      <c r="H71" s="60">
        <f>F71-D71</f>
        <v>0</v>
      </c>
      <c r="I71" s="38">
        <f>G71-E71</f>
        <v>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-1824401.5101000071</v>
      </c>
      <c r="F72" s="69">
        <f t="shared" si="13"/>
        <v>0</v>
      </c>
      <c r="G72" s="70">
        <f t="shared" si="13"/>
        <v>-1824398.5099999998</v>
      </c>
      <c r="H72" s="69">
        <f t="shared" si="13"/>
        <v>0</v>
      </c>
      <c r="I72" s="70">
        <f t="shared" si="13"/>
        <v>3.0001000072807074</v>
      </c>
    </row>
    <row r="73" spans="1:9" x14ac:dyDescent="0.2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670073.51010000007</v>
      </c>
      <c r="F74" s="60">
        <f>ARUBA_GL!D74</f>
        <v>0</v>
      </c>
      <c r="G74" s="38">
        <f>ARUBA_GL!E74</f>
        <v>683322.53</v>
      </c>
      <c r="H74" s="60">
        <f t="shared" ref="H74:I79" si="14">F74-D74</f>
        <v>0</v>
      </c>
      <c r="I74" s="38">
        <f t="shared" si="14"/>
        <v>13249.019899999956</v>
      </c>
    </row>
    <row r="75" spans="1:9" x14ac:dyDescent="0.2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12711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-12711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-442333.36262470006</v>
      </c>
      <c r="F82" s="71">
        <f>F16+F24+F29+F36+F43+F45+F47+F49</f>
        <v>0</v>
      </c>
      <c r="G82" s="72">
        <f>SUM(G72:G81)+G16+G24+G29+G36+G43+G45+G47+G49+G51+G56+G61+G66</f>
        <v>-500590.88199999975</v>
      </c>
      <c r="H82" s="71">
        <f>H16+H24+H29+H36+H43+H45+H47+H49</f>
        <v>0</v>
      </c>
      <c r="I82" s="72">
        <f>SUM(I72:I81)+I16+I24+I29+I36+I43+I45+I47+I49+I51+I56+I61+I66</f>
        <v>-58257.519375292119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6" width="15.42578125" customWidth="1"/>
    <col min="7" max="7" width="16.28515625" bestFit="1" customWidth="1"/>
    <col min="8" max="8" width="15.42578125" customWidth="1"/>
    <col min="9" max="9" width="16.28515625" bestFit="1" customWidth="1"/>
    <col min="10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'EAST-EGM-FLSH'!L11</f>
        <v>196234304</v>
      </c>
      <c r="E11" s="66">
        <f>'EAST-EGM-FLSH'!M11</f>
        <v>490071985.8439247</v>
      </c>
      <c r="F11" s="60">
        <f>'EAST-EGM-GL'!D11</f>
        <v>193051117</v>
      </c>
      <c r="G11" s="38">
        <f>'EAST-EGM-GL'!E11</f>
        <v>487071650.59999996</v>
      </c>
      <c r="H11" s="60">
        <f>F11-D11</f>
        <v>-3183187</v>
      </c>
      <c r="I11" s="38">
        <f>G11-E11</f>
        <v>-3000335.243924737</v>
      </c>
    </row>
    <row r="12" spans="1:22" x14ac:dyDescent="0.2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-3880244.07</v>
      </c>
      <c r="H12" s="60">
        <f>F12-D12</f>
        <v>0</v>
      </c>
      <c r="I12" s="38">
        <f>G12-E12</f>
        <v>-3880244.07</v>
      </c>
    </row>
    <row r="13" spans="1:22" x14ac:dyDescent="0.2">
      <c r="A13" s="9">
        <v>3</v>
      </c>
      <c r="B13" s="7"/>
      <c r="C13" s="18" t="s">
        <v>27</v>
      </c>
      <c r="D13" s="65">
        <f>'EAST-EGM-FLSH'!L13</f>
        <v>78004071</v>
      </c>
      <c r="E13" s="66">
        <f>'EAST-EGM-FLSH'!M13</f>
        <v>201341832</v>
      </c>
      <c r="F13" s="60">
        <f>'EAST-EGM-GL'!D13</f>
        <v>20295362</v>
      </c>
      <c r="G13" s="38">
        <f>'EAST-EGM-GL'!E13</f>
        <v>51966198</v>
      </c>
      <c r="H13" s="60">
        <f t="shared" ref="H13:I15" si="0">F13-D13</f>
        <v>-57708709</v>
      </c>
      <c r="I13" s="38">
        <f t="shared" si="0"/>
        <v>-149375634</v>
      </c>
    </row>
    <row r="14" spans="1:22" x14ac:dyDescent="0.2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-496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5733061.2600000007</v>
      </c>
      <c r="H15" s="60">
        <f t="shared" si="0"/>
        <v>0</v>
      </c>
      <c r="I15" s="38">
        <f t="shared" si="0"/>
        <v>5733061.2600000007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274238375</v>
      </c>
      <c r="E16" s="39">
        <f t="shared" si="1"/>
        <v>691413321.84392476</v>
      </c>
      <c r="F16" s="61">
        <f t="shared" si="1"/>
        <v>213346479</v>
      </c>
      <c r="G16" s="39">
        <f t="shared" si="1"/>
        <v>540890665.78999996</v>
      </c>
      <c r="H16" s="61">
        <f t="shared" si="1"/>
        <v>-60891896</v>
      </c>
      <c r="I16" s="39">
        <f t="shared" si="1"/>
        <v>-150522656.05392474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'EAST-EGM-FLSH'!L19</f>
        <v>-181648816</v>
      </c>
      <c r="E19" s="66">
        <f>'EAST-EGM-FLSH'!M19</f>
        <v>-442342911</v>
      </c>
      <c r="F19" s="60">
        <f>'EAST-EGM-GL'!D19</f>
        <v>-188888571</v>
      </c>
      <c r="G19" s="38">
        <f>'EAST-EGM-GL'!E19</f>
        <v>-446824810.43000001</v>
      </c>
      <c r="H19" s="60">
        <f>F19-D19</f>
        <v>-7239755</v>
      </c>
      <c r="I19" s="38">
        <f>G19-E19</f>
        <v>-4481899.4300000072</v>
      </c>
    </row>
    <row r="20" spans="1:9" x14ac:dyDescent="0.2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">
      <c r="A21" s="9">
        <v>8</v>
      </c>
      <c r="B21" s="7"/>
      <c r="C21" s="18" t="s">
        <v>27</v>
      </c>
      <c r="D21" s="65">
        <f>'EAST-EGM-FLSH'!L21</f>
        <v>-82385658</v>
      </c>
      <c r="E21" s="66">
        <f>'EAST-EGM-FLSH'!M21</f>
        <v>-214966656</v>
      </c>
      <c r="F21" s="60">
        <f>'EAST-EGM-GL'!D21</f>
        <v>-19756732</v>
      </c>
      <c r="G21" s="38">
        <f>'EAST-EGM-GL'!E21</f>
        <v>-54147992</v>
      </c>
      <c r="H21" s="60">
        <f t="shared" ref="H21:I23" si="2">F21-D21</f>
        <v>62628926</v>
      </c>
      <c r="I21" s="38">
        <f t="shared" si="2"/>
        <v>160818664</v>
      </c>
    </row>
    <row r="22" spans="1:9" x14ac:dyDescent="0.2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'EAST-EGM-FLSH'!L23</f>
        <v>514927</v>
      </c>
      <c r="E23" s="66">
        <f>'EAST-EGM-FLSH'!M23</f>
        <v>1274153</v>
      </c>
      <c r="F23" s="60">
        <f>'EAST-EGM-GL'!D23</f>
        <v>1438618</v>
      </c>
      <c r="G23" s="38">
        <f>'EAST-EGM-GL'!E23</f>
        <v>3284934.946</v>
      </c>
      <c r="H23" s="60">
        <f t="shared" si="2"/>
        <v>923691</v>
      </c>
      <c r="I23" s="38">
        <f t="shared" si="2"/>
        <v>2010781.946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-263519547</v>
      </c>
      <c r="E24" s="39">
        <f t="shared" si="3"/>
        <v>-656035414</v>
      </c>
      <c r="F24" s="61">
        <f t="shared" si="3"/>
        <v>-207206685</v>
      </c>
      <c r="G24" s="39">
        <f t="shared" si="3"/>
        <v>-506889422.67400002</v>
      </c>
      <c r="H24" s="61">
        <f t="shared" si="3"/>
        <v>56312862</v>
      </c>
      <c r="I24" s="39">
        <f t="shared" si="3"/>
        <v>149145991.32600001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11337226</v>
      </c>
      <c r="G27" s="38">
        <f>'EAST-EGM-GL'!E27</f>
        <v>27276734.16</v>
      </c>
      <c r="H27" s="60">
        <f>F27-D27</f>
        <v>11337226</v>
      </c>
      <c r="I27" s="38">
        <f>G27-E27</f>
        <v>27276734.16</v>
      </c>
    </row>
    <row r="28" spans="1:9" x14ac:dyDescent="0.2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-7952335</v>
      </c>
      <c r="G28" s="38">
        <f>'EAST-EGM-GL'!E28</f>
        <v>-19480700.919999998</v>
      </c>
      <c r="H28" s="60">
        <f>F28-D28</f>
        <v>-7952335</v>
      </c>
      <c r="I28" s="38">
        <f>G28-E28</f>
        <v>-19480700.919999998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3384891</v>
      </c>
      <c r="G29" s="70">
        <f t="shared" si="4"/>
        <v>7796033.2400000021</v>
      </c>
      <c r="H29" s="69">
        <f t="shared" si="4"/>
        <v>3384891</v>
      </c>
      <c r="I29" s="70">
        <f t="shared" si="4"/>
        <v>7796033.2400000021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'EAST-EGM-FLSH'!L32</f>
        <v>-2118787</v>
      </c>
      <c r="E32" s="66">
        <f>'EAST-EGM-FLSH'!M32</f>
        <v>-5274638</v>
      </c>
      <c r="F32" s="60">
        <f>'EAST-EGM-GL'!D32</f>
        <v>-1726201</v>
      </c>
      <c r="G32" s="38">
        <f>'EAST-EGM-GL'!E32</f>
        <v>-4051393.7470000004</v>
      </c>
      <c r="H32" s="60">
        <f>F32-D32</f>
        <v>392586</v>
      </c>
      <c r="I32" s="38">
        <f>G32-E32</f>
        <v>1223244.2529999996</v>
      </c>
    </row>
    <row r="33" spans="1:9" x14ac:dyDescent="0.2">
      <c r="A33" s="9">
        <v>14</v>
      </c>
      <c r="B33" s="7"/>
      <c r="C33" s="18" t="s">
        <v>40</v>
      </c>
      <c r="D33" s="65">
        <f>'EAST-EGM-FLSH'!L33</f>
        <v>407133</v>
      </c>
      <c r="E33" s="66">
        <f>'EAST-EGM-FLSH'!M33</f>
        <v>929952</v>
      </c>
      <c r="F33" s="60">
        <f>'EAST-EGM-GL'!D33</f>
        <v>-3106022</v>
      </c>
      <c r="G33" s="38">
        <f>'EAST-EGM-GL'!E33</f>
        <v>-2207237.5699999998</v>
      </c>
      <c r="H33" s="60">
        <f t="shared" ref="H33:I35" si="5">F33-D33</f>
        <v>-3513155</v>
      </c>
      <c r="I33" s="38">
        <f t="shared" si="5"/>
        <v>-3137189.57</v>
      </c>
    </row>
    <row r="34" spans="1:9" x14ac:dyDescent="0.2">
      <c r="A34" s="9">
        <v>15</v>
      </c>
      <c r="B34" s="7"/>
      <c r="C34" s="18" t="s">
        <v>41</v>
      </c>
      <c r="D34" s="65">
        <f>'EAST-EGM-FLSH'!L34</f>
        <v>-816595</v>
      </c>
      <c r="E34" s="66">
        <f>'EAST-EGM-FLSH'!M34</f>
        <v>-1863552</v>
      </c>
      <c r="F34" s="60">
        <f>'EAST-EGM-GL'!D34</f>
        <v>2533309</v>
      </c>
      <c r="G34" s="38">
        <f>'EAST-EGM-GL'!E34</f>
        <v>1039877.84</v>
      </c>
      <c r="H34" s="60">
        <f t="shared" si="5"/>
        <v>3349904</v>
      </c>
      <c r="I34" s="38">
        <f t="shared" si="5"/>
        <v>2903429.84</v>
      </c>
    </row>
    <row r="35" spans="1:9" x14ac:dyDescent="0.2">
      <c r="A35" s="9">
        <v>16</v>
      </c>
      <c r="B35" s="7"/>
      <c r="C35" s="18" t="s">
        <v>42</v>
      </c>
      <c r="D35" s="65">
        <f>'EAST-EGM-FLSH'!L35</f>
        <v>-939991</v>
      </c>
      <c r="E35" s="66">
        <f>'EAST-EGM-FLSH'!M35</f>
        <v>-2167386</v>
      </c>
      <c r="F35" s="60">
        <f>'EAST-EGM-GL'!D35</f>
        <v>-1460000</v>
      </c>
      <c r="G35" s="38">
        <f>'EAST-EGM-GL'!E35</f>
        <v>-4392333.01</v>
      </c>
      <c r="H35" s="60">
        <f t="shared" si="5"/>
        <v>-520009</v>
      </c>
      <c r="I35" s="38">
        <f t="shared" si="5"/>
        <v>-2224947.0099999998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-3758914</v>
      </c>
      <c r="G36" s="39">
        <f t="shared" si="6"/>
        <v>-9611086.4869999997</v>
      </c>
      <c r="H36" s="61">
        <f t="shared" si="6"/>
        <v>-290674</v>
      </c>
      <c r="I36" s="39">
        <f t="shared" si="6"/>
        <v>-1235462.4870000002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'EAST-EGM-FLSH'!L39</f>
        <v>925403</v>
      </c>
      <c r="E39" s="66">
        <f>'EAST-EGM-FLSH'!M39</f>
        <v>2183950</v>
      </c>
      <c r="F39" s="60">
        <f>'EAST-EGM-GL'!D39</f>
        <v>-4</v>
      </c>
      <c r="G39" s="38">
        <f>'EAST-EGM-GL'!E39</f>
        <v>-9.4000000000014552</v>
      </c>
      <c r="H39" s="60">
        <f t="shared" ref="H39:I41" si="7">F39-D39</f>
        <v>-925407</v>
      </c>
      <c r="I39" s="38">
        <f t="shared" si="7"/>
        <v>-2183959.4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'EAST-EGM-FLSH'!L40</f>
        <v>-5802948</v>
      </c>
      <c r="E40" s="66">
        <f>'EAST-EGM-FLSH'!M40</f>
        <v>-14112628</v>
      </c>
      <c r="F40" s="60">
        <f>'EAST-EGM-GL'!D40</f>
        <v>-3374806</v>
      </c>
      <c r="G40" s="38">
        <f>'EAST-EGM-GL'!E40</f>
        <v>-8076129.7299999995</v>
      </c>
      <c r="H40" s="60">
        <f t="shared" si="7"/>
        <v>2428142</v>
      </c>
      <c r="I40" s="38">
        <f t="shared" si="7"/>
        <v>6036498.2700000005</v>
      </c>
    </row>
    <row r="41" spans="1:9" x14ac:dyDescent="0.2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-5802948</v>
      </c>
      <c r="E42" s="70">
        <f t="shared" si="8"/>
        <v>-14112628</v>
      </c>
      <c r="F42" s="69">
        <f t="shared" si="8"/>
        <v>-3374806</v>
      </c>
      <c r="G42" s="70">
        <f t="shared" si="8"/>
        <v>-8076129.7299999995</v>
      </c>
      <c r="H42" s="69">
        <f t="shared" si="8"/>
        <v>2428142</v>
      </c>
      <c r="I42" s="70">
        <f t="shared" si="8"/>
        <v>6036498.2700000005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-4877545</v>
      </c>
      <c r="E43" s="39">
        <f t="shared" si="9"/>
        <v>-11928678</v>
      </c>
      <c r="F43" s="61">
        <f t="shared" si="9"/>
        <v>-3374810</v>
      </c>
      <c r="G43" s="39">
        <f t="shared" si="9"/>
        <v>-8076139.1299999999</v>
      </c>
      <c r="H43" s="61">
        <f t="shared" si="9"/>
        <v>1502735</v>
      </c>
      <c r="I43" s="39">
        <f t="shared" si="9"/>
        <v>3852538.8700000006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'EAST-EGM-FLSH'!L49</f>
        <v>-2373043</v>
      </c>
      <c r="E49" s="66">
        <f>'EAST-EGM-FLSH'!M49</f>
        <v>-5720449.3496866329</v>
      </c>
      <c r="F49" s="60">
        <f>'EAST-EGM-GL'!D49</f>
        <v>-2390961</v>
      </c>
      <c r="G49" s="38">
        <f>'EAST-EGM-GL'!E49</f>
        <v>-5611585.4669999965</v>
      </c>
      <c r="H49" s="60">
        <f>F49-D49</f>
        <v>-17918</v>
      </c>
      <c r="I49" s="38">
        <f>G49-E49</f>
        <v>108863.88268663641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'EAST-EGM-FLSH'!L51</f>
        <v>-514927</v>
      </c>
      <c r="E51" s="66">
        <f>'EAST-EGM-FLSH'!M51</f>
        <v>-1274153</v>
      </c>
      <c r="F51" s="60">
        <f>'EAST-EGM-GL'!D51</f>
        <v>-2170630</v>
      </c>
      <c r="G51" s="38">
        <f>'EAST-EGM-GL'!E51</f>
        <v>-5094468.6100000003</v>
      </c>
      <c r="H51" s="60">
        <f>F51-D51</f>
        <v>-1655703</v>
      </c>
      <c r="I51" s="38">
        <f>G51-E51</f>
        <v>-3820315.6100000003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-1569739</v>
      </c>
      <c r="F54" s="60">
        <f>'EAST-EGM-GL'!D54</f>
        <v>-131780752</v>
      </c>
      <c r="G54" s="38">
        <f>'EAST-EGM-GL'!E54</f>
        <v>-2971354.58</v>
      </c>
      <c r="H54" s="60">
        <f>F54-D54</f>
        <v>-131780752</v>
      </c>
      <c r="I54" s="38">
        <f>G54-E54</f>
        <v>-1401615.58</v>
      </c>
    </row>
    <row r="55" spans="1:9" x14ac:dyDescent="0.2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-1298289</v>
      </c>
      <c r="F55" s="60">
        <f>'EAST-EGM-GL'!D55</f>
        <v>0</v>
      </c>
      <c r="G55" s="38">
        <f>'EAST-EGM-GL'!E55</f>
        <v>-6962042.2200000007</v>
      </c>
      <c r="H55" s="60">
        <f>F55-D55</f>
        <v>0</v>
      </c>
      <c r="I55" s="38">
        <f>G55-E55</f>
        <v>-5663753.2200000007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-131780752</v>
      </c>
      <c r="G56" s="39">
        <f t="shared" si="10"/>
        <v>-9933396.8000000007</v>
      </c>
      <c r="H56" s="61">
        <f t="shared" si="10"/>
        <v>-131780752</v>
      </c>
      <c r="I56" s="39">
        <f t="shared" si="10"/>
        <v>-7065368.8000000007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65182.55</v>
      </c>
      <c r="H59" s="60">
        <f>F59-D59</f>
        <v>0</v>
      </c>
      <c r="I59" s="38">
        <f>G59-E59</f>
        <v>65182.55</v>
      </c>
    </row>
    <row r="60" spans="1:9" x14ac:dyDescent="0.2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-82527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82527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-82527</v>
      </c>
      <c r="F61" s="69">
        <f t="shared" si="11"/>
        <v>0</v>
      </c>
      <c r="G61" s="70">
        <f t="shared" si="11"/>
        <v>65182.55</v>
      </c>
      <c r="H61" s="69">
        <f t="shared" si="11"/>
        <v>0</v>
      </c>
      <c r="I61" s="70">
        <f t="shared" si="11"/>
        <v>147709.54999999999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55220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-55220</v>
      </c>
    </row>
    <row r="65" spans="1:9" x14ac:dyDescent="0.2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13133657.730900001</v>
      </c>
      <c r="F70" s="60">
        <f>'EAST-EGM-GL'!D70</f>
        <v>0</v>
      </c>
      <c r="G70" s="38">
        <f>'EAST-EGM-GL'!E70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-5194256.8949999996</v>
      </c>
      <c r="F71" s="60">
        <f>'EAST-EGM-GL'!D71</f>
        <v>0</v>
      </c>
      <c r="G71" s="38">
        <f>'EAST-EGM-GL'!E71</f>
        <v>-5194257</v>
      </c>
      <c r="H71" s="60">
        <f>F71-D71</f>
        <v>0</v>
      </c>
      <c r="I71" s="38">
        <f>G71-E71</f>
        <v>-0.10500000044703484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-6295590</v>
      </c>
      <c r="F74" s="60">
        <f>'EAST-EGM-GL'!D74</f>
        <v>0</v>
      </c>
      <c r="G74" s="38">
        <f>'EAST-EGM-GL'!E74</f>
        <v>-6928831.620000001</v>
      </c>
      <c r="H74" s="60">
        <f t="shared" ref="H74:I79" si="14">F74-D74</f>
        <v>0</v>
      </c>
      <c r="I74" s="38">
        <f t="shared" si="14"/>
        <v>-633241.62000000104</v>
      </c>
    </row>
    <row r="75" spans="1:9" x14ac:dyDescent="0.2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311193</v>
      </c>
      <c r="F75" s="60">
        <f>'EAST-EGM-GL'!D75</f>
        <v>0</v>
      </c>
      <c r="G75" s="38">
        <f>'EAST-EGM-GL'!E75</f>
        <v>323400</v>
      </c>
      <c r="H75" s="60">
        <f t="shared" si="14"/>
        <v>0</v>
      </c>
      <c r="I75" s="38">
        <f t="shared" si="14"/>
        <v>12207</v>
      </c>
    </row>
    <row r="76" spans="1:9" x14ac:dyDescent="0.2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-10461</v>
      </c>
      <c r="F76" s="60">
        <f>'EAST-EGM-GL'!D76</f>
        <v>0</v>
      </c>
      <c r="G76" s="38">
        <f>'EAST-EGM-GL'!E76</f>
        <v>-5528.49</v>
      </c>
      <c r="H76" s="60">
        <f t="shared" si="14"/>
        <v>0</v>
      </c>
      <c r="I76" s="38">
        <f t="shared" si="14"/>
        <v>4932.51</v>
      </c>
    </row>
    <row r="77" spans="1:9" x14ac:dyDescent="0.2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-36809</v>
      </c>
      <c r="F77" s="60">
        <f>'EAST-EGM-GL'!D77</f>
        <v>0</v>
      </c>
      <c r="G77" s="38">
        <f>'EAST-EGM-GL'!E77</f>
        <v>-2658334</v>
      </c>
      <c r="H77" s="60">
        <f t="shared" si="14"/>
        <v>0</v>
      </c>
      <c r="I77" s="38">
        <f t="shared" si="14"/>
        <v>-2621525</v>
      </c>
    </row>
    <row r="78" spans="1:9" x14ac:dyDescent="0.2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24523.945</v>
      </c>
      <c r="F78" s="60">
        <f>'EAST-EGM-GL'!D78</f>
        <v>0</v>
      </c>
      <c r="G78" s="38">
        <f>'EAST-EGM-GL'!E78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412862</v>
      </c>
      <c r="F81" s="60">
        <f>'EAST-EGM-GL'!D81</f>
        <v>0</v>
      </c>
      <c r="G81" s="38">
        <f>'EAST-EGM-GL'!E81</f>
        <v>-0.41000000000349246</v>
      </c>
      <c r="H81" s="60">
        <f>F81-D81</f>
        <v>0</v>
      </c>
      <c r="I81" s="38">
        <f>G81-E81</f>
        <v>-412862.41000000003</v>
      </c>
    </row>
    <row r="82" spans="1:63" s="44" customFormat="1" ht="20.25" customHeight="1" thickBot="1" x14ac:dyDescent="0.3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7528788.2751381285</v>
      </c>
      <c r="F82" s="71">
        <f>F16+F24+F29+F36+F43+F45+F47+F49</f>
        <v>0</v>
      </c>
      <c r="G82" s="72">
        <f>SUM(G72:G81)+G16+G24+G29+G36+G43+G45+G47+G49+G51+G56+G61+G66</f>
        <v>2231167.6219999818</v>
      </c>
      <c r="H82" s="71">
        <f>H16+H24+H29+H36+H43+H45+H47+H49</f>
        <v>0</v>
      </c>
      <c r="I82" s="72">
        <f>SUM(I72:I81)+I16+I24+I29+I36+I43+I45+I47+I49+I51+I56+I61+I66</f>
        <v>-5297620.6531380899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'EAST-EGM-FLSH'!L86</f>
        <v>0</v>
      </c>
      <c r="E86" s="145">
        <f>'EAST-EGM-FLSH'!M86</f>
        <v>477104</v>
      </c>
      <c r="F86" s="145">
        <f>'EAST-EGM-GL'!D86</f>
        <v>0</v>
      </c>
      <c r="G86" s="145">
        <f>'EAST-EGM-GL'!E86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477104</v>
      </c>
      <c r="F89" s="160">
        <f t="shared" si="16"/>
        <v>0</v>
      </c>
      <c r="G89" s="160">
        <f t="shared" si="16"/>
        <v>477103</v>
      </c>
      <c r="H89" s="160">
        <f t="shared" si="16"/>
        <v>0</v>
      </c>
      <c r="I89" s="160">
        <f t="shared" si="16"/>
        <v>-1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8005892.2751381285</v>
      </c>
      <c r="F91" s="160">
        <f t="shared" si="17"/>
        <v>0</v>
      </c>
      <c r="G91" s="160">
        <f t="shared" si="17"/>
        <v>2708270.6219999818</v>
      </c>
      <c r="H91" s="160">
        <f t="shared" si="17"/>
        <v>0</v>
      </c>
      <c r="I91" s="160">
        <f t="shared" si="17"/>
        <v>-5297621.6531380899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'EAST-LRC-FLSH'!L11</f>
        <v>16544177</v>
      </c>
      <c r="E11" s="66">
        <f>'EAST-LRC-FLSH'!M11</f>
        <v>39980461.156075291</v>
      </c>
      <c r="F11" s="60">
        <f>'EAST-LRC-GL'!D11</f>
        <v>8645984</v>
      </c>
      <c r="G11" s="38">
        <f>'EAST-LRC-GL'!E11</f>
        <v>21017318.75</v>
      </c>
      <c r="H11" s="60">
        <f>F11-D11</f>
        <v>-7898193</v>
      </c>
      <c r="I11" s="38">
        <f>G11-E11</f>
        <v>-18963142.406075291</v>
      </c>
    </row>
    <row r="12" spans="1:22" x14ac:dyDescent="0.2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11664.26999999999</v>
      </c>
      <c r="H12" s="60">
        <f>F12-D12</f>
        <v>0</v>
      </c>
      <c r="I12" s="38">
        <f>G12-E12</f>
        <v>11664.26999999999</v>
      </c>
    </row>
    <row r="13" spans="1:22" x14ac:dyDescent="0.2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16544177</v>
      </c>
      <c r="E16" s="39">
        <f t="shared" si="1"/>
        <v>39980461.156075291</v>
      </c>
      <c r="F16" s="61">
        <f t="shared" si="1"/>
        <v>8645984</v>
      </c>
      <c r="G16" s="39">
        <f t="shared" si="1"/>
        <v>21028983.02</v>
      </c>
      <c r="H16" s="61">
        <f t="shared" si="1"/>
        <v>-7898193</v>
      </c>
      <c r="I16" s="39">
        <f t="shared" si="1"/>
        <v>-18951478.136075292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'EAST-LRC-FLSH'!L19</f>
        <v>-16435098</v>
      </c>
      <c r="E19" s="66">
        <f>'EAST-LRC-FLSH'!M19</f>
        <v>-39771828</v>
      </c>
      <c r="F19" s="60">
        <f>'EAST-LRC-GL'!D19</f>
        <v>-1378521</v>
      </c>
      <c r="G19" s="38">
        <f>'EAST-LRC-GL'!E19</f>
        <v>-3264588.6900000004</v>
      </c>
      <c r="H19" s="60">
        <f>F19-D19</f>
        <v>15056577</v>
      </c>
      <c r="I19" s="38">
        <f>G19-E19</f>
        <v>36507239.310000002</v>
      </c>
    </row>
    <row r="20" spans="1:9" x14ac:dyDescent="0.2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-26393</v>
      </c>
      <c r="G23" s="38">
        <f>'EAST-LRC-GL'!E23</f>
        <v>-57693.76999999999</v>
      </c>
      <c r="H23" s="60">
        <f t="shared" si="2"/>
        <v>-26393</v>
      </c>
      <c r="I23" s="38">
        <f t="shared" si="2"/>
        <v>-57693.76999999999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-16435098</v>
      </c>
      <c r="E24" s="39">
        <f t="shared" si="3"/>
        <v>-39771828</v>
      </c>
      <c r="F24" s="61">
        <f t="shared" si="3"/>
        <v>-1404914</v>
      </c>
      <c r="G24" s="39">
        <f t="shared" si="3"/>
        <v>-3322282.4600000004</v>
      </c>
      <c r="H24" s="61">
        <f t="shared" si="3"/>
        <v>15030184</v>
      </c>
      <c r="I24" s="39">
        <f t="shared" si="3"/>
        <v>36449545.539999999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6733256</v>
      </c>
      <c r="G27" s="38">
        <f>'EAST-LRC-GL'!E27</f>
        <v>16330556.539999999</v>
      </c>
      <c r="H27" s="60">
        <f>F27-D27</f>
        <v>6733256</v>
      </c>
      <c r="I27" s="38">
        <f>G27-E27</f>
        <v>16330556.539999999</v>
      </c>
    </row>
    <row r="28" spans="1:9" x14ac:dyDescent="0.2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-11489709</v>
      </c>
      <c r="G28" s="38">
        <f>'EAST-LRC-GL'!E28</f>
        <v>-27606880</v>
      </c>
      <c r="H28" s="60">
        <f>F28-D28</f>
        <v>-11489709</v>
      </c>
      <c r="I28" s="38">
        <f>G28-E28</f>
        <v>-27606880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-4756453</v>
      </c>
      <c r="G29" s="70">
        <f t="shared" si="4"/>
        <v>-11276323.460000001</v>
      </c>
      <c r="H29" s="69">
        <f t="shared" si="4"/>
        <v>-4756453</v>
      </c>
      <c r="I29" s="70">
        <f t="shared" si="4"/>
        <v>-11276323.460000001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-134742</v>
      </c>
      <c r="G32" s="38">
        <f>'EAST-LRC-GL'!E32</f>
        <v>-316239.46899999998</v>
      </c>
      <c r="H32" s="60">
        <f>F32-D32</f>
        <v>-134742</v>
      </c>
      <c r="I32" s="38">
        <f>G32-E32</f>
        <v>-316239.46899999998</v>
      </c>
    </row>
    <row r="33" spans="1:9" x14ac:dyDescent="0.2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-134742</v>
      </c>
      <c r="G36" s="39">
        <f t="shared" si="6"/>
        <v>-316239.46899999998</v>
      </c>
      <c r="H36" s="61">
        <f t="shared" si="6"/>
        <v>-134742</v>
      </c>
      <c r="I36" s="39">
        <f t="shared" si="6"/>
        <v>-316239.46899999998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'EAST-LRC-FLSH'!L39</f>
        <v>642669</v>
      </c>
      <c r="E39" s="66">
        <f>'EAST-LRC-FLSH'!M39</f>
        <v>1516700</v>
      </c>
      <c r="F39" s="60">
        <f>'EAST-LRC-GL'!D39</f>
        <v>750236</v>
      </c>
      <c r="G39" s="38">
        <f>'EAST-LRC-GL'!E39</f>
        <v>1519302.92</v>
      </c>
      <c r="H39" s="60">
        <f t="shared" ref="H39:I41" si="7">F39-D39</f>
        <v>107567</v>
      </c>
      <c r="I39" s="38">
        <f t="shared" si="7"/>
        <v>2602.9199999999255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'EAST-LRC-FLSH'!L40</f>
        <v>-3133651</v>
      </c>
      <c r="E40" s="66">
        <f>'EAST-LRC-FLSH'!M40</f>
        <v>-7395416</v>
      </c>
      <c r="F40" s="60">
        <f>'EAST-LRC-GL'!D40</f>
        <v>-3244542</v>
      </c>
      <c r="G40" s="38">
        <f>'EAST-LRC-GL'!E40</f>
        <v>-6571522.0100000007</v>
      </c>
      <c r="H40" s="60">
        <f t="shared" si="7"/>
        <v>-110891</v>
      </c>
      <c r="I40" s="38">
        <f t="shared" si="7"/>
        <v>823893.98999999929</v>
      </c>
    </row>
    <row r="41" spans="1:9" x14ac:dyDescent="0.2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-3133651</v>
      </c>
      <c r="E42" s="70">
        <f t="shared" si="8"/>
        <v>-7395416</v>
      </c>
      <c r="F42" s="69">
        <f t="shared" si="8"/>
        <v>-3244542</v>
      </c>
      <c r="G42" s="70">
        <f t="shared" si="8"/>
        <v>-6571522.0100000007</v>
      </c>
      <c r="H42" s="69">
        <f t="shared" si="8"/>
        <v>-110891</v>
      </c>
      <c r="I42" s="70">
        <f t="shared" si="8"/>
        <v>823893.98999999929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-2490982</v>
      </c>
      <c r="E43" s="39">
        <f t="shared" si="9"/>
        <v>-5878716</v>
      </c>
      <c r="F43" s="61">
        <f t="shared" si="9"/>
        <v>-2494306</v>
      </c>
      <c r="G43" s="39">
        <f t="shared" si="9"/>
        <v>-5052219.0900000008</v>
      </c>
      <c r="H43" s="61">
        <f t="shared" si="9"/>
        <v>-3324</v>
      </c>
      <c r="I43" s="39">
        <f t="shared" si="9"/>
        <v>826496.90999999922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4326</v>
      </c>
      <c r="G45" s="38">
        <f>'EAST-LRC-GL'!E45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'EAST-LRC-FLSH'!L49</f>
        <v>2381903</v>
      </c>
      <c r="E49" s="66">
        <f>'EAST-LRC-FLSH'!M49</f>
        <v>5741243.7696866328</v>
      </c>
      <c r="F49" s="60">
        <f>'EAST-LRC-GL'!D49</f>
        <v>140105</v>
      </c>
      <c r="G49" s="38">
        <f>'EAST-LRC-GL'!E49</f>
        <v>328826.435</v>
      </c>
      <c r="H49" s="60">
        <f>F49-D49</f>
        <v>-2241798</v>
      </c>
      <c r="I49" s="38">
        <f>G49-E49</f>
        <v>-5412417.3346866332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-55521</v>
      </c>
      <c r="G51" s="38">
        <f>'EAST-LRC-GL'!E51</f>
        <v>-117203.71</v>
      </c>
      <c r="H51" s="60">
        <f>F51-D51</f>
        <v>-55521</v>
      </c>
      <c r="I51" s="38">
        <f>G51-E51</f>
        <v>-117203.71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-796718</v>
      </c>
      <c r="G54" s="38">
        <f>'EAST-LRC-GL'!E54</f>
        <v>-23901.54</v>
      </c>
      <c r="H54" s="60">
        <f>F54-D54</f>
        <v>-796718</v>
      </c>
      <c r="I54" s="38">
        <f>G54-E54</f>
        <v>-23901.54</v>
      </c>
    </row>
    <row r="55" spans="1:9" x14ac:dyDescent="0.2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-796718</v>
      </c>
      <c r="G56" s="39">
        <f t="shared" si="10"/>
        <v>-23901.54</v>
      </c>
      <c r="H56" s="61">
        <f t="shared" si="10"/>
        <v>-796718</v>
      </c>
      <c r="I56" s="39">
        <f t="shared" si="10"/>
        <v>-23901.54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2838395</v>
      </c>
      <c r="G59" s="38">
        <f>'EAST-LRC-GL'!E59</f>
        <v>-131171.89000000001</v>
      </c>
      <c r="H59" s="60">
        <f>F59-D59</f>
        <v>2838395</v>
      </c>
      <c r="I59" s="38">
        <f>G59-E59</f>
        <v>-131171.89000000001</v>
      </c>
    </row>
    <row r="60" spans="1:9" x14ac:dyDescent="0.2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82527</v>
      </c>
      <c r="F60" s="60">
        <f>'EAST-LRC-GL'!D60</f>
        <v>954</v>
      </c>
      <c r="G60" s="38">
        <f>'EAST-LRC-GL'!E60</f>
        <v>170000</v>
      </c>
      <c r="H60" s="60">
        <f>F60-D60</f>
        <v>954</v>
      </c>
      <c r="I60" s="38">
        <f>G60-E60</f>
        <v>87473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82527</v>
      </c>
      <c r="F61" s="69">
        <f t="shared" si="11"/>
        <v>2839349</v>
      </c>
      <c r="G61" s="70">
        <f t="shared" si="11"/>
        <v>38828.109999999986</v>
      </c>
      <c r="H61" s="69">
        <f t="shared" si="11"/>
        <v>2839349</v>
      </c>
      <c r="I61" s="70">
        <f t="shared" si="11"/>
        <v>-43698.890000000014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-24119525</v>
      </c>
      <c r="G64" s="38">
        <f>'EAST-LRC-GL'!E64</f>
        <v>-2911525.15</v>
      </c>
      <c r="H64" s="60">
        <f>F64-D64</f>
        <v>-24119525</v>
      </c>
      <c r="I64" s="38">
        <f>G64-E64</f>
        <v>-2911525.15</v>
      </c>
    </row>
    <row r="65" spans="1:9" x14ac:dyDescent="0.2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24119525</v>
      </c>
      <c r="G65" s="38">
        <f>'EAST-LRC-GL'!E65</f>
        <v>2911525.15</v>
      </c>
      <c r="H65" s="60">
        <f>F65-D65</f>
        <v>24119525</v>
      </c>
      <c r="I65" s="38">
        <f>G65-E65</f>
        <v>2911525.15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-3897000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3897000</v>
      </c>
    </row>
    <row r="78" spans="1:9" x14ac:dyDescent="0.2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-3743312.0742380759</v>
      </c>
      <c r="F82" s="71">
        <f>F16+F24+F29+F36+F43+F45+F47+F49</f>
        <v>0</v>
      </c>
      <c r="G82" s="72">
        <f>SUM(G72:G81)+G16+G24+G29+G36+G43+G45+G47+G49+G51+G56+G61+G66</f>
        <v>1288484.8459999976</v>
      </c>
      <c r="H82" s="71">
        <f>H16+H24+H29+H36+H43+H45+H47+H49</f>
        <v>0</v>
      </c>
      <c r="I82" s="72">
        <f>SUM(I72:I81)+I16+I24+I29+I36+I43+I45+I47+I49+I51+I56+I61+I66</f>
        <v>5031796.920238073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93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'BGC-EGM-VAR'!A4</f>
        <v>REGION: SOUTHEAST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'EAST-CON-FLSH'!L11</f>
        <v>212778481</v>
      </c>
      <c r="E11" s="66">
        <f>'EAST-CON-FLSH'!M11</f>
        <v>530052447</v>
      </c>
      <c r="F11" s="60">
        <f>'EAST-CON-GL '!D11</f>
        <v>201697101</v>
      </c>
      <c r="G11" s="38">
        <f>'EAST-CON-GL '!E11</f>
        <v>508088969.34999996</v>
      </c>
      <c r="H11" s="60">
        <f>F11-D11</f>
        <v>-11081380</v>
      </c>
      <c r="I11" s="38">
        <f>G11-E11</f>
        <v>-21963477.650000036</v>
      </c>
    </row>
    <row r="12" spans="1:22" x14ac:dyDescent="0.2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-3868579.8</v>
      </c>
      <c r="H12" s="60">
        <f>F12-D12</f>
        <v>0</v>
      </c>
      <c r="I12" s="38">
        <f>G12-E12</f>
        <v>-3868579.8</v>
      </c>
    </row>
    <row r="13" spans="1:22" x14ac:dyDescent="0.2">
      <c r="A13" s="9">
        <v>3</v>
      </c>
      <c r="B13" s="7"/>
      <c r="C13" s="18" t="s">
        <v>27</v>
      </c>
      <c r="D13" s="65">
        <f>'EAST-CON-FLSH'!L13</f>
        <v>78004071</v>
      </c>
      <c r="E13" s="66">
        <f>'EAST-CON-FLSH'!M13</f>
        <v>201341832</v>
      </c>
      <c r="F13" s="60">
        <f>'EAST-CON-GL '!D13</f>
        <v>20295362</v>
      </c>
      <c r="G13" s="38">
        <f>'EAST-CON-GL '!E13</f>
        <v>51966198</v>
      </c>
      <c r="H13" s="60">
        <f t="shared" ref="H13:I15" si="0">F13-D13</f>
        <v>-57708709</v>
      </c>
      <c r="I13" s="38">
        <f t="shared" si="0"/>
        <v>-149375634</v>
      </c>
    </row>
    <row r="14" spans="1:22" x14ac:dyDescent="0.2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-496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496</v>
      </c>
    </row>
    <row r="15" spans="1:22" x14ac:dyDescent="0.2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5733061.2600000007</v>
      </c>
      <c r="H15" s="60">
        <f t="shared" si="0"/>
        <v>0</v>
      </c>
      <c r="I15" s="38">
        <f t="shared" si="0"/>
        <v>5733061.2600000007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290782552</v>
      </c>
      <c r="E16" s="39">
        <f t="shared" si="1"/>
        <v>731393783</v>
      </c>
      <c r="F16" s="61">
        <f t="shared" si="1"/>
        <v>221992463</v>
      </c>
      <c r="G16" s="39">
        <f t="shared" si="1"/>
        <v>561919648.80999994</v>
      </c>
      <c r="H16" s="61">
        <f t="shared" si="1"/>
        <v>-68790089</v>
      </c>
      <c r="I16" s="39">
        <f t="shared" si="1"/>
        <v>-169474134.19000006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'EAST-CON-FLSH'!L19</f>
        <v>-198083914</v>
      </c>
      <c r="E19" s="66">
        <f>'EAST-CON-FLSH'!M19</f>
        <v>-482114739</v>
      </c>
      <c r="F19" s="60">
        <f>'EAST-CON-GL '!D19</f>
        <v>-190267092</v>
      </c>
      <c r="G19" s="38">
        <f>'EAST-CON-GL '!E19</f>
        <v>-450089399.12</v>
      </c>
      <c r="H19" s="60">
        <f>F19-D19</f>
        <v>7816822</v>
      </c>
      <c r="I19" s="38">
        <f>G19-E19</f>
        <v>32025339.879999995</v>
      </c>
    </row>
    <row r="20" spans="1:9" x14ac:dyDescent="0.2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-9201555.1899999995</v>
      </c>
      <c r="H20" s="60">
        <f>F20-D20</f>
        <v>0</v>
      </c>
      <c r="I20" s="38">
        <f>G20-E20</f>
        <v>-9201555.1899999995</v>
      </c>
    </row>
    <row r="21" spans="1:9" x14ac:dyDescent="0.2">
      <c r="A21" s="9">
        <v>8</v>
      </c>
      <c r="B21" s="7"/>
      <c r="C21" s="18" t="s">
        <v>27</v>
      </c>
      <c r="D21" s="65">
        <f>'EAST-CON-FLSH'!L21</f>
        <v>-82385658</v>
      </c>
      <c r="E21" s="66">
        <f>'EAST-CON-FLSH'!M21</f>
        <v>-214966656</v>
      </c>
      <c r="F21" s="60">
        <f>'EAST-CON-GL '!D21</f>
        <v>-19756732</v>
      </c>
      <c r="G21" s="38">
        <f>'EAST-CON-GL '!E21</f>
        <v>-54147992</v>
      </c>
      <c r="H21" s="60">
        <f t="shared" ref="H21:I23" si="2">F21-D21</f>
        <v>62628926</v>
      </c>
      <c r="I21" s="38">
        <f t="shared" si="2"/>
        <v>160818664</v>
      </c>
    </row>
    <row r="22" spans="1:9" x14ac:dyDescent="0.2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'EAST-CON-FLSH'!L23</f>
        <v>514927</v>
      </c>
      <c r="E23" s="66">
        <f>'EAST-CON-FLSH'!M23</f>
        <v>1274153</v>
      </c>
      <c r="F23" s="60">
        <f>'EAST-CON-GL '!D23</f>
        <v>1412225</v>
      </c>
      <c r="G23" s="38">
        <f>'EAST-CON-GL '!E23</f>
        <v>3227241.176</v>
      </c>
      <c r="H23" s="60">
        <f t="shared" si="2"/>
        <v>897298</v>
      </c>
      <c r="I23" s="38">
        <f t="shared" si="2"/>
        <v>1953088.176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-279954645</v>
      </c>
      <c r="E24" s="39">
        <f t="shared" si="3"/>
        <v>-695807242</v>
      </c>
      <c r="F24" s="61">
        <f t="shared" si="3"/>
        <v>-208611599</v>
      </c>
      <c r="G24" s="39">
        <f t="shared" si="3"/>
        <v>-510211705.134</v>
      </c>
      <c r="H24" s="61">
        <f t="shared" si="3"/>
        <v>71343046</v>
      </c>
      <c r="I24" s="39">
        <f t="shared" si="3"/>
        <v>185595536.866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18070482</v>
      </c>
      <c r="G27" s="38">
        <f>'EAST-CON-GL '!E27</f>
        <v>43607290.700000003</v>
      </c>
      <c r="H27" s="60">
        <f>F27-D27</f>
        <v>18070482</v>
      </c>
      <c r="I27" s="38">
        <f>G27-E27</f>
        <v>43607290.700000003</v>
      </c>
    </row>
    <row r="28" spans="1:9" x14ac:dyDescent="0.2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-19442044</v>
      </c>
      <c r="G28" s="38">
        <f>'EAST-CON-GL '!E28</f>
        <v>-47087580.920000009</v>
      </c>
      <c r="H28" s="60">
        <f>F28-D28</f>
        <v>-19442044</v>
      </c>
      <c r="I28" s="38">
        <f>G28-E28</f>
        <v>-47087580.920000009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-1371562</v>
      </c>
      <c r="G29" s="70">
        <f t="shared" si="4"/>
        <v>-3480290.2200000063</v>
      </c>
      <c r="H29" s="69">
        <f t="shared" si="4"/>
        <v>-1371562</v>
      </c>
      <c r="I29" s="70">
        <f t="shared" si="4"/>
        <v>-3480290.2200000063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'EAST-CON-FLSH'!L32</f>
        <v>-2118787</v>
      </c>
      <c r="E32" s="66">
        <f>'EAST-CON-FLSH'!M32</f>
        <v>-5274638</v>
      </c>
      <c r="F32" s="60">
        <f>'EAST-CON-GL '!D32</f>
        <v>-1860943</v>
      </c>
      <c r="G32" s="38">
        <f>'EAST-CON-GL '!E32</f>
        <v>-4367633.216</v>
      </c>
      <c r="H32" s="60">
        <f>F32-D32</f>
        <v>257844</v>
      </c>
      <c r="I32" s="38">
        <f>G32-E32</f>
        <v>907004.78399999999</v>
      </c>
    </row>
    <row r="33" spans="1:9" x14ac:dyDescent="0.2">
      <c r="A33" s="9">
        <v>14</v>
      </c>
      <c r="B33" s="7"/>
      <c r="C33" s="18" t="s">
        <v>40</v>
      </c>
      <c r="D33" s="65">
        <f>'EAST-CON-FLSH'!L33</f>
        <v>407133</v>
      </c>
      <c r="E33" s="66">
        <f>'EAST-CON-FLSH'!M33</f>
        <v>929952</v>
      </c>
      <c r="F33" s="60">
        <f>'EAST-CON-GL '!D33</f>
        <v>-3106022</v>
      </c>
      <c r="G33" s="38">
        <f>'EAST-CON-GL '!E33</f>
        <v>-2207237.5699999998</v>
      </c>
      <c r="H33" s="60">
        <f t="shared" ref="H33:I35" si="5">F33-D33</f>
        <v>-3513155</v>
      </c>
      <c r="I33" s="38">
        <f t="shared" si="5"/>
        <v>-3137189.57</v>
      </c>
    </row>
    <row r="34" spans="1:9" x14ac:dyDescent="0.2">
      <c r="A34" s="9">
        <v>15</v>
      </c>
      <c r="B34" s="7"/>
      <c r="C34" s="18" t="s">
        <v>41</v>
      </c>
      <c r="D34" s="65">
        <f>'EAST-CON-FLSH'!L34</f>
        <v>-816595</v>
      </c>
      <c r="E34" s="66">
        <f>'EAST-CON-FLSH'!M34</f>
        <v>-1863552</v>
      </c>
      <c r="F34" s="60">
        <f>'EAST-CON-GL '!D34</f>
        <v>2533309</v>
      </c>
      <c r="G34" s="38">
        <f>'EAST-CON-GL '!E34</f>
        <v>1039877.84</v>
      </c>
      <c r="H34" s="60">
        <f t="shared" si="5"/>
        <v>3349904</v>
      </c>
      <c r="I34" s="38">
        <f t="shared" si="5"/>
        <v>2903429.84</v>
      </c>
    </row>
    <row r="35" spans="1:9" x14ac:dyDescent="0.2">
      <c r="A35" s="9">
        <v>16</v>
      </c>
      <c r="B35" s="7"/>
      <c r="C35" s="18" t="s">
        <v>42</v>
      </c>
      <c r="D35" s="65">
        <f>'EAST-CON-FLSH'!L35</f>
        <v>-939991</v>
      </c>
      <c r="E35" s="66">
        <f>'EAST-CON-FLSH'!M35</f>
        <v>-2167386</v>
      </c>
      <c r="F35" s="60">
        <f>'EAST-CON-GL '!D35</f>
        <v>-1460000</v>
      </c>
      <c r="G35" s="38">
        <f>'EAST-CON-GL '!E35</f>
        <v>-4392333.01</v>
      </c>
      <c r="H35" s="60">
        <f t="shared" si="5"/>
        <v>-520009</v>
      </c>
      <c r="I35" s="38">
        <f t="shared" si="5"/>
        <v>-2224947.0099999998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-3468240</v>
      </c>
      <c r="E36" s="39">
        <f t="shared" si="6"/>
        <v>-8375624</v>
      </c>
      <c r="F36" s="61">
        <f t="shared" si="6"/>
        <v>-3893656</v>
      </c>
      <c r="G36" s="39">
        <f t="shared" si="6"/>
        <v>-9927325.9560000002</v>
      </c>
      <c r="H36" s="61">
        <f t="shared" si="6"/>
        <v>-425416</v>
      </c>
      <c r="I36" s="39">
        <f t="shared" si="6"/>
        <v>-1551701.9559999998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'EAST-CON-FLSH'!L39</f>
        <v>1568072</v>
      </c>
      <c r="E39" s="66">
        <f>'EAST-CON-FLSH'!M39</f>
        <v>3700650</v>
      </c>
      <c r="F39" s="60">
        <f>'EAST-CON-GL '!D39</f>
        <v>750232</v>
      </c>
      <c r="G39" s="38">
        <f>'EAST-CON-GL '!E39</f>
        <v>1519293.5199999998</v>
      </c>
      <c r="H39" s="60">
        <f t="shared" ref="H39:I41" si="7">F39-D39</f>
        <v>-817840</v>
      </c>
      <c r="I39" s="38">
        <f t="shared" si="7"/>
        <v>-2181356.4800000004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'EAST-CON-FLSH'!L40</f>
        <v>-8936599</v>
      </c>
      <c r="E40" s="66">
        <f>'EAST-CON-FLSH'!M40</f>
        <v>-21508044</v>
      </c>
      <c r="F40" s="60">
        <f>'EAST-CON-GL '!D40</f>
        <v>-6619348</v>
      </c>
      <c r="G40" s="38">
        <f>'EAST-CON-GL '!E40</f>
        <v>-14647651.74</v>
      </c>
      <c r="H40" s="60">
        <f t="shared" si="7"/>
        <v>2317251</v>
      </c>
      <c r="I40" s="38">
        <f t="shared" si="7"/>
        <v>6860392.2599999998</v>
      </c>
    </row>
    <row r="41" spans="1:9" x14ac:dyDescent="0.2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-8936599</v>
      </c>
      <c r="E42" s="70">
        <f t="shared" si="8"/>
        <v>-21508044</v>
      </c>
      <c r="F42" s="69">
        <f t="shared" si="8"/>
        <v>-6619348</v>
      </c>
      <c r="G42" s="70">
        <f t="shared" si="8"/>
        <v>-14647651.74</v>
      </c>
      <c r="H42" s="69">
        <f t="shared" si="8"/>
        <v>2317251</v>
      </c>
      <c r="I42" s="70">
        <f t="shared" si="8"/>
        <v>6860392.2599999998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-7368527</v>
      </c>
      <c r="E43" s="39">
        <f t="shared" si="9"/>
        <v>-17807394</v>
      </c>
      <c r="F43" s="61">
        <f t="shared" si="9"/>
        <v>-5869116</v>
      </c>
      <c r="G43" s="39">
        <f t="shared" si="9"/>
        <v>-13128358.220000001</v>
      </c>
      <c r="H43" s="61">
        <f t="shared" si="9"/>
        <v>1499411</v>
      </c>
      <c r="I43" s="39">
        <f t="shared" si="9"/>
        <v>4679035.7799999993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4326</v>
      </c>
      <c r="G45" s="38">
        <f>'EAST-CON-GL '!E45</f>
        <v>17.010000000000002</v>
      </c>
      <c r="H45" s="60">
        <f>F45-D45</f>
        <v>4326</v>
      </c>
      <c r="I45" s="38">
        <f>G45-E45</f>
        <v>17.010000000000002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'EAST-CON-FLSH'!L49</f>
        <v>8860</v>
      </c>
      <c r="E49" s="66">
        <f>'EAST-CON-FLSH'!M49</f>
        <v>20794.419999999925</v>
      </c>
      <c r="F49" s="60">
        <f>'EAST-CON-GL '!D49</f>
        <v>-2250856</v>
      </c>
      <c r="G49" s="38">
        <f>'EAST-CON-GL '!E49</f>
        <v>-5282759.0319999978</v>
      </c>
      <c r="H49" s="60">
        <f>F49-D49</f>
        <v>-2259716</v>
      </c>
      <c r="I49" s="38">
        <f>G49-E49</f>
        <v>-5303553.4519999977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'EAST-CON-FLSH'!L51</f>
        <v>-514927</v>
      </c>
      <c r="E51" s="66">
        <f>'EAST-CON-FLSH'!M51</f>
        <v>-1274153</v>
      </c>
      <c r="F51" s="60">
        <f>'EAST-CON-GL '!D51</f>
        <v>-2226151</v>
      </c>
      <c r="G51" s="38">
        <f>'EAST-CON-GL '!E51</f>
        <v>-5211672.32</v>
      </c>
      <c r="H51" s="60">
        <f>F51-D51</f>
        <v>-1711224</v>
      </c>
      <c r="I51" s="38">
        <f>G51-E51</f>
        <v>-3937519.3200000003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-1569739</v>
      </c>
      <c r="F54" s="60">
        <f>'EAST-CON-GL '!D54</f>
        <v>-132577470</v>
      </c>
      <c r="G54" s="38">
        <f>'EAST-CON-GL '!E54</f>
        <v>-2995256.12</v>
      </c>
      <c r="H54" s="60">
        <f>F54-D54</f>
        <v>-132577470</v>
      </c>
      <c r="I54" s="38">
        <f>G54-E54</f>
        <v>-1425517.12</v>
      </c>
    </row>
    <row r="55" spans="1:9" x14ac:dyDescent="0.2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-1298289</v>
      </c>
      <c r="F55" s="60">
        <f>'EAST-CON-GL '!D55</f>
        <v>0</v>
      </c>
      <c r="G55" s="38">
        <f>'EAST-CON-GL '!E55</f>
        <v>-6962042.2200000007</v>
      </c>
      <c r="H55" s="60">
        <f>F55-D55</f>
        <v>0</v>
      </c>
      <c r="I55" s="38">
        <f>G55-E55</f>
        <v>-5663753.2200000007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-2868028</v>
      </c>
      <c r="F56" s="61">
        <f t="shared" si="10"/>
        <v>-132577470</v>
      </c>
      <c r="G56" s="39">
        <f t="shared" si="10"/>
        <v>-9957298.3399999999</v>
      </c>
      <c r="H56" s="61">
        <f t="shared" si="10"/>
        <v>-132577470</v>
      </c>
      <c r="I56" s="39">
        <f t="shared" si="10"/>
        <v>-7089270.3400000008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2838395</v>
      </c>
      <c r="G59" s="38">
        <f>'EAST-CON-GL '!E59</f>
        <v>-65989.34</v>
      </c>
      <c r="H59" s="60">
        <f>F59-D59</f>
        <v>2838395</v>
      </c>
      <c r="I59" s="38">
        <f>G59-E59</f>
        <v>-65989.34</v>
      </c>
    </row>
    <row r="60" spans="1:9" x14ac:dyDescent="0.2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954</v>
      </c>
      <c r="G60" s="38">
        <f>'EAST-CON-GL '!E60</f>
        <v>170000</v>
      </c>
      <c r="H60" s="60">
        <f>F60-D60</f>
        <v>954</v>
      </c>
      <c r="I60" s="38">
        <f>G60-E60</f>
        <v>170000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2839349</v>
      </c>
      <c r="G61" s="70">
        <f t="shared" si="11"/>
        <v>104010.66</v>
      </c>
      <c r="H61" s="69">
        <f t="shared" si="11"/>
        <v>2839349</v>
      </c>
      <c r="I61" s="70">
        <f t="shared" si="11"/>
        <v>104010.66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55220</v>
      </c>
      <c r="F64" s="60">
        <f>'EAST-CON-GL '!D64</f>
        <v>-24119525</v>
      </c>
      <c r="G64" s="38">
        <f>'EAST-CON-GL '!E64</f>
        <v>-2911525.15</v>
      </c>
      <c r="H64" s="60">
        <f>F64-D64</f>
        <v>-24119525</v>
      </c>
      <c r="I64" s="38">
        <f>G64-E64</f>
        <v>-2966745.15</v>
      </c>
    </row>
    <row r="65" spans="1:9" x14ac:dyDescent="0.2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24119525</v>
      </c>
      <c r="G65" s="38">
        <f>'EAST-CON-GL '!E65</f>
        <v>2911525.15</v>
      </c>
      <c r="H65" s="60">
        <f>F65-D65</f>
        <v>24119525</v>
      </c>
      <c r="I65" s="38">
        <f>G65-E65</f>
        <v>2911525.15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55220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-55220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13133657.730900001</v>
      </c>
      <c r="F70" s="60">
        <f>'EAST-CON-GL '!D70</f>
        <v>0</v>
      </c>
      <c r="G70" s="38">
        <f>'EAST-CON-GL '!E70</f>
        <v>13133657.73</v>
      </c>
      <c r="H70" s="60">
        <f>F70-D70</f>
        <v>0</v>
      </c>
      <c r="I70" s="38">
        <f>G70-E70</f>
        <v>-9.0000033378601074E-4</v>
      </c>
    </row>
    <row r="71" spans="1:9" x14ac:dyDescent="0.2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-5194256.8949999996</v>
      </c>
      <c r="F71" s="60">
        <f>'EAST-CON-GL '!D71</f>
        <v>0</v>
      </c>
      <c r="G71" s="38">
        <f>'EAST-CON-GL '!E71</f>
        <v>-5194257</v>
      </c>
      <c r="H71" s="60">
        <f>F71-D71</f>
        <v>0</v>
      </c>
      <c r="I71" s="38">
        <f>G71-E71</f>
        <v>-0.10500000044703484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7939400.8359000012</v>
      </c>
      <c r="F72" s="69">
        <f t="shared" si="13"/>
        <v>0</v>
      </c>
      <c r="G72" s="70">
        <f t="shared" si="13"/>
        <v>7939400.7300000004</v>
      </c>
      <c r="H72" s="69">
        <f t="shared" si="13"/>
        <v>0</v>
      </c>
      <c r="I72" s="70">
        <f t="shared" si="13"/>
        <v>-0.10590000078082085</v>
      </c>
    </row>
    <row r="73" spans="1:9" x14ac:dyDescent="0.2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-6295590</v>
      </c>
      <c r="F74" s="60">
        <f>'EAST-CON-GL '!D74</f>
        <v>0</v>
      </c>
      <c r="G74" s="38">
        <f>'EAST-CON-GL '!E74</f>
        <v>-6864622.4600000009</v>
      </c>
      <c r="H74" s="60">
        <f t="shared" ref="H74:I79" si="14">F74-D74</f>
        <v>0</v>
      </c>
      <c r="I74" s="38">
        <f t="shared" si="14"/>
        <v>-569032.46000000089</v>
      </c>
    </row>
    <row r="75" spans="1:9" x14ac:dyDescent="0.2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311193</v>
      </c>
      <c r="F75" s="60">
        <f>'EAST-CON-GL '!D75</f>
        <v>0</v>
      </c>
      <c r="G75" s="38">
        <f>'EAST-CON-GL '!E75</f>
        <v>323400</v>
      </c>
      <c r="H75" s="60">
        <f t="shared" si="14"/>
        <v>0</v>
      </c>
      <c r="I75" s="38">
        <f t="shared" si="14"/>
        <v>12207</v>
      </c>
    </row>
    <row r="76" spans="1:9" x14ac:dyDescent="0.2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-10461</v>
      </c>
      <c r="F76" s="60">
        <f>'EAST-CON-GL '!D76</f>
        <v>0</v>
      </c>
      <c r="G76" s="38">
        <f>'EAST-CON-GL '!E76</f>
        <v>-5528.49</v>
      </c>
      <c r="H76" s="60">
        <f t="shared" si="14"/>
        <v>0</v>
      </c>
      <c r="I76" s="38">
        <f t="shared" si="14"/>
        <v>4932.51</v>
      </c>
    </row>
    <row r="77" spans="1:9" x14ac:dyDescent="0.2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-3933809</v>
      </c>
      <c r="F77" s="60">
        <f>'EAST-CON-GL '!D77</f>
        <v>0</v>
      </c>
      <c r="G77" s="38">
        <f>'EAST-CON-GL '!E77</f>
        <v>-2658334</v>
      </c>
      <c r="H77" s="60">
        <f t="shared" si="14"/>
        <v>0</v>
      </c>
      <c r="I77" s="38">
        <f t="shared" si="14"/>
        <v>1275475</v>
      </c>
    </row>
    <row r="78" spans="1:9" x14ac:dyDescent="0.2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24523.945</v>
      </c>
      <c r="F78" s="60">
        <f>'EAST-CON-GL '!D78</f>
        <v>0</v>
      </c>
      <c r="G78" s="38">
        <f>'EAST-CON-GL '!E78</f>
        <v>25279</v>
      </c>
      <c r="H78" s="60">
        <f t="shared" si="14"/>
        <v>0</v>
      </c>
      <c r="I78" s="38">
        <f t="shared" si="14"/>
        <v>755.05500000000029</v>
      </c>
    </row>
    <row r="79" spans="1:9" x14ac:dyDescent="0.2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412862</v>
      </c>
      <c r="F81" s="60">
        <f>'EAST-CON-GL '!D81</f>
        <v>0</v>
      </c>
      <c r="G81" s="38">
        <f>'EAST-CON-GL '!E81</f>
        <v>-0.41000000000349246</v>
      </c>
      <c r="H81" s="60">
        <f>F81-D81</f>
        <v>0</v>
      </c>
      <c r="I81" s="38">
        <f>G81-E81</f>
        <v>-412862.41000000003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3785476.2009000015</v>
      </c>
      <c r="F82" s="109">
        <f>F16+F24+F29+F36+F43+F45+F47+F49</f>
        <v>0</v>
      </c>
      <c r="G82" s="110">
        <f>SUM(G72:G81)+G16+G24+G29+G36+G43+G45+G47+G49+G51+G56+G61+G66</f>
        <v>3583861.6279999427</v>
      </c>
      <c r="H82" s="109">
        <f>H16+H24+H29+H36+H43+H45+H47+H49</f>
        <v>0</v>
      </c>
      <c r="I82" s="110">
        <f>SUM(I72:I81)+I16+I24+I29+I36+I43+I45+I47+I49+I51+I56+I61+I66</f>
        <v>-201614.5729000635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'EAST-CON-FLSH'!L86</f>
        <v>0</v>
      </c>
      <c r="E86" s="145">
        <f>'EAST-CON-FLSH'!M86</f>
        <v>477104</v>
      </c>
      <c r="F86" s="145">
        <f>'EAST-CON-GL '!D86</f>
        <v>0</v>
      </c>
      <c r="G86" s="145">
        <f>'EAST-CON-GL '!E86</f>
        <v>477103</v>
      </c>
      <c r="H86" s="145">
        <f t="shared" ref="H86:I88" si="15">F86-D86</f>
        <v>0</v>
      </c>
      <c r="I86" s="145">
        <f t="shared" si="15"/>
        <v>-1</v>
      </c>
    </row>
    <row r="87" spans="1:63" x14ac:dyDescent="0.2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477104</v>
      </c>
      <c r="F89" s="155">
        <f t="shared" si="16"/>
        <v>0</v>
      </c>
      <c r="G89" s="155">
        <f t="shared" si="16"/>
        <v>477103</v>
      </c>
      <c r="H89" s="155">
        <f t="shared" si="16"/>
        <v>0</v>
      </c>
      <c r="I89" s="155">
        <f t="shared" si="16"/>
        <v>-1</v>
      </c>
    </row>
    <row r="90" spans="1:63" x14ac:dyDescent="0.2">
      <c r="A90" s="4"/>
      <c r="B90" s="3"/>
      <c r="F90" s="31"/>
      <c r="G90" s="31"/>
      <c r="H90" s="31"/>
      <c r="I90" s="31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4262580.2009000015</v>
      </c>
      <c r="F91" s="160">
        <f t="shared" si="17"/>
        <v>0</v>
      </c>
      <c r="G91" s="160">
        <f t="shared" si="17"/>
        <v>4060964.6279999427</v>
      </c>
      <c r="H91" s="160">
        <f t="shared" si="17"/>
        <v>0</v>
      </c>
      <c r="I91" s="160">
        <f t="shared" si="17"/>
        <v>-201615.5729000635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s="14" customFormat="1" x14ac:dyDescent="0.2">
      <c r="A94" s="164"/>
      <c r="B94" s="165"/>
      <c r="D94" s="31"/>
      <c r="E94" s="14">
        <f>+'EAST-EGM-VAR'!E91+'EAST-LRC-VAR'!E82</f>
        <v>4262580.2009000527</v>
      </c>
      <c r="G94" s="14">
        <f>+'EAST-EGM-VAR'!G91+'EAST-LRC-VAR'!G82</f>
        <v>3996755.4679999794</v>
      </c>
      <c r="I94" s="14">
        <f>+'EAST-EGM-VAR'!I91+'EAST-LRC-VAR'!I82</f>
        <v>-265824.73290001694</v>
      </c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'TX-EGM-FLSH'!L11</f>
        <v>17467325</v>
      </c>
      <c r="E11" s="66">
        <f>'TX-EGM-FLSH'!M11</f>
        <v>41711686.160000004</v>
      </c>
      <c r="F11" s="60">
        <f>'TX-EGM-GL'!D11</f>
        <v>17436162</v>
      </c>
      <c r="G11" s="38">
        <f>'TX-EGM-GL'!E11</f>
        <v>46261926.950000003</v>
      </c>
      <c r="H11" s="60">
        <f>F11-D11</f>
        <v>-31163</v>
      </c>
      <c r="I11" s="38">
        <f>G11-E11</f>
        <v>4550240.7899999991</v>
      </c>
    </row>
    <row r="12" spans="1:22" x14ac:dyDescent="0.2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-6244446.9299999997</v>
      </c>
      <c r="H12" s="60">
        <f>F12-D12</f>
        <v>0</v>
      </c>
      <c r="I12" s="38">
        <f>G12-E12</f>
        <v>-6244446.9299999997</v>
      </c>
    </row>
    <row r="13" spans="1:22" x14ac:dyDescent="0.2">
      <c r="A13" s="9">
        <v>3</v>
      </c>
      <c r="B13" s="7"/>
      <c r="C13" s="18" t="s">
        <v>27</v>
      </c>
      <c r="D13" s="65">
        <f>'TX-EGM-FLSH'!L13</f>
        <v>1475282</v>
      </c>
      <c r="E13" s="66">
        <f>'TX-EGM-FLSH'!M13</f>
        <v>3402546.59</v>
      </c>
      <c r="F13" s="60">
        <f>'TX-EGM-GL'!D13</f>
        <v>1475282</v>
      </c>
      <c r="G13" s="38">
        <f>'TX-EGM-GL'!E13</f>
        <v>3402547</v>
      </c>
      <c r="H13" s="60">
        <f t="shared" ref="H13:I15" si="0">F13-D13</f>
        <v>0</v>
      </c>
      <c r="I13" s="38">
        <f t="shared" si="0"/>
        <v>0.41000000014901161</v>
      </c>
    </row>
    <row r="14" spans="1:22" x14ac:dyDescent="0.2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120000</v>
      </c>
      <c r="F15" s="60">
        <f>'TX-EGM-GL'!D15</f>
        <v>0</v>
      </c>
      <c r="G15" s="38">
        <f>'TX-EGM-GL'!E15</f>
        <v>2491160</v>
      </c>
      <c r="H15" s="60">
        <f t="shared" si="0"/>
        <v>0</v>
      </c>
      <c r="I15" s="38">
        <f t="shared" si="0"/>
        <v>2371160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18942607</v>
      </c>
      <c r="E16" s="39">
        <f t="shared" si="1"/>
        <v>45234232.75</v>
      </c>
      <c r="F16" s="61">
        <f t="shared" si="1"/>
        <v>18911444</v>
      </c>
      <c r="G16" s="39">
        <f t="shared" si="1"/>
        <v>45911187.020000003</v>
      </c>
      <c r="H16" s="61">
        <f t="shared" si="1"/>
        <v>-31163</v>
      </c>
      <c r="I16" s="39">
        <f t="shared" si="1"/>
        <v>676954.26999999955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'TX-EGM-FLSH'!L19</f>
        <v>-4577602</v>
      </c>
      <c r="E19" s="66">
        <f>'TX-EGM-FLSH'!M19</f>
        <v>-10382268.059999995</v>
      </c>
      <c r="F19" s="60">
        <f>'TX-EGM-GL'!D19</f>
        <v>-4563404</v>
      </c>
      <c r="G19" s="38">
        <f>'TX-EGM-GL'!E19</f>
        <v>-10284723.299999999</v>
      </c>
      <c r="H19" s="60">
        <f>F19-D19</f>
        <v>14198</v>
      </c>
      <c r="I19" s="38">
        <f>G19-E19</f>
        <v>97544.759999996051</v>
      </c>
    </row>
    <row r="20" spans="1:9" x14ac:dyDescent="0.2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1843371.23</v>
      </c>
      <c r="H20" s="60">
        <f>F20-D20</f>
        <v>0</v>
      </c>
      <c r="I20" s="38">
        <f>G20-E20</f>
        <v>1843371.23</v>
      </c>
    </row>
    <row r="21" spans="1:9" x14ac:dyDescent="0.2">
      <c r="A21" s="9">
        <v>8</v>
      </c>
      <c r="B21" s="7"/>
      <c r="C21" s="18" t="s">
        <v>27</v>
      </c>
      <c r="D21" s="65">
        <f>'TX-EGM-FLSH'!L21</f>
        <v>-139780</v>
      </c>
      <c r="E21" s="66">
        <f>'TX-EGM-FLSH'!M21</f>
        <v>-297683</v>
      </c>
      <c r="F21" s="60">
        <f>'TX-EGM-GL'!D21</f>
        <v>-139069</v>
      </c>
      <c r="G21" s="38">
        <f>'TX-EGM-GL'!E21</f>
        <v>-296117</v>
      </c>
      <c r="H21" s="60">
        <f t="shared" ref="H21:I23" si="2">F21-D21</f>
        <v>711</v>
      </c>
      <c r="I21" s="38">
        <f t="shared" si="2"/>
        <v>1566</v>
      </c>
    </row>
    <row r="22" spans="1:9" x14ac:dyDescent="0.2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'TX-EGM-FLSH'!L23</f>
        <v>14</v>
      </c>
      <c r="E23" s="66">
        <f>'TX-EGM-FLSH'!M23</f>
        <v>30.82</v>
      </c>
      <c r="F23" s="60">
        <f>'TX-EGM-GL'!D23</f>
        <v>13806</v>
      </c>
      <c r="G23" s="38">
        <f>'TX-EGM-GL'!E23</f>
        <v>31381.038</v>
      </c>
      <c r="H23" s="60">
        <f t="shared" si="2"/>
        <v>13792</v>
      </c>
      <c r="I23" s="38">
        <f t="shared" si="2"/>
        <v>31350.218000000001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-4717368</v>
      </c>
      <c r="E24" s="39">
        <f t="shared" si="3"/>
        <v>-10679920.239999995</v>
      </c>
      <c r="F24" s="61">
        <f t="shared" si="3"/>
        <v>-4688667</v>
      </c>
      <c r="G24" s="39">
        <f t="shared" si="3"/>
        <v>-8706088.0319999978</v>
      </c>
      <c r="H24" s="61">
        <f t="shared" si="3"/>
        <v>28701</v>
      </c>
      <c r="I24" s="39">
        <f t="shared" si="3"/>
        <v>1973832.2079999961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'TX-EGM-FLSH'!L27</f>
        <v>16759808</v>
      </c>
      <c r="E27" s="66">
        <f>'TX-EGM-FLSH'!M27</f>
        <v>39436699.719999999</v>
      </c>
      <c r="F27" s="60">
        <f>'TX-EGM-GL'!D27</f>
        <v>6599514</v>
      </c>
      <c r="G27" s="38">
        <f>'TX-EGM-GL'!E27</f>
        <v>15744279.02</v>
      </c>
      <c r="H27" s="60">
        <f>F27-D27</f>
        <v>-10160294</v>
      </c>
      <c r="I27" s="38">
        <f>G27-E27</f>
        <v>-23692420.699999999</v>
      </c>
    </row>
    <row r="28" spans="1:9" x14ac:dyDescent="0.2">
      <c r="A28" s="9">
        <v>12</v>
      </c>
      <c r="B28" s="7"/>
      <c r="C28" s="18" t="s">
        <v>36</v>
      </c>
      <c r="D28" s="65">
        <f>'TX-EGM-FLSH'!L28</f>
        <v>-21047139</v>
      </c>
      <c r="E28" s="66">
        <f>'TX-EGM-FLSH'!M28</f>
        <v>-47754777.990000002</v>
      </c>
      <c r="F28" s="60">
        <f>'TX-EGM-GL'!D28</f>
        <v>-19804360</v>
      </c>
      <c r="G28" s="38">
        <f>'TX-EGM-GL'!E28</f>
        <v>-45186991.870000005</v>
      </c>
      <c r="H28" s="60">
        <f>F28-D28</f>
        <v>1242779</v>
      </c>
      <c r="I28" s="38">
        <f>G28-E28</f>
        <v>2567786.1199999973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-4287331</v>
      </c>
      <c r="E29" s="70">
        <f t="shared" si="4"/>
        <v>-8318078.2700000033</v>
      </c>
      <c r="F29" s="69">
        <f t="shared" si="4"/>
        <v>-13204846</v>
      </c>
      <c r="G29" s="70">
        <f t="shared" si="4"/>
        <v>-29442712.850000005</v>
      </c>
      <c r="H29" s="69">
        <f t="shared" si="4"/>
        <v>-8917515</v>
      </c>
      <c r="I29" s="70">
        <f t="shared" si="4"/>
        <v>-21124634.580000002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-22693</v>
      </c>
      <c r="G32" s="38">
        <f>'TX-EGM-GL'!E32</f>
        <v>-51581.18899999815</v>
      </c>
      <c r="H32" s="60">
        <f>F32-D32</f>
        <v>-22693</v>
      </c>
      <c r="I32" s="38">
        <f>G32-E32</f>
        <v>-51581.18899999815</v>
      </c>
    </row>
    <row r="33" spans="1:9" x14ac:dyDescent="0.2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0</v>
      </c>
      <c r="G35" s="38">
        <f>'TX-EGM-GL'!E35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-22693</v>
      </c>
      <c r="G36" s="39">
        <f t="shared" si="6"/>
        <v>-51581.18899999815</v>
      </c>
      <c r="H36" s="61">
        <f t="shared" si="6"/>
        <v>-22693</v>
      </c>
      <c r="I36" s="39">
        <f t="shared" si="6"/>
        <v>-51581.18899999815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'TX-EGM-FLSH'!L40</f>
        <v>-854082</v>
      </c>
      <c r="E40" s="66">
        <f>'TX-EGM-FLSH'!M40</f>
        <v>-1974467.45</v>
      </c>
      <c r="F40" s="60">
        <f>'TX-EGM-GL'!D40</f>
        <v>-969922</v>
      </c>
      <c r="G40" s="38">
        <f>'TX-EGM-GL'!E40</f>
        <v>-4110436.89</v>
      </c>
      <c r="H40" s="60">
        <f t="shared" si="7"/>
        <v>-115840</v>
      </c>
      <c r="I40" s="38">
        <f t="shared" si="7"/>
        <v>-2135969.4400000004</v>
      </c>
    </row>
    <row r="41" spans="1:9" x14ac:dyDescent="0.2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-854082</v>
      </c>
      <c r="E42" s="70">
        <f t="shared" si="8"/>
        <v>-1974467.45</v>
      </c>
      <c r="F42" s="69">
        <f t="shared" si="8"/>
        <v>-969922</v>
      </c>
      <c r="G42" s="70">
        <f t="shared" si="8"/>
        <v>-4110436.89</v>
      </c>
      <c r="H42" s="69">
        <f t="shared" si="8"/>
        <v>-115840</v>
      </c>
      <c r="I42" s="70">
        <f t="shared" si="8"/>
        <v>-2135969.4400000004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-854082</v>
      </c>
      <c r="E43" s="39">
        <f t="shared" si="9"/>
        <v>-1974467.45</v>
      </c>
      <c r="F43" s="61">
        <f t="shared" si="9"/>
        <v>-969922</v>
      </c>
      <c r="G43" s="39">
        <f t="shared" si="9"/>
        <v>-4110436.89</v>
      </c>
      <c r="H43" s="61">
        <f t="shared" si="9"/>
        <v>-115840</v>
      </c>
      <c r="I43" s="39">
        <f t="shared" si="9"/>
        <v>-2135969.4400000004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'TX-EGM-FLSH'!L49</f>
        <v>-9083826</v>
      </c>
      <c r="E49" s="66">
        <f>'TX-EGM-FLSH'!M49</f>
        <v>-20648848.037081048</v>
      </c>
      <c r="F49" s="60">
        <f>'TX-EGM-GL'!D49</f>
        <v>-25316</v>
      </c>
      <c r="G49" s="38">
        <f>'TX-EGM-GL'!E49</f>
        <v>-57543.267999999982</v>
      </c>
      <c r="H49" s="60">
        <f>F49-D49</f>
        <v>9058510</v>
      </c>
      <c r="I49" s="38">
        <f>G49-E49</f>
        <v>20591304.769081049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'TX-EGM-FLSH'!L51</f>
        <v>-14</v>
      </c>
      <c r="E51" s="66">
        <f>'TX-EGM-FLSH'!M51</f>
        <v>0</v>
      </c>
      <c r="F51" s="60">
        <f>'TX-EGM-GL'!D51</f>
        <v>-13806</v>
      </c>
      <c r="G51" s="38">
        <f>'TX-EGM-GL'!E51</f>
        <v>-31381.038</v>
      </c>
      <c r="H51" s="60">
        <f>F51-D51</f>
        <v>-13792</v>
      </c>
      <c r="I51" s="38">
        <f>G51-E51</f>
        <v>-31381.038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-475000</v>
      </c>
      <c r="F54" s="60">
        <f>'TX-EGM-GL'!D54</f>
        <v>-16449022</v>
      </c>
      <c r="G54" s="38">
        <f>'TX-EGM-GL'!E54</f>
        <v>-402334.96</v>
      </c>
      <c r="H54" s="60">
        <f>F54-D54</f>
        <v>-16449022</v>
      </c>
      <c r="I54" s="38">
        <f>G54-E54</f>
        <v>72665.039999999979</v>
      </c>
    </row>
    <row r="55" spans="1:9" x14ac:dyDescent="0.2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-143319.06</v>
      </c>
      <c r="H55" s="60">
        <f>F55-D55</f>
        <v>0</v>
      </c>
      <c r="I55" s="38">
        <f>G55-E55</f>
        <v>-143319.06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-475000</v>
      </c>
      <c r="F56" s="61">
        <f t="shared" si="10"/>
        <v>-16449022</v>
      </c>
      <c r="G56" s="39">
        <f t="shared" si="10"/>
        <v>-545654.02</v>
      </c>
      <c r="H56" s="61">
        <f t="shared" si="10"/>
        <v>-16449022</v>
      </c>
      <c r="I56" s="39">
        <f t="shared" si="10"/>
        <v>-70654.020000000019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-971.85</v>
      </c>
      <c r="H64" s="60">
        <f>F64-D64</f>
        <v>0</v>
      </c>
      <c r="I64" s="38">
        <f>G64-E64</f>
        <v>-971.85</v>
      </c>
    </row>
    <row r="65" spans="1:9" x14ac:dyDescent="0.2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-971.85</v>
      </c>
      <c r="H66" s="61">
        <f t="shared" si="12"/>
        <v>0</v>
      </c>
      <c r="I66" s="39">
        <f t="shared" si="12"/>
        <v>-971.85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-2639306.77</v>
      </c>
      <c r="F70" s="60">
        <f>'TX-EGM-GL'!D70</f>
        <v>0</v>
      </c>
      <c r="G70" s="38">
        <f>'TX-EGM-GL'!E70</f>
        <v>-2639306.77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739519</v>
      </c>
      <c r="F71" s="60">
        <f>'TX-EGM-GL'!D71</f>
        <v>0</v>
      </c>
      <c r="G71" s="38">
        <f>'TX-EGM-GL'!E71</f>
        <v>739518.78</v>
      </c>
      <c r="H71" s="60">
        <f>F71-D71</f>
        <v>0</v>
      </c>
      <c r="I71" s="38">
        <f>G71-E71</f>
        <v>-0.21999999997206032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1778233.65</v>
      </c>
      <c r="F74" s="60">
        <f>'TX-EGM-GL'!D74</f>
        <v>0</v>
      </c>
      <c r="G74" s="38">
        <f>'TX-EGM-GL'!E74</f>
        <v>-197969.77000000002</v>
      </c>
      <c r="H74" s="60">
        <f t="shared" ref="H74:I79" si="14">F74-D74</f>
        <v>0</v>
      </c>
      <c r="I74" s="38">
        <f t="shared" si="14"/>
        <v>-1976203.42</v>
      </c>
    </row>
    <row r="75" spans="1:9" x14ac:dyDescent="0.2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17704</v>
      </c>
      <c r="F75" s="60">
        <f>'TX-EGM-GL'!D75</f>
        <v>0</v>
      </c>
      <c r="G75" s="38">
        <f>'TX-EGM-GL'!E75</f>
        <v>17700</v>
      </c>
      <c r="H75" s="60">
        <f t="shared" si="14"/>
        <v>0</v>
      </c>
      <c r="I75" s="38">
        <f t="shared" si="14"/>
        <v>-4</v>
      </c>
    </row>
    <row r="76" spans="1:9" x14ac:dyDescent="0.2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0</v>
      </c>
      <c r="F76" s="60">
        <f>'TX-EGM-GL'!D76</f>
        <v>0</v>
      </c>
      <c r="G76" s="38">
        <f>'TX-EGM-GL'!E76</f>
        <v>-2541.2800000000002</v>
      </c>
      <c r="H76" s="60">
        <f t="shared" si="14"/>
        <v>0</v>
      </c>
      <c r="I76" s="38">
        <f t="shared" si="14"/>
        <v>-2541.2800000000002</v>
      </c>
    </row>
    <row r="77" spans="1:9" x14ac:dyDescent="0.2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-207047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207047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2827021.6329189576</v>
      </c>
      <c r="F82" s="109">
        <f>F16+F24+F29+F36+F43+F45+F47+F49</f>
        <v>0</v>
      </c>
      <c r="G82" s="110">
        <f>SUM(G72:G81)+G16+G24+G29+G36+G43+G45+G47+G49+G51+G56+G61+G66</f>
        <v>882218.84300000279</v>
      </c>
      <c r="H82" s="109">
        <f>H16+H24+H29+H36+H43+H45+H47+H49</f>
        <v>0</v>
      </c>
      <c r="I82" s="110">
        <f>SUM(I72:I81)+I16+I24+I29+I36+I43+I45+I47+I49+I51+I56+I61+I66</f>
        <v>-1944802.7899189594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'TX-EGM-FLSH'!L86</f>
        <v>0</v>
      </c>
      <c r="E86" s="145">
        <f>'TX-EGM-FLSH'!M86</f>
        <v>2647064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-2647064</v>
      </c>
    </row>
    <row r="87" spans="1:63" x14ac:dyDescent="0.2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'TX-EGM-FLSH'!L88</f>
        <v>0</v>
      </c>
      <c r="E88" s="147">
        <f>'TX-EGM-FLSH'!M88</f>
        <v>-2114953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2114953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532111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-532111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3359132.6329189576</v>
      </c>
      <c r="F91" s="160">
        <f t="shared" si="17"/>
        <v>0</v>
      </c>
      <c r="G91" s="160">
        <f t="shared" si="17"/>
        <v>882218.84300000279</v>
      </c>
      <c r="H91" s="160">
        <f t="shared" si="17"/>
        <v>0</v>
      </c>
      <c r="I91" s="160">
        <f t="shared" si="17"/>
        <v>-2476913.7899189591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179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'TX-HPLR-FLSH'!L11</f>
        <v>115828</v>
      </c>
      <c r="E11" s="66">
        <f>'TX-HPLR-FLSH'!M11</f>
        <v>268689.84000000358</v>
      </c>
      <c r="F11" s="60">
        <f>'TX-HPLR-GL '!D11</f>
        <v>116720</v>
      </c>
      <c r="G11" s="38">
        <f>'TX-HPLR-GL '!E11</f>
        <v>275575.92</v>
      </c>
      <c r="H11" s="60">
        <f>F11-D11</f>
        <v>892</v>
      </c>
      <c r="I11" s="38">
        <f>G11-E11</f>
        <v>6886.0799999964074</v>
      </c>
    </row>
    <row r="12" spans="1:22" x14ac:dyDescent="0.2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-4575.6000000000004</v>
      </c>
      <c r="H12" s="60">
        <f>F12-D12</f>
        <v>0</v>
      </c>
      <c r="I12" s="38">
        <f>G12-E12</f>
        <v>-4575.6000000000004</v>
      </c>
    </row>
    <row r="13" spans="1:22" x14ac:dyDescent="0.2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0.41000000014901161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-0.41000000014901161</v>
      </c>
    </row>
    <row r="14" spans="1:22" x14ac:dyDescent="0.2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115828</v>
      </c>
      <c r="E16" s="39">
        <f t="shared" si="1"/>
        <v>268690.25000000373</v>
      </c>
      <c r="F16" s="61">
        <f t="shared" si="1"/>
        <v>116720</v>
      </c>
      <c r="G16" s="39">
        <f t="shared" si="1"/>
        <v>271000.32000000001</v>
      </c>
      <c r="H16" s="61">
        <f t="shared" si="1"/>
        <v>892</v>
      </c>
      <c r="I16" s="39">
        <f t="shared" si="1"/>
        <v>2310.069999996258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'TX-HPLR-FLSH'!L19</f>
        <v>0</v>
      </c>
      <c r="E19" s="66">
        <f>'TX-HPLR-FLSH'!M19</f>
        <v>-5.9399999976158142</v>
      </c>
      <c r="F19" s="60">
        <f>'TX-HPLR-GL '!D19</f>
        <v>0</v>
      </c>
      <c r="G19" s="38">
        <f>'TX-HPLR-GL '!E19</f>
        <v>-13568</v>
      </c>
      <c r="H19" s="60">
        <f>F19-D19</f>
        <v>0</v>
      </c>
      <c r="I19" s="38">
        <f>G19-E19</f>
        <v>-13562.060000002384</v>
      </c>
    </row>
    <row r="20" spans="1:9" x14ac:dyDescent="0.2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'TX-HPLR-FLSH'!L21</f>
        <v>0</v>
      </c>
      <c r="E21" s="66">
        <f>'TX-HPLR-FLSH'!M21</f>
        <v>-1</v>
      </c>
      <c r="F21" s="60">
        <f>'TX-HPLR-GL '!D21</f>
        <v>0</v>
      </c>
      <c r="G21" s="38">
        <f>'TX-HPLR-GL '!E21</f>
        <v>0</v>
      </c>
      <c r="H21" s="60">
        <f t="shared" ref="H21:I23" si="2">F21-D21</f>
        <v>0</v>
      </c>
      <c r="I21" s="38">
        <f t="shared" si="2"/>
        <v>1</v>
      </c>
    </row>
    <row r="22" spans="1:9" x14ac:dyDescent="0.2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'TX-HPLR-FLSH'!L23</f>
        <v>0</v>
      </c>
      <c r="E23" s="66">
        <f>'TX-HPLR-FLSH'!M23</f>
        <v>-1.819999999999709</v>
      </c>
      <c r="F23" s="60">
        <f>'TX-HPLR-GL '!D23</f>
        <v>0</v>
      </c>
      <c r="G23" s="38">
        <f>'TX-HPLR-GL '!E23</f>
        <v>0</v>
      </c>
      <c r="H23" s="60">
        <f t="shared" si="2"/>
        <v>0</v>
      </c>
      <c r="I23" s="38">
        <f t="shared" si="2"/>
        <v>1.819999999999709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-8.7599999976155232</v>
      </c>
      <c r="F24" s="61">
        <f t="shared" si="3"/>
        <v>0</v>
      </c>
      <c r="G24" s="39">
        <f t="shared" si="3"/>
        <v>-13568</v>
      </c>
      <c r="H24" s="61">
        <f t="shared" si="3"/>
        <v>0</v>
      </c>
      <c r="I24" s="39">
        <f t="shared" si="3"/>
        <v>-13559.240000002384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'TX-HPLR-FLSH'!L27</f>
        <v>0</v>
      </c>
      <c r="E27" s="66">
        <f>'TX-HPLR-FLSH'!M27</f>
        <v>0.2800000011920929</v>
      </c>
      <c r="F27" s="60">
        <f>'TX-HPLR-GL '!D27</f>
        <v>10392</v>
      </c>
      <c r="G27" s="38">
        <f>'TX-HPLR-GL '!E27</f>
        <v>24317.279999999999</v>
      </c>
      <c r="H27" s="60">
        <f>F27-D27</f>
        <v>10392</v>
      </c>
      <c r="I27" s="38">
        <f>G27-E27</f>
        <v>24316.999999998807</v>
      </c>
    </row>
    <row r="28" spans="1:9" x14ac:dyDescent="0.2">
      <c r="A28" s="9">
        <v>12</v>
      </c>
      <c r="B28" s="7"/>
      <c r="C28" s="18" t="s">
        <v>36</v>
      </c>
      <c r="D28" s="65">
        <f>'TX-HPLR-FLSH'!L28</f>
        <v>-232540</v>
      </c>
      <c r="E28" s="66">
        <f>'TX-HPLR-FLSH'!M28</f>
        <v>-538353.00999999046</v>
      </c>
      <c r="F28" s="60">
        <f>'TX-HPLR-GL '!D28</f>
        <v>-127112</v>
      </c>
      <c r="G28" s="38">
        <f>'TX-HPLR-GL '!E28</f>
        <v>-297026.39999999997</v>
      </c>
      <c r="H28" s="60">
        <f>F28-D28</f>
        <v>105428</v>
      </c>
      <c r="I28" s="38">
        <f>G28-E28</f>
        <v>241326.6099999905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-232540</v>
      </c>
      <c r="E29" s="70">
        <f t="shared" si="4"/>
        <v>-538352.72999998927</v>
      </c>
      <c r="F29" s="69">
        <f t="shared" si="4"/>
        <v>-116720</v>
      </c>
      <c r="G29" s="70">
        <f t="shared" si="4"/>
        <v>-272709.12</v>
      </c>
      <c r="H29" s="69">
        <f t="shared" si="4"/>
        <v>115820</v>
      </c>
      <c r="I29" s="70">
        <f t="shared" si="4"/>
        <v>265643.60999998928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'TX-HPLR-FLSH'!L39</f>
        <v>0</v>
      </c>
      <c r="E39" s="66">
        <f>'TX-HPLR-FLSH'!M39</f>
        <v>0</v>
      </c>
      <c r="F39" s="60">
        <f>'TX-HPLR-GL '!D39</f>
        <v>0</v>
      </c>
      <c r="G39" s="38">
        <f>'TX-HPLR-GL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'TX-HPLR-FLSH'!L40</f>
        <v>0</v>
      </c>
      <c r="E40" s="66">
        <f>'TX-HPLR-FLSH'!M40</f>
        <v>0.44999999925494194</v>
      </c>
      <c r="F40" s="60">
        <f>'TX-HPLR-GL '!D40</f>
        <v>0</v>
      </c>
      <c r="G40" s="38">
        <f>'TX-HPLR-GL '!E40</f>
        <v>0</v>
      </c>
      <c r="H40" s="60">
        <f t="shared" si="7"/>
        <v>0</v>
      </c>
      <c r="I40" s="38">
        <f t="shared" si="7"/>
        <v>-0.44999999925494194</v>
      </c>
    </row>
    <row r="41" spans="1:9" x14ac:dyDescent="0.2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0.44999999925494194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-0.44999999925494194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0.44999999925494194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-0.44999999925494194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113410.16</v>
      </c>
      <c r="H47" s="60">
        <f>F47-D47</f>
        <v>0</v>
      </c>
      <c r="I47" s="38">
        <f>G47-E47</f>
        <v>113410.16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'TX-HPLR-FLSH'!L49</f>
        <v>116712</v>
      </c>
      <c r="E49" s="66">
        <f>'TX-HPLR-FLSH'!M49</f>
        <v>265303.22708777338</v>
      </c>
      <c r="F49" s="60">
        <f>'TX-HPLR-GL '!D49</f>
        <v>0</v>
      </c>
      <c r="G49" s="38">
        <f>'TX-HPLR-GL '!E49</f>
        <v>0</v>
      </c>
      <c r="H49" s="60">
        <f>F49-D49</f>
        <v>-116712</v>
      </c>
      <c r="I49" s="38">
        <f>G49-E49</f>
        <v>-265303.22708777338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'TX-HPLR-FLSH'!L51</f>
        <v>14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-14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0</v>
      </c>
      <c r="G54" s="38">
        <f>'TX-HPLR-GL '!E54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-4367.5629122105311</v>
      </c>
      <c r="F82" s="109">
        <f>F16+F24+F29+F36+F43+F45+F47+F49</f>
        <v>0</v>
      </c>
      <c r="G82" s="110">
        <f>SUM(G72:G81)+G16+G24+G29+G36+G43+G45+G47+G49+G51+G56+G61+G66</f>
        <v>98133.360000000015</v>
      </c>
      <c r="H82" s="109">
        <f>H16+H24+H29+H36+H43+H45+H47+H49</f>
        <v>0</v>
      </c>
      <c r="I82" s="110">
        <f>SUM(I72:I81)+I16+I24+I29+I36+I43+I45+I47+I49+I51+I56+I61+I66</f>
        <v>102500.92291221052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20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178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'TX-HPLC-FLSH'!L11</f>
        <v>38222321</v>
      </c>
      <c r="E11" s="66">
        <f>'TX-HPLC-FLSH'!M11</f>
        <v>89664557</v>
      </c>
      <c r="F11" s="60">
        <f>'TX-HPLC-GL'!D11</f>
        <v>38412173</v>
      </c>
      <c r="G11" s="38">
        <f>'TX-HPLC-GL'!E11</f>
        <v>91060005</v>
      </c>
      <c r="H11" s="60">
        <f>F11-D11</f>
        <v>189852</v>
      </c>
      <c r="I11" s="38">
        <f>G11-E11</f>
        <v>1395448</v>
      </c>
    </row>
    <row r="12" spans="1:22" x14ac:dyDescent="0.2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-1420122.48</v>
      </c>
      <c r="H12" s="60">
        <f>F12-D12</f>
        <v>0</v>
      </c>
      <c r="I12" s="38">
        <f>G12-E12</f>
        <v>-1420122.48</v>
      </c>
    </row>
    <row r="13" spans="1:22" x14ac:dyDescent="0.2">
      <c r="A13" s="9">
        <v>3</v>
      </c>
      <c r="B13" s="7"/>
      <c r="C13" s="18" t="s">
        <v>27</v>
      </c>
      <c r="D13" s="65">
        <f>'TX-HPLC-FLSH'!L13</f>
        <v>1467486</v>
      </c>
      <c r="E13" s="66">
        <f>'TX-HPLC-FLSH'!M13</f>
        <v>3771001</v>
      </c>
      <c r="F13" s="60">
        <f>'TX-HPLC-GL'!D13</f>
        <v>0</v>
      </c>
      <c r="G13" s="38">
        <f>'TX-HPLC-GL'!E13</f>
        <v>-2491160</v>
      </c>
      <c r="H13" s="60">
        <f t="shared" ref="H13:I15" si="0">F13-D13</f>
        <v>-1467486</v>
      </c>
      <c r="I13" s="38">
        <f t="shared" si="0"/>
        <v>-6262161</v>
      </c>
    </row>
    <row r="14" spans="1:22" x14ac:dyDescent="0.2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120000</v>
      </c>
      <c r="H15" s="60">
        <f t="shared" si="0"/>
        <v>0</v>
      </c>
      <c r="I15" s="38">
        <f t="shared" si="0"/>
        <v>120000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39689807</v>
      </c>
      <c r="E16" s="39">
        <f t="shared" si="1"/>
        <v>93435558</v>
      </c>
      <c r="F16" s="61">
        <f t="shared" si="1"/>
        <v>38412173</v>
      </c>
      <c r="G16" s="39">
        <f t="shared" si="1"/>
        <v>87268722.519999996</v>
      </c>
      <c r="H16" s="61">
        <f t="shared" si="1"/>
        <v>-1277634</v>
      </c>
      <c r="I16" s="39">
        <f t="shared" si="1"/>
        <v>-6166835.4800000004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'TX-HPLC-FLSH'!L19</f>
        <v>-50284590</v>
      </c>
      <c r="E19" s="66">
        <f>'TX-HPLC-FLSH'!M19</f>
        <v>-114328218</v>
      </c>
      <c r="F19" s="60">
        <f>'TX-HPLC-GL'!D19</f>
        <v>-50042790</v>
      </c>
      <c r="G19" s="38">
        <f>'TX-HPLC-GL'!E19</f>
        <v>-113359959</v>
      </c>
      <c r="H19" s="60">
        <f>F19-D19</f>
        <v>241800</v>
      </c>
      <c r="I19" s="38">
        <f>G19-E19</f>
        <v>968259</v>
      </c>
    </row>
    <row r="20" spans="1:9" x14ac:dyDescent="0.2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-105702.19</v>
      </c>
      <c r="H20" s="60">
        <f>F20-D20</f>
        <v>0</v>
      </c>
      <c r="I20" s="38">
        <f>G20-E20</f>
        <v>-105702.19</v>
      </c>
    </row>
    <row r="21" spans="1:9" x14ac:dyDescent="0.2">
      <c r="A21" s="9">
        <v>8</v>
      </c>
      <c r="B21" s="7"/>
      <c r="C21" s="18" t="s">
        <v>27</v>
      </c>
      <c r="D21" s="65">
        <f>'TX-HPLC-FLSH'!L21</f>
        <v>-990233</v>
      </c>
      <c r="E21" s="66">
        <f>'TX-HPLC-FLSH'!M21</f>
        <v>-2355679</v>
      </c>
      <c r="F21" s="60">
        <f>'TX-HPLC-GL'!D21</f>
        <v>0</v>
      </c>
      <c r="G21" s="38">
        <f>'TX-HPLC-GL'!E21</f>
        <v>0</v>
      </c>
      <c r="H21" s="60">
        <f t="shared" ref="H21:I23" si="2">F21-D21</f>
        <v>990233</v>
      </c>
      <c r="I21" s="38">
        <f t="shared" si="2"/>
        <v>2355679</v>
      </c>
    </row>
    <row r="22" spans="1:9" x14ac:dyDescent="0.2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'TX-HPLC-FLSH'!L23</f>
        <v>13349</v>
      </c>
      <c r="E23" s="66">
        <f>'TX-HPLC-FLSH'!M23</f>
        <v>31419</v>
      </c>
      <c r="F23" s="60">
        <f>'TX-HPLC-GL'!D23</f>
        <v>0</v>
      </c>
      <c r="G23" s="38">
        <f>'TX-HPLC-GL'!E23</f>
        <v>0</v>
      </c>
      <c r="H23" s="60">
        <f t="shared" si="2"/>
        <v>-13349</v>
      </c>
      <c r="I23" s="38">
        <f t="shared" si="2"/>
        <v>-31419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-51261474</v>
      </c>
      <c r="E24" s="39">
        <f t="shared" si="3"/>
        <v>-116652478</v>
      </c>
      <c r="F24" s="61">
        <f t="shared" si="3"/>
        <v>-50042790</v>
      </c>
      <c r="G24" s="39">
        <f t="shared" si="3"/>
        <v>-113465661.19</v>
      </c>
      <c r="H24" s="61">
        <f t="shared" si="3"/>
        <v>1218684</v>
      </c>
      <c r="I24" s="39">
        <f t="shared" si="3"/>
        <v>3186816.81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'TX-HPLC-FLSH'!L27</f>
        <v>75102214</v>
      </c>
      <c r="E27" s="66">
        <f>'TX-HPLC-FLSH'!M27</f>
        <v>176559658</v>
      </c>
      <c r="F27" s="60">
        <f>'TX-HPLC-GL'!D27</f>
        <v>21549381</v>
      </c>
      <c r="G27" s="38">
        <f>'TX-HPLC-GL'!E27</f>
        <v>49630068</v>
      </c>
      <c r="H27" s="60">
        <f>F27-D27</f>
        <v>-53552833</v>
      </c>
      <c r="I27" s="38">
        <f>G27-E27</f>
        <v>-126929590</v>
      </c>
    </row>
    <row r="28" spans="1:9" x14ac:dyDescent="0.2">
      <c r="A28" s="9">
        <v>12</v>
      </c>
      <c r="B28" s="7"/>
      <c r="C28" s="18" t="s">
        <v>36</v>
      </c>
      <c r="D28" s="65">
        <f>'TX-HPLC-FLSH'!L28</f>
        <v>-69806478</v>
      </c>
      <c r="E28" s="66">
        <f>'TX-HPLC-FLSH'!M28</f>
        <v>-165888207</v>
      </c>
      <c r="F28" s="60">
        <f>'TX-HPLC-GL'!D28</f>
        <v>-7708461</v>
      </c>
      <c r="G28" s="38">
        <f>'TX-HPLC-GL'!E28</f>
        <v>-18382971</v>
      </c>
      <c r="H28" s="60">
        <f>F28-D28</f>
        <v>62098017</v>
      </c>
      <c r="I28" s="38">
        <f>G28-E28</f>
        <v>147505236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5295736</v>
      </c>
      <c r="E29" s="70">
        <f t="shared" si="4"/>
        <v>10671451</v>
      </c>
      <c r="F29" s="69">
        <f t="shared" si="4"/>
        <v>13840920</v>
      </c>
      <c r="G29" s="70">
        <f t="shared" si="4"/>
        <v>31247097</v>
      </c>
      <c r="H29" s="69">
        <f t="shared" si="4"/>
        <v>8545184</v>
      </c>
      <c r="I29" s="70">
        <f t="shared" si="4"/>
        <v>20575646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175523</v>
      </c>
      <c r="G32" s="38">
        <f>'TX-HPLC-GL'!E32</f>
        <v>398964</v>
      </c>
      <c r="H32" s="60">
        <f>F32-D32</f>
        <v>175523</v>
      </c>
      <c r="I32" s="38">
        <f>G32-E32</f>
        <v>398964</v>
      </c>
    </row>
    <row r="33" spans="1:9" x14ac:dyDescent="0.2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175523</v>
      </c>
      <c r="G36" s="39">
        <f t="shared" si="6"/>
        <v>398964</v>
      </c>
      <c r="H36" s="61">
        <f t="shared" si="6"/>
        <v>175523</v>
      </c>
      <c r="I36" s="39">
        <f t="shared" si="6"/>
        <v>398964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'TX-HPLC-FLSH'!L39</f>
        <v>10544159</v>
      </c>
      <c r="E39" s="66">
        <f>'TX-HPLC-FLSH'!M39</f>
        <v>25341242</v>
      </c>
      <c r="F39" s="60">
        <f>'TX-HPLC-GL'!D39</f>
        <v>0</v>
      </c>
      <c r="G39" s="38">
        <f>'TX-HPLC-GL'!E39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'TX-HPLC-FLSH'!L40</f>
        <v>-12580174</v>
      </c>
      <c r="E40" s="66">
        <f>'TX-HPLC-FLSH'!M40</f>
        <v>-30100306</v>
      </c>
      <c r="F40" s="60">
        <f>'TX-HPLC-GL'!D40</f>
        <v>-2562387</v>
      </c>
      <c r="G40" s="38">
        <f>'TX-HPLC-GL'!E40</f>
        <v>-5989021</v>
      </c>
      <c r="H40" s="60">
        <f t="shared" si="7"/>
        <v>10017787</v>
      </c>
      <c r="I40" s="38">
        <f t="shared" si="7"/>
        <v>24111285</v>
      </c>
    </row>
    <row r="41" spans="1:9" x14ac:dyDescent="0.2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0</v>
      </c>
      <c r="G41" s="38">
        <f>'TX-HPLC-GL'!E41</f>
        <v>-146152</v>
      </c>
      <c r="H41" s="60">
        <f t="shared" si="7"/>
        <v>0</v>
      </c>
      <c r="I41" s="38">
        <f t="shared" si="7"/>
        <v>-146152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-12580174</v>
      </c>
      <c r="E42" s="70">
        <f t="shared" si="8"/>
        <v>-30100306</v>
      </c>
      <c r="F42" s="69">
        <f t="shared" si="8"/>
        <v>-2562387</v>
      </c>
      <c r="G42" s="70">
        <f t="shared" si="8"/>
        <v>-6135173</v>
      </c>
      <c r="H42" s="69">
        <f t="shared" si="8"/>
        <v>10017787</v>
      </c>
      <c r="I42" s="70">
        <f t="shared" si="8"/>
        <v>23965133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-2036015</v>
      </c>
      <c r="E43" s="39">
        <f t="shared" si="9"/>
        <v>-4759064</v>
      </c>
      <c r="F43" s="61">
        <f t="shared" si="9"/>
        <v>-2562387</v>
      </c>
      <c r="G43" s="39">
        <f t="shared" si="9"/>
        <v>-6256083</v>
      </c>
      <c r="H43" s="61">
        <f t="shared" si="9"/>
        <v>-526372</v>
      </c>
      <c r="I43" s="39">
        <f t="shared" si="9"/>
        <v>-1497019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'TX-HPLC-FLSH'!L49</f>
        <v>8311946</v>
      </c>
      <c r="E49" s="66">
        <f>'TX-HPLC-FLSH'!M49</f>
        <v>18894253.351663016</v>
      </c>
      <c r="F49" s="60">
        <f>'TX-HPLC-GL'!D49</f>
        <v>176561</v>
      </c>
      <c r="G49" s="38">
        <f>'TX-HPLC-GL'!E49</f>
        <v>401323</v>
      </c>
      <c r="H49" s="60">
        <f>F49-D49</f>
        <v>-8135385</v>
      </c>
      <c r="I49" s="38">
        <f>G49-E49</f>
        <v>-18492930.351663016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-1544388.7</v>
      </c>
      <c r="F54" s="60">
        <f>'TX-HPLC-GL'!D54</f>
        <v>0</v>
      </c>
      <c r="G54" s="38">
        <f>'TX-HPLC-GL'!E54</f>
        <v>-1365278</v>
      </c>
      <c r="H54" s="60">
        <f>F54-D54</f>
        <v>0</v>
      </c>
      <c r="I54" s="38">
        <f>G54-E54</f>
        <v>179110.69999999995</v>
      </c>
    </row>
    <row r="55" spans="1:9" x14ac:dyDescent="0.2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143300</v>
      </c>
      <c r="H55" s="60">
        <f>F55-D55</f>
        <v>0</v>
      </c>
      <c r="I55" s="38">
        <f>G55-E55</f>
        <v>143300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-1544388.7</v>
      </c>
      <c r="F56" s="61">
        <f t="shared" si="10"/>
        <v>0</v>
      </c>
      <c r="G56" s="39">
        <f t="shared" si="10"/>
        <v>-1221978</v>
      </c>
      <c r="H56" s="61">
        <f t="shared" si="10"/>
        <v>0</v>
      </c>
      <c r="I56" s="39">
        <f t="shared" si="10"/>
        <v>322410.69999999995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-55559</v>
      </c>
      <c r="H60" s="60">
        <f>F60-D60</f>
        <v>0</v>
      </c>
      <c r="I60" s="38">
        <f>G60-E60</f>
        <v>-55559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-55559</v>
      </c>
      <c r="H61" s="69">
        <f t="shared" si="11"/>
        <v>0</v>
      </c>
      <c r="I61" s="70">
        <f t="shared" si="11"/>
        <v>-55559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1960449.6800000002</v>
      </c>
      <c r="H74" s="60">
        <f t="shared" ref="H74:I79" si="14">F74-D74</f>
        <v>0</v>
      </c>
      <c r="I74" s="38">
        <f t="shared" si="14"/>
        <v>1960449.6800000002</v>
      </c>
    </row>
    <row r="75" spans="1:9" x14ac:dyDescent="0.2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-2541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2541</v>
      </c>
    </row>
    <row r="77" spans="1:9" x14ac:dyDescent="0.2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-98300</v>
      </c>
      <c r="F77" s="60">
        <f>'TX-HPLC-GL'!D77</f>
        <v>0</v>
      </c>
      <c r="G77" s="38">
        <f>'TX-HPLC-GL'!E77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-61128</v>
      </c>
      <c r="H81" s="60">
        <f>F81-D81</f>
        <v>0</v>
      </c>
      <c r="I81" s="38">
        <f>G81-E81</f>
        <v>-61128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-55509.348336984171</v>
      </c>
      <c r="F82" s="109">
        <f>F16+F24+F29+F36+F43+F45+F47+F49</f>
        <v>0</v>
      </c>
      <c r="G82" s="110">
        <f>SUM(G72:G81)+G16+G24+G29+G36+G43+G45+G47+G49+G51+G56+G61+G66</f>
        <v>117847.01000000536</v>
      </c>
      <c r="H82" s="109">
        <f>H16+H24+H29+H36+H43+H45+H47+H49</f>
        <v>0</v>
      </c>
      <c r="I82" s="110">
        <f>SUM(I72:I81)+I16+I24+I29+I36+I43+I45+I47+I49+I51+I56+I61+I66</f>
        <v>173356.35833698208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2679418.91</v>
      </c>
      <c r="H86" s="145">
        <f t="shared" ref="H86:I88" si="15">F86-D86</f>
        <v>0</v>
      </c>
      <c r="I86" s="145">
        <f t="shared" si="15"/>
        <v>2679418.91</v>
      </c>
    </row>
    <row r="87" spans="1:63" x14ac:dyDescent="0.2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-2147419</v>
      </c>
      <c r="H88" s="147">
        <f t="shared" si="15"/>
        <v>0</v>
      </c>
      <c r="I88" s="147">
        <f t="shared" si="15"/>
        <v>-2147419</v>
      </c>
    </row>
    <row r="89" spans="1:63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531999.91000000015</v>
      </c>
      <c r="H89" s="160">
        <f t="shared" si="16"/>
        <v>0</v>
      </c>
      <c r="I89" s="160">
        <f t="shared" si="16"/>
        <v>531999.91000000015</v>
      </c>
    </row>
    <row r="90" spans="1:63" x14ac:dyDescent="0.2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-55509.348336984171</v>
      </c>
      <c r="F91" s="160">
        <f t="shared" si="17"/>
        <v>0</v>
      </c>
      <c r="G91" s="160">
        <f t="shared" si="17"/>
        <v>649846.92000000551</v>
      </c>
      <c r="H91" s="160">
        <f t="shared" si="17"/>
        <v>0</v>
      </c>
      <c r="I91" s="160">
        <f t="shared" si="17"/>
        <v>705356.26833698223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7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95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'TX-CON-FLSH'!L11</f>
        <v>55805474</v>
      </c>
      <c r="E11" s="66">
        <f>'TX-CON-FLSH'!M11</f>
        <v>131644933</v>
      </c>
      <c r="F11" s="60">
        <f>'TX-CON-GL '!D11</f>
        <v>55965055</v>
      </c>
      <c r="G11" s="38">
        <f>'TX-CON-GL '!E11</f>
        <v>137597507.87</v>
      </c>
      <c r="H11" s="60">
        <f>F11-D11</f>
        <v>159581</v>
      </c>
      <c r="I11" s="38">
        <f>G11-E11</f>
        <v>5952574.8700000048</v>
      </c>
    </row>
    <row r="12" spans="1:22" x14ac:dyDescent="0.2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-7669145.0099999998</v>
      </c>
      <c r="H12" s="60">
        <f>F12-D12</f>
        <v>0</v>
      </c>
      <c r="I12" s="38">
        <f>G12-E12</f>
        <v>-7669145.0099999998</v>
      </c>
    </row>
    <row r="13" spans="1:22" x14ac:dyDescent="0.2">
      <c r="A13" s="9">
        <v>3</v>
      </c>
      <c r="B13" s="7"/>
      <c r="C13" s="18" t="s">
        <v>27</v>
      </c>
      <c r="D13" s="65">
        <f>'TX-CON-FLSH'!L13</f>
        <v>2942768</v>
      </c>
      <c r="E13" s="66">
        <f>'TX-CON-FLSH'!M13</f>
        <v>7173548</v>
      </c>
      <c r="F13" s="60">
        <f>'TX-CON-GL '!D13</f>
        <v>1475282</v>
      </c>
      <c r="G13" s="38">
        <f>'TX-CON-GL '!E13</f>
        <v>911387</v>
      </c>
      <c r="H13" s="60">
        <f t="shared" ref="H13:I15" si="0">F13-D13</f>
        <v>-1467486</v>
      </c>
      <c r="I13" s="38">
        <f t="shared" si="0"/>
        <v>-6262161</v>
      </c>
    </row>
    <row r="14" spans="1:22" x14ac:dyDescent="0.2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120000</v>
      </c>
      <c r="F15" s="60">
        <f>'TX-CON-GL '!D15</f>
        <v>0</v>
      </c>
      <c r="G15" s="38">
        <f>'TX-CON-GL '!E15</f>
        <v>2611160</v>
      </c>
      <c r="H15" s="60">
        <f t="shared" si="0"/>
        <v>0</v>
      </c>
      <c r="I15" s="38">
        <f t="shared" si="0"/>
        <v>2491160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58748242</v>
      </c>
      <c r="E16" s="39">
        <f t="shared" si="1"/>
        <v>138938481</v>
      </c>
      <c r="F16" s="61">
        <f t="shared" si="1"/>
        <v>57440337</v>
      </c>
      <c r="G16" s="39">
        <f t="shared" si="1"/>
        <v>133450909.86</v>
      </c>
      <c r="H16" s="61">
        <f t="shared" si="1"/>
        <v>-1307905</v>
      </c>
      <c r="I16" s="39">
        <f t="shared" si="1"/>
        <v>-5487571.139999995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'TX-CON-FLSH'!L19</f>
        <v>-54862192</v>
      </c>
      <c r="E19" s="66">
        <f>'TX-CON-FLSH'!M19</f>
        <v>-124710492</v>
      </c>
      <c r="F19" s="60">
        <f>'TX-CON-GL '!D19</f>
        <v>-54606194</v>
      </c>
      <c r="G19" s="38">
        <f>'TX-CON-GL '!E19</f>
        <v>-123658250.3</v>
      </c>
      <c r="H19" s="60">
        <f>F19-D19</f>
        <v>255998</v>
      </c>
      <c r="I19" s="38">
        <f>G19-E19</f>
        <v>1052241.700000003</v>
      </c>
    </row>
    <row r="20" spans="1:9" x14ac:dyDescent="0.2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1737669.04</v>
      </c>
      <c r="H20" s="60">
        <f>F20-D20</f>
        <v>0</v>
      </c>
      <c r="I20" s="38">
        <f>G20-E20</f>
        <v>1737669.04</v>
      </c>
    </row>
    <row r="21" spans="1:9" x14ac:dyDescent="0.2">
      <c r="A21" s="9">
        <v>8</v>
      </c>
      <c r="B21" s="7"/>
      <c r="C21" s="18" t="s">
        <v>27</v>
      </c>
      <c r="D21" s="65">
        <f>'TX-CON-FLSH'!L21</f>
        <v>-1130013</v>
      </c>
      <c r="E21" s="66">
        <f>'TX-CON-FLSH'!M21</f>
        <v>-2653363</v>
      </c>
      <c r="F21" s="60">
        <f>'TX-CON-GL '!D21</f>
        <v>-139069</v>
      </c>
      <c r="G21" s="38">
        <f>'TX-CON-GL '!E21</f>
        <v>-296117</v>
      </c>
      <c r="H21" s="60">
        <f t="shared" ref="H21:I23" si="2">F21-D21</f>
        <v>990944</v>
      </c>
      <c r="I21" s="38">
        <f t="shared" si="2"/>
        <v>2357246</v>
      </c>
    </row>
    <row r="22" spans="1:9" x14ac:dyDescent="0.2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'TX-CON-FLSH'!L23</f>
        <v>13363</v>
      </c>
      <c r="E23" s="66">
        <f>'TX-CON-FLSH'!M23</f>
        <v>31448</v>
      </c>
      <c r="F23" s="60">
        <f>'TX-CON-GL '!D23</f>
        <v>13806</v>
      </c>
      <c r="G23" s="38">
        <f>'TX-CON-GL '!E23</f>
        <v>31381.038</v>
      </c>
      <c r="H23" s="60">
        <f t="shared" si="2"/>
        <v>443</v>
      </c>
      <c r="I23" s="38">
        <f t="shared" si="2"/>
        <v>-66.961999999999534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-55978842</v>
      </c>
      <c r="E24" s="39">
        <f t="shared" si="3"/>
        <v>-127332407</v>
      </c>
      <c r="F24" s="61">
        <f t="shared" si="3"/>
        <v>-54731457</v>
      </c>
      <c r="G24" s="39">
        <f t="shared" si="3"/>
        <v>-122185317.22199999</v>
      </c>
      <c r="H24" s="61">
        <f t="shared" si="3"/>
        <v>1247385</v>
      </c>
      <c r="I24" s="39">
        <f t="shared" si="3"/>
        <v>5147089.7780000027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'TX-CON-FLSH'!L27</f>
        <v>91862022</v>
      </c>
      <c r="E27" s="66">
        <f>'TX-CON-FLSH'!M27</f>
        <v>215996358</v>
      </c>
      <c r="F27" s="60">
        <f>'TX-CON-GL '!D27</f>
        <v>28159287</v>
      </c>
      <c r="G27" s="38">
        <f>'TX-CON-GL '!E27</f>
        <v>65398664.299999997</v>
      </c>
      <c r="H27" s="60">
        <f>F27-D27</f>
        <v>-63702735</v>
      </c>
      <c r="I27" s="38">
        <f>G27-E27</f>
        <v>-150597693.69999999</v>
      </c>
    </row>
    <row r="28" spans="1:9" x14ac:dyDescent="0.2">
      <c r="A28" s="9">
        <v>12</v>
      </c>
      <c r="B28" s="7"/>
      <c r="C28" s="18" t="s">
        <v>36</v>
      </c>
      <c r="D28" s="65">
        <f>'TX-CON-FLSH'!L28</f>
        <v>-91086157</v>
      </c>
      <c r="E28" s="66">
        <f>'TX-CON-FLSH'!M28</f>
        <v>-214181338</v>
      </c>
      <c r="F28" s="60">
        <f>'TX-CON-GL '!D28</f>
        <v>-27639933</v>
      </c>
      <c r="G28" s="38">
        <f>'TX-CON-GL '!E28</f>
        <v>-63866989.270000003</v>
      </c>
      <c r="H28" s="60">
        <f>F28-D28</f>
        <v>63446224</v>
      </c>
      <c r="I28" s="38">
        <f>G28-E28</f>
        <v>150314348.72999999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775865</v>
      </c>
      <c r="E29" s="70">
        <f t="shared" si="4"/>
        <v>1815020</v>
      </c>
      <c r="F29" s="69">
        <f t="shared" si="4"/>
        <v>519354</v>
      </c>
      <c r="G29" s="70">
        <f t="shared" si="4"/>
        <v>1531675.0299999937</v>
      </c>
      <c r="H29" s="69">
        <f t="shared" si="4"/>
        <v>-256511</v>
      </c>
      <c r="I29" s="70">
        <f t="shared" si="4"/>
        <v>-283344.96999999881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152830</v>
      </c>
      <c r="G32" s="38">
        <f>'TX-CON-GL '!E32</f>
        <v>347382.81100000185</v>
      </c>
      <c r="H32" s="60">
        <f>F32-D32</f>
        <v>152830</v>
      </c>
      <c r="I32" s="38">
        <f>G32-E32</f>
        <v>347382.81100000185</v>
      </c>
    </row>
    <row r="33" spans="1:9" x14ac:dyDescent="0.2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0</v>
      </c>
      <c r="G35" s="38">
        <f>'TX-CON-GL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152830</v>
      </c>
      <c r="G36" s="39">
        <f t="shared" si="6"/>
        <v>347382.81100000185</v>
      </c>
      <c r="H36" s="61">
        <f t="shared" si="6"/>
        <v>152830</v>
      </c>
      <c r="I36" s="39">
        <f t="shared" si="6"/>
        <v>347382.81100000185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'TX-CON-FLSH'!L39</f>
        <v>10544159</v>
      </c>
      <c r="E39" s="66">
        <f>'TX-CON-FLSH'!M39</f>
        <v>25341242</v>
      </c>
      <c r="F39" s="60">
        <f>'TX-CON-GL '!D39</f>
        <v>0</v>
      </c>
      <c r="G39" s="38">
        <f>'TX-CON-GL '!E39</f>
        <v>-120910</v>
      </c>
      <c r="H39" s="60">
        <f t="shared" ref="H39:I41" si="7">F39-D39</f>
        <v>-10544159</v>
      </c>
      <c r="I39" s="38">
        <f t="shared" si="7"/>
        <v>-25462152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'TX-CON-FLSH'!L40</f>
        <v>-13434256</v>
      </c>
      <c r="E40" s="66">
        <f>'TX-CON-FLSH'!M40</f>
        <v>-32074773</v>
      </c>
      <c r="F40" s="60">
        <f>'TX-CON-GL '!D40</f>
        <v>-3532309</v>
      </c>
      <c r="G40" s="38">
        <f>'TX-CON-GL '!E40</f>
        <v>-10099457.890000001</v>
      </c>
      <c r="H40" s="60">
        <f t="shared" si="7"/>
        <v>9901947</v>
      </c>
      <c r="I40" s="38">
        <f t="shared" si="7"/>
        <v>21975315.109999999</v>
      </c>
    </row>
    <row r="41" spans="1:9" x14ac:dyDescent="0.2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0</v>
      </c>
      <c r="G41" s="38">
        <f>'TX-CON-GL '!E41</f>
        <v>-146152</v>
      </c>
      <c r="H41" s="60">
        <f t="shared" si="7"/>
        <v>0</v>
      </c>
      <c r="I41" s="38">
        <f t="shared" si="7"/>
        <v>-146152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-13434256</v>
      </c>
      <c r="E42" s="70">
        <f t="shared" si="8"/>
        <v>-32074773</v>
      </c>
      <c r="F42" s="69">
        <f t="shared" si="8"/>
        <v>-3532309</v>
      </c>
      <c r="G42" s="70">
        <f t="shared" si="8"/>
        <v>-10245609.890000001</v>
      </c>
      <c r="H42" s="69">
        <f t="shared" si="8"/>
        <v>9901947</v>
      </c>
      <c r="I42" s="70">
        <f t="shared" si="8"/>
        <v>21829163.109999999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-2890097</v>
      </c>
      <c r="E43" s="39">
        <f t="shared" si="9"/>
        <v>-6733531</v>
      </c>
      <c r="F43" s="61">
        <f t="shared" si="9"/>
        <v>-3532309</v>
      </c>
      <c r="G43" s="39">
        <f t="shared" si="9"/>
        <v>-10366519.890000001</v>
      </c>
      <c r="H43" s="61">
        <f t="shared" si="9"/>
        <v>-642212</v>
      </c>
      <c r="I43" s="39">
        <f t="shared" si="9"/>
        <v>-3632988.8900000006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113410.16</v>
      </c>
      <c r="H47" s="60">
        <f>F47-D47</f>
        <v>0</v>
      </c>
      <c r="I47" s="38">
        <f>G47-E47</f>
        <v>113410.16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'TX-CON-FLSH'!L49</f>
        <v>-655168</v>
      </c>
      <c r="E49" s="66">
        <f>'TX-CON-FLSH'!M49</f>
        <v>-1489291.4583302587</v>
      </c>
      <c r="F49" s="60">
        <f>'TX-CON-GL '!D49</f>
        <v>151245</v>
      </c>
      <c r="G49" s="38">
        <f>'TX-CON-GL '!E49</f>
        <v>343779.73199999961</v>
      </c>
      <c r="H49" s="60">
        <f>F49-D49</f>
        <v>806413</v>
      </c>
      <c r="I49" s="38">
        <f>G49-E49</f>
        <v>1833071.1903302583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-13806</v>
      </c>
      <c r="G51" s="38">
        <f>'TX-CON-GL '!E51</f>
        <v>-31381.038</v>
      </c>
      <c r="H51" s="60">
        <f>F51-D51</f>
        <v>-13806</v>
      </c>
      <c r="I51" s="38">
        <f>G51-E51</f>
        <v>-31381.038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-2019388.7</v>
      </c>
      <c r="F54" s="60">
        <f>'TX-CON-GL '!D54</f>
        <v>-16449022</v>
      </c>
      <c r="G54" s="38">
        <f>'TX-CON-GL '!E54</f>
        <v>-1767612.96</v>
      </c>
      <c r="H54" s="60">
        <f>F54-D54</f>
        <v>-16449022</v>
      </c>
      <c r="I54" s="38">
        <f>G54-E54</f>
        <v>251775.74</v>
      </c>
    </row>
    <row r="55" spans="1:9" x14ac:dyDescent="0.2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-19.059999999999999</v>
      </c>
      <c r="H55" s="60">
        <f>F55-D55</f>
        <v>0</v>
      </c>
      <c r="I55" s="38">
        <f>G55-E55</f>
        <v>-19.059999999999999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-2019388.7</v>
      </c>
      <c r="F56" s="61">
        <f t="shared" si="10"/>
        <v>-16449022</v>
      </c>
      <c r="G56" s="39">
        <f t="shared" si="10"/>
        <v>-1767632.02</v>
      </c>
      <c r="H56" s="61">
        <f t="shared" si="10"/>
        <v>-16449022</v>
      </c>
      <c r="I56" s="39">
        <f t="shared" si="10"/>
        <v>251756.68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-55559</v>
      </c>
      <c r="H60" s="60">
        <f>F60-D60</f>
        <v>0</v>
      </c>
      <c r="I60" s="38">
        <f>G60-E60</f>
        <v>-55559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-55559</v>
      </c>
      <c r="H61" s="69">
        <f t="shared" si="11"/>
        <v>0</v>
      </c>
      <c r="I61" s="70">
        <f t="shared" si="11"/>
        <v>-55559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-971.85</v>
      </c>
      <c r="H64" s="60">
        <f>F64-D64</f>
        <v>0</v>
      </c>
      <c r="I64" s="38">
        <f>G64-E64</f>
        <v>-971.85</v>
      </c>
    </row>
    <row r="65" spans="1:9" x14ac:dyDescent="0.2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-971.85</v>
      </c>
      <c r="H66" s="61">
        <f t="shared" si="12"/>
        <v>0</v>
      </c>
      <c r="I66" s="39">
        <f t="shared" si="12"/>
        <v>-971.85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-2639306.77</v>
      </c>
      <c r="F70" s="60">
        <f>'TX-CON-GL '!D70</f>
        <v>0</v>
      </c>
      <c r="G70" s="38">
        <f>'TX-CON-GL '!E70</f>
        <v>-2639306.77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739519</v>
      </c>
      <c r="F71" s="60">
        <f>'TX-CON-GL '!D71</f>
        <v>0</v>
      </c>
      <c r="G71" s="38">
        <f>'TX-CON-GL '!E71</f>
        <v>739518.78</v>
      </c>
      <c r="H71" s="60">
        <f>F71-D71</f>
        <v>0</v>
      </c>
      <c r="I71" s="38">
        <f>G71-E71</f>
        <v>-0.21999999997206032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-1899787.77</v>
      </c>
      <c r="F72" s="69">
        <f t="shared" si="13"/>
        <v>0</v>
      </c>
      <c r="G72" s="70">
        <f t="shared" si="13"/>
        <v>-1899787.99</v>
      </c>
      <c r="H72" s="69">
        <f t="shared" si="13"/>
        <v>0</v>
      </c>
      <c r="I72" s="70">
        <f t="shared" si="13"/>
        <v>-0.21999999997206032</v>
      </c>
    </row>
    <row r="73" spans="1:9" x14ac:dyDescent="0.2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1778233.65</v>
      </c>
      <c r="F74" s="60">
        <f>'TX-CON-GL '!D74</f>
        <v>0</v>
      </c>
      <c r="G74" s="38">
        <f>'TX-CON-GL '!E74</f>
        <v>1762479.91</v>
      </c>
      <c r="H74" s="60">
        <f t="shared" ref="H74:I79" si="14">F74-D74</f>
        <v>0</v>
      </c>
      <c r="I74" s="38">
        <f t="shared" si="14"/>
        <v>-15753.739999999991</v>
      </c>
    </row>
    <row r="75" spans="1:9" x14ac:dyDescent="0.2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17704</v>
      </c>
      <c r="F75" s="60">
        <f>'TX-CON-GL '!D75</f>
        <v>0</v>
      </c>
      <c r="G75" s="38">
        <f>'TX-CON-GL '!E75</f>
        <v>17700</v>
      </c>
      <c r="H75" s="60">
        <f t="shared" si="14"/>
        <v>0</v>
      </c>
      <c r="I75" s="38">
        <f t="shared" si="14"/>
        <v>-4</v>
      </c>
    </row>
    <row r="76" spans="1:9" x14ac:dyDescent="0.2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-2541</v>
      </c>
      <c r="F76" s="60">
        <f>'TX-CON-GL '!D76</f>
        <v>0</v>
      </c>
      <c r="G76" s="38">
        <f>'TX-CON-GL '!E76</f>
        <v>-2541.2800000000002</v>
      </c>
      <c r="H76" s="60">
        <f t="shared" si="14"/>
        <v>0</v>
      </c>
      <c r="I76" s="38">
        <f t="shared" si="14"/>
        <v>-0.28000000000020009</v>
      </c>
    </row>
    <row r="77" spans="1:9" x14ac:dyDescent="0.2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-98300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-207047</v>
      </c>
      <c r="F81" s="60">
        <f>'TX-CON-GL '!D81</f>
        <v>0</v>
      </c>
      <c r="G81" s="38">
        <f>'TX-CON-GL '!E81</f>
        <v>-61128</v>
      </c>
      <c r="H81" s="60">
        <f>F81-D81</f>
        <v>0</v>
      </c>
      <c r="I81" s="38">
        <f>G81-E81</f>
        <v>145919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2767144.7216697363</v>
      </c>
      <c r="F82" s="109">
        <f>F16+F24+F29+F36+F43+F45+F47+F49</f>
        <v>0</v>
      </c>
      <c r="G82" s="110">
        <f>SUM(G72:G81)+G16+G24+G29+G36+G43+G45+G47+G49+G51+G56+G61+G66</f>
        <v>1098199.2130000074</v>
      </c>
      <c r="H82" s="109">
        <f>H16+H24+H29+H36+H43+H45+H47+H49</f>
        <v>0</v>
      </c>
      <c r="I82" s="110">
        <f>SUM(I72:I81)+I16+I24+I29+I36+I43+I45+I47+I49+I51+I56+I61+I66</f>
        <v>-1668945.5086697319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'TX-CON-FLSH'!L86</f>
        <v>0</v>
      </c>
      <c r="E86" s="145">
        <f>'TX-CON-FLSH'!M86</f>
        <v>2647064</v>
      </c>
      <c r="F86" s="145">
        <f>'TX-CON-GL '!D86</f>
        <v>0</v>
      </c>
      <c r="G86" s="145">
        <f>'TX-CON-GL '!E86</f>
        <v>2598320</v>
      </c>
      <c r="H86" s="145">
        <f t="shared" ref="H86:I88" si="15">F86-D86</f>
        <v>0</v>
      </c>
      <c r="I86" s="145">
        <f t="shared" si="15"/>
        <v>-48744</v>
      </c>
    </row>
    <row r="87" spans="1:63" x14ac:dyDescent="0.2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0</v>
      </c>
      <c r="H87" s="146">
        <f t="shared" si="15"/>
        <v>0</v>
      </c>
      <c r="I87" s="146">
        <f t="shared" si="15"/>
        <v>0</v>
      </c>
    </row>
    <row r="88" spans="1:63" x14ac:dyDescent="0.2">
      <c r="A88" s="144"/>
      <c r="B88" s="3"/>
      <c r="C88" s="10" t="s">
        <v>72</v>
      </c>
      <c r="D88" s="147">
        <f>'TX-CON-FLSH'!L88</f>
        <v>0</v>
      </c>
      <c r="E88" s="147">
        <f>'TX-CON-FLSH'!M88</f>
        <v>-2114953</v>
      </c>
      <c r="F88" s="147">
        <f>'TX-CON-GL '!D88</f>
        <v>0</v>
      </c>
      <c r="G88" s="147">
        <f>'TX-CON-GL '!E88</f>
        <v>-2057500</v>
      </c>
      <c r="H88" s="147">
        <f t="shared" si="15"/>
        <v>0</v>
      </c>
      <c r="I88" s="147">
        <f t="shared" si="15"/>
        <v>57453</v>
      </c>
    </row>
    <row r="89" spans="1:63" ht="15" x14ac:dyDescent="0.2">
      <c r="A89" s="151"/>
      <c r="B89" s="152"/>
      <c r="C89" s="157" t="s">
        <v>169</v>
      </c>
      <c r="D89" s="155">
        <f t="shared" ref="D89:I89" si="16">SUM(D86:D88)</f>
        <v>0</v>
      </c>
      <c r="E89" s="155">
        <f t="shared" si="16"/>
        <v>532111</v>
      </c>
      <c r="F89" s="155">
        <f t="shared" si="16"/>
        <v>0</v>
      </c>
      <c r="G89" s="155">
        <f t="shared" si="16"/>
        <v>540820</v>
      </c>
      <c r="H89" s="155">
        <f t="shared" si="16"/>
        <v>0</v>
      </c>
      <c r="I89" s="155">
        <f t="shared" si="16"/>
        <v>8709</v>
      </c>
    </row>
    <row r="90" spans="1:63" x14ac:dyDescent="0.2">
      <c r="A90" s="4"/>
      <c r="B90" s="3"/>
      <c r="F90" s="31"/>
      <c r="G90" s="31"/>
      <c r="H90" s="31"/>
      <c r="I90" s="31"/>
    </row>
    <row r="91" spans="1:63" ht="15" x14ac:dyDescent="0.2">
      <c r="A91" s="151"/>
      <c r="B91" s="152"/>
      <c r="C91" s="157" t="s">
        <v>172</v>
      </c>
      <c r="D91" s="155">
        <f t="shared" ref="D91:I91" si="17">+D82+D89</f>
        <v>0</v>
      </c>
      <c r="E91" s="155">
        <f t="shared" si="17"/>
        <v>3299255.7216697363</v>
      </c>
      <c r="F91" s="155">
        <f t="shared" si="17"/>
        <v>0</v>
      </c>
      <c r="G91" s="155">
        <f t="shared" si="17"/>
        <v>1639019.2130000074</v>
      </c>
      <c r="H91" s="155">
        <f t="shared" si="17"/>
        <v>0</v>
      </c>
      <c r="I91" s="155">
        <f t="shared" si="17"/>
        <v>-1660236.5086697319</v>
      </c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70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112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'WE-FLSH'!L11</f>
        <v>41773752</v>
      </c>
      <c r="E11" s="66">
        <f>'WE-FLSH'!M11</f>
        <v>96029433</v>
      </c>
      <c r="F11" s="60">
        <f>'WE-GL '!D11</f>
        <v>41098169</v>
      </c>
      <c r="G11" s="38">
        <f>'WE-GL '!E11</f>
        <v>92204414.050000012</v>
      </c>
      <c r="H11" s="60">
        <f>F11-D11</f>
        <v>-675583</v>
      </c>
      <c r="I11" s="38">
        <f>G11-E11</f>
        <v>-3825018.9499999881</v>
      </c>
    </row>
    <row r="12" spans="1:22" x14ac:dyDescent="0.2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2368361.73</v>
      </c>
      <c r="H12" s="60">
        <f>F12-D12</f>
        <v>0</v>
      </c>
      <c r="I12" s="38">
        <f>G12-E12</f>
        <v>2368361.73</v>
      </c>
    </row>
    <row r="13" spans="1:22" x14ac:dyDescent="0.2">
      <c r="A13" s="9">
        <v>3</v>
      </c>
      <c r="B13" s="7"/>
      <c r="C13" s="18" t="s">
        <v>27</v>
      </c>
      <c r="D13" s="65">
        <f>'WE-FLSH'!L13</f>
        <v>19330835</v>
      </c>
      <c r="E13" s="66">
        <f>'WE-FLSH'!M13</f>
        <v>45588342</v>
      </c>
      <c r="F13" s="60">
        <f>'WE-GL '!D13</f>
        <v>0</v>
      </c>
      <c r="G13" s="38">
        <f>'WE-GL '!E13</f>
        <v>0</v>
      </c>
      <c r="H13" s="60">
        <f t="shared" ref="H13:I15" si="0">F13-D13</f>
        <v>-19330835</v>
      </c>
      <c r="I13" s="38">
        <f t="shared" si="0"/>
        <v>-45588342</v>
      </c>
    </row>
    <row r="14" spans="1:22" x14ac:dyDescent="0.2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1131020.68</v>
      </c>
      <c r="H15" s="60">
        <f t="shared" si="0"/>
        <v>0</v>
      </c>
      <c r="I15" s="38">
        <f t="shared" si="0"/>
        <v>1131020.68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61104587</v>
      </c>
      <c r="E16" s="39">
        <f t="shared" si="1"/>
        <v>141617775</v>
      </c>
      <c r="F16" s="61">
        <f t="shared" si="1"/>
        <v>41098169</v>
      </c>
      <c r="G16" s="39">
        <f t="shared" si="1"/>
        <v>95703796.460000023</v>
      </c>
      <c r="H16" s="61">
        <f t="shared" si="1"/>
        <v>-20006418</v>
      </c>
      <c r="I16" s="39">
        <f t="shared" si="1"/>
        <v>-45913978.539999992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'WE-FLSH'!L19</f>
        <v>-42677322</v>
      </c>
      <c r="E19" s="66">
        <f>'WE-FLSH'!M19</f>
        <v>-95682634</v>
      </c>
      <c r="F19" s="60">
        <f>'WE-GL '!D19</f>
        <v>-42906776</v>
      </c>
      <c r="G19" s="38">
        <f>'WE-GL '!E19</f>
        <v>-96368748.659999982</v>
      </c>
      <c r="H19" s="60">
        <f>F19-D19</f>
        <v>-229454</v>
      </c>
      <c r="I19" s="38">
        <f>G19-E19</f>
        <v>-686114.65999998152</v>
      </c>
    </row>
    <row r="20" spans="1:9" x14ac:dyDescent="0.2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-76977.850000000006</v>
      </c>
      <c r="H20" s="60">
        <f>F20-D20</f>
        <v>0</v>
      </c>
      <c r="I20" s="38">
        <f>G20-E20</f>
        <v>-76977.850000000006</v>
      </c>
    </row>
    <row r="21" spans="1:9" x14ac:dyDescent="0.2">
      <c r="A21" s="9">
        <v>8</v>
      </c>
      <c r="B21" s="7"/>
      <c r="C21" s="18" t="s">
        <v>27</v>
      </c>
      <c r="D21" s="65">
        <f>'WE-FLSH'!L21</f>
        <v>-19275990</v>
      </c>
      <c r="E21" s="66">
        <f>'WE-FLSH'!M21</f>
        <v>-45452981</v>
      </c>
      <c r="F21" s="60">
        <f>'WE-GL '!D21</f>
        <v>-67499</v>
      </c>
      <c r="G21" s="38">
        <f>'WE-GL '!E21</f>
        <v>-145658</v>
      </c>
      <c r="H21" s="60">
        <f t="shared" ref="H21:I23" si="2">F21-D21</f>
        <v>19208491</v>
      </c>
      <c r="I21" s="38">
        <f t="shared" si="2"/>
        <v>45307323</v>
      </c>
    </row>
    <row r="22" spans="1:9" x14ac:dyDescent="0.2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'WE-FLSH'!L23</f>
        <v>637065</v>
      </c>
      <c r="E23" s="66">
        <f>'WE-FLSH'!M23</f>
        <v>1420180</v>
      </c>
      <c r="F23" s="60">
        <f>'WE-GL '!D23</f>
        <v>719124</v>
      </c>
      <c r="G23" s="38">
        <f>'WE-GL '!E23</f>
        <v>1587106.6679999998</v>
      </c>
      <c r="H23" s="60">
        <f t="shared" si="2"/>
        <v>82059</v>
      </c>
      <c r="I23" s="38">
        <f t="shared" si="2"/>
        <v>166926.66799999983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-61316247</v>
      </c>
      <c r="E24" s="39">
        <f t="shared" si="3"/>
        <v>-139715435</v>
      </c>
      <c r="F24" s="61">
        <f t="shared" si="3"/>
        <v>-42255151</v>
      </c>
      <c r="G24" s="39">
        <f t="shared" si="3"/>
        <v>-95004277.841999978</v>
      </c>
      <c r="H24" s="61">
        <f t="shared" si="3"/>
        <v>19061096</v>
      </c>
      <c r="I24" s="39">
        <f t="shared" si="3"/>
        <v>44711157.158000015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'WE-FLSH'!L27</f>
        <v>0</v>
      </c>
      <c r="E27" s="66">
        <f>'WE-FLSH'!M27</f>
        <v>0</v>
      </c>
      <c r="F27" s="60">
        <f>'WE-GL '!D27</f>
        <v>857593</v>
      </c>
      <c r="G27" s="38">
        <f>'WE-GL '!E27</f>
        <v>2021036.0799999998</v>
      </c>
      <c r="H27" s="60">
        <f>F27-D27</f>
        <v>857593</v>
      </c>
      <c r="I27" s="38">
        <f>G27-E27</f>
        <v>2021036.0799999998</v>
      </c>
    </row>
    <row r="28" spans="1:9" x14ac:dyDescent="0.2">
      <c r="A28" s="9">
        <v>12</v>
      </c>
      <c r="B28" s="7"/>
      <c r="C28" s="18" t="s">
        <v>36</v>
      </c>
      <c r="D28" s="65">
        <f>'WE-FLSH'!L28</f>
        <v>0</v>
      </c>
      <c r="E28" s="66">
        <f>'WE-FLSH'!M28</f>
        <v>0</v>
      </c>
      <c r="F28" s="60">
        <f>'WE-GL '!D28</f>
        <v>0</v>
      </c>
      <c r="G28" s="38">
        <f>'WE-GL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857593</v>
      </c>
      <c r="G29" s="70">
        <f t="shared" si="4"/>
        <v>2021036.0799999998</v>
      </c>
      <c r="H29" s="69">
        <f t="shared" si="4"/>
        <v>857593</v>
      </c>
      <c r="I29" s="70">
        <f t="shared" si="4"/>
        <v>2021036.0799999998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'WE-FLSH'!L32</f>
        <v>7309</v>
      </c>
      <c r="E32" s="66">
        <f>'WE-FLSH'!M32</f>
        <v>18379</v>
      </c>
      <c r="F32" s="60">
        <f>'WE-GL '!D32</f>
        <v>-62506</v>
      </c>
      <c r="G32" s="38">
        <f>'WE-GL '!E32</f>
        <v>-137950.74199999988</v>
      </c>
      <c r="H32" s="60">
        <f>F32-D32</f>
        <v>-69815</v>
      </c>
      <c r="I32" s="38">
        <f>G32-E32</f>
        <v>-156329.74199999988</v>
      </c>
    </row>
    <row r="33" spans="1:9" x14ac:dyDescent="0.2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-570</v>
      </c>
      <c r="G33" s="38">
        <f>'WE-GL '!E33</f>
        <v>-1268.22</v>
      </c>
      <c r="H33" s="60">
        <f t="shared" ref="H33:I35" si="5">F33-D33</f>
        <v>-570</v>
      </c>
      <c r="I33" s="38">
        <f t="shared" si="5"/>
        <v>-1268.22</v>
      </c>
    </row>
    <row r="34" spans="1:9" x14ac:dyDescent="0.2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6</v>
      </c>
      <c r="G34" s="38">
        <f>'WE-GL '!E34</f>
        <v>12.9</v>
      </c>
      <c r="H34" s="60">
        <f t="shared" si="5"/>
        <v>6</v>
      </c>
      <c r="I34" s="38">
        <f t="shared" si="5"/>
        <v>12.9</v>
      </c>
    </row>
    <row r="35" spans="1:9" x14ac:dyDescent="0.2">
      <c r="A35" s="9">
        <v>16</v>
      </c>
      <c r="B35" s="7"/>
      <c r="C35" s="18" t="s">
        <v>42</v>
      </c>
      <c r="D35" s="65">
        <f>'WE-FLSH'!L35</f>
        <v>219316</v>
      </c>
      <c r="E35" s="66">
        <f>'WE-FLSH'!M35</f>
        <v>531059</v>
      </c>
      <c r="F35" s="60">
        <f>'WE-GL '!D35</f>
        <v>0</v>
      </c>
      <c r="G35" s="38">
        <f>'WE-GL '!E35</f>
        <v>0</v>
      </c>
      <c r="H35" s="60">
        <f t="shared" si="5"/>
        <v>-219316</v>
      </c>
      <c r="I35" s="38">
        <f t="shared" si="5"/>
        <v>-531059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226625</v>
      </c>
      <c r="E36" s="39">
        <f t="shared" si="6"/>
        <v>549438</v>
      </c>
      <c r="F36" s="61">
        <f t="shared" si="6"/>
        <v>-63070</v>
      </c>
      <c r="G36" s="39">
        <f t="shared" si="6"/>
        <v>-139206.06199999989</v>
      </c>
      <c r="H36" s="61">
        <f t="shared" si="6"/>
        <v>-289695</v>
      </c>
      <c r="I36" s="39">
        <f t="shared" si="6"/>
        <v>-688644.06199999992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'WE-FLSH'!L39</f>
        <v>9907</v>
      </c>
      <c r="E39" s="66">
        <f>'WE-FLSH'!M39</f>
        <v>20458</v>
      </c>
      <c r="F39" s="60">
        <f>'WE-GL '!D39</f>
        <v>221557</v>
      </c>
      <c r="G39" s="38">
        <f>'WE-GL '!E39</f>
        <v>488978.93</v>
      </c>
      <c r="H39" s="60">
        <f t="shared" ref="H39:I41" si="7">F39-D39</f>
        <v>211650</v>
      </c>
      <c r="I39" s="38">
        <f t="shared" si="7"/>
        <v>468520.93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'WE-FLSH'!L40</f>
        <v>-7621</v>
      </c>
      <c r="E40" s="66">
        <f>'WE-FLSH'!M40</f>
        <v>-17126</v>
      </c>
      <c r="F40" s="60">
        <f>'WE-GL '!D40</f>
        <v>0</v>
      </c>
      <c r="G40" s="38">
        <f>'WE-GL '!E40</f>
        <v>0</v>
      </c>
      <c r="H40" s="60">
        <f t="shared" si="7"/>
        <v>7621</v>
      </c>
      <c r="I40" s="38">
        <f t="shared" si="7"/>
        <v>17126</v>
      </c>
    </row>
    <row r="41" spans="1:9" x14ac:dyDescent="0.2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-7621</v>
      </c>
      <c r="E42" s="39">
        <f t="shared" si="8"/>
        <v>-17126</v>
      </c>
      <c r="F42" s="61">
        <f t="shared" si="8"/>
        <v>0</v>
      </c>
      <c r="G42" s="39">
        <f t="shared" si="8"/>
        <v>0</v>
      </c>
      <c r="H42" s="61">
        <f t="shared" si="8"/>
        <v>7621</v>
      </c>
      <c r="I42" s="39">
        <f t="shared" si="8"/>
        <v>17126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2286</v>
      </c>
      <c r="E43" s="39">
        <f t="shared" si="9"/>
        <v>3332</v>
      </c>
      <c r="F43" s="61">
        <f t="shared" si="9"/>
        <v>221557</v>
      </c>
      <c r="G43" s="39">
        <f t="shared" si="9"/>
        <v>488978.93</v>
      </c>
      <c r="H43" s="61">
        <f t="shared" si="9"/>
        <v>219271</v>
      </c>
      <c r="I43" s="39">
        <f t="shared" si="9"/>
        <v>485646.93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'WE-FLSH'!L49</f>
        <v>-17251</v>
      </c>
      <c r="E49" s="66">
        <f>'WE-FLSH'!M49</f>
        <v>-38071.940757729382</v>
      </c>
      <c r="F49" s="60">
        <f>'WE-GL '!D49</f>
        <v>140902</v>
      </c>
      <c r="G49" s="38">
        <f>'WE-GL '!E49</f>
        <v>310970.71399999992</v>
      </c>
      <c r="H49" s="60">
        <f>F49-D49</f>
        <v>158153</v>
      </c>
      <c r="I49" s="38">
        <f>G49-E49</f>
        <v>349042.65475772932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'WE-FLSH'!L51</f>
        <v>-637065</v>
      </c>
      <c r="E51" s="66">
        <f>'WE-FLSH'!M51</f>
        <v>-1420180</v>
      </c>
      <c r="F51" s="60">
        <f>'WE-GL '!D51</f>
        <v>-719124</v>
      </c>
      <c r="G51" s="38">
        <f>'WE-GL '!E51</f>
        <v>-1587106.6679999998</v>
      </c>
      <c r="H51" s="60">
        <f>F51-D51</f>
        <v>-82059</v>
      </c>
      <c r="I51" s="38">
        <f>G51-E51</f>
        <v>-166926.66799999983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-114015</v>
      </c>
      <c r="F54" s="60">
        <f>'WE-GL '!D54</f>
        <v>-25543694</v>
      </c>
      <c r="G54" s="38">
        <f>'WE-GL '!E54</f>
        <v>-393621.56</v>
      </c>
      <c r="H54" s="60">
        <f>F54-D54</f>
        <v>-25543694</v>
      </c>
      <c r="I54" s="38">
        <f>G54-E54</f>
        <v>-279606.56</v>
      </c>
    </row>
    <row r="55" spans="1:9" x14ac:dyDescent="0.2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-1113165.8400000001</v>
      </c>
      <c r="F55" s="60">
        <f>'WE-GL '!D55</f>
        <v>0</v>
      </c>
      <c r="G55" s="38">
        <f>'WE-GL '!E55</f>
        <v>-5448663.5700000003</v>
      </c>
      <c r="H55" s="60">
        <f>F55-D55</f>
        <v>0</v>
      </c>
      <c r="I55" s="38">
        <f>G55-E55</f>
        <v>-4335497.7300000004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-1227180.8400000001</v>
      </c>
      <c r="F56" s="61">
        <f t="shared" si="10"/>
        <v>-25543694</v>
      </c>
      <c r="G56" s="39">
        <f t="shared" si="10"/>
        <v>-5842285.1299999999</v>
      </c>
      <c r="H56" s="61">
        <f t="shared" si="10"/>
        <v>-25543694</v>
      </c>
      <c r="I56" s="39">
        <f t="shared" si="10"/>
        <v>-4615104.29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6953222</v>
      </c>
      <c r="F70" s="60">
        <f>'WE-GL '!D70</f>
        <v>0</v>
      </c>
      <c r="G70" s="38">
        <f>'WE-GL '!E70</f>
        <v>6953222</v>
      </c>
      <c r="H70" s="60">
        <f>F70-D70</f>
        <v>0</v>
      </c>
      <c r="I70" s="38">
        <f>G70-E70</f>
        <v>0</v>
      </c>
    </row>
    <row r="71" spans="1:9" x14ac:dyDescent="0.2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-2053660</v>
      </c>
      <c r="F71" s="60">
        <f>'WE-GL '!D71</f>
        <v>0</v>
      </c>
      <c r="G71" s="38">
        <f>'WE-GL '!E71</f>
        <v>-2053660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4899562</v>
      </c>
      <c r="F72" s="61">
        <f t="shared" si="13"/>
        <v>0</v>
      </c>
      <c r="G72" s="39">
        <f t="shared" si="13"/>
        <v>4899562</v>
      </c>
      <c r="H72" s="61">
        <f t="shared" si="13"/>
        <v>0</v>
      </c>
      <c r="I72" s="39">
        <f t="shared" si="13"/>
        <v>0</v>
      </c>
    </row>
    <row r="73" spans="1:9" x14ac:dyDescent="0.2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1250153</v>
      </c>
      <c r="F74" s="60">
        <f>'WE-GL '!D74</f>
        <v>0</v>
      </c>
      <c r="G74" s="38">
        <f>'WE-GL '!E74</f>
        <v>1433657.44</v>
      </c>
      <c r="H74" s="60">
        <f t="shared" ref="H74:I79" si="14">F74-D74</f>
        <v>0</v>
      </c>
      <c r="I74" s="38">
        <f t="shared" si="14"/>
        <v>183504.43999999994</v>
      </c>
    </row>
    <row r="75" spans="1:9" x14ac:dyDescent="0.2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354788</v>
      </c>
      <c r="F75" s="60">
        <f>'WE-GL '!D75</f>
        <v>0</v>
      </c>
      <c r="G75" s="38">
        <f>'WE-GL '!E75</f>
        <v>354800</v>
      </c>
      <c r="H75" s="60">
        <f t="shared" si="14"/>
        <v>0</v>
      </c>
      <c r="I75" s="38">
        <f t="shared" si="14"/>
        <v>12</v>
      </c>
    </row>
    <row r="76" spans="1:9" x14ac:dyDescent="0.2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-8676</v>
      </c>
      <c r="F76" s="60">
        <f>'WE-GL '!D76</f>
        <v>0</v>
      </c>
      <c r="G76" s="38">
        <f>'WE-GL '!E76</f>
        <v>-10021.69</v>
      </c>
      <c r="H76" s="60">
        <f t="shared" si="14"/>
        <v>0</v>
      </c>
      <c r="I76" s="38">
        <f t="shared" si="14"/>
        <v>-1345.6900000000005</v>
      </c>
    </row>
    <row r="77" spans="1:9" x14ac:dyDescent="0.2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-223008</v>
      </c>
      <c r="F81" s="60">
        <f>'WE-GL '!D81</f>
        <v>0</v>
      </c>
      <c r="G81" s="38">
        <f>'WE-GL '!E81</f>
        <v>7142.86</v>
      </c>
      <c r="H81" s="60">
        <f>F81-D81</f>
        <v>0</v>
      </c>
      <c r="I81" s="38">
        <f>G81-E81</f>
        <v>230150.86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6042496.219242271</v>
      </c>
      <c r="F82" s="109">
        <f>F16+F24+F29+F36+F43+F45+F47+F49</f>
        <v>0</v>
      </c>
      <c r="G82" s="110">
        <f>SUM(G72:G81)+G16+G24+G29+G36+G43+G45+G47+G49+G51+G56+G61+G66</f>
        <v>2637047.0920000458</v>
      </c>
      <c r="H82" s="109">
        <f>H16+H24+H29+H36+H43+H45+H47+H49</f>
        <v>0</v>
      </c>
      <c r="I82" s="110">
        <f>SUM(I72:I81)+I16+I24+I29+I36+I43+I45+I47+I49+I51+I56+I61+I66</f>
        <v>-3405449.1272422485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201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'DEN-FLSH'!L11</f>
        <v>4265744</v>
      </c>
      <c r="E11" s="66">
        <f>'DEN-FLSH'!M11</f>
        <v>9263351</v>
      </c>
      <c r="F11" s="60">
        <f>'DEN-GL'!D11</f>
        <v>4109285</v>
      </c>
      <c r="G11" s="38">
        <f>'DEN-GL'!E11</f>
        <v>8933225.290000001</v>
      </c>
      <c r="H11" s="60">
        <f>F11-D11</f>
        <v>-156459</v>
      </c>
      <c r="I11" s="38">
        <f>G11-E11</f>
        <v>-330125.70999999903</v>
      </c>
    </row>
    <row r="12" spans="1:22" x14ac:dyDescent="0.2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-386881.57</v>
      </c>
      <c r="H12" s="60">
        <f>F12-D12</f>
        <v>0</v>
      </c>
      <c r="I12" s="38">
        <f>G12-E12</f>
        <v>-386881.57</v>
      </c>
    </row>
    <row r="13" spans="1:22" x14ac:dyDescent="0.2">
      <c r="A13" s="9">
        <v>3</v>
      </c>
      <c r="B13" s="7"/>
      <c r="C13" s="18" t="s">
        <v>27</v>
      </c>
      <c r="D13" s="65">
        <f>'DEN-FLSH'!L13</f>
        <v>4105116</v>
      </c>
      <c r="E13" s="66">
        <f>'DEN-FLSH'!M13</f>
        <v>9214231</v>
      </c>
      <c r="F13" s="60">
        <f>'DEN-GL'!D13</f>
        <v>354469</v>
      </c>
      <c r="G13" s="38">
        <f>'DEN-GL'!E13</f>
        <v>818936</v>
      </c>
      <c r="H13" s="60">
        <f t="shared" ref="H13:I15" si="0">F13-D13</f>
        <v>-3750647</v>
      </c>
      <c r="I13" s="38">
        <f t="shared" si="0"/>
        <v>-8395295</v>
      </c>
    </row>
    <row r="14" spans="1:22" x14ac:dyDescent="0.2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0</v>
      </c>
      <c r="F15" s="60">
        <f>'DEN-GL'!D15</f>
        <v>0</v>
      </c>
      <c r="G15" s="38">
        <f>'DEN-GL'!E15</f>
        <v>6132.42</v>
      </c>
      <c r="H15" s="60">
        <f t="shared" si="0"/>
        <v>0</v>
      </c>
      <c r="I15" s="38">
        <f t="shared" si="0"/>
        <v>6132.42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8370860</v>
      </c>
      <c r="E16" s="39">
        <f t="shared" si="1"/>
        <v>18477582</v>
      </c>
      <c r="F16" s="61">
        <f t="shared" si="1"/>
        <v>4463754</v>
      </c>
      <c r="G16" s="39">
        <f t="shared" si="1"/>
        <v>9371412.1400000006</v>
      </c>
      <c r="H16" s="61">
        <f t="shared" si="1"/>
        <v>-3907106</v>
      </c>
      <c r="I16" s="39">
        <f t="shared" si="1"/>
        <v>-9106169.8599999994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'DEN-FLSH'!L19</f>
        <v>-5207531</v>
      </c>
      <c r="E19" s="66">
        <f>'DEN-FLSH'!M19</f>
        <v>-11111817</v>
      </c>
      <c r="F19" s="60">
        <f>'DEN-GL'!D19</f>
        <v>-4880727</v>
      </c>
      <c r="G19" s="38">
        <f>'DEN-GL'!E19</f>
        <v>-10188373.58</v>
      </c>
      <c r="H19" s="60">
        <f>F19-D19</f>
        <v>326804</v>
      </c>
      <c r="I19" s="38">
        <f>G19-E19</f>
        <v>923443.41999999993</v>
      </c>
    </row>
    <row r="20" spans="1:9" x14ac:dyDescent="0.2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263447.03999999998</v>
      </c>
      <c r="H20" s="60">
        <f>F20-D20</f>
        <v>0</v>
      </c>
      <c r="I20" s="38">
        <f>G20-E20</f>
        <v>263447.03999999998</v>
      </c>
    </row>
    <row r="21" spans="1:9" x14ac:dyDescent="0.2">
      <c r="A21" s="9">
        <v>8</v>
      </c>
      <c r="B21" s="7"/>
      <c r="C21" s="18" t="s">
        <v>27</v>
      </c>
      <c r="D21" s="65">
        <f>'DEN-FLSH'!L21</f>
        <v>-3142564</v>
      </c>
      <c r="E21" s="66">
        <f>'DEN-FLSH'!M21</f>
        <v>-7046526</v>
      </c>
      <c r="F21" s="60">
        <f>'DEN-GL'!D21</f>
        <v>-93</v>
      </c>
      <c r="G21" s="38">
        <f>'DEN-GL'!E21</f>
        <v>-219</v>
      </c>
      <c r="H21" s="60">
        <f t="shared" ref="H21:I23" si="2">F21-D21</f>
        <v>3142471</v>
      </c>
      <c r="I21" s="38">
        <f t="shared" si="2"/>
        <v>7046307</v>
      </c>
    </row>
    <row r="22" spans="1:9" x14ac:dyDescent="0.2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'DEN-FLSH'!L23</f>
        <v>13590</v>
      </c>
      <c r="E23" s="66">
        <f>'DEN-FLSH'!M23</f>
        <v>28931</v>
      </c>
      <c r="F23" s="60">
        <f>'DEN-GL'!D23</f>
        <v>2687</v>
      </c>
      <c r="G23" s="38">
        <f>'DEN-GL'!E23</f>
        <v>5798.5460000000003</v>
      </c>
      <c r="H23" s="60">
        <f t="shared" si="2"/>
        <v>-10903</v>
      </c>
      <c r="I23" s="38">
        <f t="shared" si="2"/>
        <v>-23132.453999999998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-8336505</v>
      </c>
      <c r="E24" s="39">
        <f t="shared" si="3"/>
        <v>-18129412</v>
      </c>
      <c r="F24" s="61">
        <f t="shared" si="3"/>
        <v>-4878133</v>
      </c>
      <c r="G24" s="39">
        <f t="shared" si="3"/>
        <v>-9919346.9940000009</v>
      </c>
      <c r="H24" s="61">
        <f t="shared" si="3"/>
        <v>3458372</v>
      </c>
      <c r="I24" s="39">
        <f t="shared" si="3"/>
        <v>8210065.0060000001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'DEN-FLSH'!L32</f>
        <v>14069</v>
      </c>
      <c r="E32" s="66">
        <f>'DEN-FLSH'!M32</f>
        <v>31773</v>
      </c>
      <c r="F32" s="60">
        <f>'DEN-GL'!D32</f>
        <v>-3181</v>
      </c>
      <c r="G32" s="38">
        <f>'DEN-GL'!E32</f>
        <v>14910.360000000015</v>
      </c>
      <c r="H32" s="60">
        <f>F32-D32</f>
        <v>-17250</v>
      </c>
      <c r="I32" s="38">
        <f>G32-E32</f>
        <v>-16862.639999999985</v>
      </c>
    </row>
    <row r="33" spans="1:9" x14ac:dyDescent="0.2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14069</v>
      </c>
      <c r="E36" s="39">
        <f t="shared" si="6"/>
        <v>31773</v>
      </c>
      <c r="F36" s="61">
        <f t="shared" si="6"/>
        <v>-3181</v>
      </c>
      <c r="G36" s="39">
        <f t="shared" si="6"/>
        <v>14910.360000000015</v>
      </c>
      <c r="H36" s="61">
        <f t="shared" si="6"/>
        <v>-17250</v>
      </c>
      <c r="I36" s="39">
        <f t="shared" si="6"/>
        <v>-16862.639999999985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'DEN-FLSH'!L39</f>
        <v>891</v>
      </c>
      <c r="E39" s="66">
        <f>'DEN-FLSH'!M39</f>
        <v>2074</v>
      </c>
      <c r="F39" s="60">
        <f>'DEN-GL'!D39</f>
        <v>0</v>
      </c>
      <c r="G39" s="38">
        <f>'DEN-GL'!E39</f>
        <v>0</v>
      </c>
      <c r="H39" s="60">
        <f t="shared" ref="H39:I41" si="7">F39-D39</f>
        <v>-891</v>
      </c>
      <c r="I39" s="38">
        <f t="shared" si="7"/>
        <v>-2074</v>
      </c>
    </row>
    <row r="40" spans="1:9" ht="22.5" customHeight="1" x14ac:dyDescent="0.2">
      <c r="A40" s="9">
        <v>18</v>
      </c>
      <c r="B40" s="7"/>
      <c r="C40" s="18" t="s">
        <v>46</v>
      </c>
      <c r="D40" s="65">
        <f>'DEN-FLSH'!L40</f>
        <v>0</v>
      </c>
      <c r="E40" s="66">
        <f>'DEN-FLSH'!M40</f>
        <v>0</v>
      </c>
      <c r="F40" s="60">
        <f>'DEN-GL'!D40</f>
        <v>0</v>
      </c>
      <c r="G40" s="38">
        <f>'DEN-GL'!E40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1">
        <f t="shared" ref="D42:I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891</v>
      </c>
      <c r="E43" s="39">
        <f t="shared" si="9"/>
        <v>2074</v>
      </c>
      <c r="F43" s="61">
        <f t="shared" si="9"/>
        <v>0</v>
      </c>
      <c r="G43" s="39">
        <f t="shared" si="9"/>
        <v>0</v>
      </c>
      <c r="H43" s="61">
        <f t="shared" si="9"/>
        <v>-891</v>
      </c>
      <c r="I43" s="39">
        <f t="shared" si="9"/>
        <v>-2074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'DEN-FLSH'!L49</f>
        <v>-49315</v>
      </c>
      <c r="E49" s="66">
        <f>'DEN-FLSH'!M49</f>
        <v>-106404.98028757867</v>
      </c>
      <c r="F49" s="60">
        <f>'DEN-GL'!D49</f>
        <v>417560</v>
      </c>
      <c r="G49" s="38">
        <f>'DEN-GL'!E49</f>
        <v>901094.48</v>
      </c>
      <c r="H49" s="60">
        <f>F49-D49</f>
        <v>466875</v>
      </c>
      <c r="I49" s="38">
        <f>G49-E49</f>
        <v>1007499.4602875786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'DEN-FLSH'!L51</f>
        <v>-13590</v>
      </c>
      <c r="E51" s="66">
        <f>'DEN-FLSH'!M51</f>
        <v>-28931</v>
      </c>
      <c r="F51" s="60">
        <f>'DEN-GL'!D51</f>
        <v>-2687</v>
      </c>
      <c r="G51" s="38">
        <f>'DEN-GL'!E51</f>
        <v>-5798.5460000000003</v>
      </c>
      <c r="H51" s="60">
        <f>F51-D51</f>
        <v>10903</v>
      </c>
      <c r="I51" s="38">
        <f>G51-E51</f>
        <v>23132.453999999998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-114253.35</v>
      </c>
      <c r="F54" s="60">
        <f>'DEN-GL'!D54</f>
        <v>-7503498</v>
      </c>
      <c r="G54" s="38">
        <f>'DEN-GL'!E54</f>
        <v>-108503.09</v>
      </c>
      <c r="H54" s="60">
        <f>F54-D54</f>
        <v>-7503498</v>
      </c>
      <c r="I54" s="38">
        <f>G54-E54</f>
        <v>5750.2600000000093</v>
      </c>
    </row>
    <row r="55" spans="1:9" x14ac:dyDescent="0.2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-355437.7</v>
      </c>
      <c r="F55" s="60">
        <f>'DEN-GL'!D55</f>
        <v>0</v>
      </c>
      <c r="G55" s="38">
        <f>'DEN-GL'!E55</f>
        <v>-339324.11000000004</v>
      </c>
      <c r="H55" s="60">
        <f>F55-D55</f>
        <v>0</v>
      </c>
      <c r="I55" s="38">
        <f>G55-E55</f>
        <v>16113.589999999967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-469691.05000000005</v>
      </c>
      <c r="F56" s="61">
        <f t="shared" si="10"/>
        <v>-7503498</v>
      </c>
      <c r="G56" s="39">
        <f t="shared" si="10"/>
        <v>-447827.20000000007</v>
      </c>
      <c r="H56" s="61">
        <f t="shared" si="10"/>
        <v>-7503498</v>
      </c>
      <c r="I56" s="39">
        <f t="shared" si="10"/>
        <v>21863.849999999977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3.9999999804422259E-2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-3.9999999804422259E-2</v>
      </c>
    </row>
    <row r="71" spans="1:9" x14ac:dyDescent="0.2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0</v>
      </c>
      <c r="F71" s="60">
        <f>'DEN-GL'!D71</f>
        <v>0</v>
      </c>
      <c r="G71" s="38">
        <f>'DEN-GL'!E71</f>
        <v>0</v>
      </c>
      <c r="H71" s="60">
        <f>F71-D71</f>
        <v>0</v>
      </c>
      <c r="I71" s="38">
        <f>G71-E71</f>
        <v>0</v>
      </c>
    </row>
    <row r="72" spans="1:9" x14ac:dyDescent="0.2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3.9999999804422259E-2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-3.9999999804422259E-2</v>
      </c>
    </row>
    <row r="73" spans="1:9" x14ac:dyDescent="0.2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-97941</v>
      </c>
      <c r="H74" s="60">
        <f t="shared" ref="H74:I79" si="14">F74-D74</f>
        <v>0</v>
      </c>
      <c r="I74" s="38">
        <f t="shared" si="14"/>
        <v>-97941</v>
      </c>
    </row>
    <row r="75" spans="1:9" x14ac:dyDescent="0.2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0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0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-223009.9902875796</v>
      </c>
      <c r="F82" s="109">
        <f>F16+F24+F29+F36+F43+F45+F47+F49</f>
        <v>0</v>
      </c>
      <c r="G82" s="110">
        <f>SUM(G72:G81)+G16+G24+G29+G36+G43+G45+G47+G49+G51+G56+G61+G66</f>
        <v>-183496.76000000036</v>
      </c>
      <c r="H82" s="109">
        <f>H16+H24+H29+H36+H43+H45+H47+H49</f>
        <v>0</v>
      </c>
      <c r="I82" s="110">
        <f>SUM(I72:I81)+I16+I24+I29+I36+I43+I45+I47+I49+I51+I56+I61+I66</f>
        <v>39513.23028758014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67">
        <f>+'DEN-FLSH'!L86</f>
        <v>0</v>
      </c>
      <c r="E86" s="223">
        <f>+'DEN-FLSH'!M86</f>
        <v>-63196</v>
      </c>
      <c r="F86" s="67">
        <f>'DEN-GL'!D86</f>
        <v>0</v>
      </c>
      <c r="G86" s="220">
        <f>'DEN-GL'!E86</f>
        <v>-101722</v>
      </c>
      <c r="H86" s="220">
        <f t="shared" ref="H86:I88" si="15">F86-D86</f>
        <v>0</v>
      </c>
      <c r="I86" s="145">
        <f t="shared" si="15"/>
        <v>-38526</v>
      </c>
    </row>
    <row r="87" spans="1:63" x14ac:dyDescent="0.2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-402</v>
      </c>
      <c r="H87" s="66">
        <f t="shared" si="15"/>
        <v>0</v>
      </c>
      <c r="I87" s="146">
        <f t="shared" si="15"/>
        <v>-402</v>
      </c>
    </row>
    <row r="88" spans="1:63" x14ac:dyDescent="0.2">
      <c r="A88" s="144"/>
      <c r="B88" s="3"/>
      <c r="C88" s="10" t="s">
        <v>72</v>
      </c>
      <c r="D88" s="221">
        <f>+'DEN-FLSH'!L88</f>
        <v>0</v>
      </c>
      <c r="E88" s="136">
        <f>+'DEN-FLSH'!M88</f>
        <v>0</v>
      </c>
      <c r="F88" s="221">
        <f>'DEN-GL'!D88</f>
        <v>0</v>
      </c>
      <c r="G88" s="222">
        <f>'DEN-GL'!E88</f>
        <v>0</v>
      </c>
      <c r="H88" s="222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225">
        <f t="shared" ref="D89:I89" si="16">SUM(D86:D88)</f>
        <v>0</v>
      </c>
      <c r="E89" s="225">
        <f t="shared" si="16"/>
        <v>-63196</v>
      </c>
      <c r="F89" s="225">
        <f t="shared" si="16"/>
        <v>0</v>
      </c>
      <c r="G89" s="225">
        <f t="shared" si="16"/>
        <v>-102124</v>
      </c>
      <c r="H89" s="160">
        <f t="shared" si="16"/>
        <v>0</v>
      </c>
      <c r="I89" s="160">
        <f t="shared" si="16"/>
        <v>-38928</v>
      </c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rintOptions horizontalCentered="1"/>
  <pageMargins left="0.75" right="0.75" top="0.5" bottom="0.5" header="0.5" footer="0.5"/>
  <pageSetup paperSize="5" scale="70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10" activePane="bottomRight" state="frozen"/>
      <selection activeCell="D10" sqref="D10"/>
      <selection pane="topRight" activeCell="D10" sqref="D10"/>
      <selection pane="bottomLeft" activeCell="D10" sqref="D10"/>
      <selection pane="bottomRight" activeCell="D25" sqref="D25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105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4964602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-4964602</v>
      </c>
    </row>
    <row r="13" spans="1:22" x14ac:dyDescent="0.2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6032630</v>
      </c>
      <c r="H13" s="60">
        <f t="shared" ref="H13:I15" si="0">F13-D13</f>
        <v>0</v>
      </c>
      <c r="I13" s="38">
        <f t="shared" si="0"/>
        <v>6032630</v>
      </c>
    </row>
    <row r="14" spans="1:22" x14ac:dyDescent="0.2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4964602</v>
      </c>
      <c r="F16" s="61">
        <f t="shared" si="1"/>
        <v>0</v>
      </c>
      <c r="G16" s="39">
        <f t="shared" si="1"/>
        <v>6032630</v>
      </c>
      <c r="H16" s="61">
        <f t="shared" si="1"/>
        <v>0</v>
      </c>
      <c r="I16" s="39">
        <f t="shared" si="1"/>
        <v>1068028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146152</v>
      </c>
      <c r="H41" s="60">
        <f t="shared" si="7"/>
        <v>0</v>
      </c>
      <c r="I41" s="38">
        <f t="shared" si="7"/>
        <v>146152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146152</v>
      </c>
      <c r="H42" s="69">
        <f t="shared" si="8"/>
        <v>0</v>
      </c>
      <c r="I42" s="70">
        <f t="shared" si="8"/>
        <v>146152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146152</v>
      </c>
      <c r="H43" s="61">
        <f t="shared" si="9"/>
        <v>0</v>
      </c>
      <c r="I43" s="39">
        <f t="shared" si="9"/>
        <v>146152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0</v>
      </c>
      <c r="H51" s="60">
        <f>F51-D51</f>
        <v>0</v>
      </c>
      <c r="I51" s="38">
        <f>G51-E51</f>
        <v>0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50000</v>
      </c>
      <c r="F60" s="60">
        <f>STG_GL!D60</f>
        <v>0</v>
      </c>
      <c r="G60" s="38">
        <f>STG_GL!E60</f>
        <v>96833</v>
      </c>
      <c r="H60" s="60">
        <f>F60-D60</f>
        <v>0</v>
      </c>
      <c r="I60" s="38">
        <f>G60-E60</f>
        <v>46833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50000</v>
      </c>
      <c r="F61" s="69">
        <f t="shared" si="11"/>
        <v>0</v>
      </c>
      <c r="G61" s="70">
        <f t="shared" si="11"/>
        <v>96833</v>
      </c>
      <c r="H61" s="69">
        <f t="shared" si="11"/>
        <v>0</v>
      </c>
      <c r="I61" s="70">
        <f t="shared" si="11"/>
        <v>46833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-4096579</v>
      </c>
      <c r="F70" s="60">
        <f>STG_GL!D70</f>
        <v>0</v>
      </c>
      <c r="G70" s="38">
        <f>STG_GL!E70</f>
        <v>-3011096</v>
      </c>
      <c r="H70" s="60">
        <f>F70-D70</f>
        <v>0</v>
      </c>
      <c r="I70" s="38">
        <f>G70-E70</f>
        <v>1085483</v>
      </c>
    </row>
    <row r="71" spans="1:9" x14ac:dyDescent="0.2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0</v>
      </c>
      <c r="F71" s="60">
        <f>STG_GL!D71</f>
        <v>0</v>
      </c>
      <c r="G71" s="38">
        <f>STG_GL!E71</f>
        <v>-1085483</v>
      </c>
      <c r="H71" s="60">
        <f>F71-D71</f>
        <v>0</v>
      </c>
      <c r="I71" s="38">
        <f>G71-E71</f>
        <v>-1085483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-4096579</v>
      </c>
      <c r="F72" s="69">
        <f t="shared" si="13"/>
        <v>0</v>
      </c>
      <c r="G72" s="70">
        <f t="shared" si="13"/>
        <v>-4096579</v>
      </c>
      <c r="H72" s="69">
        <f t="shared" si="13"/>
        <v>0</v>
      </c>
      <c r="I72" s="70">
        <f t="shared" si="13"/>
        <v>0</v>
      </c>
    </row>
    <row r="73" spans="1:9" x14ac:dyDescent="0.2">
      <c r="A73" s="9">
        <v>32</v>
      </c>
      <c r="B73" s="3"/>
      <c r="C73" s="10" t="s">
        <v>131</v>
      </c>
      <c r="D73" s="65">
        <f>STG_FLSH!L73</f>
        <v>0</v>
      </c>
      <c r="E73" s="66">
        <f>STG_FLSH!M73</f>
        <v>0</v>
      </c>
      <c r="F73" s="60">
        <f>STG_GL!D73</f>
        <v>0</v>
      </c>
      <c r="G73" s="38">
        <f>STG_GL!E73</f>
        <v>-281</v>
      </c>
      <c r="H73" s="60">
        <f>F73-D73</f>
        <v>0</v>
      </c>
      <c r="I73" s="38">
        <f>G73-E73</f>
        <v>-281</v>
      </c>
    </row>
    <row r="74" spans="1:9" x14ac:dyDescent="0.2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2331926</v>
      </c>
      <c r="F74" s="60">
        <f>STG_GL!D74</f>
        <v>0</v>
      </c>
      <c r="G74" s="38">
        <f>STG_GL!E74</f>
        <v>1656275.2999999998</v>
      </c>
      <c r="H74" s="60">
        <f t="shared" ref="H74:I79" si="14">F74-D74</f>
        <v>0</v>
      </c>
      <c r="I74" s="38">
        <f t="shared" si="14"/>
        <v>-675650.70000000019</v>
      </c>
    </row>
    <row r="75" spans="1:9" x14ac:dyDescent="0.2">
      <c r="A75" s="9">
        <v>34</v>
      </c>
      <c r="B75" s="3"/>
      <c r="C75" s="10" t="s">
        <v>72</v>
      </c>
      <c r="D75" s="65">
        <f>STG_FLSH!L75</f>
        <v>0</v>
      </c>
      <c r="E75" s="66">
        <f>STG_FLSH!M75</f>
        <v>0</v>
      </c>
      <c r="F75" s="60">
        <f>STG_GL!D75</f>
        <v>0</v>
      </c>
      <c r="G75" s="38">
        <f>STG_GL!E75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-9480</v>
      </c>
      <c r="F76" s="60">
        <f>STG_GL!D76</f>
        <v>0</v>
      </c>
      <c r="G76" s="38">
        <f>STG_GL!E76</f>
        <v>-9625</v>
      </c>
      <c r="H76" s="60">
        <f t="shared" si="14"/>
        <v>0</v>
      </c>
      <c r="I76" s="38">
        <f t="shared" si="14"/>
        <v>-145</v>
      </c>
    </row>
    <row r="77" spans="1:9" x14ac:dyDescent="0.2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">
      <c r="A78" s="9">
        <v>37</v>
      </c>
      <c r="B78" s="3"/>
      <c r="C78" s="10" t="s">
        <v>211</v>
      </c>
      <c r="D78" s="65">
        <f>STG_FLSH!L78</f>
        <v>0</v>
      </c>
      <c r="E78" s="66">
        <f>STG_FLSH!M78</f>
        <v>820000</v>
      </c>
      <c r="F78" s="60">
        <f>STG_GL!D78</f>
        <v>0</v>
      </c>
      <c r="G78" s="38">
        <f>STG_GL!E78</f>
        <v>820000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212</v>
      </c>
      <c r="D79" s="65">
        <f>STG_FLSH!L79</f>
        <v>0</v>
      </c>
      <c r="E79" s="66">
        <f>STG_FLSH!M79</f>
        <v>-503709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413714</v>
      </c>
    </row>
    <row r="80" spans="1:9" x14ac:dyDescent="0.2">
      <c r="A80" s="9">
        <v>39</v>
      </c>
      <c r="B80" s="3"/>
      <c r="C80" s="10" t="s">
        <v>213</v>
      </c>
      <c r="D80" s="65">
        <f>STG_FLSH!L80</f>
        <v>0</v>
      </c>
      <c r="E80" s="66">
        <f>STG_FLSH!M80</f>
        <v>-455702</v>
      </c>
      <c r="F80" s="60">
        <f>STG_GL!D80</f>
        <v>0</v>
      </c>
      <c r="G80" s="38">
        <f>STG_GL!E80</f>
        <v>-98257</v>
      </c>
      <c r="H80" s="60">
        <f>F80-D80</f>
        <v>0</v>
      </c>
      <c r="I80" s="38">
        <f>G80-E80</f>
        <v>357445</v>
      </c>
    </row>
    <row r="81" spans="1:63" x14ac:dyDescent="0.2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0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2718631</v>
      </c>
      <c r="F82" s="109">
        <f>F16+F24+F29+F36+F43+F45+F47+F49</f>
        <v>0</v>
      </c>
      <c r="G82" s="110">
        <f>SUM(G72:G81)+G16+G24+G29+G36+G43+G45+G47+G49+G51+G56+G61+G66</f>
        <v>4080570.3</v>
      </c>
      <c r="H82" s="109">
        <f>H16+H24+H29+H36+H43+H45+H47+H49</f>
        <v>0</v>
      </c>
      <c r="I82" s="110">
        <f>SUM(I72:I81)+I16+I24+I29+I36+I43+I45+I47+I49+I51+I56+I61+I66</f>
        <v>1361939.2999999998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9" activePane="bottomRight" state="frozen"/>
      <selection activeCell="D10" sqref="D10"/>
      <selection pane="topRight" activeCell="D10" sqref="D10"/>
      <selection pane="bottomLeft" activeCell="D10" sqref="D10"/>
      <selection pane="bottomRight" activeCell="D10" sqref="D1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">
        <v>159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ONT_FLSH!L11</f>
        <v>37751228</v>
      </c>
      <c r="E11" s="66">
        <f>ONT_FLSH!M11</f>
        <v>91989334</v>
      </c>
      <c r="F11" s="60">
        <f>'ONT_GL '!D11</f>
        <v>38378987</v>
      </c>
      <c r="G11" s="38">
        <f>'ONT_GL '!E11</f>
        <v>88075060.319999993</v>
      </c>
      <c r="H11" s="60">
        <f>F11-D11</f>
        <v>627759</v>
      </c>
      <c r="I11" s="38">
        <f>G11-E11</f>
        <v>-3914273.6800000072</v>
      </c>
    </row>
    <row r="12" spans="1:22" x14ac:dyDescent="0.2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5720848.6699999999</v>
      </c>
      <c r="H12" s="60">
        <f>F12-D12</f>
        <v>0</v>
      </c>
      <c r="I12" s="38">
        <f>G12-E12</f>
        <v>5720848.6699999999</v>
      </c>
    </row>
    <row r="13" spans="1:22" x14ac:dyDescent="0.2">
      <c r="A13" s="9">
        <v>3</v>
      </c>
      <c r="B13" s="7"/>
      <c r="C13" s="18" t="s">
        <v>27</v>
      </c>
      <c r="D13" s="65">
        <f>ONT_FLSH!L13</f>
        <v>3709833</v>
      </c>
      <c r="E13" s="66">
        <f>ONT_FLSH!M13</f>
        <v>9157794</v>
      </c>
      <c r="F13" s="60">
        <f>'ONT_GL '!D13</f>
        <v>1700653</v>
      </c>
      <c r="G13" s="38">
        <f>'ONT_GL '!E13</f>
        <v>4279414</v>
      </c>
      <c r="H13" s="60">
        <f t="shared" ref="H13:I15" si="0">F13-D13</f>
        <v>-2009180</v>
      </c>
      <c r="I13" s="38">
        <f t="shared" si="0"/>
        <v>-4878380</v>
      </c>
    </row>
    <row r="14" spans="1:22" x14ac:dyDescent="0.2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41461061</v>
      </c>
      <c r="E16" s="39">
        <f t="shared" si="1"/>
        <v>101147128</v>
      </c>
      <c r="F16" s="61">
        <f t="shared" si="1"/>
        <v>40079640</v>
      </c>
      <c r="G16" s="39">
        <f t="shared" si="1"/>
        <v>98075322.989999995</v>
      </c>
      <c r="H16" s="61">
        <f t="shared" si="1"/>
        <v>-1381421</v>
      </c>
      <c r="I16" s="39">
        <f t="shared" si="1"/>
        <v>-3071805.0100000072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ONT_FLSH!L19</f>
        <v>-41087127</v>
      </c>
      <c r="E19" s="66">
        <f>ONT_FLSH!M19</f>
        <v>-100082949</v>
      </c>
      <c r="F19" s="60">
        <f>'ONT_GL '!D19</f>
        <v>-41717681</v>
      </c>
      <c r="G19" s="38">
        <f>'ONT_GL '!E19</f>
        <v>-97143601.280000016</v>
      </c>
      <c r="H19" s="60">
        <f>F19-D19</f>
        <v>-630554</v>
      </c>
      <c r="I19" s="38">
        <f>G19-E19</f>
        <v>2939347.7199999839</v>
      </c>
    </row>
    <row r="20" spans="1:9" x14ac:dyDescent="0.2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-4881100.3499999996</v>
      </c>
      <c r="H20" s="60">
        <f>F20-D20</f>
        <v>0</v>
      </c>
      <c r="I20" s="38">
        <f>G20-E20</f>
        <v>-4881100.3499999996</v>
      </c>
    </row>
    <row r="21" spans="1:9" x14ac:dyDescent="0.2">
      <c r="A21" s="9">
        <v>8</v>
      </c>
      <c r="B21" s="7"/>
      <c r="C21" s="18" t="s">
        <v>27</v>
      </c>
      <c r="D21" s="65">
        <f>ONT_FLSH!L21</f>
        <v>-414182</v>
      </c>
      <c r="E21" s="66">
        <f>ONT_FLSH!M21</f>
        <v>-997711</v>
      </c>
      <c r="F21" s="60">
        <f>'ONT_GL '!D21</f>
        <v>-144182</v>
      </c>
      <c r="G21" s="38">
        <f>'ONT_GL '!E21</f>
        <v>-342421</v>
      </c>
      <c r="H21" s="60">
        <f t="shared" ref="H21:I23" si="2">F21-D21</f>
        <v>270000</v>
      </c>
      <c r="I21" s="38">
        <f t="shared" si="2"/>
        <v>655290</v>
      </c>
    </row>
    <row r="22" spans="1:9" x14ac:dyDescent="0.2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ONT_FLSH!L23</f>
        <v>0</v>
      </c>
      <c r="E23" s="66">
        <f>ONT_FLSH!M23</f>
        <v>0</v>
      </c>
      <c r="F23" s="60">
        <f>'ONT_GL '!D23</f>
        <v>65362</v>
      </c>
      <c r="G23" s="38">
        <f>'ONT_GL '!E23</f>
        <v>176477.4</v>
      </c>
      <c r="H23" s="60">
        <f t="shared" si="2"/>
        <v>65362</v>
      </c>
      <c r="I23" s="38">
        <f t="shared" si="2"/>
        <v>176477.4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-41501309</v>
      </c>
      <c r="E24" s="39">
        <f t="shared" si="3"/>
        <v>-101080660</v>
      </c>
      <c r="F24" s="61">
        <f t="shared" si="3"/>
        <v>-41796501</v>
      </c>
      <c r="G24" s="39">
        <f t="shared" si="3"/>
        <v>-102190645.23</v>
      </c>
      <c r="H24" s="61">
        <f t="shared" si="3"/>
        <v>-295192</v>
      </c>
      <c r="I24" s="39">
        <f t="shared" si="3"/>
        <v>-1109985.2300000158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857327</v>
      </c>
      <c r="G32" s="38">
        <f>'ONT_GL '!E32</f>
        <v>2314782.9</v>
      </c>
      <c r="H32" s="60">
        <f>F32-D32</f>
        <v>857327</v>
      </c>
      <c r="I32" s="38">
        <f>G32-E32</f>
        <v>2314782.9</v>
      </c>
    </row>
    <row r="33" spans="1:9" x14ac:dyDescent="0.2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857327</v>
      </c>
      <c r="G36" s="39">
        <f t="shared" si="6"/>
        <v>2314782.9</v>
      </c>
      <c r="H36" s="61">
        <f t="shared" si="6"/>
        <v>857327</v>
      </c>
      <c r="I36" s="39">
        <f t="shared" si="6"/>
        <v>2314782.9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ONT_FLSH!L49</f>
        <v>40248</v>
      </c>
      <c r="E49" s="66">
        <f>ONT_FLSH!M49</f>
        <v>108669.6</v>
      </c>
      <c r="F49" s="60">
        <f>'ONT_GL '!D49</f>
        <v>859534</v>
      </c>
      <c r="G49" s="38">
        <f>'ONT_GL '!E49</f>
        <v>2320741.7999999998</v>
      </c>
      <c r="H49" s="60">
        <f>F49-D49</f>
        <v>819286</v>
      </c>
      <c r="I49" s="38">
        <f>G49-E49</f>
        <v>2212072.1999999997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ONT_FLSH!L51</f>
        <v>0</v>
      </c>
      <c r="E51" s="66">
        <f>ONT_FLSH!M51</f>
        <v>0</v>
      </c>
      <c r="F51" s="60">
        <f>'ONT_GL '!D51</f>
        <v>-65362</v>
      </c>
      <c r="G51" s="38">
        <f>'ONT_GL '!E51</f>
        <v>-176477.4</v>
      </c>
      <c r="H51" s="60">
        <f>F51-D51</f>
        <v>-65362</v>
      </c>
      <c r="I51" s="38">
        <f>G51-E51</f>
        <v>-176477.4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-50000</v>
      </c>
      <c r="F54" s="60">
        <f>'ONT_GL '!D54</f>
        <v>0</v>
      </c>
      <c r="G54" s="38">
        <f>'ONT_GL '!E54</f>
        <v>-138204</v>
      </c>
      <c r="H54" s="60">
        <f>F54-D54</f>
        <v>0</v>
      </c>
      <c r="I54" s="38">
        <f>G54-E54</f>
        <v>-88204</v>
      </c>
    </row>
    <row r="55" spans="1:9" x14ac:dyDescent="0.2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0</v>
      </c>
      <c r="H55" s="60">
        <f>F55-D55</f>
        <v>0</v>
      </c>
      <c r="I55" s="38">
        <f>G55-E55</f>
        <v>0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-50000</v>
      </c>
      <c r="F56" s="61">
        <f t="shared" si="10"/>
        <v>0</v>
      </c>
      <c r="G56" s="39">
        <f t="shared" si="10"/>
        <v>-138204</v>
      </c>
      <c r="H56" s="61">
        <f t="shared" si="10"/>
        <v>0</v>
      </c>
      <c r="I56" s="39">
        <f t="shared" si="10"/>
        <v>-88204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1508208.5228982903</v>
      </c>
      <c r="F70" s="60">
        <f>'ONT_GL '!D70</f>
        <v>0</v>
      </c>
      <c r="G70" s="38">
        <f>'ONT_GL '!E70</f>
        <v>1508208.52</v>
      </c>
      <c r="H70" s="60">
        <f>F70-D70</f>
        <v>0</v>
      </c>
      <c r="I70" s="38">
        <f>G70-E70</f>
        <v>-2.8982902877032757E-3</v>
      </c>
    </row>
    <row r="71" spans="1:9" x14ac:dyDescent="0.2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-708912</v>
      </c>
      <c r="F71" s="60">
        <f>'ONT_GL '!D71</f>
        <v>0</v>
      </c>
      <c r="G71" s="38">
        <f>'ONT_GL '!E71</f>
        <v>-708911.52</v>
      </c>
      <c r="H71" s="60">
        <f>F71-D71</f>
        <v>0</v>
      </c>
      <c r="I71" s="38">
        <f>G71-E71</f>
        <v>0.47999999998137355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799296.52289829031</v>
      </c>
      <c r="F72" s="69">
        <f t="shared" si="13"/>
        <v>0</v>
      </c>
      <c r="G72" s="70">
        <f t="shared" si="13"/>
        <v>799297</v>
      </c>
      <c r="H72" s="69">
        <f t="shared" si="13"/>
        <v>0</v>
      </c>
      <c r="I72" s="70">
        <f t="shared" si="13"/>
        <v>0.47710170969367027</v>
      </c>
    </row>
    <row r="73" spans="1:9" x14ac:dyDescent="0.2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-324192</v>
      </c>
      <c r="F74" s="60">
        <f>'ONT_GL '!D74</f>
        <v>0</v>
      </c>
      <c r="G74" s="38">
        <f>'ONT_GL '!E74</f>
        <v>-318309.51</v>
      </c>
      <c r="H74" s="60">
        <f t="shared" ref="H74:I79" si="14">F74-D74</f>
        <v>0</v>
      </c>
      <c r="I74" s="38">
        <f t="shared" si="14"/>
        <v>5882.4899999999907</v>
      </c>
    </row>
    <row r="75" spans="1:9" x14ac:dyDescent="0.2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-343</v>
      </c>
      <c r="F76" s="60">
        <f>'ONT_GL '!D76</f>
        <v>0</v>
      </c>
      <c r="G76" s="38">
        <f>'ONT_GL '!E76</f>
        <v>-342.73</v>
      </c>
      <c r="H76" s="60">
        <f t="shared" si="14"/>
        <v>0</v>
      </c>
      <c r="I76" s="38">
        <f t="shared" si="14"/>
        <v>0.26999999999998181</v>
      </c>
    </row>
    <row r="77" spans="1:9" x14ac:dyDescent="0.2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66067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-66067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665966.12289828656</v>
      </c>
      <c r="F82" s="109">
        <f>F16+F24+F29+F36+F43+F45+F47+F49</f>
        <v>0</v>
      </c>
      <c r="G82" s="110">
        <f>SUM(G72:G81)+G16+G24+G29+G36+G43+G45+G47+G49+G51+G56+G61+G66</f>
        <v>686165.81999999552</v>
      </c>
      <c r="H82" s="109">
        <f>H16+H24+H29+H36+H43+H45+H47+H49</f>
        <v>0</v>
      </c>
      <c r="I82" s="110">
        <f>SUM(I72:I81)+I16+I24+I29+I36+I43+I45+I47+I49+I51+I56+I61+I66</f>
        <v>20199.697101686528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 t="s">
        <v>163</v>
      </c>
      <c r="B85" s="3"/>
      <c r="F85" s="31"/>
      <c r="G85" s="31"/>
      <c r="H85" s="31"/>
      <c r="I85" s="31"/>
    </row>
    <row r="86" spans="1:63" x14ac:dyDescent="0.2">
      <c r="A86" s="144"/>
      <c r="B86" s="3"/>
      <c r="C86" s="10" t="s">
        <v>166</v>
      </c>
      <c r="D86" s="145">
        <f>ONT_FLSH!L86</f>
        <v>0</v>
      </c>
      <c r="E86" s="145">
        <f>ONT_FLSH!M86</f>
        <v>-244880</v>
      </c>
      <c r="F86" s="145">
        <f>'ONT_GL '!D86</f>
        <v>0</v>
      </c>
      <c r="G86" s="145">
        <f>'ONT_GL '!E86</f>
        <v>-235704.59</v>
      </c>
      <c r="H86" s="145">
        <f t="shared" ref="H86:I88" si="15">F86-D86</f>
        <v>0</v>
      </c>
      <c r="I86" s="145">
        <f t="shared" si="15"/>
        <v>9175.4100000000035</v>
      </c>
    </row>
    <row r="87" spans="1:63" x14ac:dyDescent="0.2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-9295</v>
      </c>
      <c r="H87" s="146">
        <f t="shared" si="15"/>
        <v>0</v>
      </c>
      <c r="I87" s="146">
        <f t="shared" si="15"/>
        <v>-9295</v>
      </c>
    </row>
    <row r="88" spans="1:63" x14ac:dyDescent="0.2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">
      <c r="A89" s="158"/>
      <c r="B89" s="159"/>
      <c r="C89" s="157" t="s">
        <v>169</v>
      </c>
      <c r="D89" s="160">
        <f t="shared" ref="D89:I89" si="16">SUM(D86:D88)</f>
        <v>0</v>
      </c>
      <c r="E89" s="160">
        <f t="shared" si="16"/>
        <v>-244880</v>
      </c>
      <c r="F89" s="160">
        <f t="shared" si="16"/>
        <v>0</v>
      </c>
      <c r="G89" s="160">
        <f t="shared" si="16"/>
        <v>-244999.59</v>
      </c>
      <c r="H89" s="160">
        <f t="shared" si="16"/>
        <v>0</v>
      </c>
      <c r="I89" s="160">
        <f t="shared" si="16"/>
        <v>-119.58999999999651</v>
      </c>
    </row>
    <row r="90" spans="1:63" s="127" customFormat="1" x14ac:dyDescent="0.2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">
      <c r="A91" s="158"/>
      <c r="B91" s="159"/>
      <c r="C91" s="157" t="s">
        <v>172</v>
      </c>
      <c r="D91" s="160">
        <f t="shared" ref="D91:I91" si="17">+D82+D89</f>
        <v>0</v>
      </c>
      <c r="E91" s="160">
        <f t="shared" si="17"/>
        <v>421086.12289828656</v>
      </c>
      <c r="F91" s="160">
        <f t="shared" si="17"/>
        <v>0</v>
      </c>
      <c r="G91" s="160">
        <f t="shared" si="17"/>
        <v>441166.22999999556</v>
      </c>
      <c r="H91" s="160">
        <f t="shared" si="17"/>
        <v>0</v>
      </c>
      <c r="I91" s="160">
        <f t="shared" si="17"/>
        <v>20080.107101686532</v>
      </c>
    </row>
    <row r="92" spans="1:63" s="127" customFormat="1" x14ac:dyDescent="0.2">
      <c r="A92" s="162"/>
      <c r="B92" s="159"/>
      <c r="D92" s="163"/>
      <c r="E92" s="16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  <row r="180" spans="1:2" x14ac:dyDescent="0.2">
      <c r="A180" s="4"/>
      <c r="B180" s="3"/>
    </row>
    <row r="181" spans="1:2" x14ac:dyDescent="0.2">
      <c r="A181" s="4"/>
      <c r="B181" s="3"/>
    </row>
    <row r="182" spans="1:2" x14ac:dyDescent="0.2">
      <c r="A182" s="4"/>
      <c r="B182" s="3"/>
    </row>
    <row r="183" spans="1:2" x14ac:dyDescent="0.2">
      <c r="A183" s="4"/>
      <c r="B183" s="3"/>
    </row>
    <row r="184" spans="1:2" x14ac:dyDescent="0.2">
      <c r="A184" s="4"/>
      <c r="B184" s="3"/>
    </row>
    <row r="185" spans="1:2" x14ac:dyDescent="0.2">
      <c r="A185" s="4"/>
      <c r="B185" s="3"/>
    </row>
    <row r="186" spans="1:2" x14ac:dyDescent="0.2">
      <c r="A186" s="4"/>
      <c r="B186" s="3"/>
    </row>
    <row r="187" spans="1:2" x14ac:dyDescent="0.2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24" activePane="bottomRight" state="frozen"/>
      <selection activeCell="D10" sqref="D10"/>
      <selection pane="topRight" activeCell="D10" sqref="D10"/>
      <selection pane="bottomLeft" activeCell="D10" sqref="D10"/>
      <selection pane="bottomRight" activeCell="G40" sqref="G40"/>
    </sheetView>
  </sheetViews>
  <sheetFormatPr defaultRowHeight="12.75" x14ac:dyDescent="0.2"/>
  <cols>
    <col min="1" max="1" width="5.28515625" style="2" customWidth="1"/>
    <col min="2" max="2" width="2.5703125" customWidth="1"/>
    <col min="3" max="3" width="27.7109375" customWidth="1"/>
    <col min="4" max="5" width="15.42578125" style="31" customWidth="1"/>
    <col min="6" max="15" width="15.42578125" customWidth="1"/>
  </cols>
  <sheetData>
    <row r="1" spans="1:22" x14ac:dyDescent="0.2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">
      <c r="A2" s="5" t="s">
        <v>106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">
      <c r="A3" s="1" t="s">
        <v>86</v>
      </c>
      <c r="B3" s="50"/>
      <c r="C3" s="50"/>
      <c r="D3" s="50"/>
      <c r="E3" s="50"/>
      <c r="F3" s="50"/>
      <c r="G3" s="50"/>
      <c r="H3" s="50"/>
      <c r="I3" s="50"/>
    </row>
    <row r="4" spans="1:22" x14ac:dyDescent="0.2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">
      <c r="A5" s="5" t="str">
        <f>Check!A5</f>
        <v>PRODUCTION MONTH: 0001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">
      <c r="A11" s="9">
        <v>1</v>
      </c>
      <c r="B11" s="7"/>
      <c r="C11" s="18" t="s">
        <v>25</v>
      </c>
      <c r="D11" s="65">
        <f>BUG_FLSH!D11</f>
        <v>23281203</v>
      </c>
      <c r="E11" s="66">
        <f>BUG_FLSH!E11</f>
        <v>40096055</v>
      </c>
      <c r="F11" s="60">
        <f>BUG_GL!D11</f>
        <v>23304830</v>
      </c>
      <c r="G11" s="38">
        <f>BUG_GL!E11</f>
        <v>41112226.57</v>
      </c>
      <c r="H11" s="60">
        <f>F11-D11</f>
        <v>23627</v>
      </c>
      <c r="I11" s="38">
        <f>G11-E11</f>
        <v>1016171.5700000003</v>
      </c>
    </row>
    <row r="12" spans="1:22" x14ac:dyDescent="0.2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">
      <c r="A13" s="9">
        <v>3</v>
      </c>
      <c r="B13" s="7"/>
      <c r="C13" s="18" t="s">
        <v>27</v>
      </c>
      <c r="D13" s="65">
        <f>BUG_FLSH!D13</f>
        <v>53673045</v>
      </c>
      <c r="E13" s="66">
        <f>BUG_FLSH!E13</f>
        <v>204754459</v>
      </c>
      <c r="F13" s="60">
        <f>BUG_GL!D13</f>
        <v>15355051</v>
      </c>
      <c r="G13" s="38">
        <f>BUG_GL!E13</f>
        <v>43310974</v>
      </c>
      <c r="H13" s="60">
        <f t="shared" ref="H13:I15" si="0">F13-D13</f>
        <v>-38317994</v>
      </c>
      <c r="I13" s="38">
        <f t="shared" si="0"/>
        <v>-161443485</v>
      </c>
    </row>
    <row r="14" spans="1:22" x14ac:dyDescent="0.2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10490859</v>
      </c>
      <c r="F15" s="60">
        <f>BUG_GL!D15</f>
        <v>0</v>
      </c>
      <c r="G15" s="38">
        <f>BUG_GL!E15</f>
        <v>10488652.91</v>
      </c>
      <c r="H15" s="60">
        <f t="shared" si="0"/>
        <v>0</v>
      </c>
      <c r="I15" s="38">
        <f t="shared" si="0"/>
        <v>-2206.089999999851</v>
      </c>
    </row>
    <row r="16" spans="1:22" x14ac:dyDescent="0.2">
      <c r="A16" s="9"/>
      <c r="B16" s="7" t="s">
        <v>30</v>
      </c>
      <c r="C16" s="6"/>
      <c r="D16" s="61">
        <f t="shared" ref="D16:I16" si="1">SUM(D11:D15)</f>
        <v>76954248</v>
      </c>
      <c r="E16" s="39">
        <f t="shared" si="1"/>
        <v>255341373</v>
      </c>
      <c r="F16" s="61">
        <f t="shared" si="1"/>
        <v>38659881</v>
      </c>
      <c r="G16" s="39">
        <f t="shared" si="1"/>
        <v>94911853.479999989</v>
      </c>
      <c r="H16" s="61">
        <f t="shared" si="1"/>
        <v>-38294367</v>
      </c>
      <c r="I16" s="39">
        <f t="shared" si="1"/>
        <v>-160429519.52000001</v>
      </c>
    </row>
    <row r="17" spans="1:9" x14ac:dyDescent="0.2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">
      <c r="A19" s="9">
        <v>6</v>
      </c>
      <c r="B19" s="7"/>
      <c r="C19" s="18" t="s">
        <v>25</v>
      </c>
      <c r="D19" s="65">
        <f>BUG_FLSH!D19</f>
        <v>-7057755</v>
      </c>
      <c r="E19" s="66">
        <f>BUG_FLSH!E19</f>
        <v>-15351473</v>
      </c>
      <c r="F19" s="60">
        <f>BUG_GL!D19</f>
        <v>-7055119</v>
      </c>
      <c r="G19" s="38">
        <f>BUG_GL!E19</f>
        <v>-15135379.41</v>
      </c>
      <c r="H19" s="60">
        <f>F19-D19</f>
        <v>2636</v>
      </c>
      <c r="I19" s="38">
        <f>G19-E19</f>
        <v>216093.58999999985</v>
      </c>
    </row>
    <row r="20" spans="1:9" x14ac:dyDescent="0.2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-241521</v>
      </c>
      <c r="H20" s="60">
        <f>F20-D20</f>
        <v>0</v>
      </c>
      <c r="I20" s="38">
        <f>G20-E20</f>
        <v>-241521</v>
      </c>
    </row>
    <row r="21" spans="1:9" x14ac:dyDescent="0.2">
      <c r="A21" s="9">
        <v>8</v>
      </c>
      <c r="B21" s="7"/>
      <c r="C21" s="18" t="s">
        <v>27</v>
      </c>
      <c r="D21" s="65">
        <f>BUG_FLSH!D21</f>
        <v>-56862831</v>
      </c>
      <c r="E21" s="66">
        <f>BUG_FLSH!E21</f>
        <v>-209309089</v>
      </c>
      <c r="F21" s="60">
        <f>BUG_GL!D21</f>
        <v>-18600694</v>
      </c>
      <c r="G21" s="38">
        <f>BUG_GL!E21</f>
        <v>-47844773</v>
      </c>
      <c r="H21" s="60">
        <f t="shared" ref="H21:I23" si="2">F21-D21</f>
        <v>38262137</v>
      </c>
      <c r="I21" s="38">
        <f t="shared" si="2"/>
        <v>161464316</v>
      </c>
    </row>
    <row r="22" spans="1:9" x14ac:dyDescent="0.2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">
      <c r="A23" s="9">
        <v>10</v>
      </c>
      <c r="B23" s="7"/>
      <c r="C23" s="18" t="s">
        <v>32</v>
      </c>
      <c r="D23" s="65">
        <f>BUG_FLSH!D23</f>
        <v>841381</v>
      </c>
      <c r="E23" s="66">
        <f>BUG_FLSH!E23</f>
        <v>2424814</v>
      </c>
      <c r="F23" s="60">
        <f>BUG_GL!D23</f>
        <v>0</v>
      </c>
      <c r="G23" s="38">
        <f>BUG_GL!E23</f>
        <v>0</v>
      </c>
      <c r="H23" s="60">
        <f t="shared" si="2"/>
        <v>-841381</v>
      </c>
      <c r="I23" s="38">
        <f t="shared" si="2"/>
        <v>-2424814</v>
      </c>
    </row>
    <row r="24" spans="1:9" x14ac:dyDescent="0.2">
      <c r="A24" s="9"/>
      <c r="B24" s="7" t="s">
        <v>33</v>
      </c>
      <c r="C24" s="6"/>
      <c r="D24" s="61">
        <f t="shared" ref="D24:I24" si="3">SUM(D19:D23)</f>
        <v>-63079205</v>
      </c>
      <c r="E24" s="39">
        <f t="shared" si="3"/>
        <v>-222235748</v>
      </c>
      <c r="F24" s="61">
        <f t="shared" si="3"/>
        <v>-25655813</v>
      </c>
      <c r="G24" s="39">
        <f t="shared" si="3"/>
        <v>-63221673.409999996</v>
      </c>
      <c r="H24" s="61">
        <f t="shared" si="3"/>
        <v>37423392</v>
      </c>
      <c r="I24" s="39">
        <f t="shared" si="3"/>
        <v>159014074.59</v>
      </c>
    </row>
    <row r="25" spans="1:9" x14ac:dyDescent="0.2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">
      <c r="A32" s="9">
        <v>13</v>
      </c>
      <c r="B32" s="7"/>
      <c r="C32" s="18" t="s">
        <v>39</v>
      </c>
      <c r="D32" s="65">
        <f>BUG_FLSH!D32</f>
        <v>-4</v>
      </c>
      <c r="E32" s="66">
        <f>BUG_FLSH!E32</f>
        <v>-10</v>
      </c>
      <c r="F32" s="60">
        <f>BUG_GL!D32</f>
        <v>0</v>
      </c>
      <c r="G32" s="38">
        <f>BUG_GL!E32</f>
        <v>0</v>
      </c>
      <c r="H32" s="60">
        <f>F32-D32</f>
        <v>4</v>
      </c>
      <c r="I32" s="38">
        <f>G32-E32</f>
        <v>10</v>
      </c>
    </row>
    <row r="33" spans="1:9" x14ac:dyDescent="0.2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">
      <c r="A35" s="9">
        <v>16</v>
      </c>
      <c r="B35" s="7"/>
      <c r="C35" s="18" t="s">
        <v>42</v>
      </c>
      <c r="D35" s="65">
        <f>BUG_FLSH!D35</f>
        <v>-55131</v>
      </c>
      <c r="E35" s="66">
        <f>BUG_FLSH!E35</f>
        <v>-236790</v>
      </c>
      <c r="F35" s="60">
        <f>BUG_GL!D35</f>
        <v>-60039</v>
      </c>
      <c r="G35" s="38">
        <f>BUG_GL!E35</f>
        <v>-315734</v>
      </c>
      <c r="H35" s="60">
        <f t="shared" si="5"/>
        <v>-4908</v>
      </c>
      <c r="I35" s="38">
        <f t="shared" si="5"/>
        <v>-78944</v>
      </c>
    </row>
    <row r="36" spans="1:9" x14ac:dyDescent="0.2">
      <c r="A36" s="9"/>
      <c r="B36" s="7" t="s">
        <v>43</v>
      </c>
      <c r="C36" s="6"/>
      <c r="D36" s="61">
        <f t="shared" ref="D36:I36" si="6">SUM(D32:D35)</f>
        <v>-55135</v>
      </c>
      <c r="E36" s="39">
        <f t="shared" si="6"/>
        <v>-236800</v>
      </c>
      <c r="F36" s="61">
        <f t="shared" si="6"/>
        <v>-60039</v>
      </c>
      <c r="G36" s="39">
        <f t="shared" si="6"/>
        <v>-315734</v>
      </c>
      <c r="H36" s="61">
        <f t="shared" si="6"/>
        <v>-4904</v>
      </c>
      <c r="I36" s="39">
        <f t="shared" si="6"/>
        <v>-78934</v>
      </c>
    </row>
    <row r="37" spans="1:9" x14ac:dyDescent="0.2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">
      <c r="A39" s="9">
        <v>17</v>
      </c>
      <c r="B39" s="7"/>
      <c r="C39" s="18" t="s">
        <v>45</v>
      </c>
      <c r="D39" s="65">
        <f>BUG_FLSH!D39</f>
        <v>310315</v>
      </c>
      <c r="E39" s="66">
        <f>BUG_FLSH!E39</f>
        <v>1222163</v>
      </c>
      <c r="F39" s="60">
        <f>BUG_GL!D39</f>
        <v>0</v>
      </c>
      <c r="G39" s="38">
        <f>BUG_GL!E39</f>
        <v>0</v>
      </c>
      <c r="H39" s="60">
        <f t="shared" ref="H39:I41" si="7">F39-D39</f>
        <v>-310315</v>
      </c>
      <c r="I39" s="38">
        <f t="shared" si="7"/>
        <v>-1222163</v>
      </c>
    </row>
    <row r="40" spans="1:9" ht="22.5" customHeight="1" x14ac:dyDescent="0.2">
      <c r="A40" s="9">
        <v>18</v>
      </c>
      <c r="B40" s="7"/>
      <c r="C40" s="18" t="s">
        <v>46</v>
      </c>
      <c r="D40" s="65">
        <f>BUG_FLSH!D40</f>
        <v>-15906963</v>
      </c>
      <c r="E40" s="66">
        <f>BUG_FLSH!E40</f>
        <v>-18576342</v>
      </c>
      <c r="F40" s="60">
        <f>BUG_GL!D40</f>
        <v>-15642229</v>
      </c>
      <c r="G40" s="38">
        <f>BUG_GL!E40</f>
        <v>-15767237.98</v>
      </c>
      <c r="H40" s="60">
        <f t="shared" si="7"/>
        <v>264734</v>
      </c>
      <c r="I40" s="38">
        <f t="shared" si="7"/>
        <v>2809104.0199999996</v>
      </c>
    </row>
    <row r="41" spans="1:9" x14ac:dyDescent="0.2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">
      <c r="A42" s="9"/>
      <c r="B42" s="7"/>
      <c r="C42" s="53" t="s">
        <v>48</v>
      </c>
      <c r="D42" s="69">
        <f t="shared" ref="D42:I42" si="8">SUM(D40:D41)</f>
        <v>-15906963</v>
      </c>
      <c r="E42" s="70">
        <f t="shared" si="8"/>
        <v>-18576342</v>
      </c>
      <c r="F42" s="69">
        <f t="shared" si="8"/>
        <v>-15642229</v>
      </c>
      <c r="G42" s="70">
        <f t="shared" si="8"/>
        <v>-15767237.98</v>
      </c>
      <c r="H42" s="69">
        <f t="shared" si="8"/>
        <v>264734</v>
      </c>
      <c r="I42" s="70">
        <f t="shared" si="8"/>
        <v>2809104.0199999996</v>
      </c>
    </row>
    <row r="43" spans="1:9" ht="21" customHeight="1" x14ac:dyDescent="0.2">
      <c r="A43" s="9"/>
      <c r="B43" s="7" t="s">
        <v>49</v>
      </c>
      <c r="C43" s="6"/>
      <c r="D43" s="61">
        <f t="shared" ref="D43:I43" si="9">D42+D39</f>
        <v>-15596648</v>
      </c>
      <c r="E43" s="39">
        <f t="shared" si="9"/>
        <v>-17354179</v>
      </c>
      <c r="F43" s="61">
        <f t="shared" si="9"/>
        <v>-15642229</v>
      </c>
      <c r="G43" s="39">
        <f t="shared" si="9"/>
        <v>-15767237.98</v>
      </c>
      <c r="H43" s="61">
        <f t="shared" si="9"/>
        <v>-45581</v>
      </c>
      <c r="I43" s="39">
        <f t="shared" si="9"/>
        <v>1586941.0199999996</v>
      </c>
    </row>
    <row r="44" spans="1:9" x14ac:dyDescent="0.2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">
      <c r="A49" s="9">
        <v>22</v>
      </c>
      <c r="B49" s="11" t="s">
        <v>52</v>
      </c>
      <c r="C49" s="6"/>
      <c r="D49" s="65">
        <f>BUG_FLSH!D49</f>
        <v>1776740</v>
      </c>
      <c r="E49" s="66">
        <f>BUG_FLSH!E49</f>
        <v>4392101.28</v>
      </c>
      <c r="F49" s="60">
        <f>BUG_GL!D49</f>
        <v>2698200</v>
      </c>
      <c r="G49" s="38">
        <f>BUG_GL!E49</f>
        <v>6669950.4000000004</v>
      </c>
      <c r="H49" s="60">
        <f>F49-D49</f>
        <v>921460</v>
      </c>
      <c r="I49" s="38">
        <f>G49-E49</f>
        <v>2277849.12</v>
      </c>
    </row>
    <row r="50" spans="1:9" x14ac:dyDescent="0.2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">
      <c r="A51" s="9">
        <v>23</v>
      </c>
      <c r="B51" s="11" t="s">
        <v>53</v>
      </c>
      <c r="C51" s="6"/>
      <c r="D51" s="65">
        <f>BUG_FLSH!D51</f>
        <v>-841381</v>
      </c>
      <c r="E51" s="66">
        <f>BUG_FLSH!E51</f>
        <v>-2424814</v>
      </c>
      <c r="F51" s="60">
        <f>BUG_GL!D51</f>
        <v>732012</v>
      </c>
      <c r="G51" s="38">
        <f>BUG_GL!E51</f>
        <v>1809533.6640000001</v>
      </c>
      <c r="H51" s="60">
        <f>F51-D51</f>
        <v>1573393</v>
      </c>
      <c r="I51" s="38">
        <f>G51-E51</f>
        <v>4234347.6639999999</v>
      </c>
    </row>
    <row r="52" spans="1:9" x14ac:dyDescent="0.2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-772877</v>
      </c>
      <c r="F54" s="60">
        <f>BUG_GL!D54</f>
        <v>-31502898</v>
      </c>
      <c r="G54" s="38">
        <f>BUG_GL!E54</f>
        <v>-1284601.6399999997</v>
      </c>
      <c r="H54" s="60">
        <f>F54-D54</f>
        <v>-31502898</v>
      </c>
      <c r="I54" s="38">
        <f>G54-E54</f>
        <v>-511724.63999999966</v>
      </c>
    </row>
    <row r="55" spans="1:9" x14ac:dyDescent="0.2">
      <c r="A55" s="9">
        <v>25</v>
      </c>
      <c r="B55" s="7"/>
      <c r="C55" s="18" t="s">
        <v>56</v>
      </c>
      <c r="D55" s="65">
        <f>BUG_FLSH!D55</f>
        <v>16</v>
      </c>
      <c r="E55" s="66">
        <f>BUG_FLSH!E55</f>
        <v>-10490859</v>
      </c>
      <c r="F55" s="60">
        <f>BUG_GL!D55</f>
        <v>0</v>
      </c>
      <c r="G55" s="38">
        <f>BUG_GL!E55</f>
        <v>-10476793.15</v>
      </c>
      <c r="H55" s="60">
        <f>F55-D55</f>
        <v>-16</v>
      </c>
      <c r="I55" s="38">
        <f>G55-E55</f>
        <v>14065.849999999627</v>
      </c>
    </row>
    <row r="56" spans="1:9" x14ac:dyDescent="0.2">
      <c r="A56" s="9"/>
      <c r="B56" s="7" t="s">
        <v>57</v>
      </c>
      <c r="C56" s="6"/>
      <c r="D56" s="61">
        <f t="shared" ref="D56:I56" si="10">SUM(D54:D55)</f>
        <v>16</v>
      </c>
      <c r="E56" s="39">
        <f t="shared" si="10"/>
        <v>-11263736</v>
      </c>
      <c r="F56" s="61">
        <f t="shared" si="10"/>
        <v>-31502898</v>
      </c>
      <c r="G56" s="39">
        <f t="shared" si="10"/>
        <v>-11761394.789999999</v>
      </c>
      <c r="H56" s="61">
        <f t="shared" si="10"/>
        <v>-31502914</v>
      </c>
      <c r="I56" s="39">
        <f t="shared" si="10"/>
        <v>-497658.79000000004</v>
      </c>
    </row>
    <row r="57" spans="1:9" x14ac:dyDescent="0.2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5937115.1586007997</v>
      </c>
      <c r="F70" s="60">
        <f>BUG_GL!D70</f>
        <v>0</v>
      </c>
      <c r="G70" s="38">
        <f>BUG_GL!E70</f>
        <v>-413011</v>
      </c>
      <c r="H70" s="60">
        <f>F70-D70</f>
        <v>0</v>
      </c>
      <c r="I70" s="38">
        <f>G70-E70</f>
        <v>-6350126.1586007997</v>
      </c>
    </row>
    <row r="71" spans="1:9" x14ac:dyDescent="0.2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-6350125.9190000035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6350125.9190000035</v>
      </c>
    </row>
    <row r="72" spans="1:9" x14ac:dyDescent="0.2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-413010.76039920375</v>
      </c>
      <c r="F72" s="69">
        <f t="shared" si="13"/>
        <v>0</v>
      </c>
      <c r="G72" s="70">
        <f t="shared" si="13"/>
        <v>-413011</v>
      </c>
      <c r="H72" s="69">
        <f t="shared" si="13"/>
        <v>0</v>
      </c>
      <c r="I72" s="70">
        <f t="shared" si="13"/>
        <v>-0.23960079625248909</v>
      </c>
    </row>
    <row r="73" spans="1:9" x14ac:dyDescent="0.2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-2403584.4093999993</v>
      </c>
      <c r="F74" s="60">
        <f>BUG_GL!D74</f>
        <v>0</v>
      </c>
      <c r="G74" s="38">
        <f>BUG_GL!E74</f>
        <v>-6638313.71</v>
      </c>
      <c r="H74" s="60">
        <f t="shared" ref="H74:I79" si="14">F74-D74</f>
        <v>0</v>
      </c>
      <c r="I74" s="38">
        <f t="shared" si="14"/>
        <v>-4234729.3006000007</v>
      </c>
    </row>
    <row r="75" spans="1:9" x14ac:dyDescent="0.2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72668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-72668</v>
      </c>
    </row>
    <row r="82" spans="1:63" s="2" customFormat="1" ht="20.25" customHeight="1" thickBot="1" x14ac:dyDescent="0.25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3474270.1102007926</v>
      </c>
      <c r="F82" s="109">
        <f>F16+F24+F29+F36+F43+F45+F47+F49</f>
        <v>0</v>
      </c>
      <c r="G82" s="110">
        <f>SUM(G72:G81)+G16+G24+G29+G36+G43+G45+G47+G49+G51+G56+G61+G66</f>
        <v>5273972.6539999992</v>
      </c>
      <c r="H82" s="109">
        <f>H16+H24+H29+H36+H43+H45+H47+H49</f>
        <v>0</v>
      </c>
      <c r="I82" s="110">
        <f>SUM(I72:I81)+I16+I24+I29+I36+I43+I45+I47+I49+I51+I56+I61+I66</f>
        <v>1799702.5437991926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5" thickTop="1" x14ac:dyDescent="0.2">
      <c r="A83" s="4"/>
      <c r="B83" s="3"/>
    </row>
    <row r="84" spans="1:63" x14ac:dyDescent="0.2">
      <c r="A84" s="4"/>
      <c r="B84" s="3"/>
    </row>
    <row r="85" spans="1:63" x14ac:dyDescent="0.2">
      <c r="A85" s="4"/>
      <c r="B85" s="3"/>
    </row>
    <row r="86" spans="1:63" x14ac:dyDescent="0.2">
      <c r="A86" s="4"/>
      <c r="B86" s="3"/>
    </row>
    <row r="87" spans="1:63" x14ac:dyDescent="0.2">
      <c r="A87" s="4"/>
      <c r="B87" s="3"/>
    </row>
    <row r="88" spans="1:63" x14ac:dyDescent="0.2">
      <c r="A88" s="4"/>
      <c r="B88" s="3"/>
    </row>
    <row r="89" spans="1:63" x14ac:dyDescent="0.2">
      <c r="A89" s="4"/>
      <c r="B89" s="3"/>
    </row>
    <row r="90" spans="1:63" x14ac:dyDescent="0.2">
      <c r="A90" s="4"/>
      <c r="B90" s="3"/>
    </row>
    <row r="91" spans="1:63" x14ac:dyDescent="0.2">
      <c r="A91" s="4"/>
      <c r="B91" s="3"/>
    </row>
    <row r="92" spans="1:63" x14ac:dyDescent="0.2">
      <c r="A92" s="4"/>
      <c r="B92" s="3"/>
    </row>
    <row r="93" spans="1:63" x14ac:dyDescent="0.2">
      <c r="A93" s="4"/>
      <c r="B93" s="3"/>
    </row>
    <row r="94" spans="1:63" x14ac:dyDescent="0.2">
      <c r="A94" s="4"/>
      <c r="B94" s="3"/>
    </row>
    <row r="95" spans="1:63" x14ac:dyDescent="0.2">
      <c r="A95" s="4"/>
      <c r="B95" s="3"/>
    </row>
    <row r="96" spans="1:63" x14ac:dyDescent="0.2">
      <c r="A96" s="4"/>
      <c r="B96" s="3"/>
    </row>
    <row r="97" spans="1:2" x14ac:dyDescent="0.2">
      <c r="A97" s="4"/>
      <c r="B97" s="3"/>
    </row>
    <row r="98" spans="1:2" x14ac:dyDescent="0.2">
      <c r="A98" s="4"/>
      <c r="B98" s="3"/>
    </row>
    <row r="99" spans="1:2" x14ac:dyDescent="0.2">
      <c r="A99" s="4"/>
      <c r="B99" s="3"/>
    </row>
    <row r="100" spans="1:2" x14ac:dyDescent="0.2">
      <c r="A100" s="4"/>
      <c r="B100" s="3"/>
    </row>
    <row r="101" spans="1:2" x14ac:dyDescent="0.2">
      <c r="A101" s="4"/>
      <c r="B101" s="3"/>
    </row>
    <row r="102" spans="1:2" x14ac:dyDescent="0.2">
      <c r="A102" s="4"/>
      <c r="B102" s="3"/>
    </row>
    <row r="103" spans="1:2" x14ac:dyDescent="0.2">
      <c r="A103" s="4"/>
      <c r="B103" s="3"/>
    </row>
    <row r="104" spans="1:2" x14ac:dyDescent="0.2">
      <c r="A104" s="4"/>
      <c r="B104" s="3"/>
    </row>
    <row r="105" spans="1:2" x14ac:dyDescent="0.2">
      <c r="A105" s="4"/>
      <c r="B105" s="3"/>
    </row>
    <row r="106" spans="1:2" x14ac:dyDescent="0.2">
      <c r="A106" s="4"/>
      <c r="B106" s="3"/>
    </row>
    <row r="107" spans="1:2" x14ac:dyDescent="0.2">
      <c r="A107" s="4"/>
      <c r="B107" s="3"/>
    </row>
    <row r="108" spans="1:2" x14ac:dyDescent="0.2">
      <c r="A108" s="4"/>
      <c r="B108" s="3"/>
    </row>
    <row r="109" spans="1:2" x14ac:dyDescent="0.2">
      <c r="A109" s="4"/>
      <c r="B109" s="3"/>
    </row>
    <row r="110" spans="1:2" x14ac:dyDescent="0.2">
      <c r="A110" s="4"/>
      <c r="B110" s="3"/>
    </row>
    <row r="111" spans="1:2" x14ac:dyDescent="0.2">
      <c r="A111" s="4"/>
      <c r="B111" s="3"/>
    </row>
    <row r="112" spans="1:2" x14ac:dyDescent="0.2">
      <c r="A112" s="4"/>
      <c r="B112" s="3"/>
    </row>
    <row r="113" spans="1:2" x14ac:dyDescent="0.2">
      <c r="A113" s="4"/>
      <c r="B113" s="3"/>
    </row>
    <row r="114" spans="1:2" x14ac:dyDescent="0.2">
      <c r="A114" s="4"/>
      <c r="B114" s="3"/>
    </row>
    <row r="115" spans="1:2" x14ac:dyDescent="0.2">
      <c r="A115" s="4"/>
      <c r="B115" s="3"/>
    </row>
    <row r="116" spans="1:2" x14ac:dyDescent="0.2">
      <c r="A116" s="4"/>
      <c r="B116" s="3"/>
    </row>
    <row r="117" spans="1:2" x14ac:dyDescent="0.2">
      <c r="A117" s="4"/>
      <c r="B117" s="3"/>
    </row>
    <row r="118" spans="1:2" x14ac:dyDescent="0.2">
      <c r="A118" s="4"/>
      <c r="B118" s="3"/>
    </row>
    <row r="119" spans="1:2" x14ac:dyDescent="0.2">
      <c r="A119" s="4"/>
      <c r="B119" s="3"/>
    </row>
    <row r="120" spans="1:2" x14ac:dyDescent="0.2">
      <c r="A120" s="4"/>
      <c r="B120" s="3"/>
    </row>
    <row r="121" spans="1:2" x14ac:dyDescent="0.2">
      <c r="A121" s="4"/>
      <c r="B121" s="3"/>
    </row>
    <row r="122" spans="1:2" x14ac:dyDescent="0.2">
      <c r="A122" s="4"/>
      <c r="B122" s="3"/>
    </row>
    <row r="123" spans="1:2" x14ac:dyDescent="0.2">
      <c r="A123" s="4"/>
      <c r="B123" s="3"/>
    </row>
    <row r="124" spans="1:2" x14ac:dyDescent="0.2">
      <c r="A124" s="4"/>
      <c r="B124" s="3"/>
    </row>
    <row r="125" spans="1:2" x14ac:dyDescent="0.2">
      <c r="A125" s="4"/>
      <c r="B125" s="3"/>
    </row>
    <row r="126" spans="1:2" x14ac:dyDescent="0.2">
      <c r="A126" s="4"/>
      <c r="B126" s="3"/>
    </row>
    <row r="127" spans="1:2" x14ac:dyDescent="0.2">
      <c r="A127" s="4"/>
      <c r="B127" s="3"/>
    </row>
    <row r="128" spans="1:2" x14ac:dyDescent="0.2">
      <c r="A128" s="4"/>
      <c r="B128" s="3"/>
    </row>
    <row r="129" spans="1:2" x14ac:dyDescent="0.2">
      <c r="A129" s="4"/>
      <c r="B129" s="3"/>
    </row>
    <row r="130" spans="1:2" x14ac:dyDescent="0.2">
      <c r="A130" s="4"/>
      <c r="B130" s="3"/>
    </row>
    <row r="131" spans="1:2" x14ac:dyDescent="0.2">
      <c r="A131" s="4"/>
      <c r="B131" s="3"/>
    </row>
    <row r="132" spans="1:2" x14ac:dyDescent="0.2">
      <c r="A132" s="4"/>
      <c r="B132" s="3"/>
    </row>
    <row r="133" spans="1:2" x14ac:dyDescent="0.2">
      <c r="A133" s="4"/>
      <c r="B133" s="3"/>
    </row>
    <row r="134" spans="1:2" x14ac:dyDescent="0.2">
      <c r="A134" s="4"/>
      <c r="B134" s="3"/>
    </row>
    <row r="135" spans="1:2" x14ac:dyDescent="0.2">
      <c r="A135" s="4"/>
      <c r="B135" s="3"/>
    </row>
    <row r="136" spans="1:2" x14ac:dyDescent="0.2">
      <c r="A136" s="4"/>
      <c r="B136" s="3"/>
    </row>
    <row r="137" spans="1:2" x14ac:dyDescent="0.2">
      <c r="A137" s="4"/>
      <c r="B137" s="3"/>
    </row>
    <row r="138" spans="1:2" x14ac:dyDescent="0.2">
      <c r="A138" s="4"/>
      <c r="B138" s="3"/>
    </row>
    <row r="139" spans="1:2" x14ac:dyDescent="0.2">
      <c r="A139" s="4"/>
      <c r="B139" s="3"/>
    </row>
    <row r="140" spans="1:2" x14ac:dyDescent="0.2">
      <c r="A140" s="4"/>
      <c r="B140" s="3"/>
    </row>
    <row r="141" spans="1:2" x14ac:dyDescent="0.2">
      <c r="A141" s="4"/>
      <c r="B141" s="3"/>
    </row>
    <row r="142" spans="1:2" x14ac:dyDescent="0.2">
      <c r="A142" s="4"/>
      <c r="B142" s="3"/>
    </row>
    <row r="143" spans="1:2" x14ac:dyDescent="0.2">
      <c r="A143" s="4"/>
      <c r="B143" s="3"/>
    </row>
    <row r="144" spans="1:2" x14ac:dyDescent="0.2">
      <c r="A144" s="4"/>
      <c r="B144" s="3"/>
    </row>
    <row r="145" spans="1:2" x14ac:dyDescent="0.2">
      <c r="A145" s="4"/>
      <c r="B145" s="3"/>
    </row>
    <row r="146" spans="1:2" x14ac:dyDescent="0.2">
      <c r="A146" s="4"/>
      <c r="B146" s="3"/>
    </row>
    <row r="147" spans="1:2" x14ac:dyDescent="0.2">
      <c r="A147" s="4"/>
      <c r="B147" s="3"/>
    </row>
    <row r="148" spans="1:2" x14ac:dyDescent="0.2">
      <c r="A148" s="4"/>
      <c r="B148" s="3"/>
    </row>
    <row r="149" spans="1:2" x14ac:dyDescent="0.2">
      <c r="A149" s="4"/>
      <c r="B149" s="3"/>
    </row>
    <row r="150" spans="1:2" x14ac:dyDescent="0.2">
      <c r="A150" s="4"/>
      <c r="B150" s="3"/>
    </row>
    <row r="151" spans="1:2" x14ac:dyDescent="0.2">
      <c r="A151" s="4"/>
      <c r="B151" s="3"/>
    </row>
    <row r="152" spans="1:2" x14ac:dyDescent="0.2">
      <c r="A152" s="4"/>
      <c r="B152" s="3"/>
    </row>
    <row r="153" spans="1:2" x14ac:dyDescent="0.2">
      <c r="A153" s="4"/>
      <c r="B153" s="3"/>
    </row>
    <row r="154" spans="1:2" x14ac:dyDescent="0.2">
      <c r="A154" s="4"/>
      <c r="B154" s="3"/>
    </row>
    <row r="155" spans="1:2" x14ac:dyDescent="0.2">
      <c r="A155" s="4"/>
      <c r="B155" s="3"/>
    </row>
    <row r="156" spans="1:2" x14ac:dyDescent="0.2">
      <c r="A156" s="4"/>
      <c r="B156" s="3"/>
    </row>
    <row r="157" spans="1:2" x14ac:dyDescent="0.2">
      <c r="A157" s="4"/>
      <c r="B157" s="3"/>
    </row>
    <row r="158" spans="1:2" x14ac:dyDescent="0.2">
      <c r="A158" s="4"/>
      <c r="B158" s="3"/>
    </row>
    <row r="159" spans="1:2" x14ac:dyDescent="0.2">
      <c r="A159" s="4"/>
      <c r="B159" s="3"/>
    </row>
    <row r="160" spans="1:2" x14ac:dyDescent="0.2">
      <c r="A160" s="4"/>
      <c r="B160" s="3"/>
    </row>
    <row r="161" spans="1:2" x14ac:dyDescent="0.2">
      <c r="A161" s="4"/>
      <c r="B161" s="3"/>
    </row>
    <row r="162" spans="1:2" x14ac:dyDescent="0.2">
      <c r="A162" s="4"/>
      <c r="B162" s="3"/>
    </row>
    <row r="163" spans="1:2" x14ac:dyDescent="0.2">
      <c r="A163" s="4"/>
      <c r="B163" s="3"/>
    </row>
    <row r="164" spans="1:2" x14ac:dyDescent="0.2">
      <c r="A164" s="4"/>
      <c r="B164" s="3"/>
    </row>
    <row r="165" spans="1:2" x14ac:dyDescent="0.2">
      <c r="A165" s="4"/>
      <c r="B165" s="3"/>
    </row>
    <row r="166" spans="1:2" x14ac:dyDescent="0.2">
      <c r="A166" s="4"/>
      <c r="B166" s="3"/>
    </row>
    <row r="167" spans="1:2" x14ac:dyDescent="0.2">
      <c r="A167" s="4"/>
      <c r="B167" s="3"/>
    </row>
    <row r="168" spans="1:2" x14ac:dyDescent="0.2">
      <c r="A168" s="4"/>
      <c r="B168" s="3"/>
    </row>
    <row r="169" spans="1:2" x14ac:dyDescent="0.2">
      <c r="A169" s="4"/>
      <c r="B169" s="3"/>
    </row>
    <row r="170" spans="1:2" x14ac:dyDescent="0.2">
      <c r="A170" s="4"/>
      <c r="B170" s="3"/>
    </row>
    <row r="171" spans="1:2" x14ac:dyDescent="0.2">
      <c r="A171" s="4"/>
      <c r="B171" s="3"/>
    </row>
    <row r="172" spans="1:2" x14ac:dyDescent="0.2">
      <c r="A172" s="4"/>
      <c r="B172" s="3"/>
    </row>
    <row r="173" spans="1:2" x14ac:dyDescent="0.2">
      <c r="A173" s="4"/>
      <c r="B173" s="3"/>
    </row>
    <row r="174" spans="1:2" x14ac:dyDescent="0.2">
      <c r="A174" s="4"/>
      <c r="B174" s="3"/>
    </row>
    <row r="175" spans="1:2" x14ac:dyDescent="0.2">
      <c r="A175" s="4"/>
      <c r="B175" s="3"/>
    </row>
    <row r="176" spans="1:2" x14ac:dyDescent="0.2">
      <c r="A176" s="4"/>
      <c r="B176" s="3"/>
    </row>
    <row r="177" spans="1:2" x14ac:dyDescent="0.2">
      <c r="A177" s="4"/>
      <c r="B177" s="3"/>
    </row>
    <row r="178" spans="1:2" x14ac:dyDescent="0.2">
      <c r="A178" s="4"/>
      <c r="B178" s="3"/>
    </row>
    <row r="179" spans="1:2" x14ac:dyDescent="0.2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3"/>
  <sheetViews>
    <sheetView topLeftCell="F630" workbookViewId="0">
      <selection activeCell="M646" sqref="M646"/>
    </sheetView>
  </sheetViews>
  <sheetFormatPr defaultRowHeight="12.75" x14ac:dyDescent="0.2"/>
  <cols>
    <col min="1" max="2" width="9.140625" style="33"/>
    <col min="3" max="3" width="7.85546875" style="33" customWidth="1"/>
    <col min="4" max="4" width="25.28515625" style="33" customWidth="1"/>
    <col min="5" max="6" width="13.5703125" style="204" customWidth="1"/>
    <col min="7" max="7" width="12" style="201" customWidth="1"/>
    <col min="8" max="8" width="12.28515625" style="33" customWidth="1"/>
    <col min="9" max="9" width="12.42578125" style="201" customWidth="1"/>
    <col min="10" max="10" width="11.28515625" style="33" customWidth="1"/>
    <col min="11" max="11" width="14.7109375" style="33" customWidth="1"/>
    <col min="12" max="13" width="11.7109375" style="33" customWidth="1"/>
    <col min="14" max="14" width="12.42578125" style="33" customWidth="1"/>
    <col min="15" max="15" width="18.7109375" style="33" bestFit="1" customWidth="1"/>
    <col min="16" max="16" width="12.28515625" style="33" customWidth="1"/>
    <col min="17" max="28" width="9.140625" style="33"/>
    <col min="29" max="29" width="14.7109375" style="33" customWidth="1"/>
    <col min="30" max="30" width="9.140625" style="33"/>
    <col min="31" max="31" width="12.5703125" style="33" customWidth="1"/>
    <col min="32" max="16384" width="9.140625" style="33"/>
  </cols>
  <sheetData>
    <row r="1" spans="1:118" ht="28.5" customHeight="1" x14ac:dyDescent="0.2">
      <c r="E1" s="195">
        <v>36526</v>
      </c>
      <c r="F1" s="195"/>
      <c r="G1" s="196">
        <v>36557</v>
      </c>
      <c r="H1" s="196"/>
      <c r="I1" s="196">
        <v>36586</v>
      </c>
      <c r="J1" s="196"/>
      <c r="K1" s="190">
        <v>36617</v>
      </c>
      <c r="L1" s="190"/>
      <c r="M1" s="190">
        <f>+K1+31</f>
        <v>36648</v>
      </c>
      <c r="N1" s="190"/>
      <c r="O1" s="190">
        <f>+M1+30</f>
        <v>36678</v>
      </c>
      <c r="P1" s="190"/>
      <c r="Q1" s="190">
        <f>+O1+31</f>
        <v>36709</v>
      </c>
      <c r="R1" s="190"/>
      <c r="S1" s="190">
        <f>+Q1+31</f>
        <v>36740</v>
      </c>
      <c r="T1" s="190"/>
      <c r="U1" s="190">
        <f>+S1+31</f>
        <v>36771</v>
      </c>
      <c r="V1" s="190"/>
      <c r="W1" s="190">
        <f>+U1+31</f>
        <v>36802</v>
      </c>
      <c r="X1" s="190"/>
      <c r="Y1" s="190">
        <f>+W1+31</f>
        <v>36833</v>
      </c>
      <c r="Z1" s="190"/>
      <c r="AA1" s="190">
        <f>+Y1+31</f>
        <v>36864</v>
      </c>
      <c r="AB1" s="190"/>
      <c r="AC1" s="190">
        <f>+AA1+31</f>
        <v>36895</v>
      </c>
      <c r="AD1" s="190"/>
      <c r="AE1" s="190">
        <f>+AC1+31</f>
        <v>36926</v>
      </c>
      <c r="AF1" s="190"/>
      <c r="AG1" s="190"/>
      <c r="AH1" s="190"/>
    </row>
    <row r="2" spans="1:118" x14ac:dyDescent="0.2">
      <c r="A2" s="111" t="s">
        <v>114</v>
      </c>
      <c r="B2" s="111" t="s">
        <v>115</v>
      </c>
      <c r="C2" s="111" t="s">
        <v>116</v>
      </c>
      <c r="D2" s="111" t="s">
        <v>117</v>
      </c>
      <c r="E2" s="112" t="s">
        <v>118</v>
      </c>
      <c r="F2" s="112" t="s">
        <v>119</v>
      </c>
      <c r="G2" s="201" t="s">
        <v>120</v>
      </c>
    </row>
    <row r="3" spans="1:118" s="197" customFormat="1" x14ac:dyDescent="0.2">
      <c r="A3" s="113" t="s">
        <v>121</v>
      </c>
      <c r="B3" s="113" t="s">
        <v>115</v>
      </c>
      <c r="C3" s="113" t="s">
        <v>116</v>
      </c>
      <c r="D3" s="113" t="s">
        <v>117</v>
      </c>
      <c r="E3" s="198" t="s">
        <v>203</v>
      </c>
      <c r="F3" s="197" t="s">
        <v>204</v>
      </c>
      <c r="G3" s="203" t="s">
        <v>217</v>
      </c>
      <c r="H3" s="197" t="s">
        <v>218</v>
      </c>
      <c r="I3" s="203" t="s">
        <v>217</v>
      </c>
      <c r="J3" s="197" t="s">
        <v>218</v>
      </c>
      <c r="K3" s="198" t="s">
        <v>217</v>
      </c>
      <c r="L3" s="197" t="s">
        <v>218</v>
      </c>
      <c r="M3" s="198" t="s">
        <v>217</v>
      </c>
      <c r="N3" s="197" t="s">
        <v>218</v>
      </c>
      <c r="O3" s="198" t="s">
        <v>122</v>
      </c>
      <c r="Q3" s="198" t="s">
        <v>122</v>
      </c>
      <c r="S3" s="198" t="s">
        <v>122</v>
      </c>
      <c r="U3" s="198" t="s">
        <v>122</v>
      </c>
      <c r="W3" s="198" t="s">
        <v>122</v>
      </c>
      <c r="Y3" s="198" t="s">
        <v>122</v>
      </c>
      <c r="AA3" s="198" t="s">
        <v>122</v>
      </c>
      <c r="AC3" s="198" t="s">
        <v>122</v>
      </c>
      <c r="AE3" s="198" t="s">
        <v>122</v>
      </c>
    </row>
    <row r="4" spans="1:118" x14ac:dyDescent="0.2">
      <c r="A4" s="114" t="s">
        <v>123</v>
      </c>
      <c r="B4" s="114" t="s">
        <v>124</v>
      </c>
      <c r="C4" s="115">
        <v>1</v>
      </c>
      <c r="D4" s="114" t="s">
        <v>25</v>
      </c>
      <c r="E4" s="200">
        <v>115828</v>
      </c>
      <c r="F4" s="199">
        <v>273469.90999999997</v>
      </c>
      <c r="G4" s="200">
        <v>892</v>
      </c>
      <c r="H4" s="199">
        <v>2106.0100000000002</v>
      </c>
      <c r="I4" s="200">
        <v>0</v>
      </c>
      <c r="J4" s="199">
        <v>0</v>
      </c>
      <c r="K4" s="199">
        <v>0</v>
      </c>
      <c r="L4" s="199">
        <v>0</v>
      </c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">
      <c r="A5" s="114" t="s">
        <v>123</v>
      </c>
      <c r="B5" s="114" t="s">
        <v>124</v>
      </c>
      <c r="C5" s="115">
        <v>2</v>
      </c>
      <c r="D5" s="114" t="s">
        <v>26</v>
      </c>
      <c r="E5" s="200">
        <v>0</v>
      </c>
      <c r="F5" s="199">
        <v>0</v>
      </c>
      <c r="G5" s="200">
        <v>0</v>
      </c>
      <c r="H5" s="199">
        <v>0</v>
      </c>
      <c r="I5" s="200">
        <v>0</v>
      </c>
      <c r="J5" s="199">
        <v>0</v>
      </c>
      <c r="K5" s="199">
        <v>0</v>
      </c>
      <c r="L5" s="199">
        <v>0</v>
      </c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">
      <c r="A6" s="114" t="s">
        <v>123</v>
      </c>
      <c r="B6" s="114" t="s">
        <v>124</v>
      </c>
      <c r="C6" s="115">
        <v>3</v>
      </c>
      <c r="D6" s="114" t="s">
        <v>27</v>
      </c>
      <c r="E6" s="200">
        <v>0</v>
      </c>
      <c r="F6" s="199">
        <v>0</v>
      </c>
      <c r="G6" s="200">
        <v>0</v>
      </c>
      <c r="H6" s="199">
        <v>0</v>
      </c>
      <c r="I6" s="200">
        <v>0</v>
      </c>
      <c r="J6" s="199">
        <v>0</v>
      </c>
      <c r="K6" s="199">
        <v>0</v>
      </c>
      <c r="L6" s="199">
        <v>0</v>
      </c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">
      <c r="A7" s="114" t="s">
        <v>123</v>
      </c>
      <c r="B7" s="114" t="s">
        <v>124</v>
      </c>
      <c r="C7" s="115">
        <v>4</v>
      </c>
      <c r="D7" s="114" t="s">
        <v>28</v>
      </c>
      <c r="E7" s="200">
        <v>0</v>
      </c>
      <c r="F7" s="199">
        <v>0</v>
      </c>
      <c r="G7" s="200">
        <v>0</v>
      </c>
      <c r="H7" s="199">
        <v>0</v>
      </c>
      <c r="I7" s="200">
        <v>0</v>
      </c>
      <c r="J7" s="199">
        <v>0</v>
      </c>
      <c r="K7" s="199">
        <v>0</v>
      </c>
      <c r="L7" s="199">
        <v>0</v>
      </c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">
      <c r="A8" s="114" t="s">
        <v>123</v>
      </c>
      <c r="B8" s="114" t="s">
        <v>124</v>
      </c>
      <c r="C8" s="115">
        <v>5</v>
      </c>
      <c r="D8" s="114" t="s">
        <v>125</v>
      </c>
      <c r="E8" s="200">
        <v>0</v>
      </c>
      <c r="F8" s="199">
        <v>0</v>
      </c>
      <c r="G8" s="200">
        <v>0</v>
      </c>
      <c r="H8" s="199">
        <v>0</v>
      </c>
      <c r="I8" s="200">
        <v>0</v>
      </c>
      <c r="J8" s="199">
        <v>0</v>
      </c>
      <c r="K8" s="199">
        <v>0</v>
      </c>
      <c r="L8" s="199">
        <v>0</v>
      </c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">
      <c r="A9" s="114" t="s">
        <v>123</v>
      </c>
      <c r="B9" s="114" t="s">
        <v>124</v>
      </c>
      <c r="C9" s="115">
        <v>6</v>
      </c>
      <c r="D9" s="114" t="s">
        <v>25</v>
      </c>
      <c r="E9" s="200">
        <v>0</v>
      </c>
      <c r="F9" s="199">
        <v>0</v>
      </c>
      <c r="G9" s="200">
        <v>0</v>
      </c>
      <c r="H9" s="199">
        <v>0</v>
      </c>
      <c r="I9" s="200">
        <v>0</v>
      </c>
      <c r="J9" s="199">
        <v>0</v>
      </c>
      <c r="K9" s="199">
        <v>0</v>
      </c>
      <c r="L9" s="199">
        <v>0</v>
      </c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">
      <c r="A10" s="114" t="s">
        <v>123</v>
      </c>
      <c r="B10" s="114" t="s">
        <v>124</v>
      </c>
      <c r="C10" s="115">
        <v>7</v>
      </c>
      <c r="D10" s="114" t="s">
        <v>26</v>
      </c>
      <c r="E10" s="200">
        <v>0</v>
      </c>
      <c r="F10" s="199">
        <v>0</v>
      </c>
      <c r="G10" s="200">
        <v>0</v>
      </c>
      <c r="H10" s="199">
        <v>0</v>
      </c>
      <c r="I10" s="200">
        <v>0</v>
      </c>
      <c r="J10" s="199">
        <v>0</v>
      </c>
      <c r="K10" s="199">
        <v>0</v>
      </c>
      <c r="L10" s="199">
        <v>0</v>
      </c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">
      <c r="A11" s="114" t="s">
        <v>123</v>
      </c>
      <c r="B11" s="114" t="s">
        <v>124</v>
      </c>
      <c r="C11" s="115">
        <v>8</v>
      </c>
      <c r="D11" s="114" t="s">
        <v>27</v>
      </c>
      <c r="E11" s="200">
        <v>0</v>
      </c>
      <c r="F11" s="199">
        <v>0</v>
      </c>
      <c r="G11" s="200">
        <v>0</v>
      </c>
      <c r="H11" s="199">
        <v>0</v>
      </c>
      <c r="I11" s="200">
        <v>0</v>
      </c>
      <c r="J11" s="199">
        <v>0</v>
      </c>
      <c r="K11" s="199">
        <v>0</v>
      </c>
      <c r="L11" s="199">
        <v>0</v>
      </c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">
      <c r="A12" s="114" t="s">
        <v>123</v>
      </c>
      <c r="B12" s="114" t="s">
        <v>124</v>
      </c>
      <c r="C12" s="115">
        <v>9</v>
      </c>
      <c r="D12" s="114" t="s">
        <v>28</v>
      </c>
      <c r="E12" s="200">
        <v>0</v>
      </c>
      <c r="F12" s="199">
        <v>0</v>
      </c>
      <c r="G12" s="200">
        <v>0</v>
      </c>
      <c r="H12" s="199">
        <v>0</v>
      </c>
      <c r="I12" s="200">
        <v>0</v>
      </c>
      <c r="J12" s="199">
        <v>0</v>
      </c>
      <c r="K12" s="199">
        <v>0</v>
      </c>
      <c r="L12" s="199">
        <v>0</v>
      </c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">
      <c r="A13" s="114" t="s">
        <v>123</v>
      </c>
      <c r="B13" s="114" t="s">
        <v>124</v>
      </c>
      <c r="C13" s="115">
        <v>10</v>
      </c>
      <c r="D13" s="114" t="s">
        <v>32</v>
      </c>
      <c r="E13" s="200">
        <v>0</v>
      </c>
      <c r="F13" s="199">
        <v>0</v>
      </c>
      <c r="G13" s="200">
        <v>0</v>
      </c>
      <c r="H13" s="199">
        <v>0</v>
      </c>
      <c r="I13" s="200">
        <v>0</v>
      </c>
      <c r="J13" s="199">
        <v>0</v>
      </c>
      <c r="K13" s="199">
        <v>0</v>
      </c>
      <c r="L13" s="199">
        <v>0</v>
      </c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">
      <c r="A14" s="114" t="s">
        <v>123</v>
      </c>
      <c r="B14" s="114" t="s">
        <v>124</v>
      </c>
      <c r="C14" s="115">
        <v>11</v>
      </c>
      <c r="D14" s="114" t="s">
        <v>35</v>
      </c>
      <c r="E14" s="200">
        <v>0</v>
      </c>
      <c r="F14" s="199">
        <v>0</v>
      </c>
      <c r="G14" s="200">
        <v>0</v>
      </c>
      <c r="H14" s="199">
        <v>0</v>
      </c>
      <c r="I14" s="200">
        <v>0</v>
      </c>
      <c r="J14" s="199">
        <v>0</v>
      </c>
      <c r="K14" s="199">
        <v>10392</v>
      </c>
      <c r="L14" s="199">
        <v>24317.279999999999</v>
      </c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">
      <c r="A15" s="114" t="s">
        <v>123</v>
      </c>
      <c r="B15" s="114" t="s">
        <v>124</v>
      </c>
      <c r="C15" s="115">
        <v>12</v>
      </c>
      <c r="D15" s="114" t="s">
        <v>36</v>
      </c>
      <c r="E15" s="200">
        <v>-115828</v>
      </c>
      <c r="F15" s="199">
        <v>-5134.3100000000004</v>
      </c>
      <c r="G15" s="200">
        <v>-892</v>
      </c>
      <c r="H15" s="199">
        <v>-267990.49</v>
      </c>
      <c r="I15" s="200">
        <v>0</v>
      </c>
      <c r="J15" s="199">
        <v>0</v>
      </c>
      <c r="K15" s="199">
        <v>-10392</v>
      </c>
      <c r="L15" s="199">
        <v>-23901.599999999999</v>
      </c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">
      <c r="A16" s="114" t="s">
        <v>123</v>
      </c>
      <c r="B16" s="114" t="s">
        <v>124</v>
      </c>
      <c r="C16" s="115">
        <v>13</v>
      </c>
      <c r="D16" s="114" t="s">
        <v>39</v>
      </c>
      <c r="E16" s="200">
        <v>0</v>
      </c>
      <c r="F16" s="199">
        <v>0</v>
      </c>
      <c r="G16" s="200">
        <v>0</v>
      </c>
      <c r="H16" s="199">
        <v>0</v>
      </c>
      <c r="I16" s="200">
        <v>0</v>
      </c>
      <c r="J16" s="199">
        <v>0</v>
      </c>
      <c r="K16" s="199">
        <v>0</v>
      </c>
      <c r="L16" s="199">
        <v>0</v>
      </c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">
      <c r="A17" s="114" t="s">
        <v>123</v>
      </c>
      <c r="B17" s="114" t="s">
        <v>124</v>
      </c>
      <c r="C17" s="115">
        <v>14</v>
      </c>
      <c r="D17" s="114" t="s">
        <v>40</v>
      </c>
      <c r="E17" s="200">
        <v>0</v>
      </c>
      <c r="F17" s="199">
        <v>0</v>
      </c>
      <c r="G17" s="200">
        <v>0</v>
      </c>
      <c r="H17" s="199">
        <v>0</v>
      </c>
      <c r="I17" s="200">
        <v>0</v>
      </c>
      <c r="J17" s="199">
        <v>0</v>
      </c>
      <c r="K17" s="199">
        <v>0</v>
      </c>
      <c r="L17" s="199">
        <v>0</v>
      </c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">
      <c r="A18" s="114" t="s">
        <v>123</v>
      </c>
      <c r="B18" s="114" t="s">
        <v>124</v>
      </c>
      <c r="C18" s="115">
        <v>15</v>
      </c>
      <c r="D18" s="114" t="s">
        <v>41</v>
      </c>
      <c r="E18" s="200">
        <v>0</v>
      </c>
      <c r="F18" s="199">
        <v>0</v>
      </c>
      <c r="G18" s="200">
        <v>0</v>
      </c>
      <c r="H18" s="199">
        <v>0</v>
      </c>
      <c r="I18" s="200">
        <v>0</v>
      </c>
      <c r="J18" s="199">
        <v>0</v>
      </c>
      <c r="K18" s="199">
        <v>0</v>
      </c>
      <c r="L18" s="199">
        <v>0</v>
      </c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">
      <c r="A19" s="114" t="s">
        <v>123</v>
      </c>
      <c r="B19" s="114" t="s">
        <v>124</v>
      </c>
      <c r="C19" s="115">
        <v>16</v>
      </c>
      <c r="D19" s="114" t="s">
        <v>42</v>
      </c>
      <c r="E19" s="200">
        <v>0</v>
      </c>
      <c r="F19" s="199">
        <v>0</v>
      </c>
      <c r="G19" s="200">
        <v>0</v>
      </c>
      <c r="H19" s="199">
        <v>0</v>
      </c>
      <c r="I19" s="200">
        <v>0</v>
      </c>
      <c r="J19" s="199">
        <v>0</v>
      </c>
      <c r="K19" s="199">
        <v>0</v>
      </c>
      <c r="L19" s="199">
        <v>0</v>
      </c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">
      <c r="A20" s="114" t="s">
        <v>123</v>
      </c>
      <c r="B20" s="114" t="s">
        <v>124</v>
      </c>
      <c r="C20" s="115">
        <v>17</v>
      </c>
      <c r="D20" s="114" t="s">
        <v>126</v>
      </c>
      <c r="E20" s="200">
        <v>0</v>
      </c>
      <c r="F20" s="199">
        <v>0</v>
      </c>
      <c r="G20" s="200">
        <v>0</v>
      </c>
      <c r="H20" s="199">
        <v>0</v>
      </c>
      <c r="I20" s="200">
        <v>0</v>
      </c>
      <c r="J20" s="199">
        <v>0</v>
      </c>
      <c r="K20" s="199">
        <v>0</v>
      </c>
      <c r="L20" s="199">
        <v>0</v>
      </c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">
      <c r="A21" s="114" t="s">
        <v>123</v>
      </c>
      <c r="B21" s="114" t="s">
        <v>124</v>
      </c>
      <c r="C21" s="115">
        <v>18</v>
      </c>
      <c r="D21" s="114" t="s">
        <v>127</v>
      </c>
      <c r="E21" s="200">
        <v>0</v>
      </c>
      <c r="F21" s="199">
        <v>0</v>
      </c>
      <c r="G21" s="200">
        <v>0</v>
      </c>
      <c r="H21" s="199">
        <v>0</v>
      </c>
      <c r="I21" s="200">
        <v>0</v>
      </c>
      <c r="J21" s="199">
        <v>0</v>
      </c>
      <c r="K21" s="199">
        <v>0</v>
      </c>
      <c r="L21" s="199">
        <v>0</v>
      </c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">
      <c r="A22" s="114" t="s">
        <v>123</v>
      </c>
      <c r="B22" s="114" t="s">
        <v>124</v>
      </c>
      <c r="C22" s="115">
        <v>19</v>
      </c>
      <c r="D22" s="114" t="s">
        <v>47</v>
      </c>
      <c r="E22" s="200">
        <v>0</v>
      </c>
      <c r="F22" s="199">
        <v>0</v>
      </c>
      <c r="G22" s="200">
        <v>0</v>
      </c>
      <c r="H22" s="199">
        <v>0</v>
      </c>
      <c r="I22" s="200">
        <v>0</v>
      </c>
      <c r="J22" s="199">
        <v>0</v>
      </c>
      <c r="K22" s="199">
        <v>0</v>
      </c>
      <c r="L22" s="199">
        <v>0</v>
      </c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">
      <c r="A23" s="114" t="s">
        <v>123</v>
      </c>
      <c r="B23" s="114" t="s">
        <v>124</v>
      </c>
      <c r="C23" s="115">
        <v>20</v>
      </c>
      <c r="D23" s="114" t="s">
        <v>128</v>
      </c>
      <c r="E23" s="200">
        <v>0</v>
      </c>
      <c r="F23" s="199">
        <v>0</v>
      </c>
      <c r="G23" s="200">
        <v>0</v>
      </c>
      <c r="H23" s="199">
        <v>0</v>
      </c>
      <c r="I23" s="200">
        <v>0</v>
      </c>
      <c r="J23" s="199">
        <v>0</v>
      </c>
      <c r="K23" s="199">
        <v>0</v>
      </c>
      <c r="L23" s="199">
        <v>0</v>
      </c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">
      <c r="A24" s="114" t="s">
        <v>123</v>
      </c>
      <c r="B24" s="114" t="s">
        <v>124</v>
      </c>
      <c r="C24" s="115">
        <v>21</v>
      </c>
      <c r="D24" s="114" t="s">
        <v>129</v>
      </c>
      <c r="E24" s="200">
        <v>0</v>
      </c>
      <c r="F24" s="199">
        <v>0</v>
      </c>
      <c r="G24" s="200">
        <v>0</v>
      </c>
      <c r="H24" s="199">
        <v>0</v>
      </c>
      <c r="I24" s="200">
        <v>0</v>
      </c>
      <c r="J24" s="199">
        <v>113410.16</v>
      </c>
      <c r="K24" s="199">
        <v>0</v>
      </c>
      <c r="L24" s="199">
        <v>0</v>
      </c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">
      <c r="A25" s="114" t="s">
        <v>123</v>
      </c>
      <c r="B25" s="114" t="s">
        <v>124</v>
      </c>
      <c r="C25" s="115">
        <v>22</v>
      </c>
      <c r="D25" s="114" t="s">
        <v>130</v>
      </c>
      <c r="E25" s="200">
        <v>0</v>
      </c>
      <c r="F25" s="199">
        <v>0</v>
      </c>
      <c r="G25" s="200">
        <v>0</v>
      </c>
      <c r="H25" s="199">
        <v>0</v>
      </c>
      <c r="I25" s="200">
        <v>0</v>
      </c>
      <c r="J25" s="199">
        <v>0</v>
      </c>
      <c r="K25" s="199">
        <v>0</v>
      </c>
      <c r="L25" s="199">
        <v>0</v>
      </c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">
      <c r="A26" s="114" t="s">
        <v>123</v>
      </c>
      <c r="B26" s="114" t="s">
        <v>124</v>
      </c>
      <c r="C26" s="115">
        <v>23</v>
      </c>
      <c r="D26" s="114" t="s">
        <v>131</v>
      </c>
      <c r="E26" s="200">
        <v>0</v>
      </c>
      <c r="F26" s="199">
        <v>0</v>
      </c>
      <c r="G26" s="200">
        <v>0</v>
      </c>
      <c r="H26" s="199">
        <v>0</v>
      </c>
      <c r="I26" s="200">
        <v>0</v>
      </c>
      <c r="J26" s="199">
        <v>0</v>
      </c>
      <c r="K26" s="199">
        <v>0</v>
      </c>
      <c r="L26" s="199">
        <v>0</v>
      </c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">
      <c r="A27" s="114" t="s">
        <v>123</v>
      </c>
      <c r="B27" s="114" t="s">
        <v>124</v>
      </c>
      <c r="C27" s="115">
        <v>24</v>
      </c>
      <c r="D27" s="114" t="s">
        <v>55</v>
      </c>
      <c r="E27" s="200">
        <v>0</v>
      </c>
      <c r="F27" s="199">
        <v>0</v>
      </c>
      <c r="G27" s="200">
        <v>0</v>
      </c>
      <c r="H27" s="199">
        <v>0</v>
      </c>
      <c r="I27" s="200">
        <v>0</v>
      </c>
      <c r="J27" s="199">
        <v>0</v>
      </c>
      <c r="K27" s="199">
        <v>0</v>
      </c>
      <c r="L27" s="199">
        <v>0</v>
      </c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">
      <c r="A28" s="114" t="s">
        <v>123</v>
      </c>
      <c r="B28" s="114" t="s">
        <v>124</v>
      </c>
      <c r="C28" s="115">
        <v>25</v>
      </c>
      <c r="D28" s="114" t="s">
        <v>56</v>
      </c>
      <c r="E28" s="200">
        <v>0</v>
      </c>
      <c r="F28" s="199">
        <v>0</v>
      </c>
      <c r="G28" s="200">
        <v>0</v>
      </c>
      <c r="H28" s="199">
        <v>0</v>
      </c>
      <c r="I28" s="200">
        <v>0</v>
      </c>
      <c r="J28" s="199">
        <v>0</v>
      </c>
      <c r="K28" s="199">
        <v>0</v>
      </c>
      <c r="L28" s="199">
        <v>0</v>
      </c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">
      <c r="A29" s="114" t="s">
        <v>123</v>
      </c>
      <c r="B29" s="114" t="s">
        <v>124</v>
      </c>
      <c r="C29" s="115">
        <v>26</v>
      </c>
      <c r="D29" s="114" t="s">
        <v>132</v>
      </c>
      <c r="E29" s="200">
        <v>0</v>
      </c>
      <c r="F29" s="199">
        <v>0</v>
      </c>
      <c r="G29" s="200">
        <v>0</v>
      </c>
      <c r="H29" s="199">
        <v>0</v>
      </c>
      <c r="I29" s="200">
        <v>0</v>
      </c>
      <c r="J29" s="199">
        <v>0</v>
      </c>
      <c r="K29" s="199">
        <v>0</v>
      </c>
      <c r="L29" s="199">
        <v>0</v>
      </c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">
      <c r="A30" s="114" t="s">
        <v>123</v>
      </c>
      <c r="B30" s="114" t="s">
        <v>124</v>
      </c>
      <c r="C30" s="115">
        <v>27</v>
      </c>
      <c r="D30" s="114" t="s">
        <v>133</v>
      </c>
      <c r="E30" s="200">
        <v>0</v>
      </c>
      <c r="F30" s="199">
        <v>0</v>
      </c>
      <c r="G30" s="200">
        <v>0</v>
      </c>
      <c r="H30" s="199">
        <v>0</v>
      </c>
      <c r="I30" s="200">
        <v>0</v>
      </c>
      <c r="J30" s="199">
        <v>0</v>
      </c>
      <c r="K30" s="199">
        <v>0</v>
      </c>
      <c r="L30" s="199">
        <v>0</v>
      </c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">
      <c r="A31" s="114" t="s">
        <v>123</v>
      </c>
      <c r="B31" s="114" t="s">
        <v>124</v>
      </c>
      <c r="C31" s="115">
        <v>28</v>
      </c>
      <c r="D31" s="114" t="s">
        <v>134</v>
      </c>
      <c r="E31" s="200">
        <v>0</v>
      </c>
      <c r="F31" s="199">
        <v>0</v>
      </c>
      <c r="G31" s="200">
        <v>0</v>
      </c>
      <c r="H31" s="199">
        <v>0</v>
      </c>
      <c r="I31" s="200">
        <v>0</v>
      </c>
      <c r="J31" s="199">
        <v>0</v>
      </c>
      <c r="K31" s="199">
        <v>0</v>
      </c>
      <c r="L31" s="199">
        <v>0</v>
      </c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">
      <c r="A32" s="114" t="s">
        <v>123</v>
      </c>
      <c r="B32" s="114" t="s">
        <v>124</v>
      </c>
      <c r="C32" s="115">
        <v>29</v>
      </c>
      <c r="D32" s="114" t="s">
        <v>135</v>
      </c>
      <c r="E32" s="200">
        <v>0</v>
      </c>
      <c r="F32" s="199">
        <v>0</v>
      </c>
      <c r="G32" s="200">
        <v>0</v>
      </c>
      <c r="H32" s="199">
        <v>0</v>
      </c>
      <c r="I32" s="200">
        <v>0</v>
      </c>
      <c r="J32" s="199">
        <v>0</v>
      </c>
      <c r="K32" s="199">
        <v>0</v>
      </c>
      <c r="L32" s="199">
        <v>0</v>
      </c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">
      <c r="A33" s="114" t="s">
        <v>123</v>
      </c>
      <c r="B33" s="114" t="s">
        <v>124</v>
      </c>
      <c r="C33" s="115">
        <v>30</v>
      </c>
      <c r="D33" s="114" t="s">
        <v>136</v>
      </c>
      <c r="E33" s="200">
        <v>0</v>
      </c>
      <c r="F33" s="199">
        <v>0</v>
      </c>
      <c r="G33" s="200">
        <v>0</v>
      </c>
      <c r="H33" s="199">
        <v>0</v>
      </c>
      <c r="I33" s="200">
        <v>0</v>
      </c>
      <c r="J33" s="199">
        <v>0</v>
      </c>
      <c r="K33" s="199">
        <v>0</v>
      </c>
      <c r="L33" s="199">
        <v>0</v>
      </c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">
      <c r="A34" s="114" t="s">
        <v>123</v>
      </c>
      <c r="B34" s="114" t="s">
        <v>124</v>
      </c>
      <c r="C34" s="115">
        <v>31</v>
      </c>
      <c r="D34" s="114" t="s">
        <v>137</v>
      </c>
      <c r="E34" s="200">
        <v>0</v>
      </c>
      <c r="F34" s="199">
        <v>0</v>
      </c>
      <c r="G34" s="200">
        <v>0</v>
      </c>
      <c r="H34" s="199">
        <v>0</v>
      </c>
      <c r="I34" s="200">
        <v>0</v>
      </c>
      <c r="J34" s="199">
        <v>0</v>
      </c>
      <c r="K34" s="199">
        <v>0</v>
      </c>
      <c r="L34" s="199">
        <v>0</v>
      </c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">
      <c r="A35" s="114" t="s">
        <v>123</v>
      </c>
      <c r="B35" s="114" t="s">
        <v>124</v>
      </c>
      <c r="C35" s="115">
        <v>32</v>
      </c>
      <c r="D35" s="114" t="s">
        <v>70</v>
      </c>
      <c r="E35" s="200">
        <v>0</v>
      </c>
      <c r="F35" s="199">
        <v>0</v>
      </c>
      <c r="G35" s="200">
        <v>0</v>
      </c>
      <c r="H35" s="199">
        <v>0</v>
      </c>
      <c r="I35" s="200">
        <v>0</v>
      </c>
      <c r="J35" s="199">
        <v>0</v>
      </c>
      <c r="K35" s="199">
        <v>0</v>
      </c>
      <c r="L35" s="199">
        <v>0</v>
      </c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">
      <c r="A36" s="114" t="s">
        <v>123</v>
      </c>
      <c r="B36" s="114" t="s">
        <v>124</v>
      </c>
      <c r="C36" s="115">
        <v>33</v>
      </c>
      <c r="D36" s="114" t="s">
        <v>71</v>
      </c>
      <c r="E36" s="200">
        <v>0</v>
      </c>
      <c r="F36" s="199">
        <v>0</v>
      </c>
      <c r="G36" s="200">
        <v>0</v>
      </c>
      <c r="H36" s="199">
        <v>0</v>
      </c>
      <c r="I36" s="200">
        <v>0</v>
      </c>
      <c r="J36" s="199">
        <v>0</v>
      </c>
      <c r="K36" s="199">
        <v>0</v>
      </c>
      <c r="L36" s="199">
        <v>0</v>
      </c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">
      <c r="A37" s="114" t="s">
        <v>123</v>
      </c>
      <c r="B37" s="114" t="s">
        <v>124</v>
      </c>
      <c r="C37" s="115">
        <v>34</v>
      </c>
      <c r="D37" s="114" t="s">
        <v>72</v>
      </c>
      <c r="E37" s="200">
        <v>0</v>
      </c>
      <c r="F37" s="199">
        <v>0</v>
      </c>
      <c r="G37" s="200">
        <v>0</v>
      </c>
      <c r="H37" s="199">
        <v>0</v>
      </c>
      <c r="I37" s="200">
        <v>0</v>
      </c>
      <c r="J37" s="199">
        <v>0</v>
      </c>
      <c r="K37" s="199">
        <v>0</v>
      </c>
      <c r="L37" s="199">
        <v>0</v>
      </c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">
      <c r="A38" s="114" t="s">
        <v>123</v>
      </c>
      <c r="B38" s="114" t="s">
        <v>124</v>
      </c>
      <c r="C38" s="115">
        <v>35</v>
      </c>
      <c r="D38" s="114" t="s">
        <v>73</v>
      </c>
      <c r="E38" s="200">
        <v>0</v>
      </c>
      <c r="F38" s="199">
        <v>0</v>
      </c>
      <c r="G38" s="200">
        <v>0</v>
      </c>
      <c r="H38" s="199">
        <v>0</v>
      </c>
      <c r="I38" s="200">
        <v>0</v>
      </c>
      <c r="J38" s="199">
        <v>0</v>
      </c>
      <c r="K38" s="199">
        <v>0</v>
      </c>
      <c r="L38" s="199">
        <v>0</v>
      </c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">
      <c r="A39" s="114" t="s">
        <v>123</v>
      </c>
      <c r="B39" s="114" t="s">
        <v>124</v>
      </c>
      <c r="C39" s="115">
        <v>36</v>
      </c>
      <c r="D39" s="114" t="s">
        <v>74</v>
      </c>
      <c r="E39" s="200">
        <v>0</v>
      </c>
      <c r="F39" s="199">
        <v>0</v>
      </c>
      <c r="G39" s="200">
        <v>0</v>
      </c>
      <c r="H39" s="199">
        <v>0</v>
      </c>
      <c r="I39" s="200">
        <v>0</v>
      </c>
      <c r="J39" s="199">
        <v>0</v>
      </c>
      <c r="K39" s="199">
        <v>0</v>
      </c>
      <c r="L39" s="199">
        <v>0</v>
      </c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">
      <c r="A40" s="114" t="s">
        <v>123</v>
      </c>
      <c r="B40" s="114" t="s">
        <v>124</v>
      </c>
      <c r="C40" s="115">
        <v>37</v>
      </c>
      <c r="D40" s="114" t="s">
        <v>75</v>
      </c>
      <c r="E40" s="200">
        <v>0</v>
      </c>
      <c r="F40" s="199">
        <v>0</v>
      </c>
      <c r="G40" s="200">
        <v>0</v>
      </c>
      <c r="H40" s="199">
        <v>0</v>
      </c>
      <c r="I40" s="200">
        <v>0</v>
      </c>
      <c r="J40" s="199">
        <v>0</v>
      </c>
      <c r="K40" s="199">
        <v>0</v>
      </c>
      <c r="L40" s="199">
        <v>0</v>
      </c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">
      <c r="A41" s="114" t="s">
        <v>123</v>
      </c>
      <c r="B41" s="114" t="s">
        <v>124</v>
      </c>
      <c r="C41" s="115">
        <v>38</v>
      </c>
      <c r="D41" s="114" t="s">
        <v>76</v>
      </c>
      <c r="E41" s="200">
        <v>0</v>
      </c>
      <c r="F41" s="199">
        <v>0</v>
      </c>
      <c r="G41" s="200">
        <v>0</v>
      </c>
      <c r="H41" s="199">
        <v>0</v>
      </c>
      <c r="I41" s="200">
        <v>0</v>
      </c>
      <c r="J41" s="199">
        <v>0</v>
      </c>
      <c r="K41" s="199">
        <v>0</v>
      </c>
      <c r="L41" s="199">
        <v>0</v>
      </c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">
      <c r="A42" s="114" t="s">
        <v>123</v>
      </c>
      <c r="B42" s="114" t="s">
        <v>124</v>
      </c>
      <c r="C42" s="115">
        <v>39</v>
      </c>
      <c r="D42" s="114" t="s">
        <v>77</v>
      </c>
      <c r="E42" s="200">
        <v>0</v>
      </c>
      <c r="F42" s="199">
        <v>0</v>
      </c>
      <c r="G42" s="200">
        <v>0</v>
      </c>
      <c r="H42" s="199">
        <v>0</v>
      </c>
      <c r="I42" s="200">
        <v>0</v>
      </c>
      <c r="J42" s="199">
        <v>0</v>
      </c>
      <c r="K42" s="199">
        <v>0</v>
      </c>
      <c r="L42" s="199">
        <v>0</v>
      </c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">
      <c r="A43" s="114" t="s">
        <v>123</v>
      </c>
      <c r="B43" s="114" t="s">
        <v>124</v>
      </c>
      <c r="C43" s="115">
        <v>40</v>
      </c>
      <c r="D43" s="114" t="s">
        <v>78</v>
      </c>
      <c r="E43" s="200">
        <v>0</v>
      </c>
      <c r="F43" s="199">
        <v>0</v>
      </c>
      <c r="G43" s="200">
        <v>0</v>
      </c>
      <c r="H43" s="199">
        <v>0</v>
      </c>
      <c r="I43" s="200">
        <v>0</v>
      </c>
      <c r="J43" s="199">
        <v>0</v>
      </c>
      <c r="K43" s="199">
        <v>0</v>
      </c>
      <c r="L43" s="199">
        <v>0</v>
      </c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">
      <c r="A44" s="33" t="s">
        <v>138</v>
      </c>
      <c r="B44" s="33" t="s">
        <v>150</v>
      </c>
      <c r="C44" s="33">
        <v>1</v>
      </c>
      <c r="D44" s="33" t="s">
        <v>25</v>
      </c>
      <c r="E44" s="200">
        <v>8693022</v>
      </c>
      <c r="F44" s="199">
        <v>21002770.84</v>
      </c>
      <c r="G44" s="200">
        <v>-54467</v>
      </c>
      <c r="H44" s="199">
        <v>10689.76</v>
      </c>
      <c r="I44" s="200">
        <v>511</v>
      </c>
      <c r="J44" s="199">
        <v>-12591.21</v>
      </c>
      <c r="K44" s="199">
        <v>-34</v>
      </c>
      <c r="L44" s="199">
        <v>-83.64</v>
      </c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">
      <c r="A45" s="33" t="s">
        <v>138</v>
      </c>
      <c r="B45" s="33" t="s">
        <v>150</v>
      </c>
      <c r="C45" s="33">
        <v>2</v>
      </c>
      <c r="D45" s="33" t="s">
        <v>26</v>
      </c>
      <c r="E45" s="200">
        <v>0</v>
      </c>
      <c r="F45" s="199">
        <v>0</v>
      </c>
      <c r="G45" s="200">
        <v>0</v>
      </c>
      <c r="H45" s="199">
        <v>0</v>
      </c>
      <c r="I45" s="200">
        <v>0</v>
      </c>
      <c r="J45" s="199">
        <v>0</v>
      </c>
      <c r="K45" s="199">
        <v>0</v>
      </c>
      <c r="L45" s="199">
        <v>0</v>
      </c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">
      <c r="A46" s="33" t="s">
        <v>138</v>
      </c>
      <c r="B46" s="33" t="s">
        <v>150</v>
      </c>
      <c r="C46" s="33">
        <v>3</v>
      </c>
      <c r="D46" s="33" t="s">
        <v>27</v>
      </c>
      <c r="E46" s="200">
        <v>0</v>
      </c>
      <c r="F46" s="199">
        <v>0</v>
      </c>
      <c r="G46" s="200">
        <v>0</v>
      </c>
      <c r="H46" s="199">
        <v>0</v>
      </c>
      <c r="I46" s="200">
        <v>0</v>
      </c>
      <c r="J46" s="199">
        <v>0</v>
      </c>
      <c r="K46" s="199">
        <v>0</v>
      </c>
      <c r="L46" s="199">
        <v>0</v>
      </c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">
      <c r="A47" s="33" t="s">
        <v>138</v>
      </c>
      <c r="B47" s="33" t="s">
        <v>150</v>
      </c>
      <c r="C47" s="33">
        <v>4</v>
      </c>
      <c r="D47" s="33" t="s">
        <v>28</v>
      </c>
      <c r="E47" s="200">
        <v>0</v>
      </c>
      <c r="F47" s="199">
        <v>0</v>
      </c>
      <c r="G47" s="200">
        <v>0</v>
      </c>
      <c r="H47" s="199">
        <v>0</v>
      </c>
      <c r="I47" s="200">
        <v>0</v>
      </c>
      <c r="J47" s="199">
        <v>0</v>
      </c>
      <c r="K47" s="199">
        <v>0</v>
      </c>
      <c r="L47" s="199">
        <v>0</v>
      </c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">
      <c r="A48" s="33" t="s">
        <v>138</v>
      </c>
      <c r="B48" s="33" t="s">
        <v>150</v>
      </c>
      <c r="C48" s="33">
        <v>5</v>
      </c>
      <c r="D48" s="33" t="s">
        <v>125</v>
      </c>
      <c r="E48" s="200">
        <v>0</v>
      </c>
      <c r="F48" s="199">
        <v>0</v>
      </c>
      <c r="G48" s="200">
        <v>0</v>
      </c>
      <c r="H48" s="199">
        <v>0</v>
      </c>
      <c r="I48" s="200">
        <v>0</v>
      </c>
      <c r="J48" s="199">
        <v>0</v>
      </c>
      <c r="K48" s="199">
        <v>0</v>
      </c>
      <c r="L48" s="199">
        <v>0</v>
      </c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">
      <c r="A49" s="33" t="s">
        <v>138</v>
      </c>
      <c r="B49" s="33" t="s">
        <v>150</v>
      </c>
      <c r="C49" s="33">
        <v>6</v>
      </c>
      <c r="D49" s="33" t="s">
        <v>25</v>
      </c>
      <c r="E49" s="200">
        <v>-3770769</v>
      </c>
      <c r="F49" s="199">
        <v>-8869097.4100000001</v>
      </c>
      <c r="G49" s="200">
        <v>2392622</v>
      </c>
      <c r="H49" s="199">
        <v>5606121.1099999994</v>
      </c>
      <c r="I49" s="200">
        <v>-280</v>
      </c>
      <c r="J49" s="199">
        <v>-1396.13</v>
      </c>
      <c r="K49" s="199">
        <v>-94</v>
      </c>
      <c r="L49" s="199">
        <v>-215.26</v>
      </c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">
      <c r="A50" s="33" t="s">
        <v>138</v>
      </c>
      <c r="B50" s="33" t="s">
        <v>150</v>
      </c>
      <c r="C50" s="33">
        <v>7</v>
      </c>
      <c r="D50" s="33" t="s">
        <v>26</v>
      </c>
      <c r="E50" s="200">
        <v>0</v>
      </c>
      <c r="F50" s="199">
        <v>0</v>
      </c>
      <c r="G50" s="200">
        <v>0</v>
      </c>
      <c r="H50" s="199">
        <v>0</v>
      </c>
      <c r="I50" s="200">
        <v>0</v>
      </c>
      <c r="J50" s="199">
        <v>0</v>
      </c>
      <c r="K50" s="199">
        <v>0</v>
      </c>
      <c r="L50" s="199">
        <v>0</v>
      </c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">
      <c r="A51" s="33" t="s">
        <v>138</v>
      </c>
      <c r="B51" s="33" t="s">
        <v>150</v>
      </c>
      <c r="C51" s="33">
        <v>8</v>
      </c>
      <c r="D51" s="33" t="s">
        <v>27</v>
      </c>
      <c r="E51" s="200">
        <v>0</v>
      </c>
      <c r="F51" s="199">
        <v>0</v>
      </c>
      <c r="G51" s="200">
        <v>0</v>
      </c>
      <c r="H51" s="199">
        <v>0</v>
      </c>
      <c r="I51" s="200">
        <v>0</v>
      </c>
      <c r="J51" s="199">
        <v>0</v>
      </c>
      <c r="K51" s="199">
        <v>0</v>
      </c>
      <c r="L51" s="199">
        <v>0</v>
      </c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">
      <c r="A52" s="33" t="s">
        <v>138</v>
      </c>
      <c r="B52" s="33" t="s">
        <v>150</v>
      </c>
      <c r="C52" s="33">
        <v>9</v>
      </c>
      <c r="D52" s="33" t="s">
        <v>28</v>
      </c>
      <c r="E52" s="200">
        <v>0</v>
      </c>
      <c r="F52" s="199">
        <v>0</v>
      </c>
      <c r="G52" s="200">
        <v>0</v>
      </c>
      <c r="H52" s="199">
        <v>0</v>
      </c>
      <c r="I52" s="200">
        <v>0</v>
      </c>
      <c r="J52" s="199">
        <v>0</v>
      </c>
      <c r="K52" s="199">
        <v>0</v>
      </c>
      <c r="L52" s="199">
        <v>0</v>
      </c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">
      <c r="A53" s="33" t="s">
        <v>138</v>
      </c>
      <c r="B53" s="33" t="s">
        <v>150</v>
      </c>
      <c r="C53" s="33">
        <v>10</v>
      </c>
      <c r="D53" s="33" t="s">
        <v>32</v>
      </c>
      <c r="E53" s="200">
        <v>0</v>
      </c>
      <c r="F53" s="199">
        <v>0</v>
      </c>
      <c r="G53" s="200">
        <v>42131</v>
      </c>
      <c r="H53" s="199">
        <v>101281.61</v>
      </c>
      <c r="I53" s="200">
        <v>42121</v>
      </c>
      <c r="J53" s="199">
        <v>101258.71</v>
      </c>
      <c r="K53" s="199">
        <v>-110645</v>
      </c>
      <c r="L53" s="199">
        <v>-260234.09</v>
      </c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">
      <c r="A54" s="33" t="s">
        <v>138</v>
      </c>
      <c r="B54" s="33" t="s">
        <v>150</v>
      </c>
      <c r="C54" s="33">
        <v>11</v>
      </c>
      <c r="D54" s="33" t="s">
        <v>35</v>
      </c>
      <c r="E54" s="200">
        <v>7737611</v>
      </c>
      <c r="F54" s="199">
        <v>18880413.34</v>
      </c>
      <c r="G54" s="200">
        <v>-478930</v>
      </c>
      <c r="H54" s="199">
        <v>-1278050.73</v>
      </c>
      <c r="I54" s="200">
        <v>-539035</v>
      </c>
      <c r="J54" s="199">
        <v>-1327285.26</v>
      </c>
      <c r="K54" s="199">
        <v>13610</v>
      </c>
      <c r="L54" s="199">
        <v>55479.19</v>
      </c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">
      <c r="A55" s="33" t="s">
        <v>138</v>
      </c>
      <c r="B55" s="33" t="s">
        <v>150</v>
      </c>
      <c r="C55" s="33">
        <v>12</v>
      </c>
      <c r="D55" s="33" t="s">
        <v>36</v>
      </c>
      <c r="E55" s="200">
        <v>-12484744</v>
      </c>
      <c r="F55" s="199">
        <v>-30071908</v>
      </c>
      <c r="G55" s="200">
        <v>443422</v>
      </c>
      <c r="H55" s="199">
        <v>1116090.1399999999</v>
      </c>
      <c r="I55" s="200">
        <v>536472</v>
      </c>
      <c r="J55" s="199">
        <v>1327896.8799999999</v>
      </c>
      <c r="K55" s="199">
        <v>22093</v>
      </c>
      <c r="L55" s="199">
        <v>37572.980000000003</v>
      </c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">
      <c r="A56" s="33" t="s">
        <v>138</v>
      </c>
      <c r="B56" s="33" t="s">
        <v>150</v>
      </c>
      <c r="C56" s="33">
        <v>13</v>
      </c>
      <c r="D56" s="33" t="s">
        <v>39</v>
      </c>
      <c r="E56" s="200">
        <v>0</v>
      </c>
      <c r="F56" s="199">
        <v>0</v>
      </c>
      <c r="G56" s="200">
        <v>-176357</v>
      </c>
      <c r="H56" s="199">
        <v>-413909.87599999999</v>
      </c>
      <c r="I56" s="200">
        <v>-26899</v>
      </c>
      <c r="J56" s="199">
        <v>-63131.953000000001</v>
      </c>
      <c r="K56" s="199">
        <v>68514</v>
      </c>
      <c r="L56" s="199">
        <v>160802.35999999999</v>
      </c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">
      <c r="A57" s="33" t="s">
        <v>138</v>
      </c>
      <c r="B57" s="33" t="s">
        <v>150</v>
      </c>
      <c r="C57" s="33">
        <v>14</v>
      </c>
      <c r="D57" s="33" t="s">
        <v>40</v>
      </c>
      <c r="E57" s="200">
        <v>0</v>
      </c>
      <c r="F57" s="199">
        <v>0</v>
      </c>
      <c r="G57" s="200">
        <v>0</v>
      </c>
      <c r="H57" s="199">
        <v>0</v>
      </c>
      <c r="I57" s="200">
        <v>0</v>
      </c>
      <c r="J57" s="199">
        <v>0</v>
      </c>
      <c r="K57" s="199">
        <v>0</v>
      </c>
      <c r="L57" s="199">
        <v>0</v>
      </c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">
      <c r="A58" s="33" t="s">
        <v>138</v>
      </c>
      <c r="B58" s="33" t="s">
        <v>150</v>
      </c>
      <c r="C58" s="33">
        <v>15</v>
      </c>
      <c r="D58" s="33" t="s">
        <v>41</v>
      </c>
      <c r="E58" s="200">
        <v>0</v>
      </c>
      <c r="F58" s="199">
        <v>0</v>
      </c>
      <c r="G58" s="200">
        <v>0</v>
      </c>
      <c r="H58" s="199">
        <v>0</v>
      </c>
      <c r="I58" s="200">
        <v>0</v>
      </c>
      <c r="J58" s="199">
        <v>0</v>
      </c>
      <c r="K58" s="199">
        <v>0</v>
      </c>
      <c r="L58" s="199">
        <v>0</v>
      </c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">
      <c r="A59" s="33" t="s">
        <v>138</v>
      </c>
      <c r="B59" s="33" t="s">
        <v>150</v>
      </c>
      <c r="C59" s="33">
        <v>16</v>
      </c>
      <c r="D59" s="33" t="s">
        <v>42</v>
      </c>
      <c r="E59" s="200">
        <v>0</v>
      </c>
      <c r="F59" s="199">
        <v>0</v>
      </c>
      <c r="G59" s="200">
        <v>0</v>
      </c>
      <c r="H59" s="199">
        <v>0</v>
      </c>
      <c r="I59" s="200">
        <v>0</v>
      </c>
      <c r="J59" s="199">
        <v>0</v>
      </c>
      <c r="K59" s="199">
        <v>0</v>
      </c>
      <c r="L59" s="199">
        <v>0</v>
      </c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">
      <c r="A60" s="33" t="s">
        <v>138</v>
      </c>
      <c r="B60" s="33" t="s">
        <v>150</v>
      </c>
      <c r="C60" s="33">
        <v>17</v>
      </c>
      <c r="D60" s="33" t="s">
        <v>126</v>
      </c>
      <c r="E60" s="200">
        <v>0</v>
      </c>
      <c r="F60" s="199">
        <v>0</v>
      </c>
      <c r="G60" s="200">
        <v>750236</v>
      </c>
      <c r="H60" s="199">
        <v>1519302.92</v>
      </c>
      <c r="I60" s="200">
        <v>0</v>
      </c>
      <c r="J60" s="199">
        <v>0</v>
      </c>
      <c r="K60" s="199">
        <v>0</v>
      </c>
      <c r="L60" s="199">
        <v>0</v>
      </c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">
      <c r="A61" s="33" t="s">
        <v>138</v>
      </c>
      <c r="B61" s="33" t="s">
        <v>150</v>
      </c>
      <c r="C61" s="33">
        <v>18</v>
      </c>
      <c r="D61" s="33" t="s">
        <v>127</v>
      </c>
      <c r="E61" s="200">
        <v>0</v>
      </c>
      <c r="F61" s="199">
        <v>0</v>
      </c>
      <c r="G61" s="200">
        <v>-3208577</v>
      </c>
      <c r="H61" s="199">
        <v>-6497689.2800000003</v>
      </c>
      <c r="I61" s="200">
        <v>-252</v>
      </c>
      <c r="J61" s="199">
        <v>-510.33</v>
      </c>
      <c r="K61" s="199">
        <v>-35713</v>
      </c>
      <c r="L61" s="199">
        <v>-73322.399999999994</v>
      </c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">
      <c r="A62" s="33" t="s">
        <v>138</v>
      </c>
      <c r="B62" s="33" t="s">
        <v>150</v>
      </c>
      <c r="C62" s="33">
        <v>19</v>
      </c>
      <c r="D62" s="33" t="s">
        <v>47</v>
      </c>
      <c r="E62" s="200">
        <v>0</v>
      </c>
      <c r="F62" s="199">
        <v>0</v>
      </c>
      <c r="G62" s="200">
        <v>0</v>
      </c>
      <c r="H62" s="199">
        <v>0</v>
      </c>
      <c r="I62" s="200">
        <v>0</v>
      </c>
      <c r="J62" s="199">
        <v>0</v>
      </c>
      <c r="K62" s="199">
        <v>0</v>
      </c>
      <c r="L62" s="199">
        <v>0</v>
      </c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">
      <c r="A63" s="33" t="s">
        <v>138</v>
      </c>
      <c r="B63" s="33" t="s">
        <v>150</v>
      </c>
      <c r="C63" s="33">
        <v>20</v>
      </c>
      <c r="D63" s="33" t="s">
        <v>128</v>
      </c>
      <c r="E63" s="200">
        <v>0</v>
      </c>
      <c r="F63" s="199">
        <v>0</v>
      </c>
      <c r="G63" s="200">
        <v>4326</v>
      </c>
      <c r="H63" s="199">
        <v>17.010000000000002</v>
      </c>
      <c r="I63" s="200">
        <v>4326</v>
      </c>
      <c r="J63" s="199">
        <v>17.010000000000002</v>
      </c>
      <c r="K63" s="199">
        <v>-4326</v>
      </c>
      <c r="L63" s="199">
        <v>-17.010000000000002</v>
      </c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">
      <c r="A64" s="33" t="s">
        <v>138</v>
      </c>
      <c r="B64" s="33" t="s">
        <v>150</v>
      </c>
      <c r="C64" s="33">
        <v>21</v>
      </c>
      <c r="D64" s="33" t="s">
        <v>129</v>
      </c>
      <c r="E64" s="200">
        <v>0</v>
      </c>
      <c r="F64" s="199">
        <v>0</v>
      </c>
      <c r="G64" s="200">
        <v>0</v>
      </c>
      <c r="H64" s="199">
        <v>0</v>
      </c>
      <c r="I64" s="200">
        <v>0</v>
      </c>
      <c r="J64" s="199">
        <v>0</v>
      </c>
      <c r="K64" s="199">
        <v>0</v>
      </c>
      <c r="L64" s="199">
        <v>0</v>
      </c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">
      <c r="A65" s="33" t="s">
        <v>138</v>
      </c>
      <c r="B65" s="33" t="s">
        <v>150</v>
      </c>
      <c r="C65" s="33">
        <v>22</v>
      </c>
      <c r="D65" s="33" t="s">
        <v>130</v>
      </c>
      <c r="E65" s="200">
        <v>-175120</v>
      </c>
      <c r="F65" s="199">
        <v>-411006.64</v>
      </c>
      <c r="G65" s="200">
        <v>285594</v>
      </c>
      <c r="H65" s="199">
        <v>670289.11800000002</v>
      </c>
      <c r="I65" s="200">
        <v>-16964</v>
      </c>
      <c r="J65" s="199">
        <v>-39814.508000000002</v>
      </c>
      <c r="K65" s="199">
        <v>46595</v>
      </c>
      <c r="L65" s="199">
        <v>109358.465</v>
      </c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">
      <c r="A66" s="33" t="s">
        <v>138</v>
      </c>
      <c r="B66" s="33" t="s">
        <v>150</v>
      </c>
      <c r="C66" s="33">
        <v>23</v>
      </c>
      <c r="D66" s="33" t="s">
        <v>131</v>
      </c>
      <c r="E66" s="200">
        <v>0</v>
      </c>
      <c r="F66" s="199">
        <v>0</v>
      </c>
      <c r="G66" s="200">
        <v>-42131</v>
      </c>
      <c r="H66" s="199">
        <v>-101281.61</v>
      </c>
      <c r="I66" s="200">
        <v>-42121</v>
      </c>
      <c r="J66" s="199">
        <v>-101258.71</v>
      </c>
      <c r="K66" s="199">
        <v>42131</v>
      </c>
      <c r="L66" s="199">
        <v>101281.61</v>
      </c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">
      <c r="A67" s="33" t="s">
        <v>138</v>
      </c>
      <c r="B67" s="33" t="s">
        <v>150</v>
      </c>
      <c r="C67" s="33">
        <v>24</v>
      </c>
      <c r="D67" s="33" t="s">
        <v>55</v>
      </c>
      <c r="E67" s="200">
        <v>0</v>
      </c>
      <c r="F67" s="199">
        <v>0</v>
      </c>
      <c r="G67" s="200">
        <v>0</v>
      </c>
      <c r="H67" s="199">
        <v>0</v>
      </c>
      <c r="I67" s="200">
        <v>0</v>
      </c>
      <c r="J67" s="199">
        <v>0</v>
      </c>
      <c r="K67" s="199">
        <v>-796718</v>
      </c>
      <c r="L67" s="199">
        <v>-23901.54</v>
      </c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">
      <c r="A68" s="33" t="s">
        <v>138</v>
      </c>
      <c r="B68" s="33" t="s">
        <v>150</v>
      </c>
      <c r="C68" s="33">
        <v>25</v>
      </c>
      <c r="D68" s="33" t="s">
        <v>56</v>
      </c>
      <c r="E68" s="200">
        <v>0</v>
      </c>
      <c r="F68" s="199">
        <v>0</v>
      </c>
      <c r="G68" s="200">
        <v>0</v>
      </c>
      <c r="H68" s="199">
        <v>0</v>
      </c>
      <c r="I68" s="200">
        <v>0</v>
      </c>
      <c r="J68" s="199">
        <v>0</v>
      </c>
      <c r="K68" s="199">
        <v>0</v>
      </c>
      <c r="L68" s="199">
        <v>0</v>
      </c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">
      <c r="A69" s="33" t="s">
        <v>138</v>
      </c>
      <c r="B69" s="33" t="s">
        <v>150</v>
      </c>
      <c r="C69" s="33">
        <v>26</v>
      </c>
      <c r="D69" s="33" t="s">
        <v>132</v>
      </c>
      <c r="E69" s="200">
        <v>2702272</v>
      </c>
      <c r="F69" s="199">
        <v>38805.339999999997</v>
      </c>
      <c r="G69" s="200">
        <v>447565</v>
      </c>
      <c r="H69" s="199">
        <v>22.77</v>
      </c>
      <c r="I69" s="200">
        <v>-311441</v>
      </c>
      <c r="J69" s="199">
        <v>0</v>
      </c>
      <c r="K69" s="199">
        <v>0</v>
      </c>
      <c r="L69" s="199">
        <v>0</v>
      </c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">
      <c r="A70" s="33" t="s">
        <v>138</v>
      </c>
      <c r="B70" s="33" t="s">
        <v>150</v>
      </c>
      <c r="C70" s="33">
        <v>27</v>
      </c>
      <c r="D70" s="33" t="s">
        <v>133</v>
      </c>
      <c r="E70" s="200">
        <v>0</v>
      </c>
      <c r="F70" s="199">
        <v>0</v>
      </c>
      <c r="G70" s="200">
        <v>0</v>
      </c>
      <c r="H70" s="199">
        <v>0</v>
      </c>
      <c r="I70" s="200">
        <v>0</v>
      </c>
      <c r="J70" s="199">
        <v>0</v>
      </c>
      <c r="K70" s="199">
        <v>0</v>
      </c>
      <c r="L70" s="199">
        <v>0</v>
      </c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">
      <c r="A71" s="33" t="s">
        <v>138</v>
      </c>
      <c r="B71" s="33" t="s">
        <v>150</v>
      </c>
      <c r="C71" s="33">
        <v>28</v>
      </c>
      <c r="D71" s="33" t="s">
        <v>134</v>
      </c>
      <c r="E71" s="200">
        <v>-16988349</v>
      </c>
      <c r="F71" s="199">
        <v>-2723749.53</v>
      </c>
      <c r="G71" s="200">
        <v>-7389149</v>
      </c>
      <c r="H71" s="199">
        <v>-215659.62</v>
      </c>
      <c r="I71" s="200">
        <v>278840</v>
      </c>
      <c r="J71" s="199">
        <v>27884</v>
      </c>
      <c r="K71" s="199">
        <v>0</v>
      </c>
      <c r="L71" s="199">
        <v>0</v>
      </c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">
      <c r="A72" s="33" t="s">
        <v>138</v>
      </c>
      <c r="B72" s="33" t="s">
        <v>150</v>
      </c>
      <c r="C72" s="33">
        <v>29</v>
      </c>
      <c r="D72" s="33" t="s">
        <v>135</v>
      </c>
      <c r="E72" s="200">
        <v>16216215</v>
      </c>
      <c r="F72" s="199">
        <v>2084036.52</v>
      </c>
      <c r="G72" s="200">
        <v>7411047</v>
      </c>
      <c r="H72" s="199">
        <v>215372.62</v>
      </c>
      <c r="I72" s="200">
        <v>-278840</v>
      </c>
      <c r="J72" s="199">
        <v>-27883.99</v>
      </c>
      <c r="K72" s="199">
        <v>0</v>
      </c>
      <c r="L72" s="199">
        <v>0</v>
      </c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">
      <c r="A73" s="33" t="s">
        <v>138</v>
      </c>
      <c r="B73" s="33" t="s">
        <v>150</v>
      </c>
      <c r="C73" s="33">
        <v>30</v>
      </c>
      <c r="D73" s="33" t="s">
        <v>136</v>
      </c>
      <c r="E73" s="200">
        <v>0</v>
      </c>
      <c r="F73" s="199">
        <v>0</v>
      </c>
      <c r="G73" s="200">
        <v>0</v>
      </c>
      <c r="H73" s="199">
        <v>0</v>
      </c>
      <c r="I73" s="200">
        <v>0</v>
      </c>
      <c r="J73" s="199">
        <v>0</v>
      </c>
      <c r="K73" s="199">
        <v>0</v>
      </c>
      <c r="L73" s="199">
        <v>0</v>
      </c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">
      <c r="A74" s="33" t="s">
        <v>138</v>
      </c>
      <c r="B74" s="33" t="s">
        <v>150</v>
      </c>
      <c r="C74" s="33">
        <v>31</v>
      </c>
      <c r="D74" s="33" t="s">
        <v>137</v>
      </c>
      <c r="E74" s="200">
        <v>0</v>
      </c>
      <c r="F74" s="199">
        <v>0</v>
      </c>
      <c r="G74" s="200">
        <v>0</v>
      </c>
      <c r="H74" s="199">
        <v>0</v>
      </c>
      <c r="I74" s="200">
        <v>0</v>
      </c>
      <c r="J74" s="199">
        <v>0</v>
      </c>
      <c r="K74" s="199">
        <v>0</v>
      </c>
      <c r="L74" s="199">
        <v>0</v>
      </c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">
      <c r="A75" s="33" t="s">
        <v>138</v>
      </c>
      <c r="B75" s="33" t="s">
        <v>150</v>
      </c>
      <c r="C75" s="33">
        <v>32</v>
      </c>
      <c r="D75" s="33" t="s">
        <v>70</v>
      </c>
      <c r="E75" s="200">
        <v>0</v>
      </c>
      <c r="F75" s="199">
        <v>0</v>
      </c>
      <c r="G75" s="200">
        <v>0</v>
      </c>
      <c r="H75" s="199">
        <v>0</v>
      </c>
      <c r="I75" s="200">
        <v>0</v>
      </c>
      <c r="J75" s="199">
        <v>0</v>
      </c>
      <c r="K75" s="199">
        <v>0</v>
      </c>
      <c r="L75" s="199">
        <v>0</v>
      </c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">
      <c r="A76" s="33" t="s">
        <v>138</v>
      </c>
      <c r="B76" s="33" t="s">
        <v>150</v>
      </c>
      <c r="C76" s="33">
        <v>33</v>
      </c>
      <c r="D76" s="33" t="s">
        <v>71</v>
      </c>
      <c r="E76" s="200">
        <v>0</v>
      </c>
      <c r="F76" s="199">
        <v>0</v>
      </c>
      <c r="G76" s="200">
        <v>0</v>
      </c>
      <c r="H76" s="199">
        <v>0</v>
      </c>
      <c r="I76" s="200">
        <v>0</v>
      </c>
      <c r="J76" s="199">
        <v>0</v>
      </c>
      <c r="K76" s="199">
        <v>0</v>
      </c>
      <c r="L76" s="199">
        <v>0</v>
      </c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">
      <c r="A77" s="33" t="s">
        <v>138</v>
      </c>
      <c r="B77" s="33" t="s">
        <v>150</v>
      </c>
      <c r="C77" s="33">
        <v>34</v>
      </c>
      <c r="D77" s="33" t="s">
        <v>72</v>
      </c>
      <c r="E77" s="200">
        <v>0</v>
      </c>
      <c r="F77" s="199">
        <v>0</v>
      </c>
      <c r="G77" s="200">
        <v>0</v>
      </c>
      <c r="H77" s="199">
        <v>0</v>
      </c>
      <c r="I77" s="200">
        <v>0</v>
      </c>
      <c r="J77" s="199">
        <v>0</v>
      </c>
      <c r="K77" s="199">
        <v>0</v>
      </c>
      <c r="L77" s="199">
        <v>0</v>
      </c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">
      <c r="A78" s="33" t="s">
        <v>138</v>
      </c>
      <c r="B78" s="33" t="s">
        <v>150</v>
      </c>
      <c r="C78" s="33">
        <v>35</v>
      </c>
      <c r="D78" s="33" t="s">
        <v>73</v>
      </c>
      <c r="E78" s="200">
        <v>0</v>
      </c>
      <c r="F78" s="199">
        <v>0</v>
      </c>
      <c r="G78" s="200">
        <v>0</v>
      </c>
      <c r="H78" s="199">
        <v>0</v>
      </c>
      <c r="I78" s="200">
        <v>0</v>
      </c>
      <c r="J78" s="199">
        <v>0</v>
      </c>
      <c r="K78" s="199">
        <v>0</v>
      </c>
      <c r="L78" s="199">
        <v>0</v>
      </c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">
      <c r="A79" s="33" t="s">
        <v>138</v>
      </c>
      <c r="B79" s="33" t="s">
        <v>150</v>
      </c>
      <c r="C79" s="33">
        <v>36</v>
      </c>
      <c r="D79" s="33" t="s">
        <v>74</v>
      </c>
      <c r="E79" s="200">
        <v>0</v>
      </c>
      <c r="F79" s="199">
        <v>0</v>
      </c>
      <c r="G79" s="200">
        <v>0</v>
      </c>
      <c r="H79" s="199">
        <v>0</v>
      </c>
      <c r="I79" s="200">
        <v>0</v>
      </c>
      <c r="J79" s="199">
        <v>0</v>
      </c>
      <c r="K79" s="199">
        <v>0</v>
      </c>
      <c r="L79" s="199">
        <v>0</v>
      </c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">
      <c r="A80" s="33" t="s">
        <v>138</v>
      </c>
      <c r="B80" s="33" t="s">
        <v>150</v>
      </c>
      <c r="C80" s="33">
        <v>37</v>
      </c>
      <c r="D80" s="33" t="s">
        <v>75</v>
      </c>
      <c r="E80" s="200">
        <v>0</v>
      </c>
      <c r="F80" s="199">
        <v>0</v>
      </c>
      <c r="G80" s="200">
        <v>0</v>
      </c>
      <c r="H80" s="199">
        <v>0</v>
      </c>
      <c r="I80" s="200">
        <v>0</v>
      </c>
      <c r="J80" s="199">
        <v>0</v>
      </c>
      <c r="K80" s="199">
        <v>0</v>
      </c>
      <c r="L80" s="199">
        <v>0</v>
      </c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">
      <c r="A81" s="33" t="s">
        <v>138</v>
      </c>
      <c r="B81" s="33" t="s">
        <v>150</v>
      </c>
      <c r="C81" s="33">
        <v>38</v>
      </c>
      <c r="D81" s="33" t="s">
        <v>76</v>
      </c>
      <c r="E81" s="200">
        <v>0</v>
      </c>
      <c r="F81" s="199">
        <v>0</v>
      </c>
      <c r="G81" s="200">
        <v>0</v>
      </c>
      <c r="H81" s="199">
        <v>0</v>
      </c>
      <c r="I81" s="200">
        <v>0</v>
      </c>
      <c r="J81" s="199">
        <v>0</v>
      </c>
      <c r="K81" s="199">
        <v>0</v>
      </c>
      <c r="L81" s="199">
        <v>0</v>
      </c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">
      <c r="A82" s="33" t="s">
        <v>138</v>
      </c>
      <c r="B82" s="33" t="s">
        <v>150</v>
      </c>
      <c r="C82" s="33">
        <v>39</v>
      </c>
      <c r="D82" s="33" t="s">
        <v>77</v>
      </c>
      <c r="E82" s="200">
        <v>0</v>
      </c>
      <c r="F82" s="199">
        <v>0</v>
      </c>
      <c r="G82" s="200">
        <v>0</v>
      </c>
      <c r="H82" s="199">
        <v>0</v>
      </c>
      <c r="I82" s="200">
        <v>0</v>
      </c>
      <c r="J82" s="199">
        <v>0</v>
      </c>
      <c r="K82" s="199">
        <v>0</v>
      </c>
      <c r="L82" s="199">
        <v>0</v>
      </c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">
      <c r="A83" s="33" t="s">
        <v>138</v>
      </c>
      <c r="B83" s="33" t="s">
        <v>150</v>
      </c>
      <c r="C83" s="33">
        <v>40</v>
      </c>
      <c r="D83" s="33" t="s">
        <v>78</v>
      </c>
      <c r="E83" s="200">
        <v>0</v>
      </c>
      <c r="F83" s="199">
        <v>0</v>
      </c>
      <c r="G83" s="200">
        <v>0</v>
      </c>
      <c r="H83" s="199">
        <v>0</v>
      </c>
      <c r="I83" s="200">
        <v>0</v>
      </c>
      <c r="J83" s="199">
        <v>0</v>
      </c>
      <c r="K83" s="199">
        <v>0</v>
      </c>
      <c r="L83" s="199">
        <v>0</v>
      </c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">
      <c r="A84" s="33" t="s">
        <v>140</v>
      </c>
      <c r="B84" s="33" t="s">
        <v>206</v>
      </c>
      <c r="C84" s="33">
        <v>1</v>
      </c>
      <c r="D84" s="33" t="s">
        <v>25</v>
      </c>
      <c r="E84" s="200">
        <v>0</v>
      </c>
      <c r="F84" s="199">
        <v>0</v>
      </c>
      <c r="G84" s="200">
        <v>0</v>
      </c>
      <c r="H84" s="199">
        <v>0</v>
      </c>
      <c r="I84" s="200">
        <v>0</v>
      </c>
      <c r="J84" s="199">
        <v>0</v>
      </c>
      <c r="K84" s="199">
        <v>0</v>
      </c>
      <c r="L84" s="199">
        <v>0</v>
      </c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">
      <c r="A85" s="33" t="s">
        <v>140</v>
      </c>
      <c r="B85" s="33" t="s">
        <v>206</v>
      </c>
      <c r="C85" s="33">
        <v>2</v>
      </c>
      <c r="D85" s="33" t="s">
        <v>26</v>
      </c>
      <c r="E85" s="200">
        <v>0</v>
      </c>
      <c r="F85" s="199">
        <v>0</v>
      </c>
      <c r="G85" s="200">
        <v>0</v>
      </c>
      <c r="H85" s="199">
        <v>0</v>
      </c>
      <c r="I85" s="200">
        <v>0</v>
      </c>
      <c r="J85" s="199">
        <v>0</v>
      </c>
      <c r="K85" s="199">
        <v>0</v>
      </c>
      <c r="L85" s="199">
        <v>0</v>
      </c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">
      <c r="A86" s="33" t="s">
        <v>140</v>
      </c>
      <c r="B86" s="33" t="s">
        <v>206</v>
      </c>
      <c r="C86" s="33">
        <v>3</v>
      </c>
      <c r="D86" s="33" t="s">
        <v>27</v>
      </c>
      <c r="E86" s="200">
        <v>0</v>
      </c>
      <c r="F86" s="199">
        <v>0</v>
      </c>
      <c r="G86" s="200">
        <v>0</v>
      </c>
      <c r="H86" s="199">
        <v>0</v>
      </c>
      <c r="I86" s="200">
        <v>0</v>
      </c>
      <c r="J86" s="199">
        <v>0</v>
      </c>
      <c r="K86" s="199">
        <v>0</v>
      </c>
      <c r="L86" s="199">
        <v>0</v>
      </c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">
      <c r="A87" s="33" t="s">
        <v>140</v>
      </c>
      <c r="B87" s="33" t="s">
        <v>206</v>
      </c>
      <c r="C87" s="33">
        <v>4</v>
      </c>
      <c r="D87" s="33" t="s">
        <v>28</v>
      </c>
      <c r="E87" s="200">
        <v>0</v>
      </c>
      <c r="F87" s="199">
        <v>0</v>
      </c>
      <c r="G87" s="200">
        <v>0</v>
      </c>
      <c r="H87" s="199">
        <v>0</v>
      </c>
      <c r="I87" s="200">
        <v>0</v>
      </c>
      <c r="J87" s="199">
        <v>0</v>
      </c>
      <c r="K87" s="199">
        <v>0</v>
      </c>
      <c r="L87" s="199">
        <v>0</v>
      </c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">
      <c r="A88" s="33" t="s">
        <v>140</v>
      </c>
      <c r="B88" s="33" t="s">
        <v>206</v>
      </c>
      <c r="C88" s="33">
        <v>5</v>
      </c>
      <c r="D88" s="33" t="s">
        <v>125</v>
      </c>
      <c r="E88" s="200">
        <v>0</v>
      </c>
      <c r="F88" s="199">
        <v>0</v>
      </c>
      <c r="G88" s="200">
        <v>0</v>
      </c>
      <c r="H88" s="199">
        <v>0</v>
      </c>
      <c r="I88" s="200">
        <v>0</v>
      </c>
      <c r="J88" s="199">
        <v>0</v>
      </c>
      <c r="K88" s="199">
        <v>0</v>
      </c>
      <c r="L88" s="199">
        <v>0</v>
      </c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">
      <c r="A89" s="33" t="s">
        <v>140</v>
      </c>
      <c r="B89" s="33" t="s">
        <v>206</v>
      </c>
      <c r="C89" s="33">
        <v>6</v>
      </c>
      <c r="D89" s="33" t="s">
        <v>25</v>
      </c>
      <c r="E89" s="200">
        <v>0</v>
      </c>
      <c r="F89" s="199">
        <v>0</v>
      </c>
      <c r="G89" s="200">
        <v>0</v>
      </c>
      <c r="H89" s="199">
        <v>0</v>
      </c>
      <c r="I89" s="200">
        <v>0</v>
      </c>
      <c r="J89" s="199">
        <v>0</v>
      </c>
      <c r="K89" s="199">
        <v>0</v>
      </c>
      <c r="L89" s="199">
        <v>0</v>
      </c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">
      <c r="A90" s="33" t="s">
        <v>140</v>
      </c>
      <c r="B90" s="33" t="s">
        <v>206</v>
      </c>
      <c r="C90" s="33">
        <v>7</v>
      </c>
      <c r="D90" s="33" t="s">
        <v>26</v>
      </c>
      <c r="E90" s="200">
        <v>0</v>
      </c>
      <c r="F90" s="199">
        <v>0</v>
      </c>
      <c r="G90" s="200">
        <v>0</v>
      </c>
      <c r="H90" s="199">
        <v>0</v>
      </c>
      <c r="I90" s="200">
        <v>0</v>
      </c>
      <c r="J90" s="199">
        <v>0</v>
      </c>
      <c r="K90" s="199">
        <v>0</v>
      </c>
      <c r="L90" s="199">
        <v>0</v>
      </c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">
      <c r="A91" s="33" t="s">
        <v>140</v>
      </c>
      <c r="B91" s="33" t="s">
        <v>206</v>
      </c>
      <c r="C91" s="33">
        <v>8</v>
      </c>
      <c r="D91" s="33" t="s">
        <v>27</v>
      </c>
      <c r="E91" s="200">
        <v>0</v>
      </c>
      <c r="F91" s="199">
        <v>0</v>
      </c>
      <c r="G91" s="200">
        <v>0</v>
      </c>
      <c r="H91" s="199">
        <v>0</v>
      </c>
      <c r="I91" s="200">
        <v>0</v>
      </c>
      <c r="J91" s="199">
        <v>0</v>
      </c>
      <c r="K91" s="199">
        <v>0</v>
      </c>
      <c r="L91" s="199">
        <v>0</v>
      </c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">
      <c r="A92" s="33" t="s">
        <v>140</v>
      </c>
      <c r="B92" s="33" t="s">
        <v>206</v>
      </c>
      <c r="C92" s="33">
        <v>9</v>
      </c>
      <c r="D92" s="33" t="s">
        <v>28</v>
      </c>
      <c r="E92" s="200">
        <v>0</v>
      </c>
      <c r="F92" s="199">
        <v>0</v>
      </c>
      <c r="G92" s="200">
        <v>0</v>
      </c>
      <c r="H92" s="199">
        <v>0</v>
      </c>
      <c r="I92" s="200">
        <v>0</v>
      </c>
      <c r="J92" s="199">
        <v>0</v>
      </c>
      <c r="K92" s="199">
        <v>0</v>
      </c>
      <c r="L92" s="199">
        <v>0</v>
      </c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">
      <c r="A93" s="33" t="s">
        <v>140</v>
      </c>
      <c r="B93" s="33" t="s">
        <v>206</v>
      </c>
      <c r="C93" s="33">
        <v>10</v>
      </c>
      <c r="D93" s="33" t="s">
        <v>32</v>
      </c>
      <c r="E93" s="200">
        <v>0</v>
      </c>
      <c r="F93" s="199">
        <v>0</v>
      </c>
      <c r="G93" s="200">
        <v>0</v>
      </c>
      <c r="H93" s="199">
        <v>0</v>
      </c>
      <c r="I93" s="200">
        <v>0</v>
      </c>
      <c r="J93" s="199">
        <v>0</v>
      </c>
      <c r="K93" s="199">
        <v>0</v>
      </c>
      <c r="L93" s="199">
        <v>0</v>
      </c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">
      <c r="A94" s="33" t="s">
        <v>140</v>
      </c>
      <c r="B94" s="33" t="s">
        <v>206</v>
      </c>
      <c r="C94" s="33">
        <v>11</v>
      </c>
      <c r="D94" s="33" t="s">
        <v>35</v>
      </c>
      <c r="E94" s="200">
        <v>0</v>
      </c>
      <c r="F94" s="199">
        <v>0</v>
      </c>
      <c r="G94" s="200">
        <v>0</v>
      </c>
      <c r="H94" s="199">
        <v>0</v>
      </c>
      <c r="I94" s="200">
        <v>0</v>
      </c>
      <c r="J94" s="199">
        <v>0</v>
      </c>
      <c r="K94" s="199">
        <v>0</v>
      </c>
      <c r="L94" s="199">
        <v>0</v>
      </c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">
      <c r="A95" s="33" t="s">
        <v>140</v>
      </c>
      <c r="B95" s="33" t="s">
        <v>206</v>
      </c>
      <c r="C95" s="33">
        <v>12</v>
      </c>
      <c r="D95" s="33" t="s">
        <v>36</v>
      </c>
      <c r="E95" s="200">
        <v>0</v>
      </c>
      <c r="F95" s="199">
        <v>0</v>
      </c>
      <c r="G95" s="200">
        <v>0</v>
      </c>
      <c r="H95" s="199">
        <v>0</v>
      </c>
      <c r="I95" s="200">
        <v>0</v>
      </c>
      <c r="J95" s="199">
        <v>0</v>
      </c>
      <c r="K95" s="199">
        <v>0</v>
      </c>
      <c r="L95" s="199">
        <v>0</v>
      </c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">
      <c r="A96" s="33" t="s">
        <v>140</v>
      </c>
      <c r="B96" s="33" t="s">
        <v>206</v>
      </c>
      <c r="C96" s="33">
        <v>13</v>
      </c>
      <c r="D96" s="33" t="s">
        <v>39</v>
      </c>
      <c r="E96" s="200">
        <v>0</v>
      </c>
      <c r="F96" s="199">
        <v>0</v>
      </c>
      <c r="G96" s="200">
        <v>0</v>
      </c>
      <c r="H96" s="199">
        <v>0</v>
      </c>
      <c r="I96" s="200">
        <v>0</v>
      </c>
      <c r="J96" s="199">
        <v>0</v>
      </c>
      <c r="K96" s="199">
        <v>0</v>
      </c>
      <c r="L96" s="199">
        <v>0</v>
      </c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">
      <c r="A97" s="33" t="s">
        <v>140</v>
      </c>
      <c r="B97" s="33" t="s">
        <v>206</v>
      </c>
      <c r="C97" s="33">
        <v>14</v>
      </c>
      <c r="D97" s="33" t="s">
        <v>40</v>
      </c>
      <c r="E97" s="200">
        <v>0</v>
      </c>
      <c r="F97" s="199">
        <v>0</v>
      </c>
      <c r="G97" s="200">
        <v>0</v>
      </c>
      <c r="H97" s="199">
        <v>0</v>
      </c>
      <c r="I97" s="200">
        <v>0</v>
      </c>
      <c r="J97" s="199">
        <v>0</v>
      </c>
      <c r="K97" s="199">
        <v>0</v>
      </c>
      <c r="L97" s="199">
        <v>0</v>
      </c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">
      <c r="A98" s="33" t="s">
        <v>140</v>
      </c>
      <c r="B98" s="33" t="s">
        <v>206</v>
      </c>
      <c r="C98" s="33">
        <v>15</v>
      </c>
      <c r="D98" s="33" t="s">
        <v>41</v>
      </c>
      <c r="E98" s="200">
        <v>0</v>
      </c>
      <c r="F98" s="199">
        <v>0</v>
      </c>
      <c r="G98" s="200">
        <v>0</v>
      </c>
      <c r="H98" s="199">
        <v>0</v>
      </c>
      <c r="I98" s="200">
        <v>0</v>
      </c>
      <c r="J98" s="199">
        <v>0</v>
      </c>
      <c r="K98" s="199">
        <v>0</v>
      </c>
      <c r="L98" s="199">
        <v>0</v>
      </c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">
      <c r="A99" s="33" t="s">
        <v>140</v>
      </c>
      <c r="B99" s="33" t="s">
        <v>206</v>
      </c>
      <c r="C99" s="33">
        <v>16</v>
      </c>
      <c r="D99" s="33" t="s">
        <v>42</v>
      </c>
      <c r="E99" s="200">
        <v>0</v>
      </c>
      <c r="F99" s="199">
        <v>0</v>
      </c>
      <c r="G99" s="200">
        <v>0</v>
      </c>
      <c r="H99" s="199">
        <v>0</v>
      </c>
      <c r="I99" s="200">
        <v>0</v>
      </c>
      <c r="J99" s="199">
        <v>0</v>
      </c>
      <c r="K99" s="199">
        <v>0</v>
      </c>
      <c r="L99" s="199">
        <v>0</v>
      </c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">
      <c r="A100" s="33" t="s">
        <v>140</v>
      </c>
      <c r="B100" s="33" t="s">
        <v>206</v>
      </c>
      <c r="C100" s="33">
        <v>17</v>
      </c>
      <c r="D100" s="33" t="s">
        <v>126</v>
      </c>
      <c r="E100" s="200">
        <v>0</v>
      </c>
      <c r="F100" s="199">
        <v>0</v>
      </c>
      <c r="G100" s="200">
        <v>0</v>
      </c>
      <c r="H100" s="199">
        <v>0</v>
      </c>
      <c r="I100" s="200">
        <v>0</v>
      </c>
      <c r="J100" s="199">
        <v>0</v>
      </c>
      <c r="K100" s="199">
        <v>0</v>
      </c>
      <c r="L100" s="199">
        <v>0</v>
      </c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">
      <c r="A101" s="33" t="s">
        <v>140</v>
      </c>
      <c r="B101" s="33" t="s">
        <v>206</v>
      </c>
      <c r="C101" s="33">
        <v>18</v>
      </c>
      <c r="D101" s="33" t="s">
        <v>127</v>
      </c>
      <c r="E101" s="200">
        <v>0</v>
      </c>
      <c r="F101" s="199">
        <v>0</v>
      </c>
      <c r="G101" s="200">
        <v>0</v>
      </c>
      <c r="H101" s="199">
        <v>0</v>
      </c>
      <c r="I101" s="200">
        <v>0</v>
      </c>
      <c r="J101" s="199">
        <v>0</v>
      </c>
      <c r="K101" s="199">
        <v>0</v>
      </c>
      <c r="L101" s="199">
        <v>0</v>
      </c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">
      <c r="A102" s="33" t="s">
        <v>140</v>
      </c>
      <c r="B102" s="33" t="s">
        <v>206</v>
      </c>
      <c r="C102" s="33">
        <v>19</v>
      </c>
      <c r="D102" s="33" t="s">
        <v>47</v>
      </c>
      <c r="E102" s="200">
        <v>0</v>
      </c>
      <c r="F102" s="199">
        <v>0</v>
      </c>
      <c r="G102" s="200">
        <v>0</v>
      </c>
      <c r="H102" s="199">
        <v>0</v>
      </c>
      <c r="I102" s="200">
        <v>0</v>
      </c>
      <c r="J102" s="199">
        <v>0</v>
      </c>
      <c r="K102" s="199">
        <v>0</v>
      </c>
      <c r="L102" s="199">
        <v>0</v>
      </c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">
      <c r="A103" s="33" t="s">
        <v>140</v>
      </c>
      <c r="B103" s="33" t="s">
        <v>206</v>
      </c>
      <c r="C103" s="33">
        <v>20</v>
      </c>
      <c r="D103" s="33" t="s">
        <v>128</v>
      </c>
      <c r="E103" s="200">
        <v>0</v>
      </c>
      <c r="F103" s="199">
        <v>0</v>
      </c>
      <c r="G103" s="200">
        <v>0</v>
      </c>
      <c r="H103" s="199">
        <v>0</v>
      </c>
      <c r="I103" s="200">
        <v>0</v>
      </c>
      <c r="J103" s="199">
        <v>0</v>
      </c>
      <c r="K103" s="199">
        <v>0</v>
      </c>
      <c r="L103" s="199">
        <v>0</v>
      </c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">
      <c r="A104" s="33" t="s">
        <v>140</v>
      </c>
      <c r="B104" s="33" t="s">
        <v>206</v>
      </c>
      <c r="C104" s="33">
        <v>21</v>
      </c>
      <c r="D104" s="33" t="s">
        <v>129</v>
      </c>
      <c r="E104" s="200">
        <v>0</v>
      </c>
      <c r="F104" s="199">
        <v>0</v>
      </c>
      <c r="G104" s="200">
        <v>0</v>
      </c>
      <c r="H104" s="199">
        <v>0</v>
      </c>
      <c r="I104" s="200">
        <v>0</v>
      </c>
      <c r="J104" s="199">
        <v>0</v>
      </c>
      <c r="K104" s="199">
        <v>0</v>
      </c>
      <c r="L104" s="199">
        <v>0</v>
      </c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">
      <c r="A105" s="33" t="s">
        <v>140</v>
      </c>
      <c r="B105" s="33" t="s">
        <v>206</v>
      </c>
      <c r="C105" s="33">
        <v>22</v>
      </c>
      <c r="D105" s="33" t="s">
        <v>130</v>
      </c>
      <c r="E105" s="200">
        <v>0</v>
      </c>
      <c r="F105" s="199">
        <v>0</v>
      </c>
      <c r="G105" s="200">
        <v>0</v>
      </c>
      <c r="H105" s="199">
        <v>0</v>
      </c>
      <c r="I105" s="200">
        <v>0</v>
      </c>
      <c r="J105" s="199">
        <v>0</v>
      </c>
      <c r="K105" s="199">
        <v>0</v>
      </c>
      <c r="L105" s="199">
        <v>0</v>
      </c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">
      <c r="A106" s="33" t="s">
        <v>140</v>
      </c>
      <c r="B106" s="33" t="s">
        <v>206</v>
      </c>
      <c r="C106" s="33">
        <v>23</v>
      </c>
      <c r="D106" s="33" t="s">
        <v>131</v>
      </c>
      <c r="E106" s="200">
        <v>0</v>
      </c>
      <c r="F106" s="199">
        <v>0</v>
      </c>
      <c r="G106" s="200">
        <v>0</v>
      </c>
      <c r="H106" s="199">
        <v>0</v>
      </c>
      <c r="I106" s="200">
        <v>0</v>
      </c>
      <c r="J106" s="199">
        <v>0</v>
      </c>
      <c r="K106" s="199">
        <v>0</v>
      </c>
      <c r="L106" s="199">
        <v>0</v>
      </c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">
      <c r="A107" s="33" t="s">
        <v>140</v>
      </c>
      <c r="B107" s="33" t="s">
        <v>206</v>
      </c>
      <c r="C107" s="33">
        <v>24</v>
      </c>
      <c r="D107" s="33" t="s">
        <v>55</v>
      </c>
      <c r="E107" s="200">
        <v>0</v>
      </c>
      <c r="F107" s="199">
        <v>0</v>
      </c>
      <c r="G107" s="200">
        <v>0</v>
      </c>
      <c r="H107" s="199">
        <v>0</v>
      </c>
      <c r="I107" s="200">
        <v>0</v>
      </c>
      <c r="J107" s="199">
        <v>0</v>
      </c>
      <c r="K107" s="199">
        <v>0</v>
      </c>
      <c r="L107" s="199">
        <v>0</v>
      </c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">
      <c r="A108" s="33" t="s">
        <v>140</v>
      </c>
      <c r="B108" s="33" t="s">
        <v>206</v>
      </c>
      <c r="C108" s="33">
        <v>25</v>
      </c>
      <c r="D108" s="33" t="s">
        <v>56</v>
      </c>
      <c r="E108" s="200">
        <v>0</v>
      </c>
      <c r="F108" s="199">
        <v>0</v>
      </c>
      <c r="G108" s="200">
        <v>0</v>
      </c>
      <c r="H108" s="199">
        <v>0</v>
      </c>
      <c r="I108" s="200">
        <v>0</v>
      </c>
      <c r="J108" s="199">
        <v>0</v>
      </c>
      <c r="K108" s="199">
        <v>0</v>
      </c>
      <c r="L108" s="199">
        <v>0</v>
      </c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">
      <c r="A109" s="33" t="s">
        <v>140</v>
      </c>
      <c r="B109" s="33" t="s">
        <v>206</v>
      </c>
      <c r="C109" s="33">
        <v>26</v>
      </c>
      <c r="D109" s="33" t="s">
        <v>132</v>
      </c>
      <c r="E109" s="200">
        <v>0</v>
      </c>
      <c r="F109" s="199">
        <v>0</v>
      </c>
      <c r="G109" s="200">
        <v>0</v>
      </c>
      <c r="H109" s="199">
        <v>0</v>
      </c>
      <c r="I109" s="200">
        <v>0</v>
      </c>
      <c r="J109" s="199">
        <v>0</v>
      </c>
      <c r="K109" s="199">
        <v>0</v>
      </c>
      <c r="L109" s="199">
        <v>0</v>
      </c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">
      <c r="A110" s="33" t="s">
        <v>140</v>
      </c>
      <c r="B110" s="33" t="s">
        <v>206</v>
      </c>
      <c r="C110" s="33">
        <v>27</v>
      </c>
      <c r="D110" s="33" t="s">
        <v>133</v>
      </c>
      <c r="E110" s="200">
        <v>0</v>
      </c>
      <c r="F110" s="199">
        <v>0</v>
      </c>
      <c r="G110" s="200">
        <v>0</v>
      </c>
      <c r="H110" s="199">
        <v>0</v>
      </c>
      <c r="I110" s="200">
        <v>0</v>
      </c>
      <c r="J110" s="199">
        <v>0</v>
      </c>
      <c r="K110" s="199">
        <v>0</v>
      </c>
      <c r="L110" s="199">
        <v>0</v>
      </c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">
      <c r="A111" s="33" t="s">
        <v>140</v>
      </c>
      <c r="B111" s="33" t="s">
        <v>206</v>
      </c>
      <c r="C111" s="33">
        <v>28</v>
      </c>
      <c r="D111" s="33" t="s">
        <v>134</v>
      </c>
      <c r="E111" s="200">
        <v>0</v>
      </c>
      <c r="F111" s="199">
        <v>0</v>
      </c>
      <c r="G111" s="200">
        <v>0</v>
      </c>
      <c r="H111" s="199">
        <v>0</v>
      </c>
      <c r="I111" s="200">
        <v>0</v>
      </c>
      <c r="J111" s="199">
        <v>0</v>
      </c>
      <c r="K111" s="199">
        <v>0</v>
      </c>
      <c r="L111" s="199">
        <v>0</v>
      </c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">
      <c r="A112" s="33" t="s">
        <v>140</v>
      </c>
      <c r="B112" s="33" t="s">
        <v>206</v>
      </c>
      <c r="C112" s="33">
        <v>29</v>
      </c>
      <c r="D112" s="33" t="s">
        <v>135</v>
      </c>
      <c r="E112" s="200">
        <v>0</v>
      </c>
      <c r="F112" s="199">
        <v>0</v>
      </c>
      <c r="G112" s="200">
        <v>0</v>
      </c>
      <c r="H112" s="199">
        <v>0</v>
      </c>
      <c r="I112" s="200">
        <v>0</v>
      </c>
      <c r="J112" s="199">
        <v>0</v>
      </c>
      <c r="K112" s="199">
        <v>0</v>
      </c>
      <c r="L112" s="199">
        <v>0</v>
      </c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">
      <c r="A113" s="33" t="s">
        <v>140</v>
      </c>
      <c r="B113" s="33" t="s">
        <v>206</v>
      </c>
      <c r="C113" s="33">
        <v>30</v>
      </c>
      <c r="D113" s="33" t="s">
        <v>136</v>
      </c>
      <c r="E113" s="200">
        <v>0</v>
      </c>
      <c r="F113" s="199">
        <v>0</v>
      </c>
      <c r="G113" s="200">
        <v>0</v>
      </c>
      <c r="H113" s="199">
        <v>0</v>
      </c>
      <c r="I113" s="200">
        <v>0</v>
      </c>
      <c r="J113" s="199">
        <v>0</v>
      </c>
      <c r="K113" s="199">
        <v>0</v>
      </c>
      <c r="L113" s="199">
        <v>0</v>
      </c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">
      <c r="A114" s="33" t="s">
        <v>140</v>
      </c>
      <c r="B114" s="33" t="s">
        <v>206</v>
      </c>
      <c r="C114" s="33">
        <v>31</v>
      </c>
      <c r="D114" s="33" t="s">
        <v>137</v>
      </c>
      <c r="E114" s="200">
        <v>0</v>
      </c>
      <c r="F114" s="199">
        <v>0</v>
      </c>
      <c r="G114" s="200">
        <v>0</v>
      </c>
      <c r="H114" s="199">
        <v>0</v>
      </c>
      <c r="I114" s="200">
        <v>0</v>
      </c>
      <c r="J114" s="199">
        <v>0</v>
      </c>
      <c r="K114" s="199">
        <v>0</v>
      </c>
      <c r="L114" s="199">
        <v>0</v>
      </c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">
      <c r="A115" s="33" t="s">
        <v>140</v>
      </c>
      <c r="B115" s="33" t="s">
        <v>206</v>
      </c>
      <c r="C115" s="33">
        <v>32</v>
      </c>
      <c r="D115" s="33" t="s">
        <v>70</v>
      </c>
      <c r="E115" s="200">
        <v>0</v>
      </c>
      <c r="F115" s="199">
        <v>0</v>
      </c>
      <c r="G115" s="200">
        <v>0</v>
      </c>
      <c r="H115" s="199">
        <v>0</v>
      </c>
      <c r="I115" s="200">
        <v>0</v>
      </c>
      <c r="J115" s="199">
        <v>0</v>
      </c>
      <c r="K115" s="199">
        <v>0</v>
      </c>
      <c r="L115" s="199">
        <v>0</v>
      </c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">
      <c r="A116" s="33" t="s">
        <v>140</v>
      </c>
      <c r="B116" s="33" t="s">
        <v>206</v>
      </c>
      <c r="C116" s="33">
        <v>33</v>
      </c>
      <c r="D116" s="33" t="s">
        <v>71</v>
      </c>
      <c r="E116" s="200">
        <v>0</v>
      </c>
      <c r="F116" s="199">
        <v>0</v>
      </c>
      <c r="G116" s="200">
        <v>0</v>
      </c>
      <c r="H116" s="199">
        <v>0</v>
      </c>
      <c r="I116" s="200">
        <v>0</v>
      </c>
      <c r="J116" s="199">
        <v>0</v>
      </c>
      <c r="K116" s="199">
        <v>0</v>
      </c>
      <c r="L116" s="199">
        <v>0</v>
      </c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">
      <c r="A117" s="33" t="s">
        <v>140</v>
      </c>
      <c r="B117" s="33" t="s">
        <v>206</v>
      </c>
      <c r="C117" s="33">
        <v>34</v>
      </c>
      <c r="D117" s="33" t="s">
        <v>72</v>
      </c>
      <c r="E117" s="200">
        <v>0</v>
      </c>
      <c r="F117" s="199">
        <v>0</v>
      </c>
      <c r="G117" s="200">
        <v>0</v>
      </c>
      <c r="H117" s="199">
        <v>0</v>
      </c>
      <c r="I117" s="200">
        <v>0</v>
      </c>
      <c r="J117" s="199">
        <v>0</v>
      </c>
      <c r="K117" s="199">
        <v>0</v>
      </c>
      <c r="L117" s="199">
        <v>0</v>
      </c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">
      <c r="A118" s="33" t="s">
        <v>140</v>
      </c>
      <c r="B118" s="33" t="s">
        <v>206</v>
      </c>
      <c r="C118" s="33">
        <v>35</v>
      </c>
      <c r="D118" s="33" t="s">
        <v>73</v>
      </c>
      <c r="E118" s="200">
        <v>0</v>
      </c>
      <c r="F118" s="199">
        <v>0</v>
      </c>
      <c r="G118" s="200">
        <v>0</v>
      </c>
      <c r="H118" s="199">
        <v>0</v>
      </c>
      <c r="I118" s="200">
        <v>0</v>
      </c>
      <c r="J118" s="199">
        <v>0</v>
      </c>
      <c r="K118" s="199">
        <v>0</v>
      </c>
      <c r="L118" s="199">
        <v>0</v>
      </c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">
      <c r="A119" s="33" t="s">
        <v>140</v>
      </c>
      <c r="B119" s="33" t="s">
        <v>206</v>
      </c>
      <c r="C119" s="33">
        <v>36</v>
      </c>
      <c r="D119" s="33" t="s">
        <v>74</v>
      </c>
      <c r="E119" s="200">
        <v>0</v>
      </c>
      <c r="F119" s="199">
        <v>0</v>
      </c>
      <c r="G119" s="200">
        <v>0</v>
      </c>
      <c r="H119" s="199">
        <v>0</v>
      </c>
      <c r="I119" s="200">
        <v>0</v>
      </c>
      <c r="J119" s="199">
        <v>0</v>
      </c>
      <c r="K119" s="199">
        <v>0</v>
      </c>
      <c r="L119" s="199">
        <v>0</v>
      </c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">
      <c r="A120" s="33" t="s">
        <v>140</v>
      </c>
      <c r="B120" s="33" t="s">
        <v>206</v>
      </c>
      <c r="C120" s="33">
        <v>37</v>
      </c>
      <c r="D120" s="33" t="s">
        <v>75</v>
      </c>
      <c r="E120" s="200">
        <v>0</v>
      </c>
      <c r="F120" s="199">
        <v>0</v>
      </c>
      <c r="G120" s="200">
        <v>0</v>
      </c>
      <c r="H120" s="199">
        <v>0</v>
      </c>
      <c r="I120" s="200">
        <v>0</v>
      </c>
      <c r="J120" s="199">
        <v>0</v>
      </c>
      <c r="K120" s="199">
        <v>0</v>
      </c>
      <c r="L120" s="199">
        <v>0</v>
      </c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">
      <c r="A121" s="33" t="s">
        <v>140</v>
      </c>
      <c r="B121" s="33" t="s">
        <v>206</v>
      </c>
      <c r="C121" s="33">
        <v>38</v>
      </c>
      <c r="D121" s="33" t="s">
        <v>76</v>
      </c>
      <c r="E121" s="200">
        <v>0</v>
      </c>
      <c r="F121" s="199">
        <v>0</v>
      </c>
      <c r="G121" s="200">
        <v>0</v>
      </c>
      <c r="H121" s="199">
        <v>0</v>
      </c>
      <c r="I121" s="200">
        <v>0</v>
      </c>
      <c r="J121" s="199">
        <v>0</v>
      </c>
      <c r="K121" s="199">
        <v>0</v>
      </c>
      <c r="L121" s="199">
        <v>0</v>
      </c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">
      <c r="A122" s="33" t="s">
        <v>140</v>
      </c>
      <c r="B122" s="33" t="s">
        <v>206</v>
      </c>
      <c r="C122" s="33">
        <v>39</v>
      </c>
      <c r="D122" s="33" t="s">
        <v>77</v>
      </c>
      <c r="E122" s="200">
        <v>0</v>
      </c>
      <c r="F122" s="199">
        <v>0</v>
      </c>
      <c r="G122" s="200">
        <v>0</v>
      </c>
      <c r="H122" s="199">
        <v>0</v>
      </c>
      <c r="I122" s="200">
        <v>0</v>
      </c>
      <c r="J122" s="199">
        <v>0</v>
      </c>
      <c r="K122" s="199">
        <v>0</v>
      </c>
      <c r="L122" s="199">
        <v>0</v>
      </c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">
      <c r="A123" s="33" t="s">
        <v>140</v>
      </c>
      <c r="B123" s="33" t="s">
        <v>206</v>
      </c>
      <c r="C123" s="33">
        <v>40</v>
      </c>
      <c r="D123" s="33" t="s">
        <v>78</v>
      </c>
      <c r="E123" s="200">
        <v>0</v>
      </c>
      <c r="F123" s="199">
        <v>0</v>
      </c>
      <c r="G123" s="200">
        <v>0</v>
      </c>
      <c r="H123" s="199">
        <v>0</v>
      </c>
      <c r="I123" s="200">
        <v>0</v>
      </c>
      <c r="J123" s="199">
        <v>0</v>
      </c>
      <c r="K123" s="199">
        <v>0</v>
      </c>
      <c r="L123" s="199">
        <v>0</v>
      </c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">
      <c r="A124" s="33" t="s">
        <v>140</v>
      </c>
      <c r="B124" s="33" t="s">
        <v>113</v>
      </c>
      <c r="C124" s="33">
        <v>1</v>
      </c>
      <c r="D124" s="33" t="s">
        <v>25</v>
      </c>
      <c r="E124" s="200">
        <v>23096407</v>
      </c>
      <c r="F124" s="199">
        <v>65418776.439999998</v>
      </c>
      <c r="G124" s="200">
        <v>213423</v>
      </c>
      <c r="H124" s="199">
        <v>448095.63</v>
      </c>
      <c r="I124" s="200">
        <v>-7000</v>
      </c>
      <c r="J124" s="199">
        <v>-17304</v>
      </c>
      <c r="K124" s="199">
        <v>2000</v>
      </c>
      <c r="L124" s="199">
        <v>16890.5</v>
      </c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">
      <c r="A125" s="33" t="s">
        <v>140</v>
      </c>
      <c r="B125" s="33" t="s">
        <v>113</v>
      </c>
      <c r="C125" s="33">
        <v>2</v>
      </c>
      <c r="D125" s="33" t="s">
        <v>26</v>
      </c>
      <c r="E125" s="200">
        <v>0</v>
      </c>
      <c r="F125" s="199">
        <v>0</v>
      </c>
      <c r="G125" s="200">
        <v>0</v>
      </c>
      <c r="H125" s="199">
        <v>0</v>
      </c>
      <c r="I125" s="200">
        <v>0</v>
      </c>
      <c r="J125" s="199">
        <v>0</v>
      </c>
      <c r="K125" s="199">
        <v>0</v>
      </c>
      <c r="L125" s="199">
        <v>0</v>
      </c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">
      <c r="A126" s="33" t="s">
        <v>140</v>
      </c>
      <c r="B126" s="33" t="s">
        <v>113</v>
      </c>
      <c r="C126" s="33">
        <v>3</v>
      </c>
      <c r="D126" s="33" t="s">
        <v>27</v>
      </c>
      <c r="E126" s="200">
        <v>53673045</v>
      </c>
      <c r="F126" s="199">
        <v>204754459</v>
      </c>
      <c r="G126" s="200">
        <v>-38317994</v>
      </c>
      <c r="H126" s="199">
        <v>-161443485</v>
      </c>
      <c r="I126" s="200">
        <v>0</v>
      </c>
      <c r="J126" s="199">
        <v>0</v>
      </c>
      <c r="K126" s="199">
        <v>0</v>
      </c>
      <c r="L126" s="199">
        <v>0</v>
      </c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">
      <c r="A127" s="33" t="s">
        <v>140</v>
      </c>
      <c r="B127" s="33" t="s">
        <v>113</v>
      </c>
      <c r="C127" s="33">
        <v>4</v>
      </c>
      <c r="D127" s="33" t="s">
        <v>28</v>
      </c>
      <c r="E127" s="200">
        <v>0</v>
      </c>
      <c r="F127" s="199">
        <v>0</v>
      </c>
      <c r="G127" s="200">
        <v>0</v>
      </c>
      <c r="H127" s="199">
        <v>0</v>
      </c>
      <c r="I127" s="200">
        <v>0</v>
      </c>
      <c r="J127" s="199">
        <v>0</v>
      </c>
      <c r="K127" s="199">
        <v>0</v>
      </c>
      <c r="L127" s="199">
        <v>0</v>
      </c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">
      <c r="A128" s="33" t="s">
        <v>140</v>
      </c>
      <c r="B128" s="33" t="s">
        <v>113</v>
      </c>
      <c r="C128" s="33">
        <v>5</v>
      </c>
      <c r="D128" s="33" t="s">
        <v>125</v>
      </c>
      <c r="E128" s="200">
        <v>0</v>
      </c>
      <c r="F128" s="199">
        <v>14447150</v>
      </c>
      <c r="G128" s="200">
        <v>0</v>
      </c>
      <c r="H128" s="199">
        <v>-10449416</v>
      </c>
      <c r="I128" s="200">
        <v>0</v>
      </c>
      <c r="J128" s="199">
        <v>-17523.09</v>
      </c>
      <c r="K128" s="199">
        <v>0</v>
      </c>
      <c r="L128" s="199">
        <v>0</v>
      </c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">
      <c r="A129" s="33" t="s">
        <v>140</v>
      </c>
      <c r="B129" s="33" t="s">
        <v>113</v>
      </c>
      <c r="C129" s="33">
        <v>6</v>
      </c>
      <c r="D129" s="33" t="s">
        <v>25</v>
      </c>
      <c r="E129" s="200">
        <v>-6914217</v>
      </c>
      <c r="F129" s="199">
        <v>-18314703.440000001</v>
      </c>
      <c r="G129" s="200">
        <v>-143367</v>
      </c>
      <c r="H129" s="199">
        <v>-748218.44</v>
      </c>
      <c r="I129" s="200">
        <v>2465</v>
      </c>
      <c r="J129" s="199">
        <v>2757.47</v>
      </c>
      <c r="K129" s="199">
        <v>0</v>
      </c>
      <c r="L129" s="199">
        <v>0</v>
      </c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">
      <c r="A130" s="33" t="s">
        <v>140</v>
      </c>
      <c r="B130" s="33" t="s">
        <v>113</v>
      </c>
      <c r="C130" s="33">
        <v>7</v>
      </c>
      <c r="D130" s="33" t="s">
        <v>26</v>
      </c>
      <c r="E130" s="200">
        <v>0</v>
      </c>
      <c r="F130" s="199">
        <v>0</v>
      </c>
      <c r="G130" s="200">
        <v>0</v>
      </c>
      <c r="H130" s="199">
        <v>0</v>
      </c>
      <c r="I130" s="200">
        <v>0</v>
      </c>
      <c r="J130" s="199">
        <v>0</v>
      </c>
      <c r="K130" s="199">
        <v>0</v>
      </c>
      <c r="L130" s="199">
        <v>0</v>
      </c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">
      <c r="A131" s="33" t="s">
        <v>140</v>
      </c>
      <c r="B131" s="33" t="s">
        <v>113</v>
      </c>
      <c r="C131" s="33">
        <v>8</v>
      </c>
      <c r="D131" s="33" t="s">
        <v>27</v>
      </c>
      <c r="E131" s="200">
        <v>-56862831</v>
      </c>
      <c r="F131" s="199">
        <v>-209309087</v>
      </c>
      <c r="G131" s="200">
        <v>38286561</v>
      </c>
      <c r="H131" s="199">
        <v>161527669</v>
      </c>
      <c r="I131" s="200">
        <v>-24727</v>
      </c>
      <c r="J131" s="199">
        <v>-64116</v>
      </c>
      <c r="K131" s="199">
        <v>303</v>
      </c>
      <c r="L131" s="199">
        <v>761</v>
      </c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">
      <c r="A132" s="33" t="s">
        <v>140</v>
      </c>
      <c r="B132" s="33" t="s">
        <v>113</v>
      </c>
      <c r="C132" s="33">
        <v>9</v>
      </c>
      <c r="D132" s="33" t="s">
        <v>28</v>
      </c>
      <c r="E132" s="200">
        <v>0</v>
      </c>
      <c r="F132" s="199">
        <v>0</v>
      </c>
      <c r="G132" s="200">
        <v>0</v>
      </c>
      <c r="H132" s="199">
        <v>0</v>
      </c>
      <c r="I132" s="200">
        <v>0</v>
      </c>
      <c r="J132" s="199">
        <v>0</v>
      </c>
      <c r="K132" s="199">
        <v>0</v>
      </c>
      <c r="L132" s="199">
        <v>0</v>
      </c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">
      <c r="A133" s="33" t="s">
        <v>140</v>
      </c>
      <c r="B133" s="33" t="s">
        <v>113</v>
      </c>
      <c r="C133" s="33">
        <v>10</v>
      </c>
      <c r="D133" s="33" t="s">
        <v>32</v>
      </c>
      <c r="E133" s="200">
        <v>0</v>
      </c>
      <c r="F133" s="199">
        <v>0</v>
      </c>
      <c r="G133" s="200">
        <v>0</v>
      </c>
      <c r="H133" s="199">
        <v>0</v>
      </c>
      <c r="I133" s="200">
        <v>0</v>
      </c>
      <c r="J133" s="199">
        <v>0</v>
      </c>
      <c r="K133" s="199">
        <v>0</v>
      </c>
      <c r="L133" s="199">
        <v>0</v>
      </c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">
      <c r="A134" s="33" t="s">
        <v>140</v>
      </c>
      <c r="B134" s="33" t="s">
        <v>113</v>
      </c>
      <c r="C134" s="33">
        <v>11</v>
      </c>
      <c r="D134" s="33" t="s">
        <v>35</v>
      </c>
      <c r="E134" s="200">
        <v>0</v>
      </c>
      <c r="F134" s="199">
        <v>0</v>
      </c>
      <c r="G134" s="200">
        <v>0</v>
      </c>
      <c r="H134" s="199">
        <v>0</v>
      </c>
      <c r="I134" s="200">
        <v>0</v>
      </c>
      <c r="J134" s="199">
        <v>0</v>
      </c>
      <c r="K134" s="199">
        <v>0</v>
      </c>
      <c r="L134" s="199">
        <v>0</v>
      </c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">
      <c r="A135" s="33" t="s">
        <v>140</v>
      </c>
      <c r="B135" s="33" t="s">
        <v>113</v>
      </c>
      <c r="C135" s="33">
        <v>12</v>
      </c>
      <c r="D135" s="33" t="s">
        <v>36</v>
      </c>
      <c r="E135" s="200">
        <v>0</v>
      </c>
      <c r="F135" s="199">
        <v>0</v>
      </c>
      <c r="G135" s="200">
        <v>0</v>
      </c>
      <c r="H135" s="199">
        <v>0</v>
      </c>
      <c r="I135" s="200">
        <v>0</v>
      </c>
      <c r="J135" s="199">
        <v>0</v>
      </c>
      <c r="K135" s="199">
        <v>0</v>
      </c>
      <c r="L135" s="199">
        <v>0</v>
      </c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">
      <c r="A136" s="33" t="s">
        <v>140</v>
      </c>
      <c r="B136" s="33" t="s">
        <v>113</v>
      </c>
      <c r="C136" s="33">
        <v>13</v>
      </c>
      <c r="D136" s="33" t="s">
        <v>39</v>
      </c>
      <c r="E136" s="200">
        <v>0</v>
      </c>
      <c r="F136" s="199">
        <v>0</v>
      </c>
      <c r="G136" s="200">
        <v>0</v>
      </c>
      <c r="H136" s="199">
        <v>0</v>
      </c>
      <c r="I136" s="200">
        <v>0</v>
      </c>
      <c r="J136" s="199">
        <v>0</v>
      </c>
      <c r="K136" s="199">
        <v>0</v>
      </c>
      <c r="L136" s="199">
        <v>0</v>
      </c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">
      <c r="A137" s="33" t="s">
        <v>140</v>
      </c>
      <c r="B137" s="33" t="s">
        <v>113</v>
      </c>
      <c r="C137" s="33">
        <v>14</v>
      </c>
      <c r="D137" s="33" t="s">
        <v>40</v>
      </c>
      <c r="E137" s="200">
        <v>0</v>
      </c>
      <c r="F137" s="199">
        <v>0</v>
      </c>
      <c r="G137" s="200">
        <v>0</v>
      </c>
      <c r="H137" s="199">
        <v>0</v>
      </c>
      <c r="I137" s="200">
        <v>0</v>
      </c>
      <c r="J137" s="199">
        <v>0</v>
      </c>
      <c r="K137" s="199">
        <v>0</v>
      </c>
      <c r="L137" s="199">
        <v>0</v>
      </c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">
      <c r="A138" s="33" t="s">
        <v>140</v>
      </c>
      <c r="B138" s="33" t="s">
        <v>113</v>
      </c>
      <c r="C138" s="33">
        <v>15</v>
      </c>
      <c r="D138" s="33" t="s">
        <v>41</v>
      </c>
      <c r="E138" s="200">
        <v>0</v>
      </c>
      <c r="F138" s="199">
        <v>0</v>
      </c>
      <c r="G138" s="200">
        <v>0</v>
      </c>
      <c r="H138" s="199">
        <v>0</v>
      </c>
      <c r="I138" s="200">
        <v>0</v>
      </c>
      <c r="J138" s="199">
        <v>0</v>
      </c>
      <c r="K138" s="199">
        <v>0</v>
      </c>
      <c r="L138" s="199">
        <v>0</v>
      </c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">
      <c r="A139" s="33" t="s">
        <v>140</v>
      </c>
      <c r="B139" s="33" t="s">
        <v>113</v>
      </c>
      <c r="C139" s="33">
        <v>16</v>
      </c>
      <c r="D139" s="33" t="s">
        <v>42</v>
      </c>
      <c r="E139" s="200">
        <v>0</v>
      </c>
      <c r="F139" s="199">
        <v>0</v>
      </c>
      <c r="G139" s="200">
        <v>0</v>
      </c>
      <c r="H139" s="199">
        <v>0</v>
      </c>
      <c r="I139" s="200">
        <v>0</v>
      </c>
      <c r="J139" s="199">
        <v>0</v>
      </c>
      <c r="K139" s="199">
        <v>0</v>
      </c>
      <c r="L139" s="199">
        <v>0</v>
      </c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">
      <c r="A140" s="33" t="s">
        <v>140</v>
      </c>
      <c r="B140" s="33" t="s">
        <v>113</v>
      </c>
      <c r="C140" s="33">
        <v>17</v>
      </c>
      <c r="D140" s="33" t="s">
        <v>126</v>
      </c>
      <c r="E140" s="200">
        <v>0</v>
      </c>
      <c r="F140" s="199">
        <v>0</v>
      </c>
      <c r="G140" s="200">
        <v>0</v>
      </c>
      <c r="H140" s="199">
        <v>0</v>
      </c>
      <c r="I140" s="200">
        <v>0</v>
      </c>
      <c r="J140" s="199">
        <v>0</v>
      </c>
      <c r="K140" s="199">
        <v>0</v>
      </c>
      <c r="L140" s="199">
        <v>0</v>
      </c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">
      <c r="A141" s="33" t="s">
        <v>140</v>
      </c>
      <c r="B141" s="33" t="s">
        <v>113</v>
      </c>
      <c r="C141" s="33">
        <v>18</v>
      </c>
      <c r="D141" s="33" t="s">
        <v>127</v>
      </c>
      <c r="E141" s="200">
        <v>-15713032</v>
      </c>
      <c r="F141" s="199">
        <v>-41116357.149999999</v>
      </c>
      <c r="G141" s="200">
        <v>13877</v>
      </c>
      <c r="H141" s="199">
        <v>234820.85</v>
      </c>
      <c r="I141" s="200">
        <v>-1183</v>
      </c>
      <c r="J141" s="199">
        <v>-3266.96</v>
      </c>
      <c r="K141" s="199">
        <v>-1930</v>
      </c>
      <c r="L141" s="199">
        <v>-5280.72</v>
      </c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">
      <c r="A142" s="33" t="s">
        <v>140</v>
      </c>
      <c r="B142" s="33" t="s">
        <v>113</v>
      </c>
      <c r="C142" s="33">
        <v>19</v>
      </c>
      <c r="D142" s="33" t="s">
        <v>47</v>
      </c>
      <c r="E142" s="200">
        <v>0</v>
      </c>
      <c r="F142" s="199">
        <v>0</v>
      </c>
      <c r="G142" s="200">
        <v>0</v>
      </c>
      <c r="H142" s="199">
        <v>0</v>
      </c>
      <c r="I142" s="200">
        <v>0</v>
      </c>
      <c r="J142" s="199">
        <v>0</v>
      </c>
      <c r="K142" s="199">
        <v>0</v>
      </c>
      <c r="L142" s="199">
        <v>0</v>
      </c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">
      <c r="A143" s="33" t="s">
        <v>140</v>
      </c>
      <c r="B143" s="33" t="s">
        <v>113</v>
      </c>
      <c r="C143" s="33">
        <v>20</v>
      </c>
      <c r="D143" s="33" t="s">
        <v>128</v>
      </c>
      <c r="E143" s="200">
        <v>0</v>
      </c>
      <c r="F143" s="199">
        <v>0</v>
      </c>
      <c r="G143" s="200">
        <v>0</v>
      </c>
      <c r="H143" s="199">
        <v>0</v>
      </c>
      <c r="I143" s="200">
        <v>0</v>
      </c>
      <c r="J143" s="199">
        <v>0</v>
      </c>
      <c r="K143" s="199">
        <v>0</v>
      </c>
      <c r="L143" s="199">
        <v>0</v>
      </c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">
      <c r="A144" s="33" t="s">
        <v>140</v>
      </c>
      <c r="B144" s="33" t="s">
        <v>113</v>
      </c>
      <c r="C144" s="33">
        <v>21</v>
      </c>
      <c r="D144" s="33" t="s">
        <v>129</v>
      </c>
      <c r="E144" s="200">
        <v>0</v>
      </c>
      <c r="F144" s="199">
        <v>0</v>
      </c>
      <c r="G144" s="200">
        <v>0</v>
      </c>
      <c r="H144" s="199">
        <v>0</v>
      </c>
      <c r="I144" s="200">
        <v>0</v>
      </c>
      <c r="J144" s="199">
        <v>0</v>
      </c>
      <c r="K144" s="199">
        <v>0</v>
      </c>
      <c r="L144" s="199">
        <v>0</v>
      </c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">
      <c r="A145" s="33" t="s">
        <v>140</v>
      </c>
      <c r="B145" s="33" t="s">
        <v>113</v>
      </c>
      <c r="C145" s="33">
        <v>22</v>
      </c>
      <c r="D145" s="33" t="s">
        <v>130</v>
      </c>
      <c r="E145" s="200">
        <v>2720628</v>
      </c>
      <c r="F145" s="199">
        <v>6725392.4160000002</v>
      </c>
      <c r="G145" s="200">
        <v>-52500</v>
      </c>
      <c r="H145" s="199">
        <v>-129780</v>
      </c>
      <c r="I145" s="200">
        <v>30445</v>
      </c>
      <c r="J145" s="199">
        <v>75260.039999999994</v>
      </c>
      <c r="K145" s="199">
        <v>-373</v>
      </c>
      <c r="L145" s="199">
        <v>-922.05600000000004</v>
      </c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">
      <c r="A146" s="33" t="s">
        <v>140</v>
      </c>
      <c r="B146" s="33" t="s">
        <v>113</v>
      </c>
      <c r="C146" s="33">
        <v>23</v>
      </c>
      <c r="D146" s="33" t="s">
        <v>131</v>
      </c>
      <c r="E146" s="200">
        <v>0</v>
      </c>
      <c r="F146" s="199">
        <v>0</v>
      </c>
      <c r="G146" s="200">
        <v>0</v>
      </c>
      <c r="H146" s="199">
        <v>0</v>
      </c>
      <c r="I146" s="200">
        <v>0</v>
      </c>
      <c r="J146" s="199">
        <v>0</v>
      </c>
      <c r="K146" s="199">
        <v>732012</v>
      </c>
      <c r="L146" s="199">
        <v>1809533.6640000001</v>
      </c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">
      <c r="A147" s="33" t="s">
        <v>140</v>
      </c>
      <c r="B147" s="33" t="s">
        <v>113</v>
      </c>
      <c r="C147" s="33">
        <v>24</v>
      </c>
      <c r="D147" s="33" t="s">
        <v>55</v>
      </c>
      <c r="E147" s="200">
        <v>-29851311</v>
      </c>
      <c r="F147" s="199">
        <v>-1140474.8999999999</v>
      </c>
      <c r="G147" s="200">
        <v>-1649603</v>
      </c>
      <c r="H147" s="199">
        <v>-92298.69</v>
      </c>
      <c r="I147" s="200">
        <v>4524</v>
      </c>
      <c r="J147" s="199">
        <v>5834.12</v>
      </c>
      <c r="K147" s="199">
        <v>-6508</v>
      </c>
      <c r="L147" s="199">
        <v>-412.17</v>
      </c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">
      <c r="A148" s="33" t="s">
        <v>140</v>
      </c>
      <c r="B148" s="33" t="s">
        <v>113</v>
      </c>
      <c r="C148" s="33">
        <v>25</v>
      </c>
      <c r="D148" s="33" t="s">
        <v>56</v>
      </c>
      <c r="E148" s="200">
        <v>0</v>
      </c>
      <c r="F148" s="199">
        <v>-10481852.52</v>
      </c>
      <c r="G148" s="200">
        <v>0</v>
      </c>
      <c r="H148" s="199">
        <v>86576.37</v>
      </c>
      <c r="I148" s="200">
        <v>0</v>
      </c>
      <c r="J148" s="199">
        <v>0</v>
      </c>
      <c r="K148" s="199">
        <v>0</v>
      </c>
      <c r="L148" s="199">
        <v>0</v>
      </c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">
      <c r="A149" s="33" t="s">
        <v>140</v>
      </c>
      <c r="B149" s="33" t="s">
        <v>113</v>
      </c>
      <c r="C149" s="33">
        <v>26</v>
      </c>
      <c r="D149" s="33" t="s">
        <v>132</v>
      </c>
      <c r="E149" s="200">
        <v>0</v>
      </c>
      <c r="F149" s="199">
        <v>0</v>
      </c>
      <c r="G149" s="200">
        <v>0</v>
      </c>
      <c r="H149" s="199">
        <v>0</v>
      </c>
      <c r="I149" s="200">
        <v>0</v>
      </c>
      <c r="J149" s="199">
        <v>0</v>
      </c>
      <c r="K149" s="199">
        <v>0</v>
      </c>
      <c r="L149" s="199">
        <v>0</v>
      </c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">
      <c r="A150" s="33" t="s">
        <v>140</v>
      </c>
      <c r="B150" s="33" t="s">
        <v>113</v>
      </c>
      <c r="C150" s="33">
        <v>27</v>
      </c>
      <c r="D150" s="33" t="s">
        <v>133</v>
      </c>
      <c r="E150" s="200">
        <v>0</v>
      </c>
      <c r="F150" s="199">
        <v>0</v>
      </c>
      <c r="G150" s="200">
        <v>0</v>
      </c>
      <c r="H150" s="199">
        <v>0</v>
      </c>
      <c r="I150" s="200">
        <v>0</v>
      </c>
      <c r="J150" s="199">
        <v>0</v>
      </c>
      <c r="K150" s="199">
        <v>0</v>
      </c>
      <c r="L150" s="199">
        <v>0</v>
      </c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">
      <c r="A151" s="33" t="s">
        <v>140</v>
      </c>
      <c r="B151" s="33" t="s">
        <v>113</v>
      </c>
      <c r="C151" s="33">
        <v>28</v>
      </c>
      <c r="D151" s="33" t="s">
        <v>134</v>
      </c>
      <c r="E151" s="200">
        <v>0</v>
      </c>
      <c r="F151" s="199">
        <v>0</v>
      </c>
      <c r="G151" s="200">
        <v>0</v>
      </c>
      <c r="H151" s="199">
        <v>0</v>
      </c>
      <c r="I151" s="200">
        <v>0</v>
      </c>
      <c r="J151" s="199">
        <v>0</v>
      </c>
      <c r="K151" s="199">
        <v>0</v>
      </c>
      <c r="L151" s="199">
        <v>0</v>
      </c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">
      <c r="A152" s="33" t="s">
        <v>140</v>
      </c>
      <c r="B152" s="33" t="s">
        <v>113</v>
      </c>
      <c r="C152" s="33">
        <v>29</v>
      </c>
      <c r="D152" s="33" t="s">
        <v>135</v>
      </c>
      <c r="E152" s="200">
        <v>0</v>
      </c>
      <c r="F152" s="199">
        <v>0</v>
      </c>
      <c r="G152" s="200">
        <v>0</v>
      </c>
      <c r="H152" s="199">
        <v>0</v>
      </c>
      <c r="I152" s="200">
        <v>0</v>
      </c>
      <c r="J152" s="199">
        <v>0</v>
      </c>
      <c r="K152" s="199">
        <v>0</v>
      </c>
      <c r="L152" s="199">
        <v>0</v>
      </c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">
      <c r="A153" s="33" t="s">
        <v>140</v>
      </c>
      <c r="B153" s="33" t="s">
        <v>113</v>
      </c>
      <c r="C153" s="33">
        <v>30</v>
      </c>
      <c r="D153" s="33" t="s">
        <v>136</v>
      </c>
      <c r="E153" s="200">
        <v>0</v>
      </c>
      <c r="F153" s="199">
        <v>0</v>
      </c>
      <c r="G153" s="200">
        <v>0</v>
      </c>
      <c r="H153" s="199">
        <v>0</v>
      </c>
      <c r="I153" s="200">
        <v>0</v>
      </c>
      <c r="J153" s="199">
        <v>0</v>
      </c>
      <c r="K153" s="199">
        <v>0</v>
      </c>
      <c r="L153" s="199">
        <v>0</v>
      </c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">
      <c r="A154" s="33" t="s">
        <v>140</v>
      </c>
      <c r="B154" s="33" t="s">
        <v>113</v>
      </c>
      <c r="C154" s="33">
        <v>31</v>
      </c>
      <c r="D154" s="33" t="s">
        <v>137</v>
      </c>
      <c r="E154" s="200">
        <v>0</v>
      </c>
      <c r="F154" s="199">
        <v>0</v>
      </c>
      <c r="G154" s="200">
        <v>0</v>
      </c>
      <c r="H154" s="199">
        <v>0</v>
      </c>
      <c r="I154" s="200">
        <v>0</v>
      </c>
      <c r="J154" s="199">
        <v>0</v>
      </c>
      <c r="K154" s="199">
        <v>0</v>
      </c>
      <c r="L154" s="199">
        <v>0</v>
      </c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">
      <c r="A155" s="33" t="s">
        <v>140</v>
      </c>
      <c r="B155" s="33" t="s">
        <v>113</v>
      </c>
      <c r="C155" s="33">
        <v>32</v>
      </c>
      <c r="D155" s="33" t="s">
        <v>70</v>
      </c>
      <c r="E155" s="200">
        <v>0</v>
      </c>
      <c r="F155" s="199">
        <v>0</v>
      </c>
      <c r="G155" s="200">
        <v>0</v>
      </c>
      <c r="H155" s="199">
        <v>0</v>
      </c>
      <c r="I155" s="200">
        <v>0</v>
      </c>
      <c r="J155" s="199">
        <v>0</v>
      </c>
      <c r="K155" s="199">
        <v>0</v>
      </c>
      <c r="L155" s="199">
        <v>0</v>
      </c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">
      <c r="A156" s="33" t="s">
        <v>140</v>
      </c>
      <c r="B156" s="33" t="s">
        <v>113</v>
      </c>
      <c r="C156" s="33">
        <v>33</v>
      </c>
      <c r="D156" s="33" t="s">
        <v>71</v>
      </c>
      <c r="E156" s="200">
        <v>0</v>
      </c>
      <c r="F156" s="199">
        <v>0</v>
      </c>
      <c r="G156" s="200">
        <v>0</v>
      </c>
      <c r="H156" s="199">
        <v>0</v>
      </c>
      <c r="I156" s="200">
        <v>0</v>
      </c>
      <c r="J156" s="199">
        <v>0</v>
      </c>
      <c r="K156" s="199">
        <v>0</v>
      </c>
      <c r="L156" s="199">
        <v>0</v>
      </c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">
      <c r="A157" s="33" t="s">
        <v>140</v>
      </c>
      <c r="B157" s="33" t="s">
        <v>113</v>
      </c>
      <c r="C157" s="33">
        <v>34</v>
      </c>
      <c r="D157" s="33" t="s">
        <v>72</v>
      </c>
      <c r="E157" s="200">
        <v>0</v>
      </c>
      <c r="F157" s="199">
        <v>0</v>
      </c>
      <c r="G157" s="200">
        <v>0</v>
      </c>
      <c r="H157" s="199">
        <v>0</v>
      </c>
      <c r="I157" s="200">
        <v>0</v>
      </c>
      <c r="J157" s="199">
        <v>0</v>
      </c>
      <c r="K157" s="199">
        <v>0</v>
      </c>
      <c r="L157" s="199">
        <v>0</v>
      </c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">
      <c r="A158" s="33" t="s">
        <v>140</v>
      </c>
      <c r="B158" s="33" t="s">
        <v>113</v>
      </c>
      <c r="C158" s="33">
        <v>35</v>
      </c>
      <c r="D158" s="33" t="s">
        <v>73</v>
      </c>
      <c r="E158" s="200">
        <v>0</v>
      </c>
      <c r="F158" s="199">
        <v>0</v>
      </c>
      <c r="G158" s="200">
        <v>0</v>
      </c>
      <c r="H158" s="199">
        <v>0</v>
      </c>
      <c r="I158" s="200">
        <v>0</v>
      </c>
      <c r="J158" s="199">
        <v>0</v>
      </c>
      <c r="K158" s="199">
        <v>0</v>
      </c>
      <c r="L158" s="199">
        <v>0</v>
      </c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">
      <c r="A159" s="33" t="s">
        <v>140</v>
      </c>
      <c r="B159" s="33" t="s">
        <v>113</v>
      </c>
      <c r="C159" s="33">
        <v>36</v>
      </c>
      <c r="D159" s="33" t="s">
        <v>74</v>
      </c>
      <c r="E159" s="200">
        <v>0</v>
      </c>
      <c r="F159" s="199">
        <v>0</v>
      </c>
      <c r="G159" s="200">
        <v>0</v>
      </c>
      <c r="H159" s="199">
        <v>0</v>
      </c>
      <c r="I159" s="200">
        <v>0</v>
      </c>
      <c r="J159" s="199">
        <v>0</v>
      </c>
      <c r="K159" s="199">
        <v>0</v>
      </c>
      <c r="L159" s="199">
        <v>0</v>
      </c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">
      <c r="A160" s="33" t="s">
        <v>140</v>
      </c>
      <c r="B160" s="33" t="s">
        <v>113</v>
      </c>
      <c r="C160" s="33">
        <v>37</v>
      </c>
      <c r="D160" s="33" t="s">
        <v>75</v>
      </c>
      <c r="E160" s="200">
        <v>0</v>
      </c>
      <c r="F160" s="199">
        <v>0</v>
      </c>
      <c r="G160" s="200">
        <v>0</v>
      </c>
      <c r="H160" s="199">
        <v>0</v>
      </c>
      <c r="I160" s="200">
        <v>0</v>
      </c>
      <c r="J160" s="199">
        <v>0</v>
      </c>
      <c r="K160" s="199">
        <v>0</v>
      </c>
      <c r="L160" s="199">
        <v>0</v>
      </c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">
      <c r="A161" s="33" t="s">
        <v>140</v>
      </c>
      <c r="B161" s="33" t="s">
        <v>113</v>
      </c>
      <c r="C161" s="33">
        <v>38</v>
      </c>
      <c r="D161" s="33" t="s">
        <v>76</v>
      </c>
      <c r="E161" s="200">
        <v>0</v>
      </c>
      <c r="F161" s="199">
        <v>0</v>
      </c>
      <c r="G161" s="200">
        <v>0</v>
      </c>
      <c r="H161" s="199">
        <v>0</v>
      </c>
      <c r="I161" s="200">
        <v>0</v>
      </c>
      <c r="J161" s="199">
        <v>0</v>
      </c>
      <c r="K161" s="199">
        <v>0</v>
      </c>
      <c r="L161" s="199">
        <v>0</v>
      </c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">
      <c r="A162" s="33" t="s">
        <v>140</v>
      </c>
      <c r="B162" s="33" t="s">
        <v>113</v>
      </c>
      <c r="C162" s="33">
        <v>39</v>
      </c>
      <c r="D162" s="33" t="s">
        <v>77</v>
      </c>
      <c r="E162" s="200">
        <v>0</v>
      </c>
      <c r="F162" s="199">
        <v>0</v>
      </c>
      <c r="G162" s="200">
        <v>0</v>
      </c>
      <c r="H162" s="199">
        <v>0</v>
      </c>
      <c r="I162" s="200">
        <v>0</v>
      </c>
      <c r="J162" s="199">
        <v>0</v>
      </c>
      <c r="K162" s="199">
        <v>0</v>
      </c>
      <c r="L162" s="199">
        <v>0</v>
      </c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">
      <c r="A163" s="33" t="s">
        <v>140</v>
      </c>
      <c r="B163" s="33" t="s">
        <v>113</v>
      </c>
      <c r="C163" s="33">
        <v>40</v>
      </c>
      <c r="D163" s="33" t="s">
        <v>78</v>
      </c>
      <c r="E163" s="200">
        <v>0</v>
      </c>
      <c r="F163" s="199">
        <v>0</v>
      </c>
      <c r="G163" s="200">
        <v>0</v>
      </c>
      <c r="H163" s="199">
        <v>0</v>
      </c>
      <c r="I163" s="200">
        <v>0</v>
      </c>
      <c r="J163" s="199">
        <v>0</v>
      </c>
      <c r="K163" s="199">
        <v>0</v>
      </c>
      <c r="L163" s="199">
        <v>0</v>
      </c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">
      <c r="A164" s="33" t="s">
        <v>140</v>
      </c>
      <c r="B164" s="33" t="s">
        <v>141</v>
      </c>
      <c r="C164" s="33">
        <v>1</v>
      </c>
      <c r="D164" s="33" t="s">
        <v>25</v>
      </c>
      <c r="E164" s="200">
        <v>86078748</v>
      </c>
      <c r="F164" s="199">
        <v>202360835.04000002</v>
      </c>
      <c r="G164" s="200">
        <v>673291</v>
      </c>
      <c r="H164" s="199">
        <v>-233132.46</v>
      </c>
      <c r="I164" s="200">
        <v>-472241</v>
      </c>
      <c r="J164" s="199">
        <v>-1045546.73</v>
      </c>
      <c r="K164" s="199">
        <v>0</v>
      </c>
      <c r="L164" s="199">
        <v>-15522.9</v>
      </c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">
      <c r="A165" s="33" t="s">
        <v>140</v>
      </c>
      <c r="B165" s="33" t="s">
        <v>141</v>
      </c>
      <c r="C165" s="33">
        <v>2</v>
      </c>
      <c r="D165" s="33" t="s">
        <v>26</v>
      </c>
      <c r="E165" s="200">
        <v>0</v>
      </c>
      <c r="F165" s="199">
        <v>0</v>
      </c>
      <c r="G165" s="200">
        <v>0</v>
      </c>
      <c r="H165" s="199">
        <v>0</v>
      </c>
      <c r="I165" s="200">
        <v>0</v>
      </c>
      <c r="J165" s="199">
        <v>0</v>
      </c>
      <c r="K165" s="199">
        <v>0</v>
      </c>
      <c r="L165" s="199">
        <v>0</v>
      </c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">
      <c r="A166" s="33" t="s">
        <v>140</v>
      </c>
      <c r="B166" s="33" t="s">
        <v>141</v>
      </c>
      <c r="C166" s="33">
        <v>3</v>
      </c>
      <c r="D166" s="33" t="s">
        <v>27</v>
      </c>
      <c r="E166" s="200">
        <v>41011971</v>
      </c>
      <c r="F166" s="199">
        <v>97311530</v>
      </c>
      <c r="G166" s="200">
        <v>-21241576</v>
      </c>
      <c r="H166" s="199">
        <v>-50373718</v>
      </c>
      <c r="I166" s="200">
        <v>-39502</v>
      </c>
      <c r="J166" s="199">
        <v>-86115</v>
      </c>
      <c r="K166" s="199">
        <v>-3018</v>
      </c>
      <c r="L166" s="199">
        <v>-6797</v>
      </c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">
      <c r="A167" s="33" t="s">
        <v>140</v>
      </c>
      <c r="B167" s="33" t="s">
        <v>141</v>
      </c>
      <c r="C167" s="33">
        <v>4</v>
      </c>
      <c r="D167" s="33" t="s">
        <v>28</v>
      </c>
      <c r="E167" s="200">
        <v>0</v>
      </c>
      <c r="F167" s="199">
        <v>0</v>
      </c>
      <c r="G167" s="200">
        <v>0</v>
      </c>
      <c r="H167" s="199">
        <v>0</v>
      </c>
      <c r="I167" s="200">
        <v>0</v>
      </c>
      <c r="J167" s="199">
        <v>0</v>
      </c>
      <c r="K167" s="199">
        <v>0</v>
      </c>
      <c r="L167" s="199">
        <v>0</v>
      </c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">
      <c r="A168" s="33" t="s">
        <v>140</v>
      </c>
      <c r="B168" s="33" t="s">
        <v>141</v>
      </c>
      <c r="C168" s="33">
        <v>5</v>
      </c>
      <c r="D168" s="33" t="s">
        <v>125</v>
      </c>
      <c r="E168" s="200">
        <v>0</v>
      </c>
      <c r="F168" s="199">
        <v>3301469.18</v>
      </c>
      <c r="G168" s="200">
        <v>0</v>
      </c>
      <c r="H168" s="199">
        <v>-351055</v>
      </c>
      <c r="I168" s="200">
        <v>0</v>
      </c>
      <c r="J168" s="199">
        <v>1711</v>
      </c>
      <c r="K168" s="199">
        <v>0</v>
      </c>
      <c r="L168" s="199">
        <v>0</v>
      </c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">
      <c r="A169" s="33" t="s">
        <v>140</v>
      </c>
      <c r="B169" s="33" t="s">
        <v>141</v>
      </c>
      <c r="C169" s="33">
        <v>6</v>
      </c>
      <c r="D169" s="33" t="s">
        <v>25</v>
      </c>
      <c r="E169" s="200">
        <v>-95111952</v>
      </c>
      <c r="F169" s="199">
        <v>-225959083.73999998</v>
      </c>
      <c r="G169" s="200">
        <v>-7081861</v>
      </c>
      <c r="H169" s="199">
        <v>-15854578.98</v>
      </c>
      <c r="I169" s="200">
        <v>7139069</v>
      </c>
      <c r="J169" s="199">
        <v>16453478.619999999</v>
      </c>
      <c r="K169" s="199">
        <v>-1177405</v>
      </c>
      <c r="L169" s="199">
        <v>-2634301.37</v>
      </c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">
      <c r="A170" s="33" t="s">
        <v>140</v>
      </c>
      <c r="B170" s="33" t="s">
        <v>141</v>
      </c>
      <c r="C170" s="33">
        <v>7</v>
      </c>
      <c r="D170" s="33" t="s">
        <v>26</v>
      </c>
      <c r="E170" s="200">
        <v>0</v>
      </c>
      <c r="F170" s="199">
        <v>0</v>
      </c>
      <c r="G170" s="200">
        <v>0</v>
      </c>
      <c r="H170" s="199">
        <v>0</v>
      </c>
      <c r="I170" s="200">
        <v>0</v>
      </c>
      <c r="J170" s="199">
        <v>0</v>
      </c>
      <c r="K170" s="199">
        <v>0</v>
      </c>
      <c r="L170" s="199">
        <v>0</v>
      </c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">
      <c r="A171" s="33" t="s">
        <v>140</v>
      </c>
      <c r="B171" s="33" t="s">
        <v>141</v>
      </c>
      <c r="C171" s="33">
        <v>8</v>
      </c>
      <c r="D171" s="33" t="s">
        <v>27</v>
      </c>
      <c r="E171" s="200">
        <v>-32019356</v>
      </c>
      <c r="F171" s="199">
        <v>-76398505</v>
      </c>
      <c r="G171" s="200">
        <v>20524645</v>
      </c>
      <c r="H171" s="199">
        <v>49151111</v>
      </c>
      <c r="I171" s="200">
        <v>20324</v>
      </c>
      <c r="J171" s="199">
        <v>49834</v>
      </c>
      <c r="K171" s="199">
        <v>3997</v>
      </c>
      <c r="L171" s="199">
        <v>8698</v>
      </c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">
      <c r="A172" s="33" t="s">
        <v>140</v>
      </c>
      <c r="B172" s="33" t="s">
        <v>141</v>
      </c>
      <c r="C172" s="33">
        <v>9</v>
      </c>
      <c r="D172" s="33" t="s">
        <v>28</v>
      </c>
      <c r="E172" s="200">
        <v>0</v>
      </c>
      <c r="F172" s="199">
        <v>0</v>
      </c>
      <c r="G172" s="200">
        <v>0</v>
      </c>
      <c r="H172" s="199">
        <v>0</v>
      </c>
      <c r="I172" s="200">
        <v>0</v>
      </c>
      <c r="J172" s="199">
        <v>0</v>
      </c>
      <c r="K172" s="199">
        <v>0</v>
      </c>
      <c r="L172" s="199">
        <v>0</v>
      </c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">
      <c r="A173" s="33" t="s">
        <v>140</v>
      </c>
      <c r="B173" s="33" t="s">
        <v>141</v>
      </c>
      <c r="C173" s="33">
        <v>10</v>
      </c>
      <c r="D173" s="33" t="s">
        <v>32</v>
      </c>
      <c r="E173" s="200">
        <v>808041</v>
      </c>
      <c r="F173" s="199">
        <v>1876271.202</v>
      </c>
      <c r="G173" s="200">
        <v>3138</v>
      </c>
      <c r="H173" s="199">
        <v>7286.4359999999997</v>
      </c>
      <c r="I173" s="200">
        <v>361</v>
      </c>
      <c r="J173" s="199">
        <v>838.24199999999996</v>
      </c>
      <c r="K173" s="199">
        <v>0</v>
      </c>
      <c r="L173" s="199">
        <v>0</v>
      </c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">
      <c r="A174" s="33" t="s">
        <v>140</v>
      </c>
      <c r="B174" s="33" t="s">
        <v>141</v>
      </c>
      <c r="C174" s="33">
        <v>11</v>
      </c>
      <c r="D174" s="33" t="s">
        <v>35</v>
      </c>
      <c r="E174" s="200">
        <v>156898</v>
      </c>
      <c r="F174" s="199">
        <v>360096.24</v>
      </c>
      <c r="G174" s="200">
        <v>0</v>
      </c>
      <c r="H174" s="199">
        <v>0</v>
      </c>
      <c r="I174" s="200">
        <v>0</v>
      </c>
      <c r="J174" s="199">
        <v>0</v>
      </c>
      <c r="K174" s="199">
        <v>0</v>
      </c>
      <c r="L174" s="199">
        <v>0</v>
      </c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">
      <c r="A175" s="33" t="s">
        <v>140</v>
      </c>
      <c r="B175" s="33" t="s">
        <v>141</v>
      </c>
      <c r="C175" s="33">
        <v>12</v>
      </c>
      <c r="D175" s="33" t="s">
        <v>36</v>
      </c>
      <c r="E175" s="200">
        <v>-108664</v>
      </c>
      <c r="F175" s="199">
        <v>-275999.67</v>
      </c>
      <c r="G175" s="200">
        <v>0</v>
      </c>
      <c r="H175" s="199">
        <v>0</v>
      </c>
      <c r="I175" s="200">
        <v>0</v>
      </c>
      <c r="J175" s="199">
        <v>0</v>
      </c>
      <c r="K175" s="199">
        <v>0</v>
      </c>
      <c r="L175" s="199">
        <v>0</v>
      </c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">
      <c r="A176" s="33" t="s">
        <v>140</v>
      </c>
      <c r="B176" s="33" t="s">
        <v>141</v>
      </c>
      <c r="C176" s="33">
        <v>13</v>
      </c>
      <c r="D176" s="33" t="s">
        <v>39</v>
      </c>
      <c r="E176" s="200">
        <v>2513996</v>
      </c>
      <c r="F176" s="199">
        <v>5837498.7120000003</v>
      </c>
      <c r="G176" s="200">
        <v>-2793778</v>
      </c>
      <c r="H176" s="199">
        <v>-6487152.5159999998</v>
      </c>
      <c r="I176" s="200">
        <v>-19251</v>
      </c>
      <c r="J176" s="199">
        <v>-44700.822</v>
      </c>
      <c r="K176" s="199">
        <v>55135</v>
      </c>
      <c r="L176" s="199">
        <v>128023.47</v>
      </c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">
      <c r="A177" s="33" t="s">
        <v>140</v>
      </c>
      <c r="B177" s="33" t="s">
        <v>141</v>
      </c>
      <c r="C177" s="33">
        <v>14</v>
      </c>
      <c r="D177" s="33" t="s">
        <v>40</v>
      </c>
      <c r="E177" s="200">
        <v>0</v>
      </c>
      <c r="F177" s="199">
        <v>0</v>
      </c>
      <c r="G177" s="200">
        <v>-69488</v>
      </c>
      <c r="H177" s="199">
        <v>-167230.47</v>
      </c>
      <c r="I177" s="200">
        <v>-13756</v>
      </c>
      <c r="J177" s="199">
        <v>-34162.620000000003</v>
      </c>
      <c r="K177" s="199">
        <v>-300</v>
      </c>
      <c r="L177" s="199">
        <v>-692.73</v>
      </c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">
      <c r="A178" s="33" t="s">
        <v>140</v>
      </c>
      <c r="B178" s="33" t="s">
        <v>141</v>
      </c>
      <c r="C178" s="33">
        <v>15</v>
      </c>
      <c r="D178" s="33" t="s">
        <v>41</v>
      </c>
      <c r="E178" s="200">
        <v>0</v>
      </c>
      <c r="F178" s="199">
        <v>0</v>
      </c>
      <c r="G178" s="200">
        <v>29637</v>
      </c>
      <c r="H178" s="199">
        <v>73280.08</v>
      </c>
      <c r="I178" s="200">
        <v>30898</v>
      </c>
      <c r="J178" s="199">
        <v>61726.91</v>
      </c>
      <c r="K178" s="199">
        <v>0</v>
      </c>
      <c r="L178" s="199">
        <v>0</v>
      </c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">
      <c r="A179" s="33" t="s">
        <v>140</v>
      </c>
      <c r="B179" s="33" t="s">
        <v>141</v>
      </c>
      <c r="C179" s="33">
        <v>16</v>
      </c>
      <c r="D179" s="33" t="s">
        <v>42</v>
      </c>
      <c r="E179" s="200">
        <v>0</v>
      </c>
      <c r="F179" s="199">
        <v>0</v>
      </c>
      <c r="G179" s="200">
        <v>0</v>
      </c>
      <c r="H179" s="199">
        <v>0</v>
      </c>
      <c r="I179" s="200">
        <v>0</v>
      </c>
      <c r="J179" s="199">
        <v>0</v>
      </c>
      <c r="K179" s="199">
        <v>0</v>
      </c>
      <c r="L179" s="199">
        <v>0</v>
      </c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">
      <c r="A180" s="33" t="s">
        <v>140</v>
      </c>
      <c r="B180" s="33" t="s">
        <v>141</v>
      </c>
      <c r="C180" s="33">
        <v>17</v>
      </c>
      <c r="D180" s="33" t="s">
        <v>126</v>
      </c>
      <c r="E180" s="200">
        <v>4906</v>
      </c>
      <c r="F180" s="199">
        <v>11391.73</v>
      </c>
      <c r="G180" s="200">
        <v>516982</v>
      </c>
      <c r="H180" s="199">
        <v>1200432.2</v>
      </c>
      <c r="I180" s="200">
        <v>0</v>
      </c>
      <c r="J180" s="199">
        <v>0</v>
      </c>
      <c r="K180" s="199">
        <v>0</v>
      </c>
      <c r="L180" s="199">
        <v>0</v>
      </c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">
      <c r="A181" s="33" t="s">
        <v>140</v>
      </c>
      <c r="B181" s="33" t="s">
        <v>141</v>
      </c>
      <c r="C181" s="33">
        <v>18</v>
      </c>
      <c r="D181" s="33" t="s">
        <v>127</v>
      </c>
      <c r="E181" s="200">
        <v>-461755</v>
      </c>
      <c r="F181" s="199">
        <v>-942186.99</v>
      </c>
      <c r="G181" s="200">
        <v>-181659</v>
      </c>
      <c r="H181" s="199">
        <v>-455933.31</v>
      </c>
      <c r="I181" s="200">
        <v>-1712</v>
      </c>
      <c r="J181" s="199">
        <v>-3601.92</v>
      </c>
      <c r="K181" s="199">
        <v>0</v>
      </c>
      <c r="L181" s="199">
        <v>0</v>
      </c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">
      <c r="A182" s="33" t="s">
        <v>140</v>
      </c>
      <c r="B182" s="33" t="s">
        <v>141</v>
      </c>
      <c r="C182" s="33">
        <v>19</v>
      </c>
      <c r="D182" s="33" t="s">
        <v>47</v>
      </c>
      <c r="E182" s="200">
        <v>0</v>
      </c>
      <c r="F182" s="199">
        <v>0</v>
      </c>
      <c r="G182" s="200">
        <v>0</v>
      </c>
      <c r="H182" s="199">
        <v>0</v>
      </c>
      <c r="I182" s="200">
        <v>0</v>
      </c>
      <c r="J182" s="199">
        <v>0</v>
      </c>
      <c r="K182" s="199">
        <v>0</v>
      </c>
      <c r="L182" s="199">
        <v>0</v>
      </c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">
      <c r="A183" s="33" t="s">
        <v>140</v>
      </c>
      <c r="B183" s="33" t="s">
        <v>141</v>
      </c>
      <c r="C183" s="33">
        <v>20</v>
      </c>
      <c r="D183" s="33" t="s">
        <v>128</v>
      </c>
      <c r="E183" s="200">
        <v>0</v>
      </c>
      <c r="F183" s="199">
        <v>0</v>
      </c>
      <c r="G183" s="200">
        <v>0</v>
      </c>
      <c r="H183" s="199">
        <v>0</v>
      </c>
      <c r="I183" s="200">
        <v>0</v>
      </c>
      <c r="J183" s="199">
        <v>0</v>
      </c>
      <c r="K183" s="199">
        <v>0</v>
      </c>
      <c r="L183" s="199">
        <v>0</v>
      </c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">
      <c r="A184" s="33" t="s">
        <v>140</v>
      </c>
      <c r="B184" s="33" t="s">
        <v>141</v>
      </c>
      <c r="C184" s="33">
        <v>21</v>
      </c>
      <c r="D184" s="33" t="s">
        <v>129</v>
      </c>
      <c r="E184" s="200">
        <v>0</v>
      </c>
      <c r="F184" s="199">
        <v>0</v>
      </c>
      <c r="G184" s="200">
        <v>0</v>
      </c>
      <c r="H184" s="199">
        <v>0</v>
      </c>
      <c r="I184" s="200">
        <v>0</v>
      </c>
      <c r="J184" s="199">
        <v>0</v>
      </c>
      <c r="K184" s="199">
        <v>0</v>
      </c>
      <c r="L184" s="199">
        <v>0</v>
      </c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">
      <c r="A185" s="33" t="s">
        <v>140</v>
      </c>
      <c r="B185" s="33" t="s">
        <v>141</v>
      </c>
      <c r="C185" s="33">
        <v>22</v>
      </c>
      <c r="D185" s="33" t="s">
        <v>130</v>
      </c>
      <c r="E185" s="200">
        <v>-2872833</v>
      </c>
      <c r="F185" s="199">
        <v>-6670718.2259999998</v>
      </c>
      <c r="G185" s="200">
        <v>9620669</v>
      </c>
      <c r="H185" s="199">
        <v>22339193.417999998</v>
      </c>
      <c r="I185" s="200">
        <v>-6644190</v>
      </c>
      <c r="J185" s="199">
        <v>-15427809.18</v>
      </c>
      <c r="K185" s="199">
        <v>1121591</v>
      </c>
      <c r="L185" s="199">
        <v>2604334.3020000001</v>
      </c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">
      <c r="A186" s="33" t="s">
        <v>140</v>
      </c>
      <c r="B186" s="33" t="s">
        <v>141</v>
      </c>
      <c r="C186" s="33">
        <v>23</v>
      </c>
      <c r="D186" s="33" t="s">
        <v>131</v>
      </c>
      <c r="E186" s="200">
        <v>-808041</v>
      </c>
      <c r="F186" s="199">
        <v>-1876271.202</v>
      </c>
      <c r="G186" s="200">
        <v>-3138</v>
      </c>
      <c r="H186" s="199">
        <v>-7286.4359999999997</v>
      </c>
      <c r="I186" s="200">
        <v>-361</v>
      </c>
      <c r="J186" s="199">
        <v>-838.24199999999996</v>
      </c>
      <c r="K186" s="199">
        <v>0</v>
      </c>
      <c r="L186" s="199">
        <v>0</v>
      </c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">
      <c r="A187" s="33" t="s">
        <v>140</v>
      </c>
      <c r="B187" s="33" t="s">
        <v>141</v>
      </c>
      <c r="C187" s="33">
        <v>24</v>
      </c>
      <c r="D187" s="33" t="s">
        <v>55</v>
      </c>
      <c r="E187" s="200">
        <v>-61042926</v>
      </c>
      <c r="F187" s="199">
        <v>68650.179999999993</v>
      </c>
      <c r="G187" s="200">
        <v>1001693</v>
      </c>
      <c r="H187" s="199">
        <v>-393789</v>
      </c>
      <c r="I187" s="200">
        <v>-12780</v>
      </c>
      <c r="J187" s="199">
        <v>-229969.01</v>
      </c>
      <c r="K187" s="199">
        <v>-2423437</v>
      </c>
      <c r="L187" s="199">
        <v>16716.75</v>
      </c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">
      <c r="A188" s="33" t="s">
        <v>140</v>
      </c>
      <c r="B188" s="33" t="s">
        <v>141</v>
      </c>
      <c r="C188" s="33">
        <v>25</v>
      </c>
      <c r="D188" s="33" t="s">
        <v>56</v>
      </c>
      <c r="E188" s="200">
        <v>0</v>
      </c>
      <c r="F188" s="199">
        <v>-2620911.2200000002</v>
      </c>
      <c r="G188" s="200">
        <v>0</v>
      </c>
      <c r="H188" s="199">
        <v>-91043.31</v>
      </c>
      <c r="I188" s="200">
        <v>0</v>
      </c>
      <c r="J188" s="199">
        <v>-76293</v>
      </c>
      <c r="K188" s="199">
        <v>0</v>
      </c>
      <c r="L188" s="199">
        <v>546707.73</v>
      </c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">
      <c r="A189" s="33" t="s">
        <v>140</v>
      </c>
      <c r="B189" s="33" t="s">
        <v>141</v>
      </c>
      <c r="C189" s="33">
        <v>26</v>
      </c>
      <c r="D189" s="33" t="s">
        <v>132</v>
      </c>
      <c r="E189" s="200">
        <v>0</v>
      </c>
      <c r="F189" s="199">
        <v>0</v>
      </c>
      <c r="G189" s="200">
        <v>0</v>
      </c>
      <c r="H189" s="199">
        <v>0</v>
      </c>
      <c r="I189" s="200">
        <v>0</v>
      </c>
      <c r="J189" s="199">
        <v>0</v>
      </c>
      <c r="K189" s="199">
        <v>0</v>
      </c>
      <c r="L189" s="199">
        <v>0</v>
      </c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">
      <c r="A190" s="33" t="s">
        <v>140</v>
      </c>
      <c r="B190" s="33" t="s">
        <v>141</v>
      </c>
      <c r="C190" s="33">
        <v>27</v>
      </c>
      <c r="D190" s="33" t="s">
        <v>133</v>
      </c>
      <c r="E190" s="200">
        <v>0</v>
      </c>
      <c r="F190" s="199">
        <v>0</v>
      </c>
      <c r="G190" s="200">
        <v>0</v>
      </c>
      <c r="H190" s="199">
        <v>0</v>
      </c>
      <c r="I190" s="200">
        <v>0</v>
      </c>
      <c r="J190" s="199">
        <v>0</v>
      </c>
      <c r="K190" s="199">
        <v>0</v>
      </c>
      <c r="L190" s="199">
        <v>0</v>
      </c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">
      <c r="A191" s="33" t="s">
        <v>140</v>
      </c>
      <c r="B191" s="33" t="s">
        <v>141</v>
      </c>
      <c r="C191" s="33">
        <v>28</v>
      </c>
      <c r="D191" s="33" t="s">
        <v>134</v>
      </c>
      <c r="E191" s="200">
        <v>0</v>
      </c>
      <c r="F191" s="199">
        <v>0</v>
      </c>
      <c r="G191" s="200">
        <v>0</v>
      </c>
      <c r="H191" s="199">
        <v>0</v>
      </c>
      <c r="I191" s="200">
        <v>0</v>
      </c>
      <c r="J191" s="199">
        <v>0</v>
      </c>
      <c r="K191" s="199">
        <v>0</v>
      </c>
      <c r="L191" s="199">
        <v>0</v>
      </c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">
      <c r="A192" s="33" t="s">
        <v>140</v>
      </c>
      <c r="B192" s="33" t="s">
        <v>141</v>
      </c>
      <c r="C192" s="33">
        <v>29</v>
      </c>
      <c r="D192" s="33" t="s">
        <v>135</v>
      </c>
      <c r="E192" s="200">
        <v>0</v>
      </c>
      <c r="F192" s="199">
        <v>0</v>
      </c>
      <c r="G192" s="200">
        <v>0</v>
      </c>
      <c r="H192" s="199">
        <v>0</v>
      </c>
      <c r="I192" s="200">
        <v>0</v>
      </c>
      <c r="J192" s="199">
        <v>0</v>
      </c>
      <c r="K192" s="199">
        <v>0</v>
      </c>
      <c r="L192" s="199">
        <v>0</v>
      </c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">
      <c r="A193" s="33" t="s">
        <v>140</v>
      </c>
      <c r="B193" s="33" t="s">
        <v>141</v>
      </c>
      <c r="C193" s="33">
        <v>30</v>
      </c>
      <c r="D193" s="33" t="s">
        <v>136</v>
      </c>
      <c r="E193" s="200">
        <v>0</v>
      </c>
      <c r="F193" s="199">
        <v>0</v>
      </c>
      <c r="G193" s="200">
        <v>0</v>
      </c>
      <c r="H193" s="199">
        <v>0</v>
      </c>
      <c r="I193" s="200">
        <v>0</v>
      </c>
      <c r="J193" s="199">
        <v>0</v>
      </c>
      <c r="K193" s="199">
        <v>0</v>
      </c>
      <c r="L193" s="199">
        <v>0</v>
      </c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">
      <c r="A194" s="33" t="s">
        <v>140</v>
      </c>
      <c r="B194" s="33" t="s">
        <v>141</v>
      </c>
      <c r="C194" s="33">
        <v>31</v>
      </c>
      <c r="D194" s="33" t="s">
        <v>137</v>
      </c>
      <c r="E194" s="200">
        <v>0</v>
      </c>
      <c r="F194" s="199">
        <v>0</v>
      </c>
      <c r="G194" s="200">
        <v>0</v>
      </c>
      <c r="H194" s="199">
        <v>0</v>
      </c>
      <c r="I194" s="200">
        <v>0</v>
      </c>
      <c r="J194" s="199">
        <v>0</v>
      </c>
      <c r="K194" s="199">
        <v>0</v>
      </c>
      <c r="L194" s="199">
        <v>0</v>
      </c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">
      <c r="A195" s="33" t="s">
        <v>140</v>
      </c>
      <c r="B195" s="33" t="s">
        <v>141</v>
      </c>
      <c r="C195" s="33">
        <v>32</v>
      </c>
      <c r="D195" s="33" t="s">
        <v>70</v>
      </c>
      <c r="E195" s="200">
        <v>0</v>
      </c>
      <c r="F195" s="199">
        <v>0</v>
      </c>
      <c r="G195" s="200">
        <v>0</v>
      </c>
      <c r="H195" s="199">
        <v>0</v>
      </c>
      <c r="I195" s="200">
        <v>0</v>
      </c>
      <c r="J195" s="199">
        <v>0</v>
      </c>
      <c r="K195" s="199">
        <v>0</v>
      </c>
      <c r="L195" s="199">
        <v>0</v>
      </c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">
      <c r="A196" s="33" t="s">
        <v>140</v>
      </c>
      <c r="B196" s="33" t="s">
        <v>141</v>
      </c>
      <c r="C196" s="33">
        <v>33</v>
      </c>
      <c r="D196" s="33" t="s">
        <v>71</v>
      </c>
      <c r="E196" s="200">
        <v>0</v>
      </c>
      <c r="F196" s="199">
        <v>0</v>
      </c>
      <c r="G196" s="200">
        <v>0</v>
      </c>
      <c r="H196" s="199">
        <v>0</v>
      </c>
      <c r="I196" s="200">
        <v>0</v>
      </c>
      <c r="J196" s="199">
        <v>0</v>
      </c>
      <c r="K196" s="199">
        <v>0</v>
      </c>
      <c r="L196" s="199">
        <v>0</v>
      </c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">
      <c r="A197" s="33" t="s">
        <v>140</v>
      </c>
      <c r="B197" s="33" t="s">
        <v>141</v>
      </c>
      <c r="C197" s="33">
        <v>34</v>
      </c>
      <c r="D197" s="33" t="s">
        <v>72</v>
      </c>
      <c r="E197" s="200">
        <v>0</v>
      </c>
      <c r="F197" s="199">
        <v>0</v>
      </c>
      <c r="G197" s="200">
        <v>0</v>
      </c>
      <c r="H197" s="199">
        <v>0</v>
      </c>
      <c r="I197" s="200">
        <v>0</v>
      </c>
      <c r="J197" s="199">
        <v>0</v>
      </c>
      <c r="K197" s="199">
        <v>0</v>
      </c>
      <c r="L197" s="199">
        <v>0</v>
      </c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">
      <c r="A198" s="33" t="s">
        <v>140</v>
      </c>
      <c r="B198" s="33" t="s">
        <v>141</v>
      </c>
      <c r="C198" s="33">
        <v>35</v>
      </c>
      <c r="D198" s="33" t="s">
        <v>73</v>
      </c>
      <c r="E198" s="200">
        <v>0</v>
      </c>
      <c r="F198" s="199">
        <v>-13639.36</v>
      </c>
      <c r="G198" s="200">
        <v>0</v>
      </c>
      <c r="H198" s="199">
        <v>1175.7</v>
      </c>
      <c r="I198" s="200">
        <v>0</v>
      </c>
      <c r="J198" s="199">
        <v>0</v>
      </c>
      <c r="K198" s="199">
        <v>0</v>
      </c>
      <c r="L198" s="199">
        <v>0</v>
      </c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">
      <c r="A199" s="33" t="s">
        <v>140</v>
      </c>
      <c r="B199" s="33" t="s">
        <v>141</v>
      </c>
      <c r="C199" s="33">
        <v>36</v>
      </c>
      <c r="D199" s="33" t="s">
        <v>74</v>
      </c>
      <c r="E199" s="200">
        <v>0</v>
      </c>
      <c r="F199" s="199">
        <v>0</v>
      </c>
      <c r="G199" s="200">
        <v>0</v>
      </c>
      <c r="H199" s="199">
        <v>0</v>
      </c>
      <c r="I199" s="200">
        <v>0</v>
      </c>
      <c r="J199" s="199">
        <v>0</v>
      </c>
      <c r="K199" s="199">
        <v>0</v>
      </c>
      <c r="L199" s="199">
        <v>0</v>
      </c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">
      <c r="A200" s="33" t="s">
        <v>140</v>
      </c>
      <c r="B200" s="33" t="s">
        <v>141</v>
      </c>
      <c r="C200" s="33">
        <v>37</v>
      </c>
      <c r="D200" s="33" t="s">
        <v>75</v>
      </c>
      <c r="E200" s="200">
        <v>0</v>
      </c>
      <c r="F200" s="199">
        <v>0</v>
      </c>
      <c r="G200" s="200">
        <v>0</v>
      </c>
      <c r="H200" s="199">
        <v>0</v>
      </c>
      <c r="I200" s="200">
        <v>0</v>
      </c>
      <c r="J200" s="199">
        <v>0</v>
      </c>
      <c r="K200" s="199">
        <v>0</v>
      </c>
      <c r="L200" s="199">
        <v>0</v>
      </c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">
      <c r="A201" s="33" t="s">
        <v>140</v>
      </c>
      <c r="B201" s="33" t="s">
        <v>141</v>
      </c>
      <c r="C201" s="33">
        <v>38</v>
      </c>
      <c r="D201" s="33" t="s">
        <v>76</v>
      </c>
      <c r="E201" s="200">
        <v>0</v>
      </c>
      <c r="F201" s="199">
        <v>0</v>
      </c>
      <c r="G201" s="200">
        <v>0</v>
      </c>
      <c r="H201" s="199">
        <v>0</v>
      </c>
      <c r="I201" s="200">
        <v>0</v>
      </c>
      <c r="J201" s="199">
        <v>0</v>
      </c>
      <c r="K201" s="199">
        <v>0</v>
      </c>
      <c r="L201" s="199">
        <v>0</v>
      </c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">
      <c r="A202" s="33" t="s">
        <v>140</v>
      </c>
      <c r="B202" s="33" t="s">
        <v>141</v>
      </c>
      <c r="C202" s="33">
        <v>39</v>
      </c>
      <c r="D202" s="33" t="s">
        <v>77</v>
      </c>
      <c r="E202" s="200">
        <v>0</v>
      </c>
      <c r="F202" s="199">
        <v>0</v>
      </c>
      <c r="G202" s="200">
        <v>0</v>
      </c>
      <c r="H202" s="199">
        <v>0</v>
      </c>
      <c r="I202" s="200">
        <v>0</v>
      </c>
      <c r="J202" s="199">
        <v>0</v>
      </c>
      <c r="K202" s="199">
        <v>0</v>
      </c>
      <c r="L202" s="199">
        <v>0</v>
      </c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">
      <c r="A203" s="33" t="s">
        <v>140</v>
      </c>
      <c r="B203" s="33" t="s">
        <v>141</v>
      </c>
      <c r="C203" s="33">
        <v>40</v>
      </c>
      <c r="D203" s="33" t="s">
        <v>78</v>
      </c>
      <c r="E203" s="200">
        <v>0</v>
      </c>
      <c r="F203" s="199">
        <v>0</v>
      </c>
      <c r="G203" s="200">
        <v>0</v>
      </c>
      <c r="H203" s="199">
        <v>0</v>
      </c>
      <c r="I203" s="200">
        <v>0</v>
      </c>
      <c r="J203" s="199">
        <v>0</v>
      </c>
      <c r="K203" s="199">
        <v>0</v>
      </c>
      <c r="L203" s="199">
        <v>0</v>
      </c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">
      <c r="A204" s="33" t="s">
        <v>140</v>
      </c>
      <c r="B204" s="33" t="s">
        <v>202</v>
      </c>
      <c r="C204" s="33">
        <v>1</v>
      </c>
      <c r="D204" s="33" t="s">
        <v>25</v>
      </c>
      <c r="E204" s="200">
        <v>4255797</v>
      </c>
      <c r="F204" s="199">
        <v>9230933.0700000003</v>
      </c>
      <c r="G204" s="200">
        <v>-800585</v>
      </c>
      <c r="H204" s="199">
        <v>-1724157.76</v>
      </c>
      <c r="I204" s="200">
        <v>654073</v>
      </c>
      <c r="J204" s="199">
        <v>1426449.98</v>
      </c>
      <c r="K204" s="199">
        <v>0</v>
      </c>
      <c r="L204" s="199">
        <v>0</v>
      </c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">
      <c r="A205" s="33" t="s">
        <v>140</v>
      </c>
      <c r="B205" s="33" t="s">
        <v>202</v>
      </c>
      <c r="C205" s="33">
        <v>2</v>
      </c>
      <c r="D205" s="33" t="s">
        <v>26</v>
      </c>
      <c r="E205" s="200">
        <v>0</v>
      </c>
      <c r="F205" s="199">
        <v>0</v>
      </c>
      <c r="G205" s="200">
        <v>0</v>
      </c>
      <c r="H205" s="199">
        <v>0</v>
      </c>
      <c r="I205" s="200">
        <v>0</v>
      </c>
      <c r="J205" s="199">
        <v>0</v>
      </c>
      <c r="K205" s="199">
        <v>0</v>
      </c>
      <c r="L205" s="199">
        <v>0</v>
      </c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">
      <c r="A206" s="33" t="s">
        <v>140</v>
      </c>
      <c r="B206" s="33" t="s">
        <v>202</v>
      </c>
      <c r="C206" s="33">
        <v>3</v>
      </c>
      <c r="D206" s="33" t="s">
        <v>27</v>
      </c>
      <c r="E206" s="200">
        <v>4105116</v>
      </c>
      <c r="F206" s="199">
        <v>9214231</v>
      </c>
      <c r="G206" s="200">
        <v>-3750647</v>
      </c>
      <c r="H206" s="199">
        <v>-8395295</v>
      </c>
      <c r="I206" s="200">
        <v>0</v>
      </c>
      <c r="J206" s="199">
        <v>0</v>
      </c>
      <c r="K206" s="199">
        <v>0</v>
      </c>
      <c r="L206" s="199">
        <v>0</v>
      </c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">
      <c r="A207" s="33" t="s">
        <v>140</v>
      </c>
      <c r="B207" s="33" t="s">
        <v>202</v>
      </c>
      <c r="C207" s="33">
        <v>4</v>
      </c>
      <c r="D207" s="33" t="s">
        <v>28</v>
      </c>
      <c r="E207" s="200">
        <v>0</v>
      </c>
      <c r="F207" s="199">
        <v>0</v>
      </c>
      <c r="G207" s="200">
        <v>0</v>
      </c>
      <c r="H207" s="199">
        <v>0</v>
      </c>
      <c r="I207" s="200">
        <v>0</v>
      </c>
      <c r="J207" s="199">
        <v>0</v>
      </c>
      <c r="K207" s="199">
        <v>0</v>
      </c>
      <c r="L207" s="199">
        <v>0</v>
      </c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">
      <c r="A208" s="33" t="s">
        <v>140</v>
      </c>
      <c r="B208" s="33" t="s">
        <v>202</v>
      </c>
      <c r="C208" s="33">
        <v>5</v>
      </c>
      <c r="D208" s="33" t="s">
        <v>125</v>
      </c>
      <c r="E208" s="200">
        <v>0</v>
      </c>
      <c r="F208" s="199">
        <v>6132.42</v>
      </c>
      <c r="G208" s="200">
        <v>0</v>
      </c>
      <c r="H208" s="199">
        <v>0</v>
      </c>
      <c r="I208" s="200">
        <v>0</v>
      </c>
      <c r="J208" s="199">
        <v>0</v>
      </c>
      <c r="K208" s="199">
        <v>0</v>
      </c>
      <c r="L208" s="199">
        <v>0</v>
      </c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">
      <c r="A209" s="33" t="s">
        <v>140</v>
      </c>
      <c r="B209" s="33" t="s">
        <v>202</v>
      </c>
      <c r="C209" s="33">
        <v>6</v>
      </c>
      <c r="D209" s="33" t="s">
        <v>25</v>
      </c>
      <c r="E209" s="200">
        <v>-5156799</v>
      </c>
      <c r="F209" s="199">
        <v>-11003538.18</v>
      </c>
      <c r="G209" s="200">
        <v>1015831</v>
      </c>
      <c r="H209" s="199">
        <v>2401256.29</v>
      </c>
      <c r="I209" s="200">
        <v>-739759</v>
      </c>
      <c r="J209" s="199">
        <v>-1586091.69</v>
      </c>
      <c r="K209" s="199">
        <v>0</v>
      </c>
      <c r="L209" s="199">
        <v>0</v>
      </c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">
      <c r="A210" s="33" t="s">
        <v>140</v>
      </c>
      <c r="B210" s="33" t="s">
        <v>202</v>
      </c>
      <c r="C210" s="33">
        <v>7</v>
      </c>
      <c r="D210" s="33" t="s">
        <v>26</v>
      </c>
      <c r="E210" s="200">
        <v>0</v>
      </c>
      <c r="F210" s="199">
        <v>0</v>
      </c>
      <c r="G210" s="200">
        <v>0</v>
      </c>
      <c r="H210" s="199">
        <v>0</v>
      </c>
      <c r="I210" s="200">
        <v>0</v>
      </c>
      <c r="J210" s="199">
        <v>0</v>
      </c>
      <c r="K210" s="199">
        <v>0</v>
      </c>
      <c r="L210" s="199">
        <v>0</v>
      </c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">
      <c r="A211" s="33" t="s">
        <v>140</v>
      </c>
      <c r="B211" s="33" t="s">
        <v>202</v>
      </c>
      <c r="C211" s="33">
        <v>8</v>
      </c>
      <c r="D211" s="33" t="s">
        <v>27</v>
      </c>
      <c r="E211" s="200">
        <v>-3759464</v>
      </c>
      <c r="F211" s="199">
        <v>-8415663</v>
      </c>
      <c r="G211" s="200">
        <v>3759371</v>
      </c>
      <c r="H211" s="199">
        <v>8415444</v>
      </c>
      <c r="I211" s="200">
        <v>0</v>
      </c>
      <c r="J211" s="199">
        <v>0</v>
      </c>
      <c r="K211" s="199">
        <v>0</v>
      </c>
      <c r="L211" s="199">
        <v>0</v>
      </c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">
      <c r="A212" s="33" t="s">
        <v>140</v>
      </c>
      <c r="B212" s="33" t="s">
        <v>202</v>
      </c>
      <c r="C212" s="33">
        <v>9</v>
      </c>
      <c r="D212" s="33" t="s">
        <v>28</v>
      </c>
      <c r="E212" s="200">
        <v>0</v>
      </c>
      <c r="F212" s="199">
        <v>0</v>
      </c>
      <c r="G212" s="200">
        <v>0</v>
      </c>
      <c r="H212" s="199">
        <v>0</v>
      </c>
      <c r="I212" s="200">
        <v>0</v>
      </c>
      <c r="J212" s="199">
        <v>0</v>
      </c>
      <c r="K212" s="199">
        <v>0</v>
      </c>
      <c r="L212" s="199">
        <v>0</v>
      </c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">
      <c r="A213" s="33" t="s">
        <v>140</v>
      </c>
      <c r="B213" s="33" t="s">
        <v>202</v>
      </c>
      <c r="C213" s="33">
        <v>10</v>
      </c>
      <c r="D213" s="33" t="s">
        <v>32</v>
      </c>
      <c r="E213" s="200">
        <v>2687</v>
      </c>
      <c r="F213" s="199">
        <v>5798.5460000000003</v>
      </c>
      <c r="G213" s="200">
        <v>0</v>
      </c>
      <c r="H213" s="199">
        <v>0</v>
      </c>
      <c r="I213" s="200">
        <v>0</v>
      </c>
      <c r="J213" s="199">
        <v>0</v>
      </c>
      <c r="K213" s="199">
        <v>0</v>
      </c>
      <c r="L213" s="199">
        <v>0</v>
      </c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">
      <c r="A214" s="33" t="s">
        <v>140</v>
      </c>
      <c r="B214" s="33" t="s">
        <v>202</v>
      </c>
      <c r="C214" s="33">
        <v>11</v>
      </c>
      <c r="D214" s="33" t="s">
        <v>35</v>
      </c>
      <c r="E214" s="200">
        <v>0</v>
      </c>
      <c r="F214" s="199">
        <v>0</v>
      </c>
      <c r="G214" s="200">
        <v>0</v>
      </c>
      <c r="H214" s="199">
        <v>0</v>
      </c>
      <c r="I214" s="200">
        <v>0</v>
      </c>
      <c r="J214" s="199">
        <v>0</v>
      </c>
      <c r="K214" s="199">
        <v>0</v>
      </c>
      <c r="L214" s="199">
        <v>0</v>
      </c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">
      <c r="A215" s="33" t="s">
        <v>140</v>
      </c>
      <c r="B215" s="33" t="s">
        <v>202</v>
      </c>
      <c r="C215" s="33">
        <v>12</v>
      </c>
      <c r="D215" s="33" t="s">
        <v>36</v>
      </c>
      <c r="E215" s="200">
        <v>0</v>
      </c>
      <c r="F215" s="199">
        <v>0</v>
      </c>
      <c r="G215" s="200">
        <v>0</v>
      </c>
      <c r="H215" s="199">
        <v>0</v>
      </c>
      <c r="I215" s="200">
        <v>0</v>
      </c>
      <c r="J215" s="199">
        <v>0</v>
      </c>
      <c r="K215" s="199">
        <v>0</v>
      </c>
      <c r="L215" s="199">
        <v>0</v>
      </c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">
      <c r="A216" s="33" t="s">
        <v>140</v>
      </c>
      <c r="B216" s="33" t="s">
        <v>202</v>
      </c>
      <c r="C216" s="33">
        <v>13</v>
      </c>
      <c r="D216" s="33" t="s">
        <v>39</v>
      </c>
      <c r="E216" s="200">
        <v>69347</v>
      </c>
      <c r="F216" s="199">
        <v>171425.78400000001</v>
      </c>
      <c r="G216" s="200">
        <v>-72528</v>
      </c>
      <c r="H216" s="199">
        <v>-156515.424</v>
      </c>
      <c r="I216" s="200">
        <v>0</v>
      </c>
      <c r="J216" s="199">
        <v>0</v>
      </c>
      <c r="K216" s="199">
        <v>0</v>
      </c>
      <c r="L216" s="199">
        <v>0</v>
      </c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">
      <c r="A217" s="33" t="s">
        <v>140</v>
      </c>
      <c r="B217" s="33" t="s">
        <v>202</v>
      </c>
      <c r="C217" s="33">
        <v>14</v>
      </c>
      <c r="D217" s="33" t="s">
        <v>40</v>
      </c>
      <c r="E217" s="200">
        <v>0</v>
      </c>
      <c r="F217" s="199">
        <v>0</v>
      </c>
      <c r="G217" s="200">
        <v>0</v>
      </c>
      <c r="H217" s="199">
        <v>0</v>
      </c>
      <c r="I217" s="200">
        <v>0</v>
      </c>
      <c r="J217" s="199">
        <v>0</v>
      </c>
      <c r="K217" s="199">
        <v>0</v>
      </c>
      <c r="L217" s="199">
        <v>0</v>
      </c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">
      <c r="A218" s="33" t="s">
        <v>140</v>
      </c>
      <c r="B218" s="33" t="s">
        <v>202</v>
      </c>
      <c r="C218" s="33">
        <v>15</v>
      </c>
      <c r="D218" s="33" t="s">
        <v>41</v>
      </c>
      <c r="E218" s="200">
        <v>0</v>
      </c>
      <c r="F218" s="199">
        <v>0</v>
      </c>
      <c r="G218" s="200">
        <v>0</v>
      </c>
      <c r="H218" s="199">
        <v>0</v>
      </c>
      <c r="I218" s="200">
        <v>0</v>
      </c>
      <c r="J218" s="199">
        <v>0</v>
      </c>
      <c r="K218" s="199">
        <v>0</v>
      </c>
      <c r="L218" s="199">
        <v>0</v>
      </c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">
      <c r="A219" s="33" t="s">
        <v>140</v>
      </c>
      <c r="B219" s="33" t="s">
        <v>202</v>
      </c>
      <c r="C219" s="33">
        <v>16</v>
      </c>
      <c r="D219" s="33" t="s">
        <v>42</v>
      </c>
      <c r="E219" s="200">
        <v>0</v>
      </c>
      <c r="F219" s="199">
        <v>0</v>
      </c>
      <c r="G219" s="200">
        <v>0</v>
      </c>
      <c r="H219" s="199">
        <v>0</v>
      </c>
      <c r="I219" s="200">
        <v>0</v>
      </c>
      <c r="J219" s="199">
        <v>0</v>
      </c>
      <c r="K219" s="199">
        <v>0</v>
      </c>
      <c r="L219" s="199">
        <v>0</v>
      </c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">
      <c r="A220" s="33" t="s">
        <v>140</v>
      </c>
      <c r="B220" s="33" t="s">
        <v>202</v>
      </c>
      <c r="C220" s="33">
        <v>17</v>
      </c>
      <c r="D220" s="33" t="s">
        <v>126</v>
      </c>
      <c r="E220" s="200">
        <v>0</v>
      </c>
      <c r="F220" s="199">
        <v>0</v>
      </c>
      <c r="G220" s="200">
        <v>0</v>
      </c>
      <c r="H220" s="199">
        <v>0</v>
      </c>
      <c r="I220" s="200">
        <v>0</v>
      </c>
      <c r="J220" s="199">
        <v>0</v>
      </c>
      <c r="K220" s="199">
        <v>0</v>
      </c>
      <c r="L220" s="199">
        <v>0</v>
      </c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">
      <c r="A221" s="33" t="s">
        <v>140</v>
      </c>
      <c r="B221" s="33" t="s">
        <v>202</v>
      </c>
      <c r="C221" s="33">
        <v>18</v>
      </c>
      <c r="D221" s="33" t="s">
        <v>127</v>
      </c>
      <c r="E221" s="200">
        <v>0</v>
      </c>
      <c r="F221" s="199">
        <v>0</v>
      </c>
      <c r="G221" s="200">
        <v>0</v>
      </c>
      <c r="H221" s="199">
        <v>0</v>
      </c>
      <c r="I221" s="200">
        <v>0</v>
      </c>
      <c r="J221" s="199">
        <v>0</v>
      </c>
      <c r="K221" s="199">
        <v>0</v>
      </c>
      <c r="L221" s="199">
        <v>0</v>
      </c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">
      <c r="A222" s="33" t="s">
        <v>140</v>
      </c>
      <c r="B222" s="33" t="s">
        <v>202</v>
      </c>
      <c r="C222" s="33">
        <v>19</v>
      </c>
      <c r="D222" s="33" t="s">
        <v>47</v>
      </c>
      <c r="E222" s="200">
        <v>0</v>
      </c>
      <c r="F222" s="199">
        <v>0</v>
      </c>
      <c r="G222" s="200">
        <v>0</v>
      </c>
      <c r="H222" s="199">
        <v>0</v>
      </c>
      <c r="I222" s="200">
        <v>0</v>
      </c>
      <c r="J222" s="199">
        <v>0</v>
      </c>
      <c r="K222" s="199">
        <v>0</v>
      </c>
      <c r="L222" s="199">
        <v>0</v>
      </c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">
      <c r="A223" s="33" t="s">
        <v>140</v>
      </c>
      <c r="B223" s="33" t="s">
        <v>202</v>
      </c>
      <c r="C223" s="33">
        <v>20</v>
      </c>
      <c r="D223" s="33" t="s">
        <v>128</v>
      </c>
      <c r="E223" s="200">
        <v>0</v>
      </c>
      <c r="F223" s="199">
        <v>0</v>
      </c>
      <c r="G223" s="200">
        <v>0</v>
      </c>
      <c r="H223" s="199">
        <v>0</v>
      </c>
      <c r="I223" s="200">
        <v>0</v>
      </c>
      <c r="J223" s="199">
        <v>0</v>
      </c>
      <c r="K223" s="199">
        <v>0</v>
      </c>
      <c r="L223" s="199">
        <v>0</v>
      </c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">
      <c r="A224" s="33" t="s">
        <v>140</v>
      </c>
      <c r="B224" s="33" t="s">
        <v>202</v>
      </c>
      <c r="C224" s="33">
        <v>21</v>
      </c>
      <c r="D224" s="33" t="s">
        <v>129</v>
      </c>
      <c r="E224" s="200">
        <v>0</v>
      </c>
      <c r="F224" s="199">
        <v>0</v>
      </c>
      <c r="G224" s="200">
        <v>0</v>
      </c>
      <c r="H224" s="199">
        <v>0</v>
      </c>
      <c r="I224" s="200">
        <v>0</v>
      </c>
      <c r="J224" s="199">
        <v>0</v>
      </c>
      <c r="K224" s="199">
        <v>0</v>
      </c>
      <c r="L224" s="199">
        <v>0</v>
      </c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">
      <c r="A225" s="33" t="s">
        <v>140</v>
      </c>
      <c r="B225" s="33" t="s">
        <v>202</v>
      </c>
      <c r="C225" s="33">
        <v>22</v>
      </c>
      <c r="D225" s="33" t="s">
        <v>130</v>
      </c>
      <c r="E225" s="200">
        <v>483316</v>
      </c>
      <c r="F225" s="199">
        <v>1042995.928</v>
      </c>
      <c r="G225" s="200">
        <v>-151442</v>
      </c>
      <c r="H225" s="199">
        <v>-326811.83600000001</v>
      </c>
      <c r="I225" s="200">
        <v>85686</v>
      </c>
      <c r="J225" s="199">
        <v>184910.38800000001</v>
      </c>
      <c r="K225" s="199">
        <v>0</v>
      </c>
      <c r="L225" s="199">
        <v>0</v>
      </c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">
      <c r="A226" s="33" t="s">
        <v>140</v>
      </c>
      <c r="B226" s="33" t="s">
        <v>202</v>
      </c>
      <c r="C226" s="33">
        <v>23</v>
      </c>
      <c r="D226" s="33" t="s">
        <v>131</v>
      </c>
      <c r="E226" s="200">
        <v>-2687</v>
      </c>
      <c r="F226" s="199">
        <v>-5798.5460000000003</v>
      </c>
      <c r="G226" s="200">
        <v>0</v>
      </c>
      <c r="H226" s="199">
        <v>0</v>
      </c>
      <c r="I226" s="200">
        <v>0</v>
      </c>
      <c r="J226" s="199">
        <v>0</v>
      </c>
      <c r="K226" s="199">
        <v>0</v>
      </c>
      <c r="L226" s="199">
        <v>0</v>
      </c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">
      <c r="A227" s="33" t="s">
        <v>140</v>
      </c>
      <c r="B227" s="33" t="s">
        <v>202</v>
      </c>
      <c r="C227" s="33">
        <v>24</v>
      </c>
      <c r="D227" s="33" t="s">
        <v>55</v>
      </c>
      <c r="E227" s="200">
        <v>-7210765</v>
      </c>
      <c r="F227" s="199">
        <v>-87576.6</v>
      </c>
      <c r="G227" s="200">
        <v>1817205</v>
      </c>
      <c r="H227" s="199">
        <v>-39282.769999999997</v>
      </c>
      <c r="I227" s="200">
        <v>-2182684</v>
      </c>
      <c r="J227" s="199">
        <v>0</v>
      </c>
      <c r="K227" s="199">
        <v>72746</v>
      </c>
      <c r="L227" s="199">
        <v>18356.28</v>
      </c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">
      <c r="A228" s="33" t="s">
        <v>140</v>
      </c>
      <c r="B228" s="33" t="s">
        <v>202</v>
      </c>
      <c r="C228" s="33">
        <v>25</v>
      </c>
      <c r="D228" s="33" t="s">
        <v>56</v>
      </c>
      <c r="E228" s="200">
        <v>0</v>
      </c>
      <c r="F228" s="199">
        <v>-718092.03</v>
      </c>
      <c r="G228" s="200">
        <v>0</v>
      </c>
      <c r="H228" s="199">
        <v>16113.92</v>
      </c>
      <c r="I228" s="200">
        <v>0</v>
      </c>
      <c r="J228" s="199">
        <v>0</v>
      </c>
      <c r="K228" s="199">
        <v>0</v>
      </c>
      <c r="L228" s="199">
        <v>0</v>
      </c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">
      <c r="A229" s="33" t="s">
        <v>140</v>
      </c>
      <c r="B229" s="33" t="s">
        <v>202</v>
      </c>
      <c r="C229" s="33">
        <v>26</v>
      </c>
      <c r="D229" s="33" t="s">
        <v>132</v>
      </c>
      <c r="E229" s="200">
        <v>0</v>
      </c>
      <c r="F229" s="199">
        <v>0</v>
      </c>
      <c r="G229" s="200">
        <v>0</v>
      </c>
      <c r="H229" s="199">
        <v>0</v>
      </c>
      <c r="I229" s="200">
        <v>0</v>
      </c>
      <c r="J229" s="199">
        <v>0</v>
      </c>
      <c r="K229" s="199">
        <v>0</v>
      </c>
      <c r="L229" s="199">
        <v>0</v>
      </c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">
      <c r="A230" s="33" t="s">
        <v>140</v>
      </c>
      <c r="B230" s="33" t="s">
        <v>202</v>
      </c>
      <c r="C230" s="33">
        <v>27</v>
      </c>
      <c r="D230" s="33" t="s">
        <v>133</v>
      </c>
      <c r="E230" s="200">
        <v>0</v>
      </c>
      <c r="F230" s="199">
        <v>0</v>
      </c>
      <c r="G230" s="200">
        <v>0</v>
      </c>
      <c r="H230" s="199">
        <v>0</v>
      </c>
      <c r="I230" s="200">
        <v>0</v>
      </c>
      <c r="J230" s="199">
        <v>0</v>
      </c>
      <c r="K230" s="199">
        <v>0</v>
      </c>
      <c r="L230" s="199">
        <v>0</v>
      </c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">
      <c r="A231" s="33" t="s">
        <v>140</v>
      </c>
      <c r="B231" s="33" t="s">
        <v>202</v>
      </c>
      <c r="C231" s="33">
        <v>28</v>
      </c>
      <c r="D231" s="33" t="s">
        <v>134</v>
      </c>
      <c r="E231" s="200">
        <v>0</v>
      </c>
      <c r="F231" s="199">
        <v>0</v>
      </c>
      <c r="G231" s="200">
        <v>0</v>
      </c>
      <c r="H231" s="199">
        <v>0</v>
      </c>
      <c r="I231" s="200">
        <v>0</v>
      </c>
      <c r="J231" s="199">
        <v>0</v>
      </c>
      <c r="K231" s="199">
        <v>0</v>
      </c>
      <c r="L231" s="199">
        <v>0</v>
      </c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">
      <c r="A232" s="33" t="s">
        <v>140</v>
      </c>
      <c r="B232" s="33" t="s">
        <v>202</v>
      </c>
      <c r="C232" s="33">
        <v>29</v>
      </c>
      <c r="D232" s="33" t="s">
        <v>135</v>
      </c>
      <c r="E232" s="200">
        <v>0</v>
      </c>
      <c r="F232" s="199">
        <v>0</v>
      </c>
      <c r="G232" s="200">
        <v>0</v>
      </c>
      <c r="H232" s="199">
        <v>0</v>
      </c>
      <c r="I232" s="200">
        <v>0</v>
      </c>
      <c r="J232" s="199">
        <v>0</v>
      </c>
      <c r="K232" s="199">
        <v>0</v>
      </c>
      <c r="L232" s="199">
        <v>0</v>
      </c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">
      <c r="A233" s="33" t="s">
        <v>140</v>
      </c>
      <c r="B233" s="33" t="s">
        <v>202</v>
      </c>
      <c r="C233" s="33">
        <v>30</v>
      </c>
      <c r="D233" s="33" t="s">
        <v>136</v>
      </c>
      <c r="E233" s="200">
        <v>0</v>
      </c>
      <c r="F233" s="199">
        <v>0</v>
      </c>
      <c r="G233" s="200">
        <v>0</v>
      </c>
      <c r="H233" s="199">
        <v>0</v>
      </c>
      <c r="I233" s="200">
        <v>0</v>
      </c>
      <c r="J233" s="199">
        <v>0</v>
      </c>
      <c r="K233" s="199">
        <v>0</v>
      </c>
      <c r="L233" s="199">
        <v>0</v>
      </c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">
      <c r="A234" s="33" t="s">
        <v>140</v>
      </c>
      <c r="B234" s="33" t="s">
        <v>202</v>
      </c>
      <c r="C234" s="33">
        <v>31</v>
      </c>
      <c r="D234" s="33" t="s">
        <v>137</v>
      </c>
      <c r="E234" s="200">
        <v>0</v>
      </c>
      <c r="F234" s="199">
        <v>0</v>
      </c>
      <c r="G234" s="200">
        <v>0</v>
      </c>
      <c r="H234" s="199">
        <v>0</v>
      </c>
      <c r="I234" s="200">
        <v>0</v>
      </c>
      <c r="J234" s="199">
        <v>0</v>
      </c>
      <c r="K234" s="199">
        <v>0</v>
      </c>
      <c r="L234" s="199">
        <v>0</v>
      </c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">
      <c r="A235" s="33" t="s">
        <v>140</v>
      </c>
      <c r="B235" s="33" t="s">
        <v>202</v>
      </c>
      <c r="C235" s="33">
        <v>32</v>
      </c>
      <c r="D235" s="33" t="s">
        <v>70</v>
      </c>
      <c r="E235" s="200">
        <v>0</v>
      </c>
      <c r="F235" s="199">
        <v>0</v>
      </c>
      <c r="G235" s="200">
        <v>0</v>
      </c>
      <c r="H235" s="199">
        <v>0</v>
      </c>
      <c r="I235" s="200">
        <v>0</v>
      </c>
      <c r="J235" s="199">
        <v>0</v>
      </c>
      <c r="K235" s="199">
        <v>0</v>
      </c>
      <c r="L235" s="199">
        <v>0</v>
      </c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">
      <c r="A236" s="33" t="s">
        <v>140</v>
      </c>
      <c r="B236" s="33" t="s">
        <v>202</v>
      </c>
      <c r="C236" s="33">
        <v>33</v>
      </c>
      <c r="D236" s="33" t="s">
        <v>71</v>
      </c>
      <c r="E236" s="200">
        <v>0</v>
      </c>
      <c r="F236" s="199">
        <v>0</v>
      </c>
      <c r="G236" s="200">
        <v>0</v>
      </c>
      <c r="H236" s="199">
        <v>0</v>
      </c>
      <c r="I236" s="200">
        <v>0</v>
      </c>
      <c r="J236" s="199">
        <v>0</v>
      </c>
      <c r="K236" s="199">
        <v>0</v>
      </c>
      <c r="L236" s="199">
        <v>0</v>
      </c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">
      <c r="A237" s="33" t="s">
        <v>140</v>
      </c>
      <c r="B237" s="33" t="s">
        <v>202</v>
      </c>
      <c r="C237" s="33">
        <v>34</v>
      </c>
      <c r="D237" s="33" t="s">
        <v>72</v>
      </c>
      <c r="E237" s="200">
        <v>0</v>
      </c>
      <c r="F237" s="199">
        <v>0</v>
      </c>
      <c r="G237" s="200">
        <v>0</v>
      </c>
      <c r="H237" s="199">
        <v>0</v>
      </c>
      <c r="I237" s="200">
        <v>0</v>
      </c>
      <c r="J237" s="199">
        <v>0</v>
      </c>
      <c r="K237" s="199">
        <v>0</v>
      </c>
      <c r="L237" s="199">
        <v>0</v>
      </c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">
      <c r="A238" s="33" t="s">
        <v>140</v>
      </c>
      <c r="B238" s="33" t="s">
        <v>202</v>
      </c>
      <c r="C238" s="33">
        <v>35</v>
      </c>
      <c r="D238" s="33" t="s">
        <v>73</v>
      </c>
      <c r="E238" s="200">
        <v>0</v>
      </c>
      <c r="F238" s="199">
        <v>0</v>
      </c>
      <c r="G238" s="200">
        <v>0</v>
      </c>
      <c r="H238" s="199">
        <v>0</v>
      </c>
      <c r="I238" s="200">
        <v>0</v>
      </c>
      <c r="J238" s="199">
        <v>0</v>
      </c>
      <c r="K238" s="199">
        <v>0</v>
      </c>
      <c r="L238" s="199">
        <v>0</v>
      </c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">
      <c r="A239" s="33" t="s">
        <v>140</v>
      </c>
      <c r="B239" s="33" t="s">
        <v>202</v>
      </c>
      <c r="C239" s="33">
        <v>36</v>
      </c>
      <c r="D239" s="33" t="s">
        <v>74</v>
      </c>
      <c r="E239" s="200">
        <v>0</v>
      </c>
      <c r="F239" s="199">
        <v>0</v>
      </c>
      <c r="G239" s="200">
        <v>0</v>
      </c>
      <c r="H239" s="199">
        <v>0</v>
      </c>
      <c r="I239" s="200">
        <v>0</v>
      </c>
      <c r="J239" s="199">
        <v>0</v>
      </c>
      <c r="K239" s="199">
        <v>0</v>
      </c>
      <c r="L239" s="199">
        <v>0</v>
      </c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">
      <c r="A240" s="33" t="s">
        <v>140</v>
      </c>
      <c r="B240" s="33" t="s">
        <v>202</v>
      </c>
      <c r="C240" s="33">
        <v>37</v>
      </c>
      <c r="D240" s="33" t="s">
        <v>75</v>
      </c>
      <c r="E240" s="200">
        <v>0</v>
      </c>
      <c r="F240" s="199">
        <v>0</v>
      </c>
      <c r="G240" s="200">
        <v>0</v>
      </c>
      <c r="H240" s="199">
        <v>0</v>
      </c>
      <c r="I240" s="200">
        <v>0</v>
      </c>
      <c r="J240" s="199">
        <v>0</v>
      </c>
      <c r="K240" s="199">
        <v>0</v>
      </c>
      <c r="L240" s="199">
        <v>0</v>
      </c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">
      <c r="A241" s="33" t="s">
        <v>140</v>
      </c>
      <c r="B241" s="33" t="s">
        <v>202</v>
      </c>
      <c r="C241" s="33">
        <v>38</v>
      </c>
      <c r="D241" s="33" t="s">
        <v>76</v>
      </c>
      <c r="E241" s="200">
        <v>0</v>
      </c>
      <c r="F241" s="199">
        <v>0</v>
      </c>
      <c r="G241" s="200">
        <v>0</v>
      </c>
      <c r="H241" s="199">
        <v>0</v>
      </c>
      <c r="I241" s="200">
        <v>0</v>
      </c>
      <c r="J241" s="199">
        <v>0</v>
      </c>
      <c r="K241" s="199">
        <v>0</v>
      </c>
      <c r="L241" s="199">
        <v>0</v>
      </c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">
      <c r="A242" s="33" t="s">
        <v>140</v>
      </c>
      <c r="B242" s="33" t="s">
        <v>202</v>
      </c>
      <c r="C242" s="33">
        <v>39</v>
      </c>
      <c r="D242" s="33" t="s">
        <v>77</v>
      </c>
      <c r="E242" s="200">
        <v>0</v>
      </c>
      <c r="F242" s="199">
        <v>0</v>
      </c>
      <c r="G242" s="200">
        <v>0</v>
      </c>
      <c r="H242" s="199">
        <v>0</v>
      </c>
      <c r="I242" s="200">
        <v>0</v>
      </c>
      <c r="J242" s="199">
        <v>0</v>
      </c>
      <c r="K242" s="199">
        <v>0</v>
      </c>
      <c r="L242" s="199">
        <v>0</v>
      </c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">
      <c r="A243" s="33" t="s">
        <v>140</v>
      </c>
      <c r="B243" s="33" t="s">
        <v>202</v>
      </c>
      <c r="C243" s="33">
        <v>40</v>
      </c>
      <c r="D243" s="33" t="s">
        <v>78</v>
      </c>
      <c r="E243" s="200">
        <v>0</v>
      </c>
      <c r="F243" s="199">
        <v>0</v>
      </c>
      <c r="G243" s="200">
        <v>0</v>
      </c>
      <c r="H243" s="199">
        <v>0</v>
      </c>
      <c r="I243" s="200">
        <v>0</v>
      </c>
      <c r="J243" s="199">
        <v>0</v>
      </c>
      <c r="K243" s="199">
        <v>0</v>
      </c>
      <c r="L243" s="199">
        <v>0</v>
      </c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">
      <c r="A244" s="33" t="s">
        <v>140</v>
      </c>
      <c r="B244" s="33" t="s">
        <v>142</v>
      </c>
      <c r="C244" s="33">
        <v>1</v>
      </c>
      <c r="D244" s="33" t="s">
        <v>25</v>
      </c>
      <c r="E244" s="200">
        <v>189746325</v>
      </c>
      <c r="F244" s="199">
        <v>467815212.26999998</v>
      </c>
      <c r="G244" s="200">
        <v>7253637</v>
      </c>
      <c r="H244" s="199">
        <v>21651971.629999999</v>
      </c>
      <c r="I244" s="200">
        <v>-5507898</v>
      </c>
      <c r="J244" s="199">
        <v>-12207516.93</v>
      </c>
      <c r="K244" s="199">
        <v>1559053</v>
      </c>
      <c r="L244" s="199">
        <v>3967928.63</v>
      </c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">
      <c r="A245" s="33" t="s">
        <v>140</v>
      </c>
      <c r="B245" s="33" t="s">
        <v>142</v>
      </c>
      <c r="C245" s="33">
        <v>2</v>
      </c>
      <c r="D245" s="33" t="s">
        <v>26</v>
      </c>
      <c r="E245" s="200">
        <v>0</v>
      </c>
      <c r="F245" s="199">
        <v>0</v>
      </c>
      <c r="G245" s="200">
        <v>0</v>
      </c>
      <c r="H245" s="199">
        <v>0</v>
      </c>
      <c r="I245" s="200">
        <v>0</v>
      </c>
      <c r="J245" s="199">
        <v>0</v>
      </c>
      <c r="K245" s="199">
        <v>0</v>
      </c>
      <c r="L245" s="199">
        <v>0</v>
      </c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">
      <c r="A246" s="33" t="s">
        <v>140</v>
      </c>
      <c r="B246" s="33" t="s">
        <v>142</v>
      </c>
      <c r="C246" s="33">
        <v>3</v>
      </c>
      <c r="D246" s="33" t="s">
        <v>27</v>
      </c>
      <c r="E246" s="200">
        <v>71628606</v>
      </c>
      <c r="F246" s="199">
        <v>185895133</v>
      </c>
      <c r="G246" s="200">
        <v>-51333347</v>
      </c>
      <c r="H246" s="199">
        <v>-133933759</v>
      </c>
      <c r="I246" s="200">
        <v>4403</v>
      </c>
      <c r="J246" s="199">
        <v>14283</v>
      </c>
      <c r="K246" s="199">
        <v>-4300</v>
      </c>
      <c r="L246" s="199">
        <v>-9459</v>
      </c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">
      <c r="A247" s="33" t="s">
        <v>140</v>
      </c>
      <c r="B247" s="33" t="s">
        <v>142</v>
      </c>
      <c r="C247" s="33">
        <v>4</v>
      </c>
      <c r="D247" s="33" t="s">
        <v>28</v>
      </c>
      <c r="E247" s="200">
        <v>0</v>
      </c>
      <c r="F247" s="199">
        <v>0</v>
      </c>
      <c r="G247" s="200">
        <v>0</v>
      </c>
      <c r="H247" s="199">
        <v>0</v>
      </c>
      <c r="I247" s="200">
        <v>0</v>
      </c>
      <c r="J247" s="199">
        <v>0</v>
      </c>
      <c r="K247" s="199">
        <v>0</v>
      </c>
      <c r="L247" s="199">
        <v>0</v>
      </c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">
      <c r="A248" s="33" t="s">
        <v>140</v>
      </c>
      <c r="B248" s="33" t="s">
        <v>142</v>
      </c>
      <c r="C248" s="33">
        <v>5</v>
      </c>
      <c r="D248" s="33" t="s">
        <v>125</v>
      </c>
      <c r="E248" s="200">
        <v>0</v>
      </c>
      <c r="F248" s="199">
        <v>14932935.800000001</v>
      </c>
      <c r="G248" s="200">
        <v>0</v>
      </c>
      <c r="H248" s="199">
        <v>254808.88</v>
      </c>
      <c r="I248" s="200">
        <v>0</v>
      </c>
      <c r="J248" s="199">
        <v>1901257.24</v>
      </c>
      <c r="K248" s="199">
        <v>0</v>
      </c>
      <c r="L248" s="199">
        <v>-29307.66</v>
      </c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">
      <c r="A249" s="33" t="s">
        <v>140</v>
      </c>
      <c r="B249" s="33" t="s">
        <v>142</v>
      </c>
      <c r="C249" s="33">
        <v>6</v>
      </c>
      <c r="D249" s="33" t="s">
        <v>25</v>
      </c>
      <c r="E249" s="200">
        <v>-187210283</v>
      </c>
      <c r="F249" s="199">
        <v>-450026772.61000001</v>
      </c>
      <c r="G249" s="200">
        <v>-2313451</v>
      </c>
      <c r="H249" s="199">
        <v>-5902770.2499999991</v>
      </c>
      <c r="I249" s="200">
        <v>1907676</v>
      </c>
      <c r="J249" s="199">
        <v>3057392.04</v>
      </c>
      <c r="K249" s="199">
        <v>-1272513</v>
      </c>
      <c r="L249" s="199">
        <v>3507897.39</v>
      </c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">
      <c r="A250" s="33" t="s">
        <v>140</v>
      </c>
      <c r="B250" s="33" t="s">
        <v>142</v>
      </c>
      <c r="C250" s="33">
        <v>7</v>
      </c>
      <c r="D250" s="33" t="s">
        <v>26</v>
      </c>
      <c r="E250" s="200">
        <v>0</v>
      </c>
      <c r="F250" s="199">
        <v>0</v>
      </c>
      <c r="G250" s="200">
        <v>0</v>
      </c>
      <c r="H250" s="199">
        <v>0</v>
      </c>
      <c r="I250" s="200">
        <v>0</v>
      </c>
      <c r="J250" s="199">
        <v>0</v>
      </c>
      <c r="K250" s="199">
        <v>0</v>
      </c>
      <c r="L250" s="199">
        <v>0</v>
      </c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">
      <c r="A251" s="33" t="s">
        <v>140</v>
      </c>
      <c r="B251" s="33" t="s">
        <v>142</v>
      </c>
      <c r="C251" s="33">
        <v>8</v>
      </c>
      <c r="D251" s="33" t="s">
        <v>27</v>
      </c>
      <c r="E251" s="200">
        <v>-71003668</v>
      </c>
      <c r="F251" s="199">
        <v>-187641099</v>
      </c>
      <c r="G251" s="200">
        <v>51204961</v>
      </c>
      <c r="H251" s="199">
        <v>133403760</v>
      </c>
      <c r="I251" s="200">
        <v>39502</v>
      </c>
      <c r="J251" s="199">
        <v>86114</v>
      </c>
      <c r="K251" s="199">
        <v>2473</v>
      </c>
      <c r="L251" s="199">
        <v>3233</v>
      </c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">
      <c r="A252" s="33" t="s">
        <v>140</v>
      </c>
      <c r="B252" s="33" t="s">
        <v>142</v>
      </c>
      <c r="C252" s="33">
        <v>9</v>
      </c>
      <c r="D252" s="33" t="s">
        <v>28</v>
      </c>
      <c r="E252" s="200">
        <v>0</v>
      </c>
      <c r="F252" s="199">
        <v>0</v>
      </c>
      <c r="G252" s="200">
        <v>0</v>
      </c>
      <c r="H252" s="199">
        <v>0</v>
      </c>
      <c r="I252" s="200">
        <v>0</v>
      </c>
      <c r="J252" s="199">
        <v>0</v>
      </c>
      <c r="K252" s="199">
        <v>0</v>
      </c>
      <c r="L252" s="199">
        <v>0</v>
      </c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">
      <c r="A253" s="33" t="s">
        <v>140</v>
      </c>
      <c r="B253" s="33" t="s">
        <v>142</v>
      </c>
      <c r="C253" s="33">
        <v>10</v>
      </c>
      <c r="D253" s="33" t="s">
        <v>32</v>
      </c>
      <c r="E253" s="200">
        <v>1597692</v>
      </c>
      <c r="F253" s="199">
        <v>3749783.1239999998</v>
      </c>
      <c r="G253" s="200">
        <v>80718</v>
      </c>
      <c r="H253" s="199">
        <v>189445.14600000001</v>
      </c>
      <c r="I253" s="200">
        <v>-28325</v>
      </c>
      <c r="J253" s="199">
        <v>-66478.774999999994</v>
      </c>
      <c r="K253" s="199">
        <v>-211467</v>
      </c>
      <c r="L253" s="199">
        <v>-587814.549</v>
      </c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">
      <c r="A254" s="33" t="s">
        <v>140</v>
      </c>
      <c r="B254" s="33" t="s">
        <v>142</v>
      </c>
      <c r="C254" s="33">
        <v>11</v>
      </c>
      <c r="D254" s="33" t="s">
        <v>35</v>
      </c>
      <c r="E254" s="200">
        <v>11333350</v>
      </c>
      <c r="F254" s="199">
        <v>27144101</v>
      </c>
      <c r="G254" s="200">
        <v>0</v>
      </c>
      <c r="H254" s="199">
        <v>111625.23</v>
      </c>
      <c r="I254" s="200">
        <v>3876</v>
      </c>
      <c r="J254" s="199">
        <v>21007.93</v>
      </c>
      <c r="K254" s="199">
        <v>0</v>
      </c>
      <c r="L254" s="199">
        <v>0</v>
      </c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">
      <c r="A255" s="33" t="s">
        <v>140</v>
      </c>
      <c r="B255" s="33" t="s">
        <v>142</v>
      </c>
      <c r="C255" s="33">
        <v>12</v>
      </c>
      <c r="D255" s="33" t="s">
        <v>36</v>
      </c>
      <c r="E255" s="200">
        <v>-7755552</v>
      </c>
      <c r="F255" s="199">
        <v>-19018931.719999999</v>
      </c>
      <c r="G255" s="200">
        <v>-196782</v>
      </c>
      <c r="H255" s="199">
        <v>-462998.91</v>
      </c>
      <c r="I255" s="200">
        <v>-1</v>
      </c>
      <c r="J255" s="199">
        <v>1229.71</v>
      </c>
      <c r="K255" s="199">
        <v>0</v>
      </c>
      <c r="L255" s="199">
        <v>0</v>
      </c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">
      <c r="A256" s="33" t="s">
        <v>140</v>
      </c>
      <c r="B256" s="33" t="s">
        <v>142</v>
      </c>
      <c r="C256" s="33">
        <v>13</v>
      </c>
      <c r="D256" s="33" t="s">
        <v>39</v>
      </c>
      <c r="E256" s="200">
        <v>-947426</v>
      </c>
      <c r="F256" s="199">
        <v>-2223608.8220000002</v>
      </c>
      <c r="G256" s="200">
        <v>1573714</v>
      </c>
      <c r="H256" s="199">
        <v>3693506.7579999999</v>
      </c>
      <c r="I256" s="200">
        <v>-3912142</v>
      </c>
      <c r="J256" s="199">
        <v>-9181797.2740000002</v>
      </c>
      <c r="K256" s="199">
        <v>1559653</v>
      </c>
      <c r="L256" s="199">
        <v>3660505.591</v>
      </c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">
      <c r="A257" s="33" t="s">
        <v>140</v>
      </c>
      <c r="B257" s="33" t="s">
        <v>142</v>
      </c>
      <c r="C257" s="33">
        <v>14</v>
      </c>
      <c r="D257" s="33" t="s">
        <v>40</v>
      </c>
      <c r="E257" s="200">
        <v>0</v>
      </c>
      <c r="F257" s="199">
        <v>0</v>
      </c>
      <c r="G257" s="200">
        <v>-554147</v>
      </c>
      <c r="H257" s="199">
        <v>-1606345.77</v>
      </c>
      <c r="I257" s="200">
        <v>-2315616</v>
      </c>
      <c r="J257" s="199">
        <v>-5865.47</v>
      </c>
      <c r="K257" s="199">
        <v>-236259</v>
      </c>
      <c r="L257" s="199">
        <v>-595026.32999999996</v>
      </c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">
      <c r="A258" s="33" t="s">
        <v>140</v>
      </c>
      <c r="B258" s="33" t="s">
        <v>142</v>
      </c>
      <c r="C258" s="33">
        <v>15</v>
      </c>
      <c r="D258" s="33" t="s">
        <v>41</v>
      </c>
      <c r="E258" s="200">
        <v>0</v>
      </c>
      <c r="F258" s="199">
        <v>0</v>
      </c>
      <c r="G258" s="200">
        <v>45566</v>
      </c>
      <c r="H258" s="199">
        <v>159040.41</v>
      </c>
      <c r="I258" s="200">
        <v>2392518</v>
      </c>
      <c r="J258" s="199">
        <v>151691.6</v>
      </c>
      <c r="K258" s="199">
        <v>95225</v>
      </c>
      <c r="L258" s="199">
        <v>729145.83</v>
      </c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">
      <c r="A259" s="33" t="s">
        <v>140</v>
      </c>
      <c r="B259" s="33" t="s">
        <v>142</v>
      </c>
      <c r="C259" s="33">
        <v>16</v>
      </c>
      <c r="D259" s="33" t="s">
        <v>42</v>
      </c>
      <c r="E259" s="200">
        <v>0</v>
      </c>
      <c r="F259" s="199">
        <v>0</v>
      </c>
      <c r="G259" s="200">
        <v>0</v>
      </c>
      <c r="H259" s="199">
        <v>0</v>
      </c>
      <c r="I259" s="200">
        <v>-730000</v>
      </c>
      <c r="J259" s="199">
        <v>-0.01</v>
      </c>
      <c r="K259" s="199">
        <v>0</v>
      </c>
      <c r="L259" s="199">
        <v>0</v>
      </c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">
      <c r="A260" s="33" t="s">
        <v>140</v>
      </c>
      <c r="B260" s="33" t="s">
        <v>142</v>
      </c>
      <c r="C260" s="33">
        <v>17</v>
      </c>
      <c r="D260" s="33" t="s">
        <v>126</v>
      </c>
      <c r="E260" s="200">
        <v>4</v>
      </c>
      <c r="F260" s="199">
        <v>9.39</v>
      </c>
      <c r="G260" s="200">
        <v>20073</v>
      </c>
      <c r="H260" s="199">
        <v>47111.33</v>
      </c>
      <c r="I260" s="200">
        <v>-20081</v>
      </c>
      <c r="J260" s="199">
        <v>-47130.12</v>
      </c>
      <c r="K260" s="199">
        <v>0</v>
      </c>
      <c r="L260" s="199">
        <v>0</v>
      </c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">
      <c r="A261" s="33" t="s">
        <v>140</v>
      </c>
      <c r="B261" s="33" t="s">
        <v>142</v>
      </c>
      <c r="C261" s="33">
        <v>18</v>
      </c>
      <c r="D261" s="33" t="s">
        <v>127</v>
      </c>
      <c r="E261" s="200">
        <v>-3453689</v>
      </c>
      <c r="F261" s="199">
        <v>-8713594.5299999993</v>
      </c>
      <c r="G261" s="200">
        <v>90257</v>
      </c>
      <c r="H261" s="199">
        <v>226424.36</v>
      </c>
      <c r="I261" s="200">
        <v>-472988</v>
      </c>
      <c r="J261" s="199">
        <v>-761114.41</v>
      </c>
      <c r="K261" s="199">
        <v>-268386</v>
      </c>
      <c r="L261" s="199">
        <v>-682045.15</v>
      </c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">
      <c r="A262" s="33" t="s">
        <v>140</v>
      </c>
      <c r="B262" s="33" t="s">
        <v>142</v>
      </c>
      <c r="C262" s="33">
        <v>19</v>
      </c>
      <c r="D262" s="33" t="s">
        <v>47</v>
      </c>
      <c r="E262" s="200">
        <v>0</v>
      </c>
      <c r="F262" s="199">
        <v>0</v>
      </c>
      <c r="G262" s="200">
        <v>0</v>
      </c>
      <c r="H262" s="199">
        <v>0</v>
      </c>
      <c r="I262" s="200">
        <v>0</v>
      </c>
      <c r="J262" s="199">
        <v>0</v>
      </c>
      <c r="K262" s="199">
        <v>0</v>
      </c>
      <c r="L262" s="199">
        <v>0</v>
      </c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">
      <c r="A263" s="33" t="s">
        <v>140</v>
      </c>
      <c r="B263" s="33" t="s">
        <v>142</v>
      </c>
      <c r="C263" s="33">
        <v>20</v>
      </c>
      <c r="D263" s="33" t="s">
        <v>128</v>
      </c>
      <c r="E263" s="200">
        <v>0</v>
      </c>
      <c r="F263" s="199">
        <v>0</v>
      </c>
      <c r="G263" s="200">
        <v>0</v>
      </c>
      <c r="H263" s="199">
        <v>0</v>
      </c>
      <c r="I263" s="200">
        <v>0</v>
      </c>
      <c r="J263" s="199">
        <v>0</v>
      </c>
      <c r="K263" s="199">
        <v>0</v>
      </c>
      <c r="L263" s="199">
        <v>0</v>
      </c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">
      <c r="A264" s="33" t="s">
        <v>140</v>
      </c>
      <c r="B264" s="33" t="s">
        <v>142</v>
      </c>
      <c r="C264" s="33">
        <v>21</v>
      </c>
      <c r="D264" s="33" t="s">
        <v>129</v>
      </c>
      <c r="E264" s="200">
        <v>0</v>
      </c>
      <c r="F264" s="199">
        <v>0</v>
      </c>
      <c r="G264" s="200">
        <v>0</v>
      </c>
      <c r="H264" s="199">
        <v>0</v>
      </c>
      <c r="I264" s="200">
        <v>0</v>
      </c>
      <c r="J264" s="199">
        <v>0</v>
      </c>
      <c r="K264" s="199">
        <v>0</v>
      </c>
      <c r="L264" s="199">
        <v>0</v>
      </c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">
      <c r="A265" s="33" t="s">
        <v>140</v>
      </c>
      <c r="B265" s="33" t="s">
        <v>142</v>
      </c>
      <c r="C265" s="33">
        <v>22</v>
      </c>
      <c r="D265" s="33" t="s">
        <v>130</v>
      </c>
      <c r="E265" s="200">
        <v>-3935359</v>
      </c>
      <c r="F265" s="199">
        <v>-9236287.5730000008</v>
      </c>
      <c r="G265" s="200">
        <v>-5871199</v>
      </c>
      <c r="H265" s="199">
        <v>-13779704.052999998</v>
      </c>
      <c r="I265" s="200">
        <v>8639076</v>
      </c>
      <c r="J265" s="199">
        <v>20275911.372000001</v>
      </c>
      <c r="K265" s="199">
        <v>-1223479</v>
      </c>
      <c r="L265" s="199">
        <v>-2871505.213</v>
      </c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">
      <c r="A266" s="33" t="s">
        <v>140</v>
      </c>
      <c r="B266" s="33" t="s">
        <v>142</v>
      </c>
      <c r="C266" s="33">
        <v>23</v>
      </c>
      <c r="D266" s="33" t="s">
        <v>131</v>
      </c>
      <c r="E266" s="200">
        <v>-1597692</v>
      </c>
      <c r="F266" s="199">
        <v>-3749783.1239999998</v>
      </c>
      <c r="G266" s="200">
        <v>-80718</v>
      </c>
      <c r="H266" s="199">
        <v>-189445.14600000001</v>
      </c>
      <c r="I266" s="200">
        <v>28325</v>
      </c>
      <c r="J266" s="199">
        <v>66478.774999999994</v>
      </c>
      <c r="K266" s="199">
        <v>-520545</v>
      </c>
      <c r="L266" s="199">
        <v>-1221719.115</v>
      </c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">
      <c r="A267" s="33" t="s">
        <v>140</v>
      </c>
      <c r="B267" s="33" t="s">
        <v>142</v>
      </c>
      <c r="C267" s="33">
        <v>24</v>
      </c>
      <c r="D267" s="33" t="s">
        <v>55</v>
      </c>
      <c r="E267" s="200">
        <v>-157687723</v>
      </c>
      <c r="F267" s="199">
        <v>-2362930</v>
      </c>
      <c r="G267" s="200">
        <v>28139750</v>
      </c>
      <c r="H267" s="199">
        <v>1049202.02</v>
      </c>
      <c r="I267" s="200">
        <v>-1173052</v>
      </c>
      <c r="J267" s="199">
        <v>-1656853.35</v>
      </c>
      <c r="K267" s="199">
        <v>-1059727</v>
      </c>
      <c r="L267" s="199">
        <v>-56713.25</v>
      </c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">
      <c r="A268" s="33" t="s">
        <v>140</v>
      </c>
      <c r="B268" s="33" t="s">
        <v>142</v>
      </c>
      <c r="C268" s="33">
        <v>25</v>
      </c>
      <c r="D268" s="33" t="s">
        <v>56</v>
      </c>
      <c r="E268" s="200">
        <v>0</v>
      </c>
      <c r="F268" s="199">
        <v>-6131068.8900000006</v>
      </c>
      <c r="G268" s="200">
        <v>0</v>
      </c>
      <c r="H268" s="199">
        <v>-608301.96</v>
      </c>
      <c r="I268" s="200">
        <v>0</v>
      </c>
      <c r="J268" s="199">
        <v>-265948.82</v>
      </c>
      <c r="K268" s="199">
        <v>0</v>
      </c>
      <c r="L268" s="199">
        <v>5495.45</v>
      </c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">
      <c r="A269" s="33" t="s">
        <v>140</v>
      </c>
      <c r="B269" s="33" t="s">
        <v>142</v>
      </c>
      <c r="C269" s="33">
        <v>26</v>
      </c>
      <c r="D269" s="33" t="s">
        <v>132</v>
      </c>
      <c r="E269" s="200">
        <v>0</v>
      </c>
      <c r="F269" s="199">
        <v>66216</v>
      </c>
      <c r="G269" s="200">
        <v>0</v>
      </c>
      <c r="H269" s="199">
        <v>-19359.169999999998</v>
      </c>
      <c r="I269" s="200">
        <v>0</v>
      </c>
      <c r="J269" s="199">
        <v>18325.72</v>
      </c>
      <c r="K269" s="199">
        <v>0</v>
      </c>
      <c r="L269" s="199">
        <v>0</v>
      </c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">
      <c r="A270" s="33" t="s">
        <v>140</v>
      </c>
      <c r="B270" s="33" t="s">
        <v>142</v>
      </c>
      <c r="C270" s="33">
        <v>27</v>
      </c>
      <c r="D270" s="33" t="s">
        <v>133</v>
      </c>
      <c r="E270" s="200">
        <v>0</v>
      </c>
      <c r="F270" s="199">
        <v>0</v>
      </c>
      <c r="G270" s="200">
        <v>0</v>
      </c>
      <c r="H270" s="199">
        <v>0</v>
      </c>
      <c r="I270" s="200">
        <v>0</v>
      </c>
      <c r="J270" s="199">
        <v>0</v>
      </c>
      <c r="K270" s="199">
        <v>0</v>
      </c>
      <c r="L270" s="199">
        <v>0</v>
      </c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">
      <c r="A271" s="33" t="s">
        <v>140</v>
      </c>
      <c r="B271" s="33" t="s">
        <v>142</v>
      </c>
      <c r="C271" s="33">
        <v>28</v>
      </c>
      <c r="D271" s="33" t="s">
        <v>134</v>
      </c>
      <c r="E271" s="200">
        <v>0</v>
      </c>
      <c r="F271" s="199">
        <v>0</v>
      </c>
      <c r="G271" s="200">
        <v>0</v>
      </c>
      <c r="H271" s="199">
        <v>0</v>
      </c>
      <c r="I271" s="200">
        <v>0</v>
      </c>
      <c r="J271" s="199">
        <v>0</v>
      </c>
      <c r="K271" s="199">
        <v>0</v>
      </c>
      <c r="L271" s="199">
        <v>0</v>
      </c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">
      <c r="A272" s="33" t="s">
        <v>140</v>
      </c>
      <c r="B272" s="33" t="s">
        <v>142</v>
      </c>
      <c r="C272" s="33">
        <v>29</v>
      </c>
      <c r="D272" s="33" t="s">
        <v>135</v>
      </c>
      <c r="E272" s="200">
        <v>0</v>
      </c>
      <c r="F272" s="199">
        <v>0</v>
      </c>
      <c r="G272" s="200">
        <v>0</v>
      </c>
      <c r="H272" s="199">
        <v>0</v>
      </c>
      <c r="I272" s="200">
        <v>0</v>
      </c>
      <c r="J272" s="199">
        <v>0</v>
      </c>
      <c r="K272" s="199">
        <v>0</v>
      </c>
      <c r="L272" s="199">
        <v>0</v>
      </c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">
      <c r="A273" s="33" t="s">
        <v>140</v>
      </c>
      <c r="B273" s="33" t="s">
        <v>142</v>
      </c>
      <c r="C273" s="33">
        <v>30</v>
      </c>
      <c r="D273" s="33" t="s">
        <v>136</v>
      </c>
      <c r="E273" s="200">
        <v>0</v>
      </c>
      <c r="F273" s="199">
        <v>0</v>
      </c>
      <c r="G273" s="200">
        <v>0</v>
      </c>
      <c r="H273" s="199">
        <v>0</v>
      </c>
      <c r="I273" s="200">
        <v>0</v>
      </c>
      <c r="J273" s="199">
        <v>0</v>
      </c>
      <c r="K273" s="199">
        <v>0</v>
      </c>
      <c r="L273" s="199">
        <v>0</v>
      </c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">
      <c r="A274" s="33" t="s">
        <v>140</v>
      </c>
      <c r="B274" s="33" t="s">
        <v>142</v>
      </c>
      <c r="C274" s="33">
        <v>31</v>
      </c>
      <c r="D274" s="33" t="s">
        <v>137</v>
      </c>
      <c r="E274" s="200">
        <v>0</v>
      </c>
      <c r="F274" s="199">
        <v>0</v>
      </c>
      <c r="G274" s="200">
        <v>0</v>
      </c>
      <c r="H274" s="199">
        <v>0</v>
      </c>
      <c r="I274" s="200">
        <v>0</v>
      </c>
      <c r="J274" s="199">
        <v>0</v>
      </c>
      <c r="K274" s="199">
        <v>0</v>
      </c>
      <c r="L274" s="199">
        <v>0</v>
      </c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">
      <c r="A275" s="33" t="s">
        <v>140</v>
      </c>
      <c r="B275" s="33" t="s">
        <v>142</v>
      </c>
      <c r="C275" s="33">
        <v>32</v>
      </c>
      <c r="D275" s="33" t="s">
        <v>70</v>
      </c>
      <c r="E275" s="200">
        <v>0</v>
      </c>
      <c r="F275" s="199">
        <v>0</v>
      </c>
      <c r="G275" s="200">
        <v>0</v>
      </c>
      <c r="H275" s="199">
        <v>0</v>
      </c>
      <c r="I275" s="200">
        <v>0</v>
      </c>
      <c r="J275" s="199">
        <v>0</v>
      </c>
      <c r="K275" s="199">
        <v>0</v>
      </c>
      <c r="L275" s="199">
        <v>0</v>
      </c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">
      <c r="A276" s="33" t="s">
        <v>140</v>
      </c>
      <c r="B276" s="33" t="s">
        <v>142</v>
      </c>
      <c r="C276" s="33">
        <v>33</v>
      </c>
      <c r="D276" s="33" t="s">
        <v>71</v>
      </c>
      <c r="E276" s="200">
        <v>0</v>
      </c>
      <c r="F276" s="199">
        <v>0</v>
      </c>
      <c r="G276" s="200">
        <v>0</v>
      </c>
      <c r="H276" s="199">
        <v>0</v>
      </c>
      <c r="I276" s="200">
        <v>0</v>
      </c>
      <c r="J276" s="199">
        <v>0</v>
      </c>
      <c r="K276" s="199">
        <v>0</v>
      </c>
      <c r="L276" s="199">
        <v>0</v>
      </c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">
      <c r="A277" s="33" t="s">
        <v>140</v>
      </c>
      <c r="B277" s="33" t="s">
        <v>142</v>
      </c>
      <c r="C277" s="33">
        <v>34</v>
      </c>
      <c r="D277" s="33" t="s">
        <v>72</v>
      </c>
      <c r="E277" s="200">
        <v>0</v>
      </c>
      <c r="F277" s="199">
        <v>0</v>
      </c>
      <c r="G277" s="200">
        <v>0</v>
      </c>
      <c r="H277" s="199">
        <v>0</v>
      </c>
      <c r="I277" s="200">
        <v>0</v>
      </c>
      <c r="J277" s="199">
        <v>0</v>
      </c>
      <c r="K277" s="199">
        <v>0</v>
      </c>
      <c r="L277" s="199">
        <v>0</v>
      </c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">
      <c r="A278" s="33" t="s">
        <v>140</v>
      </c>
      <c r="B278" s="33" t="s">
        <v>142</v>
      </c>
      <c r="C278" s="33">
        <v>35</v>
      </c>
      <c r="D278" s="33" t="s">
        <v>73</v>
      </c>
      <c r="E278" s="200">
        <v>0</v>
      </c>
      <c r="F278" s="199">
        <v>-8979.5400000000009</v>
      </c>
      <c r="G278" s="200">
        <v>0</v>
      </c>
      <c r="H278" s="199">
        <v>-3678.71</v>
      </c>
      <c r="I278" s="200">
        <v>0</v>
      </c>
      <c r="J278" s="199">
        <v>7129.76</v>
      </c>
      <c r="K278" s="199">
        <v>0</v>
      </c>
      <c r="L278" s="199">
        <v>0</v>
      </c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">
      <c r="A279" s="33" t="s">
        <v>140</v>
      </c>
      <c r="B279" s="33" t="s">
        <v>142</v>
      </c>
      <c r="C279" s="33">
        <v>36</v>
      </c>
      <c r="D279" s="33" t="s">
        <v>74</v>
      </c>
      <c r="E279" s="200">
        <v>0</v>
      </c>
      <c r="F279" s="199">
        <v>0</v>
      </c>
      <c r="G279" s="200">
        <v>0</v>
      </c>
      <c r="H279" s="199">
        <v>0</v>
      </c>
      <c r="I279" s="200">
        <v>0</v>
      </c>
      <c r="J279" s="199">
        <v>0</v>
      </c>
      <c r="K279" s="199">
        <v>0</v>
      </c>
      <c r="L279" s="199">
        <v>0</v>
      </c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">
      <c r="A280" s="33" t="s">
        <v>140</v>
      </c>
      <c r="B280" s="33" t="s">
        <v>142</v>
      </c>
      <c r="C280" s="33">
        <v>37</v>
      </c>
      <c r="D280" s="33" t="s">
        <v>75</v>
      </c>
      <c r="E280" s="200">
        <v>0</v>
      </c>
      <c r="F280" s="199">
        <v>0</v>
      </c>
      <c r="G280" s="200">
        <v>0</v>
      </c>
      <c r="H280" s="199">
        <v>0</v>
      </c>
      <c r="I280" s="200">
        <v>0</v>
      </c>
      <c r="J280" s="199">
        <v>0</v>
      </c>
      <c r="K280" s="199">
        <v>0</v>
      </c>
      <c r="L280" s="199">
        <v>0</v>
      </c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">
      <c r="A281" s="33" t="s">
        <v>140</v>
      </c>
      <c r="B281" s="33" t="s">
        <v>142</v>
      </c>
      <c r="C281" s="33">
        <v>38</v>
      </c>
      <c r="D281" s="33" t="s">
        <v>76</v>
      </c>
      <c r="E281" s="200">
        <v>0</v>
      </c>
      <c r="F281" s="199">
        <v>0</v>
      </c>
      <c r="G281" s="200">
        <v>0</v>
      </c>
      <c r="H281" s="199">
        <v>0</v>
      </c>
      <c r="I281" s="200">
        <v>0</v>
      </c>
      <c r="J281" s="199">
        <v>0</v>
      </c>
      <c r="K281" s="199">
        <v>0</v>
      </c>
      <c r="L281" s="199">
        <v>0</v>
      </c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">
      <c r="A282" s="33" t="s">
        <v>140</v>
      </c>
      <c r="B282" s="33" t="s">
        <v>142</v>
      </c>
      <c r="C282" s="33">
        <v>39</v>
      </c>
      <c r="D282" s="33" t="s">
        <v>77</v>
      </c>
      <c r="E282" s="200">
        <v>0</v>
      </c>
      <c r="F282" s="199">
        <v>0</v>
      </c>
      <c r="G282" s="200">
        <v>0</v>
      </c>
      <c r="H282" s="199">
        <v>0</v>
      </c>
      <c r="I282" s="200">
        <v>0</v>
      </c>
      <c r="J282" s="199">
        <v>0</v>
      </c>
      <c r="K282" s="199">
        <v>0</v>
      </c>
      <c r="L282" s="199">
        <v>0</v>
      </c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">
      <c r="A283" s="33" t="s">
        <v>140</v>
      </c>
      <c r="B283" s="33" t="s">
        <v>142</v>
      </c>
      <c r="C283" s="33">
        <v>40</v>
      </c>
      <c r="D283" s="33" t="s">
        <v>78</v>
      </c>
      <c r="E283" s="200">
        <v>0</v>
      </c>
      <c r="F283" s="199">
        <v>201134.56</v>
      </c>
      <c r="G283" s="200">
        <v>0</v>
      </c>
      <c r="H283" s="199">
        <v>25279.03</v>
      </c>
      <c r="I283" s="200">
        <v>0</v>
      </c>
      <c r="J283" s="199">
        <v>0</v>
      </c>
      <c r="K283" s="199">
        <v>0</v>
      </c>
      <c r="L283" s="199">
        <v>0</v>
      </c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">
      <c r="A284" s="33" t="s">
        <v>140</v>
      </c>
      <c r="B284" s="33" t="s">
        <v>160</v>
      </c>
      <c r="C284" s="33">
        <v>1</v>
      </c>
      <c r="D284" s="33" t="s">
        <v>25</v>
      </c>
      <c r="E284" s="200">
        <v>37751028</v>
      </c>
      <c r="F284" s="199">
        <v>86842907.959999993</v>
      </c>
      <c r="G284" s="200">
        <v>0</v>
      </c>
      <c r="H284" s="199">
        <v>-243551.48</v>
      </c>
      <c r="I284" s="200">
        <v>0</v>
      </c>
      <c r="J284" s="199">
        <v>0</v>
      </c>
      <c r="K284" s="199">
        <v>627959</v>
      </c>
      <c r="L284" s="199">
        <v>1475703.84</v>
      </c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">
      <c r="A285" s="33" t="s">
        <v>140</v>
      </c>
      <c r="B285" s="33" t="s">
        <v>160</v>
      </c>
      <c r="C285" s="33">
        <v>2</v>
      </c>
      <c r="D285" s="33" t="s">
        <v>26</v>
      </c>
      <c r="E285" s="200">
        <v>0</v>
      </c>
      <c r="F285" s="199">
        <v>0</v>
      </c>
      <c r="G285" s="200">
        <v>0</v>
      </c>
      <c r="H285" s="199">
        <v>0</v>
      </c>
      <c r="I285" s="200">
        <v>0</v>
      </c>
      <c r="J285" s="199">
        <v>0</v>
      </c>
      <c r="K285" s="199">
        <v>0</v>
      </c>
      <c r="L285" s="199">
        <v>0</v>
      </c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">
      <c r="A286" s="33" t="s">
        <v>140</v>
      </c>
      <c r="B286" s="33" t="s">
        <v>160</v>
      </c>
      <c r="C286" s="33">
        <v>3</v>
      </c>
      <c r="D286" s="33" t="s">
        <v>27</v>
      </c>
      <c r="E286" s="200">
        <v>3709833</v>
      </c>
      <c r="F286" s="199">
        <v>9157794</v>
      </c>
      <c r="G286" s="200">
        <v>-2009725</v>
      </c>
      <c r="H286" s="199">
        <v>-4881944</v>
      </c>
      <c r="I286" s="200">
        <v>0</v>
      </c>
      <c r="J286" s="199">
        <v>0</v>
      </c>
      <c r="K286" s="199">
        <v>545</v>
      </c>
      <c r="L286" s="199">
        <v>3564</v>
      </c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">
      <c r="A287" s="33" t="s">
        <v>140</v>
      </c>
      <c r="B287" s="33" t="s">
        <v>160</v>
      </c>
      <c r="C287" s="33">
        <v>4</v>
      </c>
      <c r="D287" s="33" t="s">
        <v>28</v>
      </c>
      <c r="E287" s="200">
        <v>0</v>
      </c>
      <c r="F287" s="199">
        <v>0</v>
      </c>
      <c r="G287" s="200">
        <v>0</v>
      </c>
      <c r="H287" s="199">
        <v>0</v>
      </c>
      <c r="I287" s="200">
        <v>0</v>
      </c>
      <c r="J287" s="199">
        <v>0</v>
      </c>
      <c r="K287" s="199">
        <v>0</v>
      </c>
      <c r="L287" s="199">
        <v>0</v>
      </c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">
      <c r="A288" s="33" t="s">
        <v>140</v>
      </c>
      <c r="B288" s="33" t="s">
        <v>160</v>
      </c>
      <c r="C288" s="33">
        <v>5</v>
      </c>
      <c r="D288" s="33" t="s">
        <v>125</v>
      </c>
      <c r="E288" s="200">
        <v>0</v>
      </c>
      <c r="F288" s="199">
        <v>0</v>
      </c>
      <c r="G288" s="200">
        <v>0</v>
      </c>
      <c r="H288" s="199">
        <v>0</v>
      </c>
      <c r="I288" s="200">
        <v>0</v>
      </c>
      <c r="J288" s="199">
        <v>0</v>
      </c>
      <c r="K288" s="199">
        <v>0</v>
      </c>
      <c r="L288" s="199">
        <v>0</v>
      </c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">
      <c r="A289" s="33" t="s">
        <v>140</v>
      </c>
      <c r="B289" s="33" t="s">
        <v>160</v>
      </c>
      <c r="C289" s="33">
        <v>6</v>
      </c>
      <c r="D289" s="33" t="s">
        <v>25</v>
      </c>
      <c r="E289" s="200">
        <v>-41086985</v>
      </c>
      <c r="F289" s="199">
        <v>-95951544.220000014</v>
      </c>
      <c r="G289" s="200">
        <v>-2729</v>
      </c>
      <c r="H289" s="199">
        <v>283665.39</v>
      </c>
      <c r="I289" s="200">
        <v>609669</v>
      </c>
      <c r="J289" s="199">
        <v>1426625</v>
      </c>
      <c r="K289" s="199">
        <v>-1237636</v>
      </c>
      <c r="L289" s="199">
        <v>-2902347.45</v>
      </c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">
      <c r="A290" s="33" t="s">
        <v>140</v>
      </c>
      <c r="B290" s="33" t="s">
        <v>160</v>
      </c>
      <c r="C290" s="33">
        <v>7</v>
      </c>
      <c r="D290" s="33" t="s">
        <v>26</v>
      </c>
      <c r="E290" s="200">
        <v>0</v>
      </c>
      <c r="F290" s="199">
        <v>0</v>
      </c>
      <c r="G290" s="200">
        <v>0</v>
      </c>
      <c r="H290" s="199">
        <v>0</v>
      </c>
      <c r="I290" s="200">
        <v>0</v>
      </c>
      <c r="J290" s="199">
        <v>0</v>
      </c>
      <c r="K290" s="199">
        <v>0</v>
      </c>
      <c r="L290" s="199">
        <v>0</v>
      </c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">
      <c r="A291" s="33" t="s">
        <v>140</v>
      </c>
      <c r="B291" s="33" t="s">
        <v>160</v>
      </c>
      <c r="C291" s="33">
        <v>8</v>
      </c>
      <c r="D291" s="33" t="s">
        <v>27</v>
      </c>
      <c r="E291" s="200">
        <v>-139182</v>
      </c>
      <c r="F291" s="199">
        <v>-331021</v>
      </c>
      <c r="G291" s="200">
        <v>-5000</v>
      </c>
      <c r="H291" s="199">
        <v>-11400</v>
      </c>
      <c r="I291" s="200">
        <v>0</v>
      </c>
      <c r="J291" s="199">
        <v>0</v>
      </c>
      <c r="K291" s="199">
        <v>0</v>
      </c>
      <c r="L291" s="199">
        <v>0</v>
      </c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">
      <c r="A292" s="33" t="s">
        <v>140</v>
      </c>
      <c r="B292" s="33" t="s">
        <v>160</v>
      </c>
      <c r="C292" s="33">
        <v>9</v>
      </c>
      <c r="D292" s="33" t="s">
        <v>28</v>
      </c>
      <c r="E292" s="200">
        <v>0</v>
      </c>
      <c r="F292" s="199">
        <v>0</v>
      </c>
      <c r="G292" s="200">
        <v>0</v>
      </c>
      <c r="H292" s="199">
        <v>0</v>
      </c>
      <c r="I292" s="200">
        <v>0</v>
      </c>
      <c r="J292" s="199">
        <v>0</v>
      </c>
      <c r="K292" s="199">
        <v>0</v>
      </c>
      <c r="L292" s="199">
        <v>0</v>
      </c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">
      <c r="A293" s="33" t="s">
        <v>140</v>
      </c>
      <c r="B293" s="33" t="s">
        <v>160</v>
      </c>
      <c r="C293" s="33">
        <v>10</v>
      </c>
      <c r="D293" s="33" t="s">
        <v>32</v>
      </c>
      <c r="E293" s="200">
        <v>4620</v>
      </c>
      <c r="F293" s="199">
        <v>12474</v>
      </c>
      <c r="G293" s="200">
        <v>60742</v>
      </c>
      <c r="H293" s="199">
        <v>164003.4</v>
      </c>
      <c r="I293" s="200">
        <v>0</v>
      </c>
      <c r="J293" s="199">
        <v>0</v>
      </c>
      <c r="K293" s="199">
        <v>0</v>
      </c>
      <c r="L293" s="199">
        <v>0</v>
      </c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">
      <c r="A294" s="33" t="s">
        <v>140</v>
      </c>
      <c r="B294" s="33" t="s">
        <v>160</v>
      </c>
      <c r="C294" s="33">
        <v>11</v>
      </c>
      <c r="D294" s="33" t="s">
        <v>35</v>
      </c>
      <c r="E294" s="200">
        <v>0</v>
      </c>
      <c r="F294" s="199">
        <v>0</v>
      </c>
      <c r="G294" s="200">
        <v>0</v>
      </c>
      <c r="H294" s="199">
        <v>0</v>
      </c>
      <c r="I294" s="200">
        <v>0</v>
      </c>
      <c r="J294" s="199">
        <v>0</v>
      </c>
      <c r="K294" s="199">
        <v>0</v>
      </c>
      <c r="L294" s="199">
        <v>0</v>
      </c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">
      <c r="A295" s="33" t="s">
        <v>140</v>
      </c>
      <c r="B295" s="33" t="s">
        <v>160</v>
      </c>
      <c r="C295" s="33">
        <v>12</v>
      </c>
      <c r="D295" s="33" t="s">
        <v>36</v>
      </c>
      <c r="E295" s="200">
        <v>0</v>
      </c>
      <c r="F295" s="199">
        <v>0</v>
      </c>
      <c r="G295" s="200">
        <v>0</v>
      </c>
      <c r="H295" s="199">
        <v>0</v>
      </c>
      <c r="I295" s="200">
        <v>0</v>
      </c>
      <c r="J295" s="199">
        <v>0</v>
      </c>
      <c r="K295" s="199">
        <v>0</v>
      </c>
      <c r="L295" s="199">
        <v>0</v>
      </c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">
      <c r="A296" s="33" t="s">
        <v>140</v>
      </c>
      <c r="B296" s="33" t="s">
        <v>160</v>
      </c>
      <c r="C296" s="33">
        <v>13</v>
      </c>
      <c r="D296" s="33" t="s">
        <v>39</v>
      </c>
      <c r="E296" s="200">
        <v>-358303</v>
      </c>
      <c r="F296" s="199">
        <v>-967418.1</v>
      </c>
      <c r="G296" s="200">
        <v>1218756</v>
      </c>
      <c r="H296" s="199">
        <v>3290641.2</v>
      </c>
      <c r="I296" s="200">
        <v>0</v>
      </c>
      <c r="J296" s="199">
        <v>0</v>
      </c>
      <c r="K296" s="199">
        <v>-3126</v>
      </c>
      <c r="L296" s="199">
        <v>-8440.2000000000007</v>
      </c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">
      <c r="A297" s="33" t="s">
        <v>140</v>
      </c>
      <c r="B297" s="33" t="s">
        <v>160</v>
      </c>
      <c r="C297" s="33">
        <v>14</v>
      </c>
      <c r="D297" s="33" t="s">
        <v>40</v>
      </c>
      <c r="E297" s="200">
        <v>0</v>
      </c>
      <c r="F297" s="199">
        <v>0</v>
      </c>
      <c r="G297" s="200">
        <v>0</v>
      </c>
      <c r="H297" s="199">
        <v>0</v>
      </c>
      <c r="I297" s="200">
        <v>0</v>
      </c>
      <c r="J297" s="199">
        <v>0</v>
      </c>
      <c r="K297" s="199">
        <v>0</v>
      </c>
      <c r="L297" s="199">
        <v>0</v>
      </c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">
      <c r="A298" s="33" t="s">
        <v>140</v>
      </c>
      <c r="B298" s="33" t="s">
        <v>160</v>
      </c>
      <c r="C298" s="33">
        <v>15</v>
      </c>
      <c r="D298" s="33" t="s">
        <v>41</v>
      </c>
      <c r="E298" s="200">
        <v>0</v>
      </c>
      <c r="F298" s="199">
        <v>0</v>
      </c>
      <c r="G298" s="200">
        <v>0</v>
      </c>
      <c r="H298" s="199">
        <v>0</v>
      </c>
      <c r="I298" s="200">
        <v>0</v>
      </c>
      <c r="J298" s="199">
        <v>0</v>
      </c>
      <c r="K298" s="199">
        <v>0</v>
      </c>
      <c r="L298" s="199">
        <v>0</v>
      </c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">
      <c r="A299" s="33" t="s">
        <v>140</v>
      </c>
      <c r="B299" s="33" t="s">
        <v>160</v>
      </c>
      <c r="C299" s="33">
        <v>16</v>
      </c>
      <c r="D299" s="33" t="s">
        <v>42</v>
      </c>
      <c r="E299" s="200">
        <v>0</v>
      </c>
      <c r="F299" s="199">
        <v>0</v>
      </c>
      <c r="G299" s="200">
        <v>0</v>
      </c>
      <c r="H299" s="199">
        <v>0</v>
      </c>
      <c r="I299" s="200">
        <v>0</v>
      </c>
      <c r="J299" s="199">
        <v>0</v>
      </c>
      <c r="K299" s="199">
        <v>0</v>
      </c>
      <c r="L299" s="199">
        <v>0</v>
      </c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">
      <c r="A300" s="33" t="s">
        <v>140</v>
      </c>
      <c r="B300" s="33" t="s">
        <v>160</v>
      </c>
      <c r="C300" s="33">
        <v>17</v>
      </c>
      <c r="D300" s="33" t="s">
        <v>126</v>
      </c>
      <c r="E300" s="200">
        <v>0</v>
      </c>
      <c r="F300" s="199">
        <v>0</v>
      </c>
      <c r="G300" s="200">
        <v>0</v>
      </c>
      <c r="H300" s="199">
        <v>0</v>
      </c>
      <c r="I300" s="200">
        <v>0</v>
      </c>
      <c r="J300" s="199">
        <v>0</v>
      </c>
      <c r="K300" s="199">
        <v>0</v>
      </c>
      <c r="L300" s="199">
        <v>0</v>
      </c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">
      <c r="A301" s="33" t="s">
        <v>140</v>
      </c>
      <c r="B301" s="33" t="s">
        <v>160</v>
      </c>
      <c r="C301" s="33">
        <v>18</v>
      </c>
      <c r="D301" s="33" t="s">
        <v>127</v>
      </c>
      <c r="E301" s="200">
        <v>0</v>
      </c>
      <c r="F301" s="199">
        <v>0</v>
      </c>
      <c r="G301" s="200">
        <v>0</v>
      </c>
      <c r="H301" s="199">
        <v>0</v>
      </c>
      <c r="I301" s="200">
        <v>0</v>
      </c>
      <c r="J301" s="199">
        <v>0</v>
      </c>
      <c r="K301" s="199">
        <v>0</v>
      </c>
      <c r="L301" s="199">
        <v>0</v>
      </c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">
      <c r="A302" s="33" t="s">
        <v>140</v>
      </c>
      <c r="B302" s="33" t="s">
        <v>160</v>
      </c>
      <c r="C302" s="33">
        <v>19</v>
      </c>
      <c r="D302" s="33" t="s">
        <v>47</v>
      </c>
      <c r="E302" s="200">
        <v>0</v>
      </c>
      <c r="F302" s="199">
        <v>0</v>
      </c>
      <c r="G302" s="200">
        <v>0</v>
      </c>
      <c r="H302" s="199">
        <v>0</v>
      </c>
      <c r="I302" s="200">
        <v>0</v>
      </c>
      <c r="J302" s="199">
        <v>0</v>
      </c>
      <c r="K302" s="199">
        <v>0</v>
      </c>
      <c r="L302" s="199">
        <v>0</v>
      </c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">
      <c r="A303" s="33" t="s">
        <v>140</v>
      </c>
      <c r="B303" s="33" t="s">
        <v>160</v>
      </c>
      <c r="C303" s="33">
        <v>20</v>
      </c>
      <c r="D303" s="33" t="s">
        <v>128</v>
      </c>
      <c r="E303" s="200">
        <v>0</v>
      </c>
      <c r="F303" s="199">
        <v>0</v>
      </c>
      <c r="G303" s="200">
        <v>0</v>
      </c>
      <c r="H303" s="199">
        <v>0</v>
      </c>
      <c r="I303" s="200">
        <v>0</v>
      </c>
      <c r="J303" s="199">
        <v>0</v>
      </c>
      <c r="K303" s="199">
        <v>0</v>
      </c>
      <c r="L303" s="199">
        <v>0</v>
      </c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">
      <c r="A304" s="33" t="s">
        <v>140</v>
      </c>
      <c r="B304" s="33" t="s">
        <v>160</v>
      </c>
      <c r="C304" s="33">
        <v>21</v>
      </c>
      <c r="D304" s="33" t="s">
        <v>129</v>
      </c>
      <c r="E304" s="200">
        <v>0</v>
      </c>
      <c r="F304" s="199">
        <v>0</v>
      </c>
      <c r="G304" s="200">
        <v>0</v>
      </c>
      <c r="H304" s="199">
        <v>0</v>
      </c>
      <c r="I304" s="200">
        <v>0</v>
      </c>
      <c r="J304" s="199">
        <v>0</v>
      </c>
      <c r="K304" s="199">
        <v>0</v>
      </c>
      <c r="L304" s="199">
        <v>0</v>
      </c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">
      <c r="A305" s="33" t="s">
        <v>140</v>
      </c>
      <c r="B305" s="33" t="s">
        <v>160</v>
      </c>
      <c r="C305" s="33">
        <v>22</v>
      </c>
      <c r="D305" s="33" t="s">
        <v>130</v>
      </c>
      <c r="E305" s="200">
        <v>118989</v>
      </c>
      <c r="F305" s="199">
        <v>321270.3</v>
      </c>
      <c r="G305" s="200">
        <v>737956</v>
      </c>
      <c r="H305" s="199">
        <v>1992481.2</v>
      </c>
      <c r="I305" s="200">
        <v>-609669</v>
      </c>
      <c r="J305" s="199">
        <v>-1646106.3</v>
      </c>
      <c r="K305" s="199">
        <v>612258</v>
      </c>
      <c r="L305" s="199">
        <v>1653096.6</v>
      </c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">
      <c r="A306" s="33" t="s">
        <v>140</v>
      </c>
      <c r="B306" s="33" t="s">
        <v>160</v>
      </c>
      <c r="C306" s="33">
        <v>23</v>
      </c>
      <c r="D306" s="33" t="s">
        <v>131</v>
      </c>
      <c r="E306" s="200">
        <v>-4620</v>
      </c>
      <c r="F306" s="199">
        <v>-12474</v>
      </c>
      <c r="G306" s="200">
        <v>-60742</v>
      </c>
      <c r="H306" s="199">
        <v>-164003.4</v>
      </c>
      <c r="I306" s="200">
        <v>0</v>
      </c>
      <c r="J306" s="199">
        <v>0</v>
      </c>
      <c r="K306" s="199">
        <v>0</v>
      </c>
      <c r="L306" s="199">
        <v>0</v>
      </c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">
      <c r="A307" s="33" t="s">
        <v>140</v>
      </c>
      <c r="B307" s="33" t="s">
        <v>160</v>
      </c>
      <c r="C307" s="33">
        <v>24</v>
      </c>
      <c r="D307" s="33" t="s">
        <v>55</v>
      </c>
      <c r="E307" s="200">
        <v>0</v>
      </c>
      <c r="F307" s="199">
        <v>0</v>
      </c>
      <c r="G307" s="200">
        <v>0</v>
      </c>
      <c r="H307" s="199">
        <v>-138293.92000000001</v>
      </c>
      <c r="I307" s="200">
        <v>0</v>
      </c>
      <c r="J307" s="199">
        <v>0</v>
      </c>
      <c r="K307" s="199">
        <v>0</v>
      </c>
      <c r="L307" s="199">
        <v>89.92</v>
      </c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">
      <c r="A308" s="33" t="s">
        <v>140</v>
      </c>
      <c r="B308" s="33" t="s">
        <v>160</v>
      </c>
      <c r="C308" s="33">
        <v>25</v>
      </c>
      <c r="D308" s="33" t="s">
        <v>56</v>
      </c>
      <c r="E308" s="200">
        <v>0</v>
      </c>
      <c r="F308" s="199">
        <v>0</v>
      </c>
      <c r="G308" s="200">
        <v>0</v>
      </c>
      <c r="H308" s="199">
        <v>0</v>
      </c>
      <c r="I308" s="200">
        <v>0</v>
      </c>
      <c r="J308" s="199">
        <v>0</v>
      </c>
      <c r="K308" s="199">
        <v>0</v>
      </c>
      <c r="L308" s="199">
        <v>0</v>
      </c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">
      <c r="A309" s="33" t="s">
        <v>140</v>
      </c>
      <c r="B309" s="33" t="s">
        <v>160</v>
      </c>
      <c r="C309" s="33">
        <v>26</v>
      </c>
      <c r="D309" s="33" t="s">
        <v>132</v>
      </c>
      <c r="E309" s="200">
        <v>0</v>
      </c>
      <c r="F309" s="199">
        <v>0</v>
      </c>
      <c r="G309" s="200">
        <v>0</v>
      </c>
      <c r="H309" s="199">
        <v>0</v>
      </c>
      <c r="I309" s="200">
        <v>0</v>
      </c>
      <c r="J309" s="199">
        <v>0</v>
      </c>
      <c r="K309" s="199">
        <v>0</v>
      </c>
      <c r="L309" s="199">
        <v>0</v>
      </c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">
      <c r="A310" s="33" t="s">
        <v>140</v>
      </c>
      <c r="B310" s="33" t="s">
        <v>160</v>
      </c>
      <c r="C310" s="33">
        <v>27</v>
      </c>
      <c r="D310" s="33" t="s">
        <v>133</v>
      </c>
      <c r="E310" s="200">
        <v>0</v>
      </c>
      <c r="F310" s="199">
        <v>0</v>
      </c>
      <c r="G310" s="200">
        <v>0</v>
      </c>
      <c r="H310" s="199">
        <v>0</v>
      </c>
      <c r="I310" s="200">
        <v>0</v>
      </c>
      <c r="J310" s="199">
        <v>0</v>
      </c>
      <c r="K310" s="199">
        <v>0</v>
      </c>
      <c r="L310" s="199">
        <v>0</v>
      </c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">
      <c r="A311" s="33" t="s">
        <v>140</v>
      </c>
      <c r="B311" s="33" t="s">
        <v>160</v>
      </c>
      <c r="C311" s="33">
        <v>28</v>
      </c>
      <c r="D311" s="33" t="s">
        <v>134</v>
      </c>
      <c r="E311" s="200">
        <v>0</v>
      </c>
      <c r="F311" s="199">
        <v>0</v>
      </c>
      <c r="G311" s="200">
        <v>0</v>
      </c>
      <c r="H311" s="199">
        <v>0</v>
      </c>
      <c r="I311" s="200">
        <v>0</v>
      </c>
      <c r="J311" s="199">
        <v>0</v>
      </c>
      <c r="K311" s="199">
        <v>0</v>
      </c>
      <c r="L311" s="199">
        <v>0</v>
      </c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">
      <c r="A312" s="33" t="s">
        <v>140</v>
      </c>
      <c r="B312" s="33" t="s">
        <v>160</v>
      </c>
      <c r="C312" s="33">
        <v>29</v>
      </c>
      <c r="D312" s="33" t="s">
        <v>135</v>
      </c>
      <c r="E312" s="200">
        <v>0</v>
      </c>
      <c r="F312" s="199">
        <v>0</v>
      </c>
      <c r="G312" s="200">
        <v>0</v>
      </c>
      <c r="H312" s="199">
        <v>0</v>
      </c>
      <c r="I312" s="200">
        <v>0</v>
      </c>
      <c r="J312" s="199">
        <v>0</v>
      </c>
      <c r="K312" s="199">
        <v>0</v>
      </c>
      <c r="L312" s="199">
        <v>0</v>
      </c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">
      <c r="A313" s="33" t="s">
        <v>140</v>
      </c>
      <c r="B313" s="33" t="s">
        <v>160</v>
      </c>
      <c r="C313" s="33">
        <v>30</v>
      </c>
      <c r="D313" s="33" t="s">
        <v>136</v>
      </c>
      <c r="E313" s="200">
        <v>0</v>
      </c>
      <c r="F313" s="199">
        <v>0</v>
      </c>
      <c r="G313" s="200">
        <v>0</v>
      </c>
      <c r="H313" s="199">
        <v>0</v>
      </c>
      <c r="I313" s="200">
        <v>0</v>
      </c>
      <c r="J313" s="199">
        <v>0</v>
      </c>
      <c r="K313" s="199">
        <v>0</v>
      </c>
      <c r="L313" s="199">
        <v>0</v>
      </c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">
      <c r="A314" s="33" t="s">
        <v>140</v>
      </c>
      <c r="B314" s="33" t="s">
        <v>160</v>
      </c>
      <c r="C314" s="33">
        <v>31</v>
      </c>
      <c r="D314" s="33" t="s">
        <v>137</v>
      </c>
      <c r="E314" s="200">
        <v>0</v>
      </c>
      <c r="F314" s="199">
        <v>0</v>
      </c>
      <c r="G314" s="200">
        <v>0</v>
      </c>
      <c r="H314" s="199">
        <v>0</v>
      </c>
      <c r="I314" s="200">
        <v>0</v>
      </c>
      <c r="J314" s="199">
        <v>0</v>
      </c>
      <c r="K314" s="199">
        <v>0</v>
      </c>
      <c r="L314" s="199">
        <v>0</v>
      </c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">
      <c r="A315" s="33" t="s">
        <v>140</v>
      </c>
      <c r="B315" s="33" t="s">
        <v>160</v>
      </c>
      <c r="C315" s="33">
        <v>32</v>
      </c>
      <c r="D315" s="33" t="s">
        <v>70</v>
      </c>
      <c r="E315" s="200">
        <v>0</v>
      </c>
      <c r="F315" s="199">
        <v>0</v>
      </c>
      <c r="G315" s="200">
        <v>0</v>
      </c>
      <c r="H315" s="199">
        <v>0</v>
      </c>
      <c r="I315" s="200">
        <v>0</v>
      </c>
      <c r="J315" s="199">
        <v>0</v>
      </c>
      <c r="K315" s="199">
        <v>0</v>
      </c>
      <c r="L315" s="199">
        <v>0</v>
      </c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">
      <c r="A316" s="33" t="s">
        <v>140</v>
      </c>
      <c r="B316" s="33" t="s">
        <v>160</v>
      </c>
      <c r="C316" s="33">
        <v>33</v>
      </c>
      <c r="D316" s="33" t="s">
        <v>71</v>
      </c>
      <c r="E316" s="200">
        <v>0</v>
      </c>
      <c r="F316" s="199">
        <v>0</v>
      </c>
      <c r="G316" s="200">
        <v>0</v>
      </c>
      <c r="H316" s="199">
        <v>0</v>
      </c>
      <c r="I316" s="200">
        <v>0</v>
      </c>
      <c r="J316" s="199">
        <v>0</v>
      </c>
      <c r="K316" s="199">
        <v>0</v>
      </c>
      <c r="L316" s="199">
        <v>0</v>
      </c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">
      <c r="A317" s="33" t="s">
        <v>140</v>
      </c>
      <c r="B317" s="33" t="s">
        <v>160</v>
      </c>
      <c r="C317" s="33">
        <v>34</v>
      </c>
      <c r="D317" s="33" t="s">
        <v>72</v>
      </c>
      <c r="E317" s="200">
        <v>0</v>
      </c>
      <c r="F317" s="199">
        <v>0</v>
      </c>
      <c r="G317" s="200">
        <v>0</v>
      </c>
      <c r="H317" s="199">
        <v>0</v>
      </c>
      <c r="I317" s="200">
        <v>0</v>
      </c>
      <c r="J317" s="199">
        <v>0</v>
      </c>
      <c r="K317" s="199">
        <v>0</v>
      </c>
      <c r="L317" s="199">
        <v>0</v>
      </c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">
      <c r="A318" s="33" t="s">
        <v>140</v>
      </c>
      <c r="B318" s="33" t="s">
        <v>160</v>
      </c>
      <c r="C318" s="33">
        <v>35</v>
      </c>
      <c r="D318" s="33" t="s">
        <v>73</v>
      </c>
      <c r="E318" s="200">
        <v>0</v>
      </c>
      <c r="F318" s="199">
        <v>-342.73</v>
      </c>
      <c r="G318" s="200">
        <v>0</v>
      </c>
      <c r="H318" s="199">
        <v>0</v>
      </c>
      <c r="I318" s="200">
        <v>0</v>
      </c>
      <c r="J318" s="199">
        <v>0</v>
      </c>
      <c r="K318" s="199">
        <v>0</v>
      </c>
      <c r="L318" s="199">
        <v>0</v>
      </c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">
      <c r="A319" s="33" t="s">
        <v>140</v>
      </c>
      <c r="B319" s="33" t="s">
        <v>160</v>
      </c>
      <c r="C319" s="33">
        <v>36</v>
      </c>
      <c r="D319" s="33" t="s">
        <v>74</v>
      </c>
      <c r="E319" s="200">
        <v>0</v>
      </c>
      <c r="F319" s="199">
        <v>0</v>
      </c>
      <c r="G319" s="200">
        <v>0</v>
      </c>
      <c r="H319" s="199">
        <v>0</v>
      </c>
      <c r="I319" s="200">
        <v>0</v>
      </c>
      <c r="J319" s="199">
        <v>0</v>
      </c>
      <c r="K319" s="199">
        <v>0</v>
      </c>
      <c r="L319" s="199">
        <v>0</v>
      </c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">
      <c r="A320" s="33" t="s">
        <v>140</v>
      </c>
      <c r="B320" s="33" t="s">
        <v>160</v>
      </c>
      <c r="C320" s="33">
        <v>37</v>
      </c>
      <c r="D320" s="33" t="s">
        <v>75</v>
      </c>
      <c r="E320" s="200">
        <v>0</v>
      </c>
      <c r="F320" s="199">
        <v>0</v>
      </c>
      <c r="G320" s="200">
        <v>0</v>
      </c>
      <c r="H320" s="199">
        <v>0</v>
      </c>
      <c r="I320" s="200">
        <v>0</v>
      </c>
      <c r="J320" s="199">
        <v>0</v>
      </c>
      <c r="K320" s="199">
        <v>0</v>
      </c>
      <c r="L320" s="199">
        <v>0</v>
      </c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">
      <c r="A321" s="33" t="s">
        <v>140</v>
      </c>
      <c r="B321" s="33" t="s">
        <v>160</v>
      </c>
      <c r="C321" s="33">
        <v>38</v>
      </c>
      <c r="D321" s="33" t="s">
        <v>76</v>
      </c>
      <c r="E321" s="200">
        <v>0</v>
      </c>
      <c r="F321" s="199">
        <v>0</v>
      </c>
      <c r="G321" s="200">
        <v>0</v>
      </c>
      <c r="H321" s="199">
        <v>0</v>
      </c>
      <c r="I321" s="200">
        <v>0</v>
      </c>
      <c r="J321" s="199">
        <v>0</v>
      </c>
      <c r="K321" s="199">
        <v>0</v>
      </c>
      <c r="L321" s="199">
        <v>0</v>
      </c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">
      <c r="A322" s="33" t="s">
        <v>140</v>
      </c>
      <c r="B322" s="33" t="s">
        <v>160</v>
      </c>
      <c r="C322" s="33">
        <v>39</v>
      </c>
      <c r="D322" s="33" t="s">
        <v>77</v>
      </c>
      <c r="E322" s="200">
        <v>0</v>
      </c>
      <c r="F322" s="199">
        <v>0</v>
      </c>
      <c r="G322" s="200">
        <v>0</v>
      </c>
      <c r="H322" s="199">
        <v>0</v>
      </c>
      <c r="I322" s="200">
        <v>0</v>
      </c>
      <c r="J322" s="199">
        <v>0</v>
      </c>
      <c r="K322" s="199">
        <v>0</v>
      </c>
      <c r="L322" s="199">
        <v>0</v>
      </c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">
      <c r="A323" s="33" t="s">
        <v>140</v>
      </c>
      <c r="B323" s="33" t="s">
        <v>160</v>
      </c>
      <c r="C323" s="33">
        <v>40</v>
      </c>
      <c r="D323" s="33" t="s">
        <v>78</v>
      </c>
      <c r="E323" s="200">
        <v>0</v>
      </c>
      <c r="F323" s="199">
        <v>0</v>
      </c>
      <c r="G323" s="200">
        <v>0</v>
      </c>
      <c r="H323" s="199">
        <v>0</v>
      </c>
      <c r="I323" s="200">
        <v>0</v>
      </c>
      <c r="J323" s="199">
        <v>0</v>
      </c>
      <c r="K323" s="199">
        <v>0</v>
      </c>
      <c r="L323" s="199">
        <v>0</v>
      </c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">
      <c r="A324" s="33" t="s">
        <v>140</v>
      </c>
      <c r="B324" s="33" t="s">
        <v>207</v>
      </c>
      <c r="C324" s="33">
        <v>1</v>
      </c>
      <c r="D324" s="33" t="s">
        <v>25</v>
      </c>
      <c r="E324" s="200">
        <v>16545855</v>
      </c>
      <c r="F324" s="199">
        <v>39857789</v>
      </c>
      <c r="G324" s="200">
        <v>-6107</v>
      </c>
      <c r="H324" s="199">
        <v>-14536.34</v>
      </c>
      <c r="I324" s="200">
        <v>0</v>
      </c>
      <c r="J324" s="199">
        <v>-1477.35</v>
      </c>
      <c r="K324" s="199">
        <v>0</v>
      </c>
      <c r="L324" s="199">
        <v>0</v>
      </c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">
      <c r="A325" s="33" t="s">
        <v>140</v>
      </c>
      <c r="B325" s="33" t="s">
        <v>207</v>
      </c>
      <c r="C325" s="33">
        <v>2</v>
      </c>
      <c r="D325" s="33" t="s">
        <v>26</v>
      </c>
      <c r="E325" s="200">
        <v>0</v>
      </c>
      <c r="F325" s="199">
        <v>0</v>
      </c>
      <c r="G325" s="200">
        <v>0</v>
      </c>
      <c r="H325" s="199">
        <v>0</v>
      </c>
      <c r="I325" s="200">
        <v>0</v>
      </c>
      <c r="J325" s="199">
        <v>0</v>
      </c>
      <c r="K325" s="199">
        <v>0</v>
      </c>
      <c r="L325" s="199">
        <v>0</v>
      </c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">
      <c r="A326" s="33" t="s">
        <v>140</v>
      </c>
      <c r="B326" s="33" t="s">
        <v>207</v>
      </c>
      <c r="C326" s="33">
        <v>3</v>
      </c>
      <c r="D326" s="33" t="s">
        <v>27</v>
      </c>
      <c r="E326" s="200">
        <v>25646524</v>
      </c>
      <c r="F326" s="199">
        <v>62333419</v>
      </c>
      <c r="G326" s="200">
        <v>-16593766</v>
      </c>
      <c r="H326" s="199">
        <v>-40724229</v>
      </c>
      <c r="I326" s="200">
        <v>0</v>
      </c>
      <c r="J326" s="199">
        <v>0</v>
      </c>
      <c r="K326" s="199">
        <v>0</v>
      </c>
      <c r="L326" s="199">
        <v>0</v>
      </c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">
      <c r="A327" s="33" t="s">
        <v>140</v>
      </c>
      <c r="B327" s="33" t="s">
        <v>207</v>
      </c>
      <c r="C327" s="33">
        <v>4</v>
      </c>
      <c r="D327" s="33" t="s">
        <v>28</v>
      </c>
      <c r="E327" s="200">
        <v>0</v>
      </c>
      <c r="F327" s="199">
        <v>0</v>
      </c>
      <c r="G327" s="200">
        <v>0</v>
      </c>
      <c r="H327" s="199">
        <v>0</v>
      </c>
      <c r="I327" s="200">
        <v>0</v>
      </c>
      <c r="J327" s="199">
        <v>0</v>
      </c>
      <c r="K327" s="199">
        <v>0</v>
      </c>
      <c r="L327" s="199">
        <v>0</v>
      </c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">
      <c r="A328" s="33" t="s">
        <v>140</v>
      </c>
      <c r="B328" s="33" t="s">
        <v>207</v>
      </c>
      <c r="C328" s="33">
        <v>5</v>
      </c>
      <c r="D328" s="33" t="s">
        <v>125</v>
      </c>
      <c r="E328" s="200">
        <v>0</v>
      </c>
      <c r="F328" s="199">
        <v>2781866.5</v>
      </c>
      <c r="G328" s="200">
        <v>0</v>
      </c>
      <c r="H328" s="199">
        <v>276497</v>
      </c>
      <c r="I328" s="200">
        <v>0</v>
      </c>
      <c r="J328" s="199">
        <v>0</v>
      </c>
      <c r="K328" s="199">
        <v>0</v>
      </c>
      <c r="L328" s="199">
        <v>0</v>
      </c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">
      <c r="A329" s="33" t="s">
        <v>140</v>
      </c>
      <c r="B329" s="33" t="s">
        <v>207</v>
      </c>
      <c r="C329" s="33">
        <v>6</v>
      </c>
      <c r="D329" s="33" t="s">
        <v>25</v>
      </c>
      <c r="E329" s="200">
        <v>-11681391</v>
      </c>
      <c r="F329" s="199">
        <v>-27284907.579999998</v>
      </c>
      <c r="G329" s="200">
        <v>388</v>
      </c>
      <c r="H329" s="199">
        <v>-0.49</v>
      </c>
      <c r="I329" s="200">
        <v>-13</v>
      </c>
      <c r="J329" s="199">
        <v>2.35</v>
      </c>
      <c r="K329" s="199">
        <v>-1</v>
      </c>
      <c r="L329" s="199">
        <v>-2.35</v>
      </c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">
      <c r="A330" s="33" t="s">
        <v>140</v>
      </c>
      <c r="B330" s="33" t="s">
        <v>207</v>
      </c>
      <c r="C330" s="33">
        <v>7</v>
      </c>
      <c r="D330" s="33" t="s">
        <v>26</v>
      </c>
      <c r="E330" s="200">
        <v>0</v>
      </c>
      <c r="F330" s="199">
        <v>0</v>
      </c>
      <c r="G330" s="200">
        <v>0</v>
      </c>
      <c r="H330" s="199">
        <v>0</v>
      </c>
      <c r="I330" s="200">
        <v>0</v>
      </c>
      <c r="J330" s="199">
        <v>0</v>
      </c>
      <c r="K330" s="199">
        <v>0</v>
      </c>
      <c r="L330" s="199">
        <v>0</v>
      </c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">
      <c r="A331" s="33" t="s">
        <v>140</v>
      </c>
      <c r="B331" s="33" t="s">
        <v>207</v>
      </c>
      <c r="C331" s="33">
        <v>8</v>
      </c>
      <c r="D331" s="33" t="s">
        <v>27</v>
      </c>
      <c r="E331" s="200">
        <v>-30848646</v>
      </c>
      <c r="F331" s="199">
        <v>-74567387</v>
      </c>
      <c r="G331" s="200">
        <v>16603761</v>
      </c>
      <c r="H331" s="199">
        <v>40751940</v>
      </c>
      <c r="I331" s="200">
        <v>0</v>
      </c>
      <c r="J331" s="199">
        <v>0</v>
      </c>
      <c r="K331" s="199">
        <v>0</v>
      </c>
      <c r="L331" s="199">
        <v>0</v>
      </c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">
      <c r="A332" s="33" t="s">
        <v>140</v>
      </c>
      <c r="B332" s="33" t="s">
        <v>207</v>
      </c>
      <c r="C332" s="33">
        <v>9</v>
      </c>
      <c r="D332" s="33" t="s">
        <v>28</v>
      </c>
      <c r="E332" s="200">
        <v>0</v>
      </c>
      <c r="F332" s="199">
        <v>0</v>
      </c>
      <c r="G332" s="200">
        <v>0</v>
      </c>
      <c r="H332" s="199">
        <v>0</v>
      </c>
      <c r="I332" s="200">
        <v>0</v>
      </c>
      <c r="J332" s="199">
        <v>0</v>
      </c>
      <c r="K332" s="199">
        <v>0</v>
      </c>
      <c r="L332" s="199">
        <v>0</v>
      </c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">
      <c r="A333" s="33" t="s">
        <v>140</v>
      </c>
      <c r="B333" s="33" t="s">
        <v>207</v>
      </c>
      <c r="C333" s="33">
        <v>10</v>
      </c>
      <c r="D333" s="33" t="s">
        <v>32</v>
      </c>
      <c r="E333" s="200">
        <v>0</v>
      </c>
      <c r="F333" s="199">
        <v>0</v>
      </c>
      <c r="G333" s="200">
        <v>0</v>
      </c>
      <c r="H333" s="199">
        <v>0</v>
      </c>
      <c r="I333" s="200">
        <v>0</v>
      </c>
      <c r="J333" s="199">
        <v>0</v>
      </c>
      <c r="K333" s="199">
        <v>0</v>
      </c>
      <c r="L333" s="199">
        <v>0</v>
      </c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">
      <c r="A334" s="33" t="s">
        <v>140</v>
      </c>
      <c r="B334" s="33" t="s">
        <v>207</v>
      </c>
      <c r="C334" s="33">
        <v>11</v>
      </c>
      <c r="D334" s="33" t="s">
        <v>35</v>
      </c>
      <c r="E334" s="200">
        <v>0</v>
      </c>
      <c r="F334" s="199">
        <v>0</v>
      </c>
      <c r="G334" s="200">
        <v>0</v>
      </c>
      <c r="H334" s="199">
        <v>0</v>
      </c>
      <c r="I334" s="200">
        <v>0</v>
      </c>
      <c r="J334" s="199">
        <v>0</v>
      </c>
      <c r="K334" s="199">
        <v>0</v>
      </c>
      <c r="L334" s="199">
        <v>0</v>
      </c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">
      <c r="A335" s="33" t="s">
        <v>140</v>
      </c>
      <c r="B335" s="33" t="s">
        <v>207</v>
      </c>
      <c r="C335" s="33">
        <v>12</v>
      </c>
      <c r="D335" s="33" t="s">
        <v>36</v>
      </c>
      <c r="E335" s="200">
        <v>0</v>
      </c>
      <c r="F335" s="199">
        <v>0</v>
      </c>
      <c r="G335" s="200">
        <v>0</v>
      </c>
      <c r="H335" s="199">
        <v>0</v>
      </c>
      <c r="I335" s="200">
        <v>0</v>
      </c>
      <c r="J335" s="199">
        <v>0</v>
      </c>
      <c r="K335" s="199">
        <v>0</v>
      </c>
      <c r="L335" s="199">
        <v>0</v>
      </c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">
      <c r="A336" s="33" t="s">
        <v>140</v>
      </c>
      <c r="B336" s="33" t="s">
        <v>207</v>
      </c>
      <c r="C336" s="33">
        <v>13</v>
      </c>
      <c r="D336" s="33" t="s">
        <v>39</v>
      </c>
      <c r="E336" s="200">
        <v>0</v>
      </c>
      <c r="F336" s="199">
        <v>0</v>
      </c>
      <c r="G336" s="200">
        <v>0</v>
      </c>
      <c r="H336" s="199">
        <v>0</v>
      </c>
      <c r="I336" s="200">
        <v>0</v>
      </c>
      <c r="J336" s="199">
        <v>0</v>
      </c>
      <c r="K336" s="199">
        <v>0</v>
      </c>
      <c r="L336" s="199">
        <v>0</v>
      </c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">
      <c r="A337" s="33" t="s">
        <v>140</v>
      </c>
      <c r="B337" s="33" t="s">
        <v>207</v>
      </c>
      <c r="C337" s="33">
        <v>14</v>
      </c>
      <c r="D337" s="33" t="s">
        <v>40</v>
      </c>
      <c r="E337" s="200">
        <v>0</v>
      </c>
      <c r="F337" s="199">
        <v>0</v>
      </c>
      <c r="G337" s="200">
        <v>0</v>
      </c>
      <c r="H337" s="199">
        <v>0</v>
      </c>
      <c r="I337" s="200">
        <v>0</v>
      </c>
      <c r="J337" s="199">
        <v>0</v>
      </c>
      <c r="K337" s="199">
        <v>0</v>
      </c>
      <c r="L337" s="199">
        <v>0</v>
      </c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">
      <c r="A338" s="33" t="s">
        <v>140</v>
      </c>
      <c r="B338" s="33" t="s">
        <v>207</v>
      </c>
      <c r="C338" s="33">
        <v>15</v>
      </c>
      <c r="D338" s="33" t="s">
        <v>41</v>
      </c>
      <c r="E338" s="200">
        <v>0</v>
      </c>
      <c r="F338" s="199">
        <v>0</v>
      </c>
      <c r="G338" s="200">
        <v>0</v>
      </c>
      <c r="H338" s="199">
        <v>0</v>
      </c>
      <c r="I338" s="200">
        <v>0</v>
      </c>
      <c r="J338" s="199">
        <v>0</v>
      </c>
      <c r="K338" s="199">
        <v>0</v>
      </c>
      <c r="L338" s="199">
        <v>0</v>
      </c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">
      <c r="A339" s="33" t="s">
        <v>140</v>
      </c>
      <c r="B339" s="33" t="s">
        <v>207</v>
      </c>
      <c r="C339" s="33">
        <v>16</v>
      </c>
      <c r="D339" s="33" t="s">
        <v>42</v>
      </c>
      <c r="E339" s="200">
        <v>0</v>
      </c>
      <c r="F339" s="199">
        <v>0</v>
      </c>
      <c r="G339" s="200">
        <v>0</v>
      </c>
      <c r="H339" s="199">
        <v>0</v>
      </c>
      <c r="I339" s="200">
        <v>0</v>
      </c>
      <c r="J339" s="199">
        <v>0</v>
      </c>
      <c r="K339" s="199">
        <v>0</v>
      </c>
      <c r="L339" s="199">
        <v>0</v>
      </c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">
      <c r="A340" s="33" t="s">
        <v>140</v>
      </c>
      <c r="B340" s="33" t="s">
        <v>207</v>
      </c>
      <c r="C340" s="33">
        <v>17</v>
      </c>
      <c r="D340" s="33" t="s">
        <v>126</v>
      </c>
      <c r="E340" s="200">
        <v>0</v>
      </c>
      <c r="F340" s="199">
        <v>0</v>
      </c>
      <c r="G340" s="200">
        <v>0</v>
      </c>
      <c r="H340" s="199">
        <v>0</v>
      </c>
      <c r="I340" s="200">
        <v>0</v>
      </c>
      <c r="J340" s="199">
        <v>0</v>
      </c>
      <c r="K340" s="199">
        <v>0</v>
      </c>
      <c r="L340" s="199">
        <v>0</v>
      </c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">
      <c r="A341" s="201" t="s">
        <v>140</v>
      </c>
      <c r="B341" s="201" t="s">
        <v>207</v>
      </c>
      <c r="C341" s="201">
        <v>18</v>
      </c>
      <c r="D341" s="201" t="s">
        <v>127</v>
      </c>
      <c r="E341" s="200">
        <v>0</v>
      </c>
      <c r="F341" s="200">
        <v>0</v>
      </c>
      <c r="G341" s="200">
        <v>0</v>
      </c>
      <c r="H341" s="200">
        <v>0</v>
      </c>
      <c r="I341" s="200">
        <v>0</v>
      </c>
      <c r="J341" s="200">
        <v>0</v>
      </c>
      <c r="K341" s="200">
        <v>0</v>
      </c>
      <c r="L341" s="200">
        <v>0</v>
      </c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">
      <c r="A342" s="33" t="s">
        <v>140</v>
      </c>
      <c r="B342" s="33" t="s">
        <v>207</v>
      </c>
      <c r="C342" s="33">
        <v>19</v>
      </c>
      <c r="D342" s="33" t="s">
        <v>47</v>
      </c>
      <c r="E342" s="200">
        <v>0</v>
      </c>
      <c r="F342" s="199">
        <v>0</v>
      </c>
      <c r="G342" s="200">
        <v>0</v>
      </c>
      <c r="H342" s="199">
        <v>0</v>
      </c>
      <c r="I342" s="200">
        <v>0</v>
      </c>
      <c r="J342" s="199">
        <v>0</v>
      </c>
      <c r="K342" s="199">
        <v>0</v>
      </c>
      <c r="L342" s="199">
        <v>0</v>
      </c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">
      <c r="A343" s="33" t="s">
        <v>140</v>
      </c>
      <c r="B343" s="33" t="s">
        <v>207</v>
      </c>
      <c r="C343" s="33">
        <v>20</v>
      </c>
      <c r="D343" s="33" t="s">
        <v>128</v>
      </c>
      <c r="E343" s="200">
        <v>0</v>
      </c>
      <c r="F343" s="199">
        <v>0</v>
      </c>
      <c r="G343" s="200">
        <v>0</v>
      </c>
      <c r="H343" s="199">
        <v>0</v>
      </c>
      <c r="I343" s="200">
        <v>0</v>
      </c>
      <c r="J343" s="199">
        <v>0</v>
      </c>
      <c r="K343" s="199">
        <v>0</v>
      </c>
      <c r="L343" s="199">
        <v>0</v>
      </c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">
      <c r="A344" s="33" t="s">
        <v>140</v>
      </c>
      <c r="B344" s="33" t="s">
        <v>207</v>
      </c>
      <c r="C344" s="33">
        <v>21</v>
      </c>
      <c r="D344" s="33" t="s">
        <v>129</v>
      </c>
      <c r="E344" s="200">
        <v>0</v>
      </c>
      <c r="F344" s="199">
        <v>0</v>
      </c>
      <c r="G344" s="200">
        <v>0</v>
      </c>
      <c r="H344" s="199">
        <v>0</v>
      </c>
      <c r="I344" s="200">
        <v>0</v>
      </c>
      <c r="J344" s="199">
        <v>0</v>
      </c>
      <c r="K344" s="199">
        <v>0</v>
      </c>
      <c r="L344" s="199">
        <v>0</v>
      </c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">
      <c r="A345" s="33" t="s">
        <v>140</v>
      </c>
      <c r="B345" s="33" t="s">
        <v>207</v>
      </c>
      <c r="C345" s="33">
        <v>22</v>
      </c>
      <c r="D345" s="33" t="s">
        <v>130</v>
      </c>
      <c r="E345" s="200">
        <v>337658</v>
      </c>
      <c r="F345" s="199">
        <v>799574.14399999997</v>
      </c>
      <c r="G345" s="200">
        <v>-4276</v>
      </c>
      <c r="H345" s="199">
        <v>-10125.56799999997</v>
      </c>
      <c r="I345" s="200">
        <v>13</v>
      </c>
      <c r="J345" s="199">
        <v>30.783999999999999</v>
      </c>
      <c r="K345" s="199">
        <v>1</v>
      </c>
      <c r="L345" s="199">
        <v>2.3679999999999999</v>
      </c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">
      <c r="A346" s="33" t="s">
        <v>140</v>
      </c>
      <c r="B346" s="33" t="s">
        <v>207</v>
      </c>
      <c r="C346" s="33">
        <v>23</v>
      </c>
      <c r="D346" s="33" t="s">
        <v>131</v>
      </c>
      <c r="E346" s="200">
        <v>0</v>
      </c>
      <c r="F346" s="199">
        <v>0</v>
      </c>
      <c r="G346" s="200">
        <v>0</v>
      </c>
      <c r="H346" s="199">
        <v>0</v>
      </c>
      <c r="I346" s="200">
        <v>0</v>
      </c>
      <c r="J346" s="199">
        <v>0</v>
      </c>
      <c r="K346" s="199">
        <v>0</v>
      </c>
      <c r="L346" s="199">
        <v>0</v>
      </c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">
      <c r="A347" s="33" t="s">
        <v>140</v>
      </c>
      <c r="B347" s="33" t="s">
        <v>207</v>
      </c>
      <c r="C347" s="33">
        <v>24</v>
      </c>
      <c r="D347" s="33" t="s">
        <v>55</v>
      </c>
      <c r="E347" s="200">
        <v>-7943431</v>
      </c>
      <c r="F347" s="199">
        <v>-142074.26999999999</v>
      </c>
      <c r="G347" s="200">
        <v>6888</v>
      </c>
      <c r="H347" s="199">
        <v>20.239999999999998</v>
      </c>
      <c r="I347" s="200">
        <v>29</v>
      </c>
      <c r="J347" s="199">
        <v>0</v>
      </c>
      <c r="K347" s="199">
        <v>0</v>
      </c>
      <c r="L347" s="199">
        <v>0</v>
      </c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">
      <c r="A348" s="33" t="s">
        <v>140</v>
      </c>
      <c r="B348" s="33" t="s">
        <v>207</v>
      </c>
      <c r="C348" s="33">
        <v>25</v>
      </c>
      <c r="D348" s="33" t="s">
        <v>56</v>
      </c>
      <c r="E348" s="200">
        <v>0</v>
      </c>
      <c r="F348" s="199">
        <v>-771631.76</v>
      </c>
      <c r="G348" s="200">
        <v>0</v>
      </c>
      <c r="H348" s="199">
        <v>-2257950.34</v>
      </c>
      <c r="I348" s="200">
        <v>0</v>
      </c>
      <c r="J348" s="199">
        <v>0</v>
      </c>
      <c r="K348" s="199">
        <v>0</v>
      </c>
      <c r="L348" s="199">
        <v>-547046.91</v>
      </c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">
      <c r="A349" s="33" t="s">
        <v>140</v>
      </c>
      <c r="B349" s="33" t="s">
        <v>207</v>
      </c>
      <c r="C349" s="33">
        <v>26</v>
      </c>
      <c r="D349" s="33" t="s">
        <v>132</v>
      </c>
      <c r="E349" s="200">
        <v>0</v>
      </c>
      <c r="F349" s="199">
        <v>0</v>
      </c>
      <c r="G349" s="200">
        <v>0</v>
      </c>
      <c r="H349" s="199">
        <v>0</v>
      </c>
      <c r="I349" s="200">
        <v>0</v>
      </c>
      <c r="J349" s="199">
        <v>0</v>
      </c>
      <c r="K349" s="199">
        <v>0</v>
      </c>
      <c r="L349" s="199">
        <v>0</v>
      </c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">
      <c r="A350" s="33" t="s">
        <v>140</v>
      </c>
      <c r="B350" s="33" t="s">
        <v>207</v>
      </c>
      <c r="C350" s="33">
        <v>27</v>
      </c>
      <c r="D350" s="33" t="s">
        <v>133</v>
      </c>
      <c r="E350" s="200">
        <v>0</v>
      </c>
      <c r="F350" s="199">
        <v>0</v>
      </c>
      <c r="G350" s="200">
        <v>0</v>
      </c>
      <c r="H350" s="199">
        <v>0</v>
      </c>
      <c r="I350" s="200">
        <v>0</v>
      </c>
      <c r="J350" s="199">
        <v>0</v>
      </c>
      <c r="K350" s="199">
        <v>0</v>
      </c>
      <c r="L350" s="199">
        <v>0</v>
      </c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">
      <c r="A351" s="33" t="s">
        <v>140</v>
      </c>
      <c r="B351" s="33" t="s">
        <v>207</v>
      </c>
      <c r="C351" s="33">
        <v>28</v>
      </c>
      <c r="D351" s="33" t="s">
        <v>134</v>
      </c>
      <c r="E351" s="205">
        <v>0</v>
      </c>
      <c r="F351" s="206">
        <v>0</v>
      </c>
      <c r="G351" s="205">
        <v>0</v>
      </c>
      <c r="H351" s="206">
        <v>0</v>
      </c>
      <c r="I351" s="205">
        <v>0</v>
      </c>
      <c r="J351" s="206">
        <v>0</v>
      </c>
      <c r="K351" s="206">
        <v>0</v>
      </c>
      <c r="L351" s="199">
        <v>0</v>
      </c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">
      <c r="A352" s="33" t="s">
        <v>140</v>
      </c>
      <c r="B352" s="33" t="s">
        <v>207</v>
      </c>
      <c r="C352" s="33">
        <v>29</v>
      </c>
      <c r="D352" s="33" t="s">
        <v>135</v>
      </c>
      <c r="E352" s="200">
        <v>0</v>
      </c>
      <c r="F352" s="199">
        <v>0</v>
      </c>
      <c r="G352" s="200">
        <v>0</v>
      </c>
      <c r="H352" s="199">
        <v>0</v>
      </c>
      <c r="I352" s="200">
        <v>0</v>
      </c>
      <c r="J352" s="199">
        <v>0</v>
      </c>
      <c r="K352" s="199">
        <v>0</v>
      </c>
      <c r="L352" s="199">
        <v>0</v>
      </c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">
      <c r="A353" s="33" t="s">
        <v>140</v>
      </c>
      <c r="B353" s="33" t="s">
        <v>207</v>
      </c>
      <c r="C353" s="33">
        <v>30</v>
      </c>
      <c r="D353" s="33" t="s">
        <v>136</v>
      </c>
      <c r="E353" s="200">
        <v>0</v>
      </c>
      <c r="F353" s="199">
        <v>0</v>
      </c>
      <c r="G353" s="200">
        <v>0</v>
      </c>
      <c r="H353" s="199">
        <v>0</v>
      </c>
      <c r="I353" s="200">
        <v>0</v>
      </c>
      <c r="J353" s="199">
        <v>0</v>
      </c>
      <c r="K353" s="199">
        <v>0</v>
      </c>
      <c r="L353" s="199">
        <v>0</v>
      </c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">
      <c r="A354" s="33" t="s">
        <v>140</v>
      </c>
      <c r="B354" s="33" t="s">
        <v>207</v>
      </c>
      <c r="C354" s="33">
        <v>31</v>
      </c>
      <c r="D354" s="33" t="s">
        <v>137</v>
      </c>
      <c r="E354" s="200">
        <v>0</v>
      </c>
      <c r="F354" s="199">
        <v>0</v>
      </c>
      <c r="G354" s="200">
        <v>0</v>
      </c>
      <c r="H354" s="199">
        <v>0</v>
      </c>
      <c r="I354" s="200">
        <v>0</v>
      </c>
      <c r="J354" s="199">
        <v>0</v>
      </c>
      <c r="K354" s="199">
        <v>0</v>
      </c>
      <c r="L354" s="199">
        <v>0</v>
      </c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">
      <c r="A355" s="33" t="s">
        <v>140</v>
      </c>
      <c r="B355" s="33" t="s">
        <v>207</v>
      </c>
      <c r="C355" s="33">
        <v>32</v>
      </c>
      <c r="D355" s="33" t="s">
        <v>70</v>
      </c>
      <c r="E355" s="200">
        <v>0</v>
      </c>
      <c r="F355" s="199">
        <v>0</v>
      </c>
      <c r="G355" s="200">
        <v>0</v>
      </c>
      <c r="H355" s="199">
        <v>0</v>
      </c>
      <c r="I355" s="200">
        <v>0</v>
      </c>
      <c r="J355" s="199">
        <v>0</v>
      </c>
      <c r="K355" s="199">
        <v>0</v>
      </c>
      <c r="L355" s="199">
        <v>0</v>
      </c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">
      <c r="A356" s="33" t="s">
        <v>140</v>
      </c>
      <c r="B356" s="33" t="s">
        <v>207</v>
      </c>
      <c r="C356" s="33">
        <v>33</v>
      </c>
      <c r="D356" s="33" t="s">
        <v>71</v>
      </c>
      <c r="E356" s="200">
        <v>0</v>
      </c>
      <c r="F356" s="199">
        <v>0</v>
      </c>
      <c r="G356" s="200">
        <v>0</v>
      </c>
      <c r="H356" s="199">
        <v>0</v>
      </c>
      <c r="I356" s="200">
        <v>0</v>
      </c>
      <c r="J356" s="199">
        <v>0</v>
      </c>
      <c r="K356" s="199">
        <v>0</v>
      </c>
      <c r="L356" s="199">
        <v>0</v>
      </c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">
      <c r="A357" s="33" t="s">
        <v>140</v>
      </c>
      <c r="B357" s="33" t="s">
        <v>207</v>
      </c>
      <c r="C357" s="33">
        <v>34</v>
      </c>
      <c r="D357" s="33" t="s">
        <v>72</v>
      </c>
      <c r="E357" s="200">
        <v>0</v>
      </c>
      <c r="F357" s="199">
        <v>0</v>
      </c>
      <c r="G357" s="200">
        <v>0</v>
      </c>
      <c r="H357" s="199">
        <v>0</v>
      </c>
      <c r="I357" s="200">
        <v>0</v>
      </c>
      <c r="J357" s="199">
        <v>0</v>
      </c>
      <c r="K357" s="199">
        <v>0</v>
      </c>
      <c r="L357" s="199">
        <v>0</v>
      </c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">
      <c r="A358" s="33" t="s">
        <v>140</v>
      </c>
      <c r="B358" s="33" t="s">
        <v>207</v>
      </c>
      <c r="C358" s="33">
        <v>35</v>
      </c>
      <c r="D358" s="33" t="s">
        <v>73</v>
      </c>
      <c r="E358" s="200">
        <v>0</v>
      </c>
      <c r="F358" s="199">
        <v>0</v>
      </c>
      <c r="G358" s="200">
        <v>0</v>
      </c>
      <c r="H358" s="199">
        <v>0</v>
      </c>
      <c r="I358" s="200">
        <v>0</v>
      </c>
      <c r="J358" s="199">
        <v>0</v>
      </c>
      <c r="K358" s="199">
        <v>0</v>
      </c>
      <c r="L358" s="199">
        <v>0</v>
      </c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">
      <c r="A359" s="33" t="s">
        <v>140</v>
      </c>
      <c r="B359" s="33" t="s">
        <v>207</v>
      </c>
      <c r="C359" s="33">
        <v>36</v>
      </c>
      <c r="D359" s="33" t="s">
        <v>74</v>
      </c>
      <c r="E359" s="200">
        <v>0</v>
      </c>
      <c r="F359" s="199">
        <v>0</v>
      </c>
      <c r="G359" s="200">
        <v>0</v>
      </c>
      <c r="H359" s="199">
        <v>0</v>
      </c>
      <c r="I359" s="200">
        <v>0</v>
      </c>
      <c r="J359" s="199">
        <v>0</v>
      </c>
      <c r="K359" s="199">
        <v>0</v>
      </c>
      <c r="L359" s="199">
        <v>0</v>
      </c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">
      <c r="A360" s="33" t="s">
        <v>140</v>
      </c>
      <c r="B360" s="33" t="s">
        <v>207</v>
      </c>
      <c r="C360" s="33">
        <v>37</v>
      </c>
      <c r="D360" s="33" t="s">
        <v>75</v>
      </c>
      <c r="E360" s="200">
        <v>0</v>
      </c>
      <c r="F360" s="199">
        <v>0</v>
      </c>
      <c r="G360" s="200">
        <v>0</v>
      </c>
      <c r="H360" s="199">
        <v>0</v>
      </c>
      <c r="I360" s="200">
        <v>0</v>
      </c>
      <c r="J360" s="199">
        <v>0</v>
      </c>
      <c r="K360" s="199">
        <v>0</v>
      </c>
      <c r="L360" s="199">
        <v>0</v>
      </c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">
      <c r="A361" s="33" t="s">
        <v>140</v>
      </c>
      <c r="B361" s="33" t="s">
        <v>207</v>
      </c>
      <c r="C361" s="33">
        <v>38</v>
      </c>
      <c r="D361" s="33" t="s">
        <v>76</v>
      </c>
      <c r="E361" s="200">
        <v>0</v>
      </c>
      <c r="F361" s="199">
        <v>0</v>
      </c>
      <c r="G361" s="200">
        <v>0</v>
      </c>
      <c r="H361" s="199">
        <v>0</v>
      </c>
      <c r="I361" s="200">
        <v>0</v>
      </c>
      <c r="J361" s="199">
        <v>0</v>
      </c>
      <c r="K361" s="199">
        <v>0</v>
      </c>
      <c r="L361" s="199">
        <v>0</v>
      </c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">
      <c r="A362" s="33" t="s">
        <v>140</v>
      </c>
      <c r="B362" s="33" t="s">
        <v>207</v>
      </c>
      <c r="C362" s="33">
        <v>39</v>
      </c>
      <c r="D362" s="33" t="s">
        <v>77</v>
      </c>
      <c r="E362" s="200">
        <v>0</v>
      </c>
      <c r="F362" s="199">
        <v>0</v>
      </c>
      <c r="G362" s="200">
        <v>0</v>
      </c>
      <c r="H362" s="199">
        <v>0</v>
      </c>
      <c r="I362" s="200">
        <v>0</v>
      </c>
      <c r="J362" s="199">
        <v>0</v>
      </c>
      <c r="K362" s="199">
        <v>0</v>
      </c>
      <c r="L362" s="199">
        <v>0</v>
      </c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">
      <c r="A363" s="33" t="s">
        <v>140</v>
      </c>
      <c r="B363" s="33" t="s">
        <v>207</v>
      </c>
      <c r="C363" s="33">
        <v>40</v>
      </c>
      <c r="D363" s="33" t="s">
        <v>78</v>
      </c>
      <c r="E363" s="200">
        <v>0</v>
      </c>
      <c r="F363" s="199">
        <v>0</v>
      </c>
      <c r="G363" s="200">
        <v>0</v>
      </c>
      <c r="H363" s="199">
        <v>0</v>
      </c>
      <c r="I363" s="200">
        <v>0</v>
      </c>
      <c r="J363" s="199">
        <v>0</v>
      </c>
      <c r="K363" s="199">
        <v>0</v>
      </c>
      <c r="L363" s="199">
        <v>0</v>
      </c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">
      <c r="A364" s="33" t="s">
        <v>140</v>
      </c>
      <c r="B364" s="33" t="s">
        <v>139</v>
      </c>
      <c r="C364" s="33">
        <v>1</v>
      </c>
      <c r="D364" s="33" t="s">
        <v>25</v>
      </c>
      <c r="E364" s="200">
        <v>0</v>
      </c>
      <c r="F364" s="199">
        <v>0</v>
      </c>
      <c r="G364" s="200">
        <v>0</v>
      </c>
      <c r="H364" s="199">
        <v>0</v>
      </c>
      <c r="I364" s="200">
        <v>0</v>
      </c>
      <c r="J364" s="199">
        <v>0</v>
      </c>
      <c r="K364" s="199">
        <v>0</v>
      </c>
      <c r="L364" s="199">
        <v>0</v>
      </c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">
      <c r="A365" s="33" t="s">
        <v>140</v>
      </c>
      <c r="B365" s="33" t="s">
        <v>139</v>
      </c>
      <c r="C365" s="33">
        <v>2</v>
      </c>
      <c r="D365" s="33" t="s">
        <v>26</v>
      </c>
      <c r="E365" s="200">
        <v>0</v>
      </c>
      <c r="F365" s="199">
        <v>0</v>
      </c>
      <c r="G365" s="200">
        <v>0</v>
      </c>
      <c r="H365" s="199">
        <v>0</v>
      </c>
      <c r="I365" s="200">
        <v>0</v>
      </c>
      <c r="J365" s="199">
        <v>0</v>
      </c>
      <c r="K365" s="199">
        <v>0</v>
      </c>
      <c r="L365" s="199">
        <v>0</v>
      </c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">
      <c r="A366" s="33" t="s">
        <v>140</v>
      </c>
      <c r="B366" s="33" t="s">
        <v>139</v>
      </c>
      <c r="C366" s="33">
        <v>3</v>
      </c>
      <c r="D366" s="33" t="s">
        <v>27</v>
      </c>
      <c r="E366" s="200">
        <v>0</v>
      </c>
      <c r="F366" s="199">
        <v>0</v>
      </c>
      <c r="G366" s="200">
        <v>0</v>
      </c>
      <c r="H366" s="199">
        <v>0</v>
      </c>
      <c r="I366" s="200">
        <v>0</v>
      </c>
      <c r="J366" s="199">
        <v>0</v>
      </c>
      <c r="K366" s="199">
        <v>0</v>
      </c>
      <c r="L366" s="199">
        <v>0</v>
      </c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">
      <c r="A367" s="33" t="s">
        <v>140</v>
      </c>
      <c r="B367" s="33" t="s">
        <v>139</v>
      </c>
      <c r="C367" s="33">
        <v>4</v>
      </c>
      <c r="D367" s="33" t="s">
        <v>28</v>
      </c>
      <c r="E367" s="200">
        <v>0</v>
      </c>
      <c r="F367" s="199">
        <v>0</v>
      </c>
      <c r="G367" s="200">
        <v>0</v>
      </c>
      <c r="H367" s="199">
        <v>0</v>
      </c>
      <c r="I367" s="200">
        <v>0</v>
      </c>
      <c r="J367" s="199">
        <v>0</v>
      </c>
      <c r="K367" s="199">
        <v>0</v>
      </c>
      <c r="L367" s="199">
        <v>0</v>
      </c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">
      <c r="A368" s="33" t="s">
        <v>140</v>
      </c>
      <c r="B368" s="33" t="s">
        <v>139</v>
      </c>
      <c r="C368" s="33">
        <v>5</v>
      </c>
      <c r="D368" s="33" t="s">
        <v>125</v>
      </c>
      <c r="E368" s="200">
        <v>0</v>
      </c>
      <c r="F368" s="199">
        <v>0</v>
      </c>
      <c r="G368" s="200">
        <v>0</v>
      </c>
      <c r="H368" s="199">
        <v>0</v>
      </c>
      <c r="I368" s="200">
        <v>0</v>
      </c>
      <c r="J368" s="199">
        <v>0</v>
      </c>
      <c r="K368" s="199">
        <v>0</v>
      </c>
      <c r="L368" s="199">
        <v>0</v>
      </c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">
      <c r="A369" s="33" t="s">
        <v>140</v>
      </c>
      <c r="B369" s="33" t="s">
        <v>139</v>
      </c>
      <c r="C369" s="33">
        <v>6</v>
      </c>
      <c r="D369" s="33" t="s">
        <v>25</v>
      </c>
      <c r="E369" s="200">
        <v>0</v>
      </c>
      <c r="F369" s="199">
        <v>0</v>
      </c>
      <c r="G369" s="200">
        <v>0</v>
      </c>
      <c r="H369" s="199">
        <v>0</v>
      </c>
      <c r="I369" s="200">
        <v>0</v>
      </c>
      <c r="J369" s="199">
        <v>0</v>
      </c>
      <c r="K369" s="199">
        <v>0</v>
      </c>
      <c r="L369" s="199">
        <v>0</v>
      </c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">
      <c r="A370" s="33" t="s">
        <v>140</v>
      </c>
      <c r="B370" s="33" t="s">
        <v>139</v>
      </c>
      <c r="C370" s="33">
        <v>7</v>
      </c>
      <c r="D370" s="33" t="s">
        <v>26</v>
      </c>
      <c r="E370" s="200">
        <v>0</v>
      </c>
      <c r="F370" s="199">
        <v>0</v>
      </c>
      <c r="G370" s="200">
        <v>0</v>
      </c>
      <c r="H370" s="199">
        <v>0</v>
      </c>
      <c r="I370" s="200">
        <v>0</v>
      </c>
      <c r="J370" s="199">
        <v>0</v>
      </c>
      <c r="K370" s="199">
        <v>0</v>
      </c>
      <c r="L370" s="199">
        <v>0</v>
      </c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">
      <c r="A371" s="33" t="s">
        <v>140</v>
      </c>
      <c r="B371" s="33" t="s">
        <v>139</v>
      </c>
      <c r="C371" s="33">
        <v>8</v>
      </c>
      <c r="D371" s="33" t="s">
        <v>27</v>
      </c>
      <c r="E371" s="200">
        <v>0</v>
      </c>
      <c r="F371" s="199">
        <v>0</v>
      </c>
      <c r="G371" s="200">
        <v>0</v>
      </c>
      <c r="H371" s="199">
        <v>0</v>
      </c>
      <c r="I371" s="200">
        <v>0</v>
      </c>
      <c r="J371" s="199">
        <v>0</v>
      </c>
      <c r="K371" s="199">
        <v>0</v>
      </c>
      <c r="L371" s="199">
        <v>0</v>
      </c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">
      <c r="A372" s="33" t="s">
        <v>140</v>
      </c>
      <c r="B372" s="33" t="s">
        <v>139</v>
      </c>
      <c r="C372" s="33">
        <v>9</v>
      </c>
      <c r="D372" s="33" t="s">
        <v>28</v>
      </c>
      <c r="E372" s="200">
        <v>0</v>
      </c>
      <c r="F372" s="199">
        <v>0</v>
      </c>
      <c r="G372" s="200">
        <v>0</v>
      </c>
      <c r="H372" s="199">
        <v>0</v>
      </c>
      <c r="I372" s="200">
        <v>0</v>
      </c>
      <c r="J372" s="199">
        <v>0</v>
      </c>
      <c r="K372" s="199">
        <v>0</v>
      </c>
      <c r="L372" s="199">
        <v>0</v>
      </c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">
      <c r="A373" s="33" t="s">
        <v>140</v>
      </c>
      <c r="B373" s="33" t="s">
        <v>139</v>
      </c>
      <c r="C373" s="33">
        <v>10</v>
      </c>
      <c r="D373" s="33" t="s">
        <v>32</v>
      </c>
      <c r="E373" s="200">
        <v>0</v>
      </c>
      <c r="F373" s="199">
        <v>0</v>
      </c>
      <c r="G373" s="200">
        <v>0</v>
      </c>
      <c r="H373" s="199">
        <v>0</v>
      </c>
      <c r="I373" s="200">
        <v>0</v>
      </c>
      <c r="J373" s="199">
        <v>0</v>
      </c>
      <c r="K373" s="199">
        <v>0</v>
      </c>
      <c r="L373" s="199">
        <v>0</v>
      </c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">
      <c r="A374" s="33" t="s">
        <v>140</v>
      </c>
      <c r="B374" s="33" t="s">
        <v>139</v>
      </c>
      <c r="C374" s="33">
        <v>11</v>
      </c>
      <c r="D374" s="33" t="s">
        <v>35</v>
      </c>
      <c r="E374" s="200">
        <v>0</v>
      </c>
      <c r="F374" s="199">
        <v>0</v>
      </c>
      <c r="G374" s="200">
        <v>0</v>
      </c>
      <c r="H374" s="199">
        <v>0</v>
      </c>
      <c r="I374" s="200">
        <v>0</v>
      </c>
      <c r="J374" s="199">
        <v>0</v>
      </c>
      <c r="K374" s="199">
        <v>0</v>
      </c>
      <c r="L374" s="199">
        <v>0</v>
      </c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">
      <c r="A375" s="33" t="s">
        <v>140</v>
      </c>
      <c r="B375" s="33" t="s">
        <v>139</v>
      </c>
      <c r="C375" s="33">
        <v>12</v>
      </c>
      <c r="D375" s="33" t="s">
        <v>36</v>
      </c>
      <c r="E375" s="200">
        <v>0</v>
      </c>
      <c r="F375" s="199">
        <v>0</v>
      </c>
      <c r="G375" s="200">
        <v>0</v>
      </c>
      <c r="H375" s="199">
        <v>0</v>
      </c>
      <c r="I375" s="200">
        <v>0</v>
      </c>
      <c r="J375" s="199">
        <v>0</v>
      </c>
      <c r="K375" s="199">
        <v>0</v>
      </c>
      <c r="L375" s="199">
        <v>0</v>
      </c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">
      <c r="A376" s="33" t="s">
        <v>140</v>
      </c>
      <c r="B376" s="33" t="s">
        <v>139</v>
      </c>
      <c r="C376" s="33">
        <v>13</v>
      </c>
      <c r="D376" s="33" t="s">
        <v>39</v>
      </c>
      <c r="E376" s="200">
        <v>0</v>
      </c>
      <c r="F376" s="199">
        <v>0</v>
      </c>
      <c r="G376" s="200">
        <v>0</v>
      </c>
      <c r="H376" s="199">
        <v>0</v>
      </c>
      <c r="I376" s="200">
        <v>0</v>
      </c>
      <c r="J376" s="199">
        <v>0</v>
      </c>
      <c r="K376" s="199">
        <v>0</v>
      </c>
      <c r="L376" s="199">
        <v>0</v>
      </c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">
      <c r="A377" s="33" t="s">
        <v>140</v>
      </c>
      <c r="B377" s="33" t="s">
        <v>139</v>
      </c>
      <c r="C377" s="33">
        <v>14</v>
      </c>
      <c r="D377" s="33" t="s">
        <v>40</v>
      </c>
      <c r="E377" s="200">
        <v>0</v>
      </c>
      <c r="F377" s="199">
        <v>0</v>
      </c>
      <c r="G377" s="200">
        <v>0</v>
      </c>
      <c r="H377" s="199">
        <v>0</v>
      </c>
      <c r="I377" s="200">
        <v>0</v>
      </c>
      <c r="J377" s="199">
        <v>0</v>
      </c>
      <c r="K377" s="199">
        <v>0</v>
      </c>
      <c r="L377" s="199">
        <v>0</v>
      </c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">
      <c r="A378" s="33" t="s">
        <v>140</v>
      </c>
      <c r="B378" s="33" t="s">
        <v>139</v>
      </c>
      <c r="C378" s="33">
        <v>15</v>
      </c>
      <c r="D378" s="33" t="s">
        <v>41</v>
      </c>
      <c r="E378" s="200">
        <v>0</v>
      </c>
      <c r="F378" s="199">
        <v>0</v>
      </c>
      <c r="G378" s="200">
        <v>0</v>
      </c>
      <c r="H378" s="199">
        <v>0</v>
      </c>
      <c r="I378" s="200">
        <v>0</v>
      </c>
      <c r="J378" s="199">
        <v>0</v>
      </c>
      <c r="K378" s="199">
        <v>0</v>
      </c>
      <c r="L378" s="199">
        <v>0</v>
      </c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">
      <c r="A379" s="33" t="s">
        <v>140</v>
      </c>
      <c r="B379" s="33" t="s">
        <v>139</v>
      </c>
      <c r="C379" s="33">
        <v>16</v>
      </c>
      <c r="D379" s="33" t="s">
        <v>42</v>
      </c>
      <c r="E379" s="200">
        <v>0</v>
      </c>
      <c r="F379" s="199">
        <v>0</v>
      </c>
      <c r="G379" s="200">
        <v>0</v>
      </c>
      <c r="H379" s="199">
        <v>0</v>
      </c>
      <c r="I379" s="200">
        <v>0</v>
      </c>
      <c r="J379" s="199">
        <v>0</v>
      </c>
      <c r="K379" s="199">
        <v>0</v>
      </c>
      <c r="L379" s="199">
        <v>0</v>
      </c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">
      <c r="A380" s="33" t="s">
        <v>140</v>
      </c>
      <c r="B380" s="33" t="s">
        <v>139</v>
      </c>
      <c r="C380" s="33">
        <v>17</v>
      </c>
      <c r="D380" s="33" t="s">
        <v>126</v>
      </c>
      <c r="E380" s="200">
        <v>0</v>
      </c>
      <c r="F380" s="199">
        <v>0</v>
      </c>
      <c r="G380" s="200">
        <v>0</v>
      </c>
      <c r="H380" s="199">
        <v>0</v>
      </c>
      <c r="I380" s="200">
        <v>0</v>
      </c>
      <c r="J380" s="199">
        <v>0</v>
      </c>
      <c r="K380" s="199">
        <v>0</v>
      </c>
      <c r="L380" s="199">
        <v>0</v>
      </c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">
      <c r="A381" s="33" t="s">
        <v>140</v>
      </c>
      <c r="B381" s="33" t="s">
        <v>139</v>
      </c>
      <c r="C381" s="33">
        <v>18</v>
      </c>
      <c r="D381" s="33" t="s">
        <v>127</v>
      </c>
      <c r="E381" s="200">
        <v>0</v>
      </c>
      <c r="F381" s="199">
        <v>0</v>
      </c>
      <c r="G381" s="200">
        <v>0</v>
      </c>
      <c r="H381" s="199">
        <v>0</v>
      </c>
      <c r="I381" s="200">
        <v>0</v>
      </c>
      <c r="J381" s="199">
        <v>0</v>
      </c>
      <c r="K381" s="199">
        <v>0</v>
      </c>
      <c r="L381" s="199">
        <v>0</v>
      </c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">
      <c r="A382" s="33" t="s">
        <v>140</v>
      </c>
      <c r="B382" s="33" t="s">
        <v>139</v>
      </c>
      <c r="C382" s="33">
        <v>19</v>
      </c>
      <c r="D382" s="33" t="s">
        <v>47</v>
      </c>
      <c r="E382" s="200">
        <v>0</v>
      </c>
      <c r="F382" s="199">
        <v>0</v>
      </c>
      <c r="G382" s="200">
        <v>0</v>
      </c>
      <c r="H382" s="199">
        <v>0</v>
      </c>
      <c r="I382" s="200">
        <v>0</v>
      </c>
      <c r="J382" s="199">
        <v>0</v>
      </c>
      <c r="K382" s="199">
        <v>0</v>
      </c>
      <c r="L382" s="199">
        <v>0</v>
      </c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">
      <c r="A383" s="33" t="s">
        <v>140</v>
      </c>
      <c r="B383" s="33" t="s">
        <v>139</v>
      </c>
      <c r="C383" s="33">
        <v>20</v>
      </c>
      <c r="D383" s="33" t="s">
        <v>128</v>
      </c>
      <c r="E383" s="200">
        <v>0</v>
      </c>
      <c r="F383" s="199">
        <v>0</v>
      </c>
      <c r="G383" s="200">
        <v>0</v>
      </c>
      <c r="H383" s="199">
        <v>0</v>
      </c>
      <c r="I383" s="200">
        <v>0</v>
      </c>
      <c r="J383" s="199">
        <v>0</v>
      </c>
      <c r="K383" s="199">
        <v>0</v>
      </c>
      <c r="L383" s="199">
        <v>0</v>
      </c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">
      <c r="A384" s="33" t="s">
        <v>140</v>
      </c>
      <c r="B384" s="33" t="s">
        <v>139</v>
      </c>
      <c r="C384" s="33">
        <v>21</v>
      </c>
      <c r="D384" s="33" t="s">
        <v>129</v>
      </c>
      <c r="E384" s="200">
        <v>0</v>
      </c>
      <c r="F384" s="199">
        <v>0</v>
      </c>
      <c r="G384" s="200">
        <v>0</v>
      </c>
      <c r="H384" s="199">
        <v>0</v>
      </c>
      <c r="I384" s="200">
        <v>0</v>
      </c>
      <c r="J384" s="199">
        <v>0</v>
      </c>
      <c r="K384" s="199">
        <v>0</v>
      </c>
      <c r="L384" s="199">
        <v>0</v>
      </c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">
      <c r="A385" s="33" t="s">
        <v>140</v>
      </c>
      <c r="B385" s="33" t="s">
        <v>139</v>
      </c>
      <c r="C385" s="33">
        <v>22</v>
      </c>
      <c r="D385" s="33" t="s">
        <v>130</v>
      </c>
      <c r="E385" s="200">
        <v>0</v>
      </c>
      <c r="F385" s="199">
        <v>0</v>
      </c>
      <c r="G385" s="200">
        <v>0</v>
      </c>
      <c r="H385" s="199">
        <v>0</v>
      </c>
      <c r="I385" s="200">
        <v>0</v>
      </c>
      <c r="J385" s="199">
        <v>0</v>
      </c>
      <c r="K385" s="199">
        <v>0</v>
      </c>
      <c r="L385" s="199">
        <v>0</v>
      </c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">
      <c r="A386" s="33" t="s">
        <v>140</v>
      </c>
      <c r="B386" s="33" t="s">
        <v>139</v>
      </c>
      <c r="C386" s="33">
        <v>23</v>
      </c>
      <c r="D386" s="33" t="s">
        <v>131</v>
      </c>
      <c r="E386" s="200">
        <v>0</v>
      </c>
      <c r="F386" s="199">
        <v>0</v>
      </c>
      <c r="G386" s="200">
        <v>0</v>
      </c>
      <c r="H386" s="199">
        <v>0</v>
      </c>
      <c r="I386" s="200">
        <v>0</v>
      </c>
      <c r="J386" s="199">
        <v>0</v>
      </c>
      <c r="K386" s="199">
        <v>0</v>
      </c>
      <c r="L386" s="199">
        <v>0</v>
      </c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">
      <c r="A387" s="33" t="s">
        <v>140</v>
      </c>
      <c r="B387" s="33" t="s">
        <v>139</v>
      </c>
      <c r="C387" s="33">
        <v>24</v>
      </c>
      <c r="D387" s="33" t="s">
        <v>55</v>
      </c>
      <c r="E387" s="200">
        <v>0</v>
      </c>
      <c r="F387" s="199">
        <v>0</v>
      </c>
      <c r="G387" s="200">
        <v>0</v>
      </c>
      <c r="H387" s="199">
        <v>0</v>
      </c>
      <c r="I387" s="200">
        <v>0</v>
      </c>
      <c r="J387" s="199">
        <v>0</v>
      </c>
      <c r="K387" s="199">
        <v>0</v>
      </c>
      <c r="L387" s="199">
        <v>0</v>
      </c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">
      <c r="A388" s="33" t="s">
        <v>140</v>
      </c>
      <c r="B388" s="33" t="s">
        <v>139</v>
      </c>
      <c r="C388" s="33">
        <v>25</v>
      </c>
      <c r="D388" s="33" t="s">
        <v>56</v>
      </c>
      <c r="E388" s="200">
        <v>0</v>
      </c>
      <c r="F388" s="199">
        <v>0</v>
      </c>
      <c r="G388" s="200">
        <v>0</v>
      </c>
      <c r="H388" s="199">
        <v>0</v>
      </c>
      <c r="I388" s="200">
        <v>0</v>
      </c>
      <c r="J388" s="199">
        <v>0</v>
      </c>
      <c r="K388" s="199">
        <v>0</v>
      </c>
      <c r="L388" s="199">
        <v>0</v>
      </c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">
      <c r="A389" s="33" t="s">
        <v>140</v>
      </c>
      <c r="B389" s="33" t="s">
        <v>139</v>
      </c>
      <c r="C389" s="33">
        <v>26</v>
      </c>
      <c r="D389" s="33" t="s">
        <v>132</v>
      </c>
      <c r="E389" s="200">
        <v>0</v>
      </c>
      <c r="F389" s="199">
        <v>0</v>
      </c>
      <c r="G389" s="200">
        <v>0</v>
      </c>
      <c r="H389" s="199">
        <v>0</v>
      </c>
      <c r="I389" s="200">
        <v>0</v>
      </c>
      <c r="J389" s="199">
        <v>0</v>
      </c>
      <c r="K389" s="199">
        <v>0</v>
      </c>
      <c r="L389" s="199">
        <v>0</v>
      </c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">
      <c r="A390" s="33" t="s">
        <v>140</v>
      </c>
      <c r="B390" s="33" t="s">
        <v>139</v>
      </c>
      <c r="C390" s="33">
        <v>27</v>
      </c>
      <c r="D390" s="33" t="s">
        <v>133</v>
      </c>
      <c r="E390" s="200">
        <v>0</v>
      </c>
      <c r="F390" s="199">
        <v>0</v>
      </c>
      <c r="G390" s="200">
        <v>0</v>
      </c>
      <c r="H390" s="199">
        <v>0</v>
      </c>
      <c r="I390" s="200">
        <v>0</v>
      </c>
      <c r="J390" s="199">
        <v>0</v>
      </c>
      <c r="K390" s="199">
        <v>0</v>
      </c>
      <c r="L390" s="199">
        <v>0</v>
      </c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">
      <c r="A391" s="33" t="s">
        <v>140</v>
      </c>
      <c r="B391" s="33" t="s">
        <v>139</v>
      </c>
      <c r="C391" s="33">
        <v>28</v>
      </c>
      <c r="D391" s="33" t="s">
        <v>134</v>
      </c>
      <c r="E391" s="200">
        <v>0</v>
      </c>
      <c r="F391" s="199">
        <v>0</v>
      </c>
      <c r="G391" s="200">
        <v>0</v>
      </c>
      <c r="H391" s="199">
        <v>0</v>
      </c>
      <c r="I391" s="200">
        <v>0</v>
      </c>
      <c r="J391" s="199">
        <v>0</v>
      </c>
      <c r="K391" s="199">
        <v>0</v>
      </c>
      <c r="L391" s="199">
        <v>0</v>
      </c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">
      <c r="A392" s="33" t="s">
        <v>140</v>
      </c>
      <c r="B392" s="33" t="s">
        <v>139</v>
      </c>
      <c r="C392" s="33">
        <v>29</v>
      </c>
      <c r="D392" s="33" t="s">
        <v>135</v>
      </c>
      <c r="E392" s="200">
        <v>0</v>
      </c>
      <c r="F392" s="199">
        <v>0</v>
      </c>
      <c r="G392" s="200">
        <v>0</v>
      </c>
      <c r="H392" s="199">
        <v>0</v>
      </c>
      <c r="I392" s="200">
        <v>0</v>
      </c>
      <c r="J392" s="199">
        <v>0</v>
      </c>
      <c r="K392" s="199">
        <v>0</v>
      </c>
      <c r="L392" s="199">
        <v>0</v>
      </c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">
      <c r="A393" s="33" t="s">
        <v>140</v>
      </c>
      <c r="B393" s="33" t="s">
        <v>139</v>
      </c>
      <c r="C393" s="33">
        <v>30</v>
      </c>
      <c r="D393" s="33" t="s">
        <v>136</v>
      </c>
      <c r="E393" s="200">
        <v>0</v>
      </c>
      <c r="F393" s="199">
        <v>0</v>
      </c>
      <c r="G393" s="200">
        <v>0</v>
      </c>
      <c r="H393" s="199">
        <v>0</v>
      </c>
      <c r="I393" s="200">
        <v>0</v>
      </c>
      <c r="J393" s="199">
        <v>0</v>
      </c>
      <c r="K393" s="199">
        <v>0</v>
      </c>
      <c r="L393" s="199">
        <v>0</v>
      </c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">
      <c r="A394" s="33" t="s">
        <v>140</v>
      </c>
      <c r="B394" s="33" t="s">
        <v>139</v>
      </c>
      <c r="C394" s="33">
        <v>31</v>
      </c>
      <c r="D394" s="33" t="s">
        <v>137</v>
      </c>
      <c r="E394" s="200">
        <v>0</v>
      </c>
      <c r="F394" s="199">
        <v>0</v>
      </c>
      <c r="G394" s="200">
        <v>0</v>
      </c>
      <c r="H394" s="199">
        <v>0</v>
      </c>
      <c r="I394" s="200">
        <v>0</v>
      </c>
      <c r="J394" s="199">
        <v>0</v>
      </c>
      <c r="K394" s="199">
        <v>0</v>
      </c>
      <c r="L394" s="199">
        <v>0</v>
      </c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">
      <c r="A395" s="33" t="s">
        <v>140</v>
      </c>
      <c r="B395" s="33" t="s">
        <v>139</v>
      </c>
      <c r="C395" s="33">
        <v>32</v>
      </c>
      <c r="D395" s="33" t="s">
        <v>70</v>
      </c>
      <c r="E395" s="200">
        <v>0</v>
      </c>
      <c r="F395" s="199">
        <v>0</v>
      </c>
      <c r="G395" s="200">
        <v>0</v>
      </c>
      <c r="H395" s="199">
        <v>0</v>
      </c>
      <c r="I395" s="200">
        <v>0</v>
      </c>
      <c r="J395" s="199">
        <v>0</v>
      </c>
      <c r="K395" s="199">
        <v>0</v>
      </c>
      <c r="L395" s="199">
        <v>0</v>
      </c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">
      <c r="A396" s="33" t="s">
        <v>140</v>
      </c>
      <c r="B396" s="33" t="s">
        <v>139</v>
      </c>
      <c r="C396" s="33">
        <v>33</v>
      </c>
      <c r="D396" s="33" t="s">
        <v>71</v>
      </c>
      <c r="E396" s="200">
        <v>0</v>
      </c>
      <c r="F396" s="199">
        <v>0</v>
      </c>
      <c r="G396" s="200">
        <v>0</v>
      </c>
      <c r="H396" s="199">
        <v>0</v>
      </c>
      <c r="I396" s="200">
        <v>0</v>
      </c>
      <c r="J396" s="199">
        <v>0</v>
      </c>
      <c r="K396" s="199">
        <v>0</v>
      </c>
      <c r="L396" s="199">
        <v>0</v>
      </c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">
      <c r="A397" s="33" t="s">
        <v>140</v>
      </c>
      <c r="B397" s="33" t="s">
        <v>139</v>
      </c>
      <c r="C397" s="33">
        <v>34</v>
      </c>
      <c r="D397" s="33" t="s">
        <v>72</v>
      </c>
      <c r="E397" s="200">
        <v>0</v>
      </c>
      <c r="F397" s="199">
        <v>0</v>
      </c>
      <c r="G397" s="200">
        <v>0</v>
      </c>
      <c r="H397" s="199">
        <v>0</v>
      </c>
      <c r="I397" s="200">
        <v>0</v>
      </c>
      <c r="J397" s="199">
        <v>0</v>
      </c>
      <c r="K397" s="199">
        <v>0</v>
      </c>
      <c r="L397" s="199">
        <v>0</v>
      </c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">
      <c r="A398" s="33" t="s">
        <v>140</v>
      </c>
      <c r="B398" s="33" t="s">
        <v>139</v>
      </c>
      <c r="C398" s="33">
        <v>35</v>
      </c>
      <c r="D398" s="33" t="s">
        <v>73</v>
      </c>
      <c r="E398" s="200">
        <v>0</v>
      </c>
      <c r="F398" s="199">
        <v>0</v>
      </c>
      <c r="G398" s="200">
        <v>0</v>
      </c>
      <c r="H398" s="199">
        <v>0</v>
      </c>
      <c r="I398" s="200">
        <v>0</v>
      </c>
      <c r="J398" s="199">
        <v>0</v>
      </c>
      <c r="K398" s="199">
        <v>0</v>
      </c>
      <c r="L398" s="199">
        <v>0</v>
      </c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">
      <c r="A399" s="33" t="s">
        <v>140</v>
      </c>
      <c r="B399" s="33" t="s">
        <v>139</v>
      </c>
      <c r="C399" s="33">
        <v>36</v>
      </c>
      <c r="D399" s="33" t="s">
        <v>74</v>
      </c>
      <c r="E399" s="200">
        <v>0</v>
      </c>
      <c r="F399" s="199">
        <v>0</v>
      </c>
      <c r="G399" s="200">
        <v>0</v>
      </c>
      <c r="H399" s="199">
        <v>0</v>
      </c>
      <c r="I399" s="200">
        <v>0</v>
      </c>
      <c r="J399" s="199">
        <v>0</v>
      </c>
      <c r="K399" s="199">
        <v>0</v>
      </c>
      <c r="L399" s="199">
        <v>0</v>
      </c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">
      <c r="A400" s="33" t="s">
        <v>140</v>
      </c>
      <c r="B400" s="33" t="s">
        <v>139</v>
      </c>
      <c r="C400" s="33">
        <v>37</v>
      </c>
      <c r="D400" s="33" t="s">
        <v>75</v>
      </c>
      <c r="E400" s="200">
        <v>0</v>
      </c>
      <c r="F400" s="199">
        <v>0</v>
      </c>
      <c r="G400" s="200">
        <v>0</v>
      </c>
      <c r="H400" s="199">
        <v>0</v>
      </c>
      <c r="I400" s="200">
        <v>0</v>
      </c>
      <c r="J400" s="199">
        <v>0</v>
      </c>
      <c r="K400" s="199">
        <v>0</v>
      </c>
      <c r="L400" s="199">
        <v>0</v>
      </c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">
      <c r="A401" s="33" t="s">
        <v>140</v>
      </c>
      <c r="B401" s="33" t="s">
        <v>139</v>
      </c>
      <c r="C401" s="33">
        <v>38</v>
      </c>
      <c r="D401" s="33" t="s">
        <v>76</v>
      </c>
      <c r="E401" s="200">
        <v>0</v>
      </c>
      <c r="F401" s="199">
        <v>0</v>
      </c>
      <c r="G401" s="200">
        <v>0</v>
      </c>
      <c r="H401" s="199">
        <v>0</v>
      </c>
      <c r="I401" s="200">
        <v>0</v>
      </c>
      <c r="J401" s="199">
        <v>0</v>
      </c>
      <c r="K401" s="199">
        <v>0</v>
      </c>
      <c r="L401" s="199">
        <v>0</v>
      </c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">
      <c r="A402" s="33" t="s">
        <v>140</v>
      </c>
      <c r="B402" s="33" t="s">
        <v>139</v>
      </c>
      <c r="C402" s="33">
        <v>39</v>
      </c>
      <c r="D402" s="33" t="s">
        <v>77</v>
      </c>
      <c r="E402" s="200">
        <v>0</v>
      </c>
      <c r="F402" s="199">
        <v>0</v>
      </c>
      <c r="G402" s="200">
        <v>0</v>
      </c>
      <c r="H402" s="199">
        <v>0</v>
      </c>
      <c r="I402" s="200">
        <v>0</v>
      </c>
      <c r="J402" s="199">
        <v>0</v>
      </c>
      <c r="K402" s="199">
        <v>0</v>
      </c>
      <c r="L402" s="199">
        <v>0</v>
      </c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">
      <c r="A403" s="33" t="s">
        <v>140</v>
      </c>
      <c r="B403" s="33" t="s">
        <v>139</v>
      </c>
      <c r="C403" s="33">
        <v>40</v>
      </c>
      <c r="D403" s="33" t="s">
        <v>78</v>
      </c>
      <c r="E403" s="200">
        <v>0</v>
      </c>
      <c r="F403" s="199">
        <v>0</v>
      </c>
      <c r="G403" s="200">
        <v>0</v>
      </c>
      <c r="H403" s="199">
        <v>0</v>
      </c>
      <c r="I403" s="200">
        <v>0</v>
      </c>
      <c r="J403" s="199">
        <v>0</v>
      </c>
      <c r="K403" s="199">
        <v>0</v>
      </c>
      <c r="L403" s="199">
        <v>0</v>
      </c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">
      <c r="A404" s="33" t="s">
        <v>140</v>
      </c>
      <c r="B404" s="33" t="s">
        <v>197</v>
      </c>
      <c r="C404" s="33">
        <v>1</v>
      </c>
      <c r="D404" s="33" t="s">
        <v>25</v>
      </c>
      <c r="E404" s="200">
        <v>4966961</v>
      </c>
      <c r="F404" s="199">
        <v>15842036.24</v>
      </c>
      <c r="G404" s="200">
        <v>2588791</v>
      </c>
      <c r="H404" s="199">
        <v>3065537.33</v>
      </c>
      <c r="I404" s="200">
        <v>0</v>
      </c>
      <c r="J404" s="199">
        <v>6084.34</v>
      </c>
      <c r="K404" s="199">
        <v>0</v>
      </c>
      <c r="L404" s="199">
        <v>0</v>
      </c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">
      <c r="A405" s="33" t="s">
        <v>140</v>
      </c>
      <c r="B405" s="33" t="s">
        <v>197</v>
      </c>
      <c r="C405" s="33">
        <v>2</v>
      </c>
      <c r="D405" s="33" t="s">
        <v>26</v>
      </c>
      <c r="E405" s="200">
        <v>0</v>
      </c>
      <c r="F405" s="199">
        <v>0</v>
      </c>
      <c r="G405" s="200">
        <v>0</v>
      </c>
      <c r="H405" s="199">
        <v>0</v>
      </c>
      <c r="I405" s="200">
        <v>0</v>
      </c>
      <c r="J405" s="199">
        <v>0</v>
      </c>
      <c r="K405" s="199">
        <v>0</v>
      </c>
      <c r="L405" s="199">
        <v>0</v>
      </c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">
      <c r="A406" s="33" t="s">
        <v>140</v>
      </c>
      <c r="B406" s="33" t="s">
        <v>197</v>
      </c>
      <c r="C406" s="33">
        <v>3</v>
      </c>
      <c r="D406" s="33" t="s">
        <v>27</v>
      </c>
      <c r="E406" s="200">
        <v>3922553</v>
      </c>
      <c r="F406" s="199">
        <v>9491043</v>
      </c>
      <c r="G406" s="200">
        <v>-3825134</v>
      </c>
      <c r="H406" s="199">
        <v>-9215199</v>
      </c>
      <c r="I406" s="200">
        <v>0</v>
      </c>
      <c r="J406" s="199">
        <v>0</v>
      </c>
      <c r="K406" s="199">
        <v>0</v>
      </c>
      <c r="L406" s="199">
        <v>0</v>
      </c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">
      <c r="A407" s="33" t="s">
        <v>140</v>
      </c>
      <c r="B407" s="33" t="s">
        <v>197</v>
      </c>
      <c r="C407" s="33">
        <v>4</v>
      </c>
      <c r="D407" s="33" t="s">
        <v>28</v>
      </c>
      <c r="E407" s="200">
        <v>0</v>
      </c>
      <c r="F407" s="199">
        <v>0</v>
      </c>
      <c r="G407" s="200">
        <v>0</v>
      </c>
      <c r="H407" s="199">
        <v>0</v>
      </c>
      <c r="I407" s="200">
        <v>0</v>
      </c>
      <c r="J407" s="199">
        <v>0</v>
      </c>
      <c r="K407" s="199">
        <v>0</v>
      </c>
      <c r="L407" s="199">
        <v>0</v>
      </c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">
      <c r="A408" s="33" t="s">
        <v>140</v>
      </c>
      <c r="B408" s="33" t="s">
        <v>197</v>
      </c>
      <c r="C408" s="33">
        <v>5</v>
      </c>
      <c r="D408" s="33" t="s">
        <v>125</v>
      </c>
      <c r="E408" s="200">
        <v>0</v>
      </c>
      <c r="F408" s="199">
        <v>0</v>
      </c>
      <c r="G408" s="200">
        <v>0</v>
      </c>
      <c r="H408" s="199">
        <v>0</v>
      </c>
      <c r="I408" s="200">
        <v>0</v>
      </c>
      <c r="J408" s="199">
        <v>0</v>
      </c>
      <c r="K408" s="199">
        <v>0</v>
      </c>
      <c r="L408" s="199">
        <v>0</v>
      </c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">
      <c r="A409" s="33" t="s">
        <v>140</v>
      </c>
      <c r="B409" s="33" t="s">
        <v>197</v>
      </c>
      <c r="C409" s="33">
        <v>6</v>
      </c>
      <c r="D409" s="33" t="s">
        <v>25</v>
      </c>
      <c r="E409" s="200">
        <v>-1123774</v>
      </c>
      <c r="F409" s="199">
        <v>-3054405.16</v>
      </c>
      <c r="G409" s="200">
        <v>0</v>
      </c>
      <c r="H409" s="199">
        <v>-52476.1</v>
      </c>
      <c r="I409" s="200">
        <v>0</v>
      </c>
      <c r="J409" s="199">
        <v>0</v>
      </c>
      <c r="K409" s="199">
        <v>0</v>
      </c>
      <c r="L409" s="199">
        <v>0</v>
      </c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">
      <c r="A410" s="33" t="s">
        <v>140</v>
      </c>
      <c r="B410" s="33" t="s">
        <v>197</v>
      </c>
      <c r="C410" s="33">
        <v>7</v>
      </c>
      <c r="D410" s="33" t="s">
        <v>26</v>
      </c>
      <c r="E410" s="200">
        <v>0</v>
      </c>
      <c r="F410" s="199">
        <v>0</v>
      </c>
      <c r="G410" s="200">
        <v>0</v>
      </c>
      <c r="H410" s="199">
        <v>0</v>
      </c>
      <c r="I410" s="200">
        <v>0</v>
      </c>
      <c r="J410" s="199">
        <v>0</v>
      </c>
      <c r="K410" s="199">
        <v>0</v>
      </c>
      <c r="L410" s="199">
        <v>0</v>
      </c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">
      <c r="A411" s="33" t="s">
        <v>140</v>
      </c>
      <c r="B411" s="33" t="s">
        <v>197</v>
      </c>
      <c r="C411" s="33">
        <v>8</v>
      </c>
      <c r="D411" s="33" t="s">
        <v>27</v>
      </c>
      <c r="E411" s="200">
        <v>-10332504</v>
      </c>
      <c r="F411" s="199">
        <v>-24454050</v>
      </c>
      <c r="G411" s="200">
        <v>6697179</v>
      </c>
      <c r="H411" s="199">
        <v>15727537</v>
      </c>
      <c r="I411" s="200">
        <v>0</v>
      </c>
      <c r="J411" s="199">
        <v>0</v>
      </c>
      <c r="K411" s="199">
        <v>0</v>
      </c>
      <c r="L411" s="199">
        <v>0</v>
      </c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">
      <c r="A412" s="33" t="s">
        <v>140</v>
      </c>
      <c r="B412" s="33" t="s">
        <v>197</v>
      </c>
      <c r="C412" s="33">
        <v>9</v>
      </c>
      <c r="D412" s="33" t="s">
        <v>28</v>
      </c>
      <c r="E412" s="200">
        <v>0</v>
      </c>
      <c r="F412" s="199">
        <v>0</v>
      </c>
      <c r="G412" s="200">
        <v>0</v>
      </c>
      <c r="H412" s="199">
        <v>0</v>
      </c>
      <c r="I412" s="200">
        <v>0</v>
      </c>
      <c r="J412" s="199">
        <v>0</v>
      </c>
      <c r="K412" s="199">
        <v>0</v>
      </c>
      <c r="L412" s="199">
        <v>0</v>
      </c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">
      <c r="A413" s="33" t="s">
        <v>140</v>
      </c>
      <c r="B413" s="33" t="s">
        <v>197</v>
      </c>
      <c r="C413" s="33">
        <v>10</v>
      </c>
      <c r="D413" s="33" t="s">
        <v>32</v>
      </c>
      <c r="E413" s="200">
        <v>0</v>
      </c>
      <c r="F413" s="199">
        <v>0</v>
      </c>
      <c r="G413" s="200">
        <v>0</v>
      </c>
      <c r="H413" s="199">
        <v>0</v>
      </c>
      <c r="I413" s="200">
        <v>0</v>
      </c>
      <c r="J413" s="199">
        <v>0</v>
      </c>
      <c r="K413" s="199">
        <v>0</v>
      </c>
      <c r="L413" s="199">
        <v>0</v>
      </c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">
      <c r="A414" s="33" t="s">
        <v>140</v>
      </c>
      <c r="B414" s="33" t="s">
        <v>197</v>
      </c>
      <c r="C414" s="33">
        <v>11</v>
      </c>
      <c r="D414" s="33" t="s">
        <v>35</v>
      </c>
      <c r="E414" s="200">
        <v>0</v>
      </c>
      <c r="F414" s="199">
        <v>0</v>
      </c>
      <c r="G414" s="200">
        <v>0</v>
      </c>
      <c r="H414" s="199">
        <v>0</v>
      </c>
      <c r="I414" s="200">
        <v>0</v>
      </c>
      <c r="J414" s="199">
        <v>0</v>
      </c>
      <c r="K414" s="199">
        <v>0</v>
      </c>
      <c r="L414" s="199">
        <v>0</v>
      </c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">
      <c r="A415" s="33" t="s">
        <v>140</v>
      </c>
      <c r="B415" s="33" t="s">
        <v>197</v>
      </c>
      <c r="C415" s="33">
        <v>12</v>
      </c>
      <c r="D415" s="33" t="s">
        <v>36</v>
      </c>
      <c r="E415" s="200">
        <v>0</v>
      </c>
      <c r="F415" s="199">
        <v>0</v>
      </c>
      <c r="G415" s="200">
        <v>0</v>
      </c>
      <c r="H415" s="199">
        <v>0</v>
      </c>
      <c r="I415" s="200">
        <v>0</v>
      </c>
      <c r="J415" s="199">
        <v>0</v>
      </c>
      <c r="K415" s="199">
        <v>0</v>
      </c>
      <c r="L415" s="199">
        <v>0</v>
      </c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">
      <c r="A416" s="33" t="s">
        <v>140</v>
      </c>
      <c r="B416" s="33" t="s">
        <v>197</v>
      </c>
      <c r="C416" s="33">
        <v>13</v>
      </c>
      <c r="D416" s="33" t="s">
        <v>39</v>
      </c>
      <c r="E416" s="200">
        <v>0</v>
      </c>
      <c r="F416" s="199">
        <v>0</v>
      </c>
      <c r="G416" s="200">
        <v>0</v>
      </c>
      <c r="H416" s="199">
        <v>0</v>
      </c>
      <c r="I416" s="200">
        <v>0</v>
      </c>
      <c r="J416" s="199">
        <v>0</v>
      </c>
      <c r="K416" s="199">
        <v>0</v>
      </c>
      <c r="L416" s="199">
        <v>0</v>
      </c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">
      <c r="A417" s="33" t="s">
        <v>140</v>
      </c>
      <c r="B417" s="33" t="s">
        <v>197</v>
      </c>
      <c r="C417" s="33">
        <v>14</v>
      </c>
      <c r="D417" s="33" t="s">
        <v>40</v>
      </c>
      <c r="E417" s="200">
        <v>0</v>
      </c>
      <c r="F417" s="199">
        <v>0</v>
      </c>
      <c r="G417" s="200">
        <v>0</v>
      </c>
      <c r="H417" s="199">
        <v>0</v>
      </c>
      <c r="I417" s="200">
        <v>0</v>
      </c>
      <c r="J417" s="199">
        <v>0</v>
      </c>
      <c r="K417" s="199">
        <v>0</v>
      </c>
      <c r="L417" s="199">
        <v>0</v>
      </c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">
      <c r="A418" s="33" t="s">
        <v>140</v>
      </c>
      <c r="B418" s="33" t="s">
        <v>197</v>
      </c>
      <c r="C418" s="33">
        <v>15</v>
      </c>
      <c r="D418" s="33" t="s">
        <v>41</v>
      </c>
      <c r="E418" s="200">
        <v>0</v>
      </c>
      <c r="F418" s="199">
        <v>0</v>
      </c>
      <c r="G418" s="200">
        <v>0</v>
      </c>
      <c r="H418" s="199">
        <v>0</v>
      </c>
      <c r="I418" s="200">
        <v>0</v>
      </c>
      <c r="J418" s="199">
        <v>0</v>
      </c>
      <c r="K418" s="199">
        <v>0</v>
      </c>
      <c r="L418" s="199">
        <v>0</v>
      </c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">
      <c r="A419" s="33" t="s">
        <v>140</v>
      </c>
      <c r="B419" s="33" t="s">
        <v>197</v>
      </c>
      <c r="C419" s="33">
        <v>16</v>
      </c>
      <c r="D419" s="33" t="s">
        <v>42</v>
      </c>
      <c r="E419" s="200">
        <v>0</v>
      </c>
      <c r="F419" s="199">
        <v>0</v>
      </c>
      <c r="G419" s="200">
        <v>0</v>
      </c>
      <c r="H419" s="199">
        <v>0</v>
      </c>
      <c r="I419" s="200">
        <v>0</v>
      </c>
      <c r="J419" s="199">
        <v>0</v>
      </c>
      <c r="K419" s="199">
        <v>0</v>
      </c>
      <c r="L419" s="199">
        <v>0</v>
      </c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">
      <c r="A420" s="33" t="s">
        <v>140</v>
      </c>
      <c r="B420" s="33" t="s">
        <v>197</v>
      </c>
      <c r="C420" s="33">
        <v>17</v>
      </c>
      <c r="D420" s="33" t="s">
        <v>126</v>
      </c>
      <c r="E420" s="200">
        <v>0</v>
      </c>
      <c r="F420" s="199">
        <v>0</v>
      </c>
      <c r="G420" s="200">
        <v>0</v>
      </c>
      <c r="H420" s="199">
        <v>0</v>
      </c>
      <c r="I420" s="200">
        <v>0</v>
      </c>
      <c r="J420" s="199">
        <v>0</v>
      </c>
      <c r="K420" s="199">
        <v>0</v>
      </c>
      <c r="L420" s="199">
        <v>0</v>
      </c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">
      <c r="A421" s="33" t="s">
        <v>140</v>
      </c>
      <c r="B421" s="33" t="s">
        <v>197</v>
      </c>
      <c r="C421" s="33">
        <v>18</v>
      </c>
      <c r="D421" s="33" t="s">
        <v>127</v>
      </c>
      <c r="E421" s="200">
        <v>0</v>
      </c>
      <c r="F421" s="199">
        <v>0</v>
      </c>
      <c r="G421" s="200">
        <v>0</v>
      </c>
      <c r="H421" s="199">
        <v>0</v>
      </c>
      <c r="I421" s="200">
        <v>0</v>
      </c>
      <c r="J421" s="199">
        <v>0</v>
      </c>
      <c r="K421" s="199">
        <v>0</v>
      </c>
      <c r="L421" s="199">
        <v>0</v>
      </c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">
      <c r="A422" s="33" t="s">
        <v>140</v>
      </c>
      <c r="B422" s="33" t="s">
        <v>197</v>
      </c>
      <c r="C422" s="33">
        <v>19</v>
      </c>
      <c r="D422" s="33" t="s">
        <v>47</v>
      </c>
      <c r="E422" s="200">
        <v>0</v>
      </c>
      <c r="F422" s="199">
        <v>0</v>
      </c>
      <c r="G422" s="200">
        <v>0</v>
      </c>
      <c r="H422" s="199">
        <v>0</v>
      </c>
      <c r="I422" s="200">
        <v>0</v>
      </c>
      <c r="J422" s="199">
        <v>0</v>
      </c>
      <c r="K422" s="199">
        <v>0</v>
      </c>
      <c r="L422" s="199">
        <v>0</v>
      </c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">
      <c r="A423" s="33" t="s">
        <v>140</v>
      </c>
      <c r="B423" s="33" t="s">
        <v>197</v>
      </c>
      <c r="C423" s="33">
        <v>20</v>
      </c>
      <c r="D423" s="33" t="s">
        <v>128</v>
      </c>
      <c r="E423" s="200">
        <v>0</v>
      </c>
      <c r="F423" s="199">
        <v>0</v>
      </c>
      <c r="G423" s="200">
        <v>0</v>
      </c>
      <c r="H423" s="199">
        <v>0</v>
      </c>
      <c r="I423" s="200">
        <v>0</v>
      </c>
      <c r="J423" s="199">
        <v>0</v>
      </c>
      <c r="K423" s="199">
        <v>0</v>
      </c>
      <c r="L423" s="199">
        <v>0</v>
      </c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">
      <c r="A424" s="33" t="s">
        <v>140</v>
      </c>
      <c r="B424" s="33" t="s">
        <v>197</v>
      </c>
      <c r="C424" s="33">
        <v>21</v>
      </c>
      <c r="D424" s="33" t="s">
        <v>129</v>
      </c>
      <c r="E424" s="200">
        <v>0</v>
      </c>
      <c r="F424" s="199">
        <v>0</v>
      </c>
      <c r="G424" s="200">
        <v>0</v>
      </c>
      <c r="H424" s="199">
        <v>0</v>
      </c>
      <c r="I424" s="200">
        <v>0</v>
      </c>
      <c r="J424" s="199">
        <v>0</v>
      </c>
      <c r="K424" s="199">
        <v>0</v>
      </c>
      <c r="L424" s="199">
        <v>0</v>
      </c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">
      <c r="A425" s="33" t="s">
        <v>140</v>
      </c>
      <c r="B425" s="33" t="s">
        <v>197</v>
      </c>
      <c r="C425" s="33">
        <v>22</v>
      </c>
      <c r="D425" s="33" t="s">
        <v>130</v>
      </c>
      <c r="E425" s="200">
        <v>2566764</v>
      </c>
      <c r="F425" s="199">
        <v>5870189.2680000002</v>
      </c>
      <c r="G425" s="200">
        <v>-5460836</v>
      </c>
      <c r="H425" s="199">
        <v>-12488931.932</v>
      </c>
      <c r="I425" s="200">
        <v>0</v>
      </c>
      <c r="J425" s="199">
        <v>0</v>
      </c>
      <c r="K425" s="199">
        <v>0</v>
      </c>
      <c r="L425" s="199">
        <v>0</v>
      </c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">
      <c r="A426" s="33" t="s">
        <v>140</v>
      </c>
      <c r="B426" s="33" t="s">
        <v>197</v>
      </c>
      <c r="C426" s="33">
        <v>23</v>
      </c>
      <c r="D426" s="33" t="s">
        <v>131</v>
      </c>
      <c r="E426" s="200">
        <v>0</v>
      </c>
      <c r="F426" s="199">
        <v>0</v>
      </c>
      <c r="G426" s="200">
        <v>0</v>
      </c>
      <c r="H426" s="199">
        <v>0</v>
      </c>
      <c r="I426" s="200">
        <v>0</v>
      </c>
      <c r="J426" s="199">
        <v>0</v>
      </c>
      <c r="K426" s="199">
        <v>0</v>
      </c>
      <c r="L426" s="199">
        <v>0</v>
      </c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">
      <c r="A427" s="33" t="s">
        <v>140</v>
      </c>
      <c r="B427" s="33" t="s">
        <v>197</v>
      </c>
      <c r="C427" s="33">
        <v>24</v>
      </c>
      <c r="D427" s="33" t="s">
        <v>55</v>
      </c>
      <c r="E427" s="200">
        <v>0</v>
      </c>
      <c r="F427" s="199">
        <v>0</v>
      </c>
      <c r="G427" s="200">
        <v>0</v>
      </c>
      <c r="H427" s="199">
        <v>0</v>
      </c>
      <c r="I427" s="200">
        <v>0</v>
      </c>
      <c r="J427" s="199">
        <v>0</v>
      </c>
      <c r="K427" s="199">
        <v>0</v>
      </c>
      <c r="L427" s="199">
        <v>0</v>
      </c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">
      <c r="A428" s="33" t="s">
        <v>140</v>
      </c>
      <c r="B428" s="33" t="s">
        <v>197</v>
      </c>
      <c r="C428" s="33">
        <v>25</v>
      </c>
      <c r="D428" s="33" t="s">
        <v>56</v>
      </c>
      <c r="E428" s="200">
        <v>0</v>
      </c>
      <c r="F428" s="199">
        <v>0</v>
      </c>
      <c r="G428" s="200">
        <v>0</v>
      </c>
      <c r="H428" s="199">
        <v>0</v>
      </c>
      <c r="I428" s="200">
        <v>0</v>
      </c>
      <c r="J428" s="199">
        <v>0</v>
      </c>
      <c r="K428" s="199">
        <v>0</v>
      </c>
      <c r="L428" s="199">
        <v>0</v>
      </c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">
      <c r="A429" s="33" t="s">
        <v>140</v>
      </c>
      <c r="B429" s="33" t="s">
        <v>197</v>
      </c>
      <c r="C429" s="33">
        <v>26</v>
      </c>
      <c r="D429" s="33" t="s">
        <v>132</v>
      </c>
      <c r="E429" s="200">
        <v>0</v>
      </c>
      <c r="F429" s="199">
        <v>0</v>
      </c>
      <c r="G429" s="200">
        <v>0</v>
      </c>
      <c r="H429" s="199">
        <v>0</v>
      </c>
      <c r="I429" s="200">
        <v>0</v>
      </c>
      <c r="J429" s="199">
        <v>0</v>
      </c>
      <c r="K429" s="199">
        <v>0</v>
      </c>
      <c r="L429" s="199">
        <v>0</v>
      </c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">
      <c r="A430" s="33" t="s">
        <v>140</v>
      </c>
      <c r="B430" s="33" t="s">
        <v>197</v>
      </c>
      <c r="C430" s="33">
        <v>27</v>
      </c>
      <c r="D430" s="33" t="s">
        <v>133</v>
      </c>
      <c r="E430" s="200">
        <v>0</v>
      </c>
      <c r="F430" s="199">
        <v>0</v>
      </c>
      <c r="G430" s="200">
        <v>0</v>
      </c>
      <c r="H430" s="199">
        <v>0</v>
      </c>
      <c r="I430" s="200">
        <v>0</v>
      </c>
      <c r="J430" s="199">
        <v>0</v>
      </c>
      <c r="K430" s="199">
        <v>0</v>
      </c>
      <c r="L430" s="199">
        <v>0</v>
      </c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">
      <c r="A431" s="33" t="s">
        <v>140</v>
      </c>
      <c r="B431" s="33" t="s">
        <v>197</v>
      </c>
      <c r="C431" s="33">
        <v>28</v>
      </c>
      <c r="D431" s="33" t="s">
        <v>134</v>
      </c>
      <c r="E431" s="200">
        <v>0</v>
      </c>
      <c r="F431" s="199">
        <v>0</v>
      </c>
      <c r="G431" s="200">
        <v>0</v>
      </c>
      <c r="H431" s="199">
        <v>0</v>
      </c>
      <c r="I431" s="200">
        <v>0</v>
      </c>
      <c r="J431" s="199">
        <v>0</v>
      </c>
      <c r="K431" s="199">
        <v>0</v>
      </c>
      <c r="L431" s="199">
        <v>0</v>
      </c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">
      <c r="A432" s="33" t="s">
        <v>140</v>
      </c>
      <c r="B432" s="33" t="s">
        <v>197</v>
      </c>
      <c r="C432" s="33">
        <v>29</v>
      </c>
      <c r="D432" s="33" t="s">
        <v>135</v>
      </c>
      <c r="E432" s="200">
        <v>0</v>
      </c>
      <c r="F432" s="199">
        <v>0</v>
      </c>
      <c r="G432" s="200">
        <v>0</v>
      </c>
      <c r="H432" s="199">
        <v>0</v>
      </c>
      <c r="I432" s="200">
        <v>0</v>
      </c>
      <c r="J432" s="199">
        <v>0</v>
      </c>
      <c r="K432" s="199">
        <v>0</v>
      </c>
      <c r="L432" s="199">
        <v>0</v>
      </c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">
      <c r="A433" s="33" t="s">
        <v>140</v>
      </c>
      <c r="B433" s="33" t="s">
        <v>197</v>
      </c>
      <c r="C433" s="33">
        <v>30</v>
      </c>
      <c r="D433" s="33" t="s">
        <v>136</v>
      </c>
      <c r="E433" s="200">
        <v>0</v>
      </c>
      <c r="F433" s="199">
        <v>0</v>
      </c>
      <c r="G433" s="200">
        <v>0</v>
      </c>
      <c r="H433" s="199">
        <v>0</v>
      </c>
      <c r="I433" s="200">
        <v>0</v>
      </c>
      <c r="J433" s="199">
        <v>0</v>
      </c>
      <c r="K433" s="199">
        <v>0</v>
      </c>
      <c r="L433" s="199">
        <v>0</v>
      </c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">
      <c r="A434" s="33" t="s">
        <v>140</v>
      </c>
      <c r="B434" s="33" t="s">
        <v>197</v>
      </c>
      <c r="C434" s="33">
        <v>31</v>
      </c>
      <c r="D434" s="33" t="s">
        <v>137</v>
      </c>
      <c r="E434" s="200">
        <v>0</v>
      </c>
      <c r="F434" s="199">
        <v>0</v>
      </c>
      <c r="G434" s="200">
        <v>0</v>
      </c>
      <c r="H434" s="199">
        <v>0</v>
      </c>
      <c r="I434" s="200">
        <v>0</v>
      </c>
      <c r="J434" s="199">
        <v>0</v>
      </c>
      <c r="K434" s="199">
        <v>0</v>
      </c>
      <c r="L434" s="199">
        <v>0</v>
      </c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">
      <c r="A435" s="33" t="s">
        <v>140</v>
      </c>
      <c r="B435" s="33" t="s">
        <v>197</v>
      </c>
      <c r="C435" s="33">
        <v>32</v>
      </c>
      <c r="D435" s="33" t="s">
        <v>70</v>
      </c>
      <c r="E435" s="200">
        <v>0</v>
      </c>
      <c r="F435" s="199">
        <v>0</v>
      </c>
      <c r="G435" s="200">
        <v>0</v>
      </c>
      <c r="H435" s="199">
        <v>0</v>
      </c>
      <c r="I435" s="200">
        <v>0</v>
      </c>
      <c r="J435" s="199">
        <v>0</v>
      </c>
      <c r="K435" s="199">
        <v>0</v>
      </c>
      <c r="L435" s="199">
        <v>0</v>
      </c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">
      <c r="A436" s="33" t="s">
        <v>140</v>
      </c>
      <c r="B436" s="33" t="s">
        <v>197</v>
      </c>
      <c r="C436" s="33">
        <v>33</v>
      </c>
      <c r="D436" s="33" t="s">
        <v>71</v>
      </c>
      <c r="E436" s="200">
        <v>0</v>
      </c>
      <c r="F436" s="199">
        <v>0</v>
      </c>
      <c r="G436" s="200">
        <v>0</v>
      </c>
      <c r="H436" s="199">
        <v>0</v>
      </c>
      <c r="I436" s="200">
        <v>0</v>
      </c>
      <c r="J436" s="199">
        <v>0</v>
      </c>
      <c r="K436" s="199">
        <v>0</v>
      </c>
      <c r="L436" s="199">
        <v>0</v>
      </c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">
      <c r="A437" s="33" t="s">
        <v>140</v>
      </c>
      <c r="B437" s="33" t="s">
        <v>197</v>
      </c>
      <c r="C437" s="33">
        <v>34</v>
      </c>
      <c r="D437" s="33" t="s">
        <v>72</v>
      </c>
      <c r="E437" s="200">
        <v>0</v>
      </c>
      <c r="F437" s="199">
        <v>0</v>
      </c>
      <c r="G437" s="200">
        <v>0</v>
      </c>
      <c r="H437" s="199">
        <v>0</v>
      </c>
      <c r="I437" s="200">
        <v>0</v>
      </c>
      <c r="J437" s="199">
        <v>0</v>
      </c>
      <c r="K437" s="199">
        <v>0</v>
      </c>
      <c r="L437" s="199">
        <v>0</v>
      </c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">
      <c r="A438" s="33" t="s">
        <v>140</v>
      </c>
      <c r="B438" s="33" t="s">
        <v>197</v>
      </c>
      <c r="C438" s="33">
        <v>35</v>
      </c>
      <c r="D438" s="33" t="s">
        <v>73</v>
      </c>
      <c r="E438" s="200">
        <v>0</v>
      </c>
      <c r="F438" s="199">
        <v>0</v>
      </c>
      <c r="G438" s="200">
        <v>0</v>
      </c>
      <c r="H438" s="199">
        <v>0</v>
      </c>
      <c r="I438" s="200">
        <v>0</v>
      </c>
      <c r="J438" s="199">
        <v>0</v>
      </c>
      <c r="K438" s="199">
        <v>0</v>
      </c>
      <c r="L438" s="199">
        <v>0</v>
      </c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">
      <c r="A439" s="33" t="s">
        <v>140</v>
      </c>
      <c r="B439" s="33" t="s">
        <v>197</v>
      </c>
      <c r="C439" s="33">
        <v>36</v>
      </c>
      <c r="D439" s="33" t="s">
        <v>74</v>
      </c>
      <c r="E439" s="200">
        <v>0</v>
      </c>
      <c r="F439" s="199">
        <v>0</v>
      </c>
      <c r="G439" s="200">
        <v>0</v>
      </c>
      <c r="H439" s="199">
        <v>0</v>
      </c>
      <c r="I439" s="200">
        <v>0</v>
      </c>
      <c r="J439" s="199">
        <v>0</v>
      </c>
      <c r="K439" s="199">
        <v>0</v>
      </c>
      <c r="L439" s="199">
        <v>0</v>
      </c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">
      <c r="A440" s="33" t="s">
        <v>140</v>
      </c>
      <c r="B440" s="33" t="s">
        <v>197</v>
      </c>
      <c r="C440" s="33">
        <v>37</v>
      </c>
      <c r="D440" s="33" t="s">
        <v>75</v>
      </c>
      <c r="E440" s="200">
        <v>0</v>
      </c>
      <c r="F440" s="199">
        <v>0</v>
      </c>
      <c r="G440" s="200">
        <v>0</v>
      </c>
      <c r="H440" s="199">
        <v>0</v>
      </c>
      <c r="I440" s="200">
        <v>0</v>
      </c>
      <c r="J440" s="199">
        <v>0</v>
      </c>
      <c r="K440" s="199">
        <v>0</v>
      </c>
      <c r="L440" s="199">
        <v>0</v>
      </c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">
      <c r="A441" s="33" t="s">
        <v>140</v>
      </c>
      <c r="B441" s="33" t="s">
        <v>197</v>
      </c>
      <c r="C441" s="33">
        <v>38</v>
      </c>
      <c r="D441" s="33" t="s">
        <v>76</v>
      </c>
      <c r="E441" s="200">
        <v>0</v>
      </c>
      <c r="F441" s="199">
        <v>0</v>
      </c>
      <c r="G441" s="200">
        <v>0</v>
      </c>
      <c r="H441" s="199">
        <v>0</v>
      </c>
      <c r="I441" s="200">
        <v>0</v>
      </c>
      <c r="J441" s="199">
        <v>0</v>
      </c>
      <c r="K441" s="199">
        <v>0</v>
      </c>
      <c r="L441" s="199">
        <v>0</v>
      </c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">
      <c r="A442" s="33" t="s">
        <v>140</v>
      </c>
      <c r="B442" s="33" t="s">
        <v>197</v>
      </c>
      <c r="C442" s="33">
        <v>39</v>
      </c>
      <c r="D442" s="33" t="s">
        <v>77</v>
      </c>
      <c r="E442" s="200">
        <v>0</v>
      </c>
      <c r="F442" s="199">
        <v>0</v>
      </c>
      <c r="G442" s="200">
        <v>0</v>
      </c>
      <c r="H442" s="199">
        <v>0</v>
      </c>
      <c r="I442" s="200">
        <v>0</v>
      </c>
      <c r="J442" s="199">
        <v>0</v>
      </c>
      <c r="K442" s="199">
        <v>0</v>
      </c>
      <c r="L442" s="199">
        <v>0</v>
      </c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">
      <c r="A443" s="33" t="s">
        <v>140</v>
      </c>
      <c r="B443" s="33" t="s">
        <v>197</v>
      </c>
      <c r="C443" s="33">
        <v>40</v>
      </c>
      <c r="D443" s="33" t="s">
        <v>78</v>
      </c>
      <c r="E443" s="200">
        <v>0</v>
      </c>
      <c r="F443" s="199">
        <v>0</v>
      </c>
      <c r="G443" s="200">
        <v>0</v>
      </c>
      <c r="H443" s="199">
        <v>0</v>
      </c>
      <c r="I443" s="200">
        <v>0</v>
      </c>
      <c r="J443" s="199">
        <v>0</v>
      </c>
      <c r="K443" s="199">
        <v>0</v>
      </c>
      <c r="L443" s="199">
        <v>0</v>
      </c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">
      <c r="A444" s="33" t="s">
        <v>140</v>
      </c>
      <c r="B444" s="33" t="s">
        <v>143</v>
      </c>
      <c r="C444" s="33">
        <v>1</v>
      </c>
      <c r="D444" s="33" t="s">
        <v>25</v>
      </c>
      <c r="E444" s="200">
        <v>17351815</v>
      </c>
      <c r="F444" s="199">
        <v>44535953.909999996</v>
      </c>
      <c r="G444" s="200">
        <v>34669</v>
      </c>
      <c r="H444" s="199">
        <v>59569.52</v>
      </c>
      <c r="I444" s="200">
        <v>-20609</v>
      </c>
      <c r="J444" s="199">
        <v>1517667.59</v>
      </c>
      <c r="K444" s="199">
        <v>70287</v>
      </c>
      <c r="L444" s="199">
        <v>148735.93</v>
      </c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">
      <c r="A445" s="33" t="s">
        <v>140</v>
      </c>
      <c r="B445" s="33" t="s">
        <v>143</v>
      </c>
      <c r="C445" s="33">
        <v>2</v>
      </c>
      <c r="D445" s="33" t="s">
        <v>26</v>
      </c>
      <c r="E445" s="200">
        <v>0</v>
      </c>
      <c r="F445" s="199">
        <v>0</v>
      </c>
      <c r="G445" s="200">
        <v>0</v>
      </c>
      <c r="H445" s="199">
        <v>0</v>
      </c>
      <c r="I445" s="200">
        <v>0</v>
      </c>
      <c r="J445" s="199">
        <v>0</v>
      </c>
      <c r="K445" s="199">
        <v>0</v>
      </c>
      <c r="L445" s="199">
        <v>0</v>
      </c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">
      <c r="A446" s="33" t="s">
        <v>140</v>
      </c>
      <c r="B446" s="33" t="s">
        <v>143</v>
      </c>
      <c r="C446" s="33">
        <v>3</v>
      </c>
      <c r="D446" s="33" t="s">
        <v>27</v>
      </c>
      <c r="E446" s="200">
        <v>11332509</v>
      </c>
      <c r="F446" s="199">
        <v>26371437</v>
      </c>
      <c r="G446" s="200">
        <v>-9857227</v>
      </c>
      <c r="H446" s="199">
        <v>-22968890</v>
      </c>
      <c r="I446" s="200">
        <v>0</v>
      </c>
      <c r="J446" s="199">
        <v>0</v>
      </c>
      <c r="K446" s="199">
        <v>0</v>
      </c>
      <c r="L446" s="199">
        <v>0</v>
      </c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">
      <c r="A447" s="33" t="s">
        <v>140</v>
      </c>
      <c r="B447" s="33" t="s">
        <v>143</v>
      </c>
      <c r="C447" s="33">
        <v>4</v>
      </c>
      <c r="D447" s="33" t="s">
        <v>28</v>
      </c>
      <c r="E447" s="200">
        <v>0</v>
      </c>
      <c r="F447" s="199">
        <v>0</v>
      </c>
      <c r="G447" s="200">
        <v>0</v>
      </c>
      <c r="H447" s="199">
        <v>0</v>
      </c>
      <c r="I447" s="200">
        <v>0</v>
      </c>
      <c r="J447" s="199">
        <v>0</v>
      </c>
      <c r="K447" s="199">
        <v>0</v>
      </c>
      <c r="L447" s="199">
        <v>0</v>
      </c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">
      <c r="A448" s="33" t="s">
        <v>140</v>
      </c>
      <c r="B448" s="33" t="s">
        <v>143</v>
      </c>
      <c r="C448" s="33">
        <v>5</v>
      </c>
      <c r="D448" s="33" t="s">
        <v>125</v>
      </c>
      <c r="E448" s="200">
        <v>0</v>
      </c>
      <c r="F448" s="199">
        <v>2498660</v>
      </c>
      <c r="G448" s="200">
        <v>0</v>
      </c>
      <c r="H448" s="199">
        <v>-7500</v>
      </c>
      <c r="I448" s="200">
        <v>0</v>
      </c>
      <c r="J448" s="199">
        <v>0</v>
      </c>
      <c r="K448" s="199">
        <v>0</v>
      </c>
      <c r="L448" s="199">
        <v>0</v>
      </c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">
      <c r="A449" s="33" t="s">
        <v>140</v>
      </c>
      <c r="B449" s="33" t="s">
        <v>143</v>
      </c>
      <c r="C449" s="33">
        <v>6</v>
      </c>
      <c r="D449" s="33" t="s">
        <v>25</v>
      </c>
      <c r="E449" s="200">
        <v>-4128498</v>
      </c>
      <c r="F449" s="199">
        <v>-9292599.4399999995</v>
      </c>
      <c r="G449" s="200">
        <v>-215827</v>
      </c>
      <c r="H449" s="199">
        <v>-509657.66</v>
      </c>
      <c r="I449" s="200">
        <v>-111862</v>
      </c>
      <c r="J449" s="199">
        <v>-233753.79</v>
      </c>
      <c r="K449" s="199">
        <v>-107217</v>
      </c>
      <c r="L449" s="199">
        <v>-248712.41</v>
      </c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">
      <c r="A450" s="33" t="s">
        <v>140</v>
      </c>
      <c r="B450" s="33" t="s">
        <v>143</v>
      </c>
      <c r="C450" s="33">
        <v>7</v>
      </c>
      <c r="D450" s="33" t="s">
        <v>26</v>
      </c>
      <c r="E450" s="200">
        <v>0</v>
      </c>
      <c r="F450" s="199">
        <v>0</v>
      </c>
      <c r="G450" s="200">
        <v>0</v>
      </c>
      <c r="H450" s="199">
        <v>0</v>
      </c>
      <c r="I450" s="200">
        <v>0</v>
      </c>
      <c r="J450" s="199">
        <v>0</v>
      </c>
      <c r="K450" s="199">
        <v>0</v>
      </c>
      <c r="L450" s="199">
        <v>0</v>
      </c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">
      <c r="A451" s="33" t="s">
        <v>140</v>
      </c>
      <c r="B451" s="33" t="s">
        <v>143</v>
      </c>
      <c r="C451" s="33">
        <v>8</v>
      </c>
      <c r="D451" s="33" t="s">
        <v>27</v>
      </c>
      <c r="E451" s="200">
        <v>-9997007</v>
      </c>
      <c r="F451" s="199">
        <v>-23266574</v>
      </c>
      <c r="G451" s="200">
        <v>9857938</v>
      </c>
      <c r="H451" s="199">
        <v>22970457</v>
      </c>
      <c r="I451" s="200">
        <v>0</v>
      </c>
      <c r="J451" s="199">
        <v>0</v>
      </c>
      <c r="K451" s="199">
        <v>0</v>
      </c>
      <c r="L451" s="199">
        <v>0</v>
      </c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">
      <c r="A452" s="33" t="s">
        <v>140</v>
      </c>
      <c r="B452" s="33" t="s">
        <v>143</v>
      </c>
      <c r="C452" s="33">
        <v>9</v>
      </c>
      <c r="D452" s="33" t="s">
        <v>28</v>
      </c>
      <c r="E452" s="200">
        <v>0</v>
      </c>
      <c r="F452" s="199">
        <v>0</v>
      </c>
      <c r="G452" s="200">
        <v>0</v>
      </c>
      <c r="H452" s="199">
        <v>0</v>
      </c>
      <c r="I452" s="200">
        <v>0</v>
      </c>
      <c r="J452" s="199">
        <v>0</v>
      </c>
      <c r="K452" s="199">
        <v>0</v>
      </c>
      <c r="L452" s="199">
        <v>0</v>
      </c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">
      <c r="A453" s="33" t="s">
        <v>140</v>
      </c>
      <c r="B453" s="33" t="s">
        <v>143</v>
      </c>
      <c r="C453" s="33">
        <v>10</v>
      </c>
      <c r="D453" s="33" t="s">
        <v>32</v>
      </c>
      <c r="E453" s="200">
        <v>12946</v>
      </c>
      <c r="F453" s="199">
        <v>29426.258000000002</v>
      </c>
      <c r="G453" s="200">
        <v>860</v>
      </c>
      <c r="H453" s="199">
        <v>1954.78</v>
      </c>
      <c r="I453" s="200">
        <v>0</v>
      </c>
      <c r="J453" s="199">
        <v>0</v>
      </c>
      <c r="K453" s="199">
        <v>0</v>
      </c>
      <c r="L453" s="199">
        <v>0</v>
      </c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">
      <c r="A454" s="33" t="s">
        <v>140</v>
      </c>
      <c r="B454" s="33" t="s">
        <v>143</v>
      </c>
      <c r="C454" s="33">
        <v>11</v>
      </c>
      <c r="D454" s="33" t="s">
        <v>35</v>
      </c>
      <c r="E454" s="200">
        <v>6450055</v>
      </c>
      <c r="F454" s="199">
        <v>16394383.42</v>
      </c>
      <c r="G454" s="200">
        <v>16073</v>
      </c>
      <c r="H454" s="199">
        <v>-976463.09</v>
      </c>
      <c r="I454" s="200">
        <v>70908</v>
      </c>
      <c r="J454" s="199">
        <v>177502.15</v>
      </c>
      <c r="K454" s="199">
        <v>62478</v>
      </c>
      <c r="L454" s="199">
        <v>148856.54</v>
      </c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">
      <c r="A455" s="33" t="s">
        <v>140</v>
      </c>
      <c r="B455" s="33" t="s">
        <v>143</v>
      </c>
      <c r="C455" s="33">
        <v>12</v>
      </c>
      <c r="D455" s="33" t="s">
        <v>36</v>
      </c>
      <c r="E455" s="200">
        <v>-11229972</v>
      </c>
      <c r="F455" s="199">
        <v>-24334015.760000002</v>
      </c>
      <c r="G455" s="200">
        <v>-8916073</v>
      </c>
      <c r="H455" s="199">
        <v>-21661192.199999999</v>
      </c>
      <c r="I455" s="200">
        <v>329988</v>
      </c>
      <c r="J455" s="199">
        <v>778867.19</v>
      </c>
      <c r="K455" s="199">
        <v>11697</v>
      </c>
      <c r="L455" s="199">
        <v>29348.9</v>
      </c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">
      <c r="A456" s="33" t="s">
        <v>140</v>
      </c>
      <c r="B456" s="33" t="s">
        <v>143</v>
      </c>
      <c r="C456" s="33">
        <v>13</v>
      </c>
      <c r="D456" s="33" t="s">
        <v>39</v>
      </c>
      <c r="E456" s="200">
        <v>-9731818</v>
      </c>
      <c r="F456" s="199">
        <v>-22120422.313999999</v>
      </c>
      <c r="G456" s="200">
        <v>9729276</v>
      </c>
      <c r="H456" s="199">
        <v>22114644.348000001</v>
      </c>
      <c r="I456" s="200">
        <v>-20151</v>
      </c>
      <c r="J456" s="199">
        <v>-45803.222999999998</v>
      </c>
      <c r="K456" s="199">
        <v>0</v>
      </c>
      <c r="L456" s="199">
        <v>0</v>
      </c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">
      <c r="A457" s="33" t="s">
        <v>140</v>
      </c>
      <c r="B457" s="33" t="s">
        <v>143</v>
      </c>
      <c r="C457" s="33">
        <v>14</v>
      </c>
      <c r="D457" s="33" t="s">
        <v>40</v>
      </c>
      <c r="E457" s="200">
        <v>0</v>
      </c>
      <c r="F457" s="199">
        <v>0</v>
      </c>
      <c r="G457" s="200">
        <v>0</v>
      </c>
      <c r="H457" s="199">
        <v>0</v>
      </c>
      <c r="I457" s="200">
        <v>0</v>
      </c>
      <c r="J457" s="199">
        <v>0</v>
      </c>
      <c r="K457" s="199">
        <v>0</v>
      </c>
      <c r="L457" s="199">
        <v>0</v>
      </c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">
      <c r="A458" s="33" t="s">
        <v>140</v>
      </c>
      <c r="B458" s="33" t="s">
        <v>143</v>
      </c>
      <c r="C458" s="33">
        <v>15</v>
      </c>
      <c r="D458" s="33" t="s">
        <v>41</v>
      </c>
      <c r="E458" s="200">
        <v>0</v>
      </c>
      <c r="F458" s="199">
        <v>0</v>
      </c>
      <c r="G458" s="200">
        <v>0</v>
      </c>
      <c r="H458" s="199">
        <v>0</v>
      </c>
      <c r="I458" s="200">
        <v>0</v>
      </c>
      <c r="J458" s="199">
        <v>0</v>
      </c>
      <c r="K458" s="199">
        <v>0</v>
      </c>
      <c r="L458" s="199">
        <v>0</v>
      </c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">
      <c r="A459" s="33" t="s">
        <v>140</v>
      </c>
      <c r="B459" s="33" t="s">
        <v>143</v>
      </c>
      <c r="C459" s="33">
        <v>16</v>
      </c>
      <c r="D459" s="33" t="s">
        <v>42</v>
      </c>
      <c r="E459" s="200">
        <v>0</v>
      </c>
      <c r="F459" s="199">
        <v>0</v>
      </c>
      <c r="G459" s="200">
        <v>0</v>
      </c>
      <c r="H459" s="199">
        <v>0</v>
      </c>
      <c r="I459" s="200">
        <v>0</v>
      </c>
      <c r="J459" s="199">
        <v>0</v>
      </c>
      <c r="K459" s="199">
        <v>0</v>
      </c>
      <c r="L459" s="199">
        <v>0</v>
      </c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">
      <c r="A460" s="33" t="s">
        <v>140</v>
      </c>
      <c r="B460" s="33" t="s">
        <v>143</v>
      </c>
      <c r="C460" s="33">
        <v>17</v>
      </c>
      <c r="D460" s="33" t="s">
        <v>126</v>
      </c>
      <c r="E460" s="200">
        <v>0</v>
      </c>
      <c r="F460" s="199">
        <v>0</v>
      </c>
      <c r="G460" s="200">
        <v>0</v>
      </c>
      <c r="H460" s="199">
        <v>0</v>
      </c>
      <c r="I460" s="200">
        <v>0</v>
      </c>
      <c r="J460" s="199">
        <v>0</v>
      </c>
      <c r="K460" s="199">
        <v>0</v>
      </c>
      <c r="L460" s="199">
        <v>0</v>
      </c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">
      <c r="A461" s="33" t="s">
        <v>140</v>
      </c>
      <c r="B461" s="33" t="s">
        <v>143</v>
      </c>
      <c r="C461" s="33">
        <v>18</v>
      </c>
      <c r="D461" s="33" t="s">
        <v>127</v>
      </c>
      <c r="E461" s="200">
        <v>-140000</v>
      </c>
      <c r="F461" s="199">
        <v>-299275.48</v>
      </c>
      <c r="G461" s="200">
        <v>-624794</v>
      </c>
      <c r="H461" s="199">
        <v>-2870676.72</v>
      </c>
      <c r="I461" s="200">
        <v>-205128</v>
      </c>
      <c r="J461" s="199">
        <v>-940484.69</v>
      </c>
      <c r="K461" s="199">
        <v>0</v>
      </c>
      <c r="L461" s="199">
        <v>0</v>
      </c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">
      <c r="A462" s="33" t="s">
        <v>140</v>
      </c>
      <c r="B462" s="33" t="s">
        <v>143</v>
      </c>
      <c r="C462" s="33">
        <v>19</v>
      </c>
      <c r="D462" s="33" t="s">
        <v>47</v>
      </c>
      <c r="E462" s="200">
        <v>0</v>
      </c>
      <c r="F462" s="199">
        <v>0</v>
      </c>
      <c r="G462" s="200">
        <v>0</v>
      </c>
      <c r="H462" s="199">
        <v>0</v>
      </c>
      <c r="I462" s="200">
        <v>0</v>
      </c>
      <c r="J462" s="199">
        <v>0</v>
      </c>
      <c r="K462" s="199">
        <v>0</v>
      </c>
      <c r="L462" s="199">
        <v>0</v>
      </c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">
      <c r="A463" s="33" t="s">
        <v>140</v>
      </c>
      <c r="B463" s="33" t="s">
        <v>143</v>
      </c>
      <c r="C463" s="33">
        <v>20</v>
      </c>
      <c r="D463" s="33" t="s">
        <v>128</v>
      </c>
      <c r="E463" s="200">
        <v>0</v>
      </c>
      <c r="F463" s="199">
        <v>0</v>
      </c>
      <c r="G463" s="200">
        <v>0</v>
      </c>
      <c r="H463" s="199">
        <v>0</v>
      </c>
      <c r="I463" s="200">
        <v>0</v>
      </c>
      <c r="J463" s="199">
        <v>0</v>
      </c>
      <c r="K463" s="199">
        <v>0</v>
      </c>
      <c r="L463" s="199">
        <v>0</v>
      </c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">
      <c r="A464" s="33" t="s">
        <v>140</v>
      </c>
      <c r="B464" s="33" t="s">
        <v>143</v>
      </c>
      <c r="C464" s="33">
        <v>21</v>
      </c>
      <c r="D464" s="33" t="s">
        <v>129</v>
      </c>
      <c r="E464" s="200">
        <v>0</v>
      </c>
      <c r="F464" s="199">
        <v>0</v>
      </c>
      <c r="G464" s="200">
        <v>0</v>
      </c>
      <c r="H464" s="199">
        <v>0</v>
      </c>
      <c r="I464" s="200">
        <v>0</v>
      </c>
      <c r="J464" s="199">
        <v>0</v>
      </c>
      <c r="K464" s="199">
        <v>0</v>
      </c>
      <c r="L464" s="199">
        <v>0</v>
      </c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">
      <c r="A465" s="33" t="s">
        <v>140</v>
      </c>
      <c r="B465" s="33" t="s">
        <v>143</v>
      </c>
      <c r="C465" s="33">
        <v>22</v>
      </c>
      <c r="D465" s="33" t="s">
        <v>130</v>
      </c>
      <c r="E465" s="200">
        <v>79970</v>
      </c>
      <c r="F465" s="199">
        <v>181771.81</v>
      </c>
      <c r="G465" s="200">
        <v>-24895</v>
      </c>
      <c r="H465" s="199">
        <v>-56586.334999999992</v>
      </c>
      <c r="I465" s="200">
        <v>-43146</v>
      </c>
      <c r="J465" s="199">
        <v>-98070.857999999993</v>
      </c>
      <c r="K465" s="199">
        <v>-37245</v>
      </c>
      <c r="L465" s="199">
        <v>-84657.884999999995</v>
      </c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">
      <c r="A466" s="33" t="s">
        <v>140</v>
      </c>
      <c r="B466" s="33" t="s">
        <v>143</v>
      </c>
      <c r="C466" s="33">
        <v>23</v>
      </c>
      <c r="D466" s="33" t="s">
        <v>131</v>
      </c>
      <c r="E466" s="200">
        <v>-12946</v>
      </c>
      <c r="F466" s="199">
        <v>-29426.258000000002</v>
      </c>
      <c r="G466" s="200">
        <v>-860</v>
      </c>
      <c r="H466" s="199">
        <v>-1954.78</v>
      </c>
      <c r="I466" s="200">
        <v>0</v>
      </c>
      <c r="J466" s="199">
        <v>0</v>
      </c>
      <c r="K466" s="199">
        <v>0</v>
      </c>
      <c r="L466" s="199">
        <v>0</v>
      </c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">
      <c r="A467" s="33" t="s">
        <v>140</v>
      </c>
      <c r="B467" s="33" t="s">
        <v>143</v>
      </c>
      <c r="C467" s="33">
        <v>24</v>
      </c>
      <c r="D467" s="33" t="s">
        <v>55</v>
      </c>
      <c r="E467" s="200">
        <v>-6709702</v>
      </c>
      <c r="F467" s="199">
        <v>-213269.27</v>
      </c>
      <c r="G467" s="200">
        <v>-9720573</v>
      </c>
      <c r="H467" s="199">
        <v>-205871.48</v>
      </c>
      <c r="I467" s="200">
        <v>-27495</v>
      </c>
      <c r="J467" s="199">
        <v>10606.04</v>
      </c>
      <c r="K467" s="199">
        <v>8748</v>
      </c>
      <c r="L467" s="199">
        <v>6199.75</v>
      </c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">
      <c r="A468" s="33" t="s">
        <v>140</v>
      </c>
      <c r="B468" s="33" t="s">
        <v>143</v>
      </c>
      <c r="C468" s="33">
        <v>25</v>
      </c>
      <c r="D468" s="33" t="s">
        <v>56</v>
      </c>
      <c r="E468" s="200">
        <v>0</v>
      </c>
      <c r="F468" s="199">
        <v>-51152</v>
      </c>
      <c r="G468" s="200">
        <v>0</v>
      </c>
      <c r="H468" s="199">
        <v>-93300</v>
      </c>
      <c r="I468" s="200">
        <v>0</v>
      </c>
      <c r="J468" s="199">
        <v>1152</v>
      </c>
      <c r="K468" s="199">
        <v>0</v>
      </c>
      <c r="L468" s="199">
        <v>-19.059999999999999</v>
      </c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">
      <c r="A469" s="33" t="s">
        <v>140</v>
      </c>
      <c r="B469" s="33" t="s">
        <v>143</v>
      </c>
      <c r="C469" s="33">
        <v>26</v>
      </c>
      <c r="D469" s="33" t="s">
        <v>132</v>
      </c>
      <c r="E469" s="200">
        <v>0</v>
      </c>
      <c r="F469" s="199">
        <v>0</v>
      </c>
      <c r="G469" s="200">
        <v>0</v>
      </c>
      <c r="H469" s="199">
        <v>0</v>
      </c>
      <c r="I469" s="200">
        <v>0</v>
      </c>
      <c r="J469" s="199">
        <v>0</v>
      </c>
      <c r="K469" s="199">
        <v>0</v>
      </c>
      <c r="L469" s="199">
        <v>0</v>
      </c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">
      <c r="A470" s="33" t="s">
        <v>140</v>
      </c>
      <c r="B470" s="33" t="s">
        <v>143</v>
      </c>
      <c r="C470" s="33">
        <v>27</v>
      </c>
      <c r="D470" s="33" t="s">
        <v>133</v>
      </c>
      <c r="E470" s="200">
        <v>0</v>
      </c>
      <c r="F470" s="199">
        <v>0</v>
      </c>
      <c r="G470" s="200">
        <v>0</v>
      </c>
      <c r="H470" s="199">
        <v>0</v>
      </c>
      <c r="I470" s="200">
        <v>0</v>
      </c>
      <c r="J470" s="199">
        <v>0</v>
      </c>
      <c r="K470" s="199">
        <v>0</v>
      </c>
      <c r="L470" s="199">
        <v>0</v>
      </c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">
      <c r="A471" s="33" t="s">
        <v>140</v>
      </c>
      <c r="B471" s="33" t="s">
        <v>143</v>
      </c>
      <c r="C471" s="33">
        <v>28</v>
      </c>
      <c r="D471" s="33" t="s">
        <v>134</v>
      </c>
      <c r="E471" s="200">
        <v>0</v>
      </c>
      <c r="F471" s="199">
        <v>0</v>
      </c>
      <c r="G471" s="200">
        <v>0</v>
      </c>
      <c r="H471" s="199">
        <v>-971.85</v>
      </c>
      <c r="I471" s="200">
        <v>0</v>
      </c>
      <c r="J471" s="199">
        <v>0</v>
      </c>
      <c r="K471" s="199">
        <v>0</v>
      </c>
      <c r="L471" s="199">
        <v>0</v>
      </c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">
      <c r="A472" s="33" t="s">
        <v>140</v>
      </c>
      <c r="B472" s="33" t="s">
        <v>143</v>
      </c>
      <c r="C472" s="33">
        <v>29</v>
      </c>
      <c r="D472" s="33" t="s">
        <v>135</v>
      </c>
      <c r="E472" s="200">
        <v>0</v>
      </c>
      <c r="F472" s="199">
        <v>0</v>
      </c>
      <c r="G472" s="200">
        <v>0</v>
      </c>
      <c r="H472" s="199">
        <v>0</v>
      </c>
      <c r="I472" s="200">
        <v>0</v>
      </c>
      <c r="J472" s="199">
        <v>0</v>
      </c>
      <c r="K472" s="199">
        <v>0</v>
      </c>
      <c r="L472" s="199">
        <v>0</v>
      </c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">
      <c r="A473" s="33" t="s">
        <v>140</v>
      </c>
      <c r="B473" s="33" t="s">
        <v>143</v>
      </c>
      <c r="C473" s="33">
        <v>30</v>
      </c>
      <c r="D473" s="33" t="s">
        <v>136</v>
      </c>
      <c r="E473" s="200">
        <v>0</v>
      </c>
      <c r="F473" s="199">
        <v>0</v>
      </c>
      <c r="G473" s="200">
        <v>0</v>
      </c>
      <c r="H473" s="199">
        <v>0</v>
      </c>
      <c r="I473" s="200">
        <v>0</v>
      </c>
      <c r="J473" s="199">
        <v>0</v>
      </c>
      <c r="K473" s="199">
        <v>0</v>
      </c>
      <c r="L473" s="199">
        <v>0</v>
      </c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">
      <c r="A474" s="33" t="s">
        <v>140</v>
      </c>
      <c r="B474" s="33" t="s">
        <v>143</v>
      </c>
      <c r="C474" s="33">
        <v>31</v>
      </c>
      <c r="D474" s="33" t="s">
        <v>137</v>
      </c>
      <c r="E474" s="200">
        <v>0</v>
      </c>
      <c r="F474" s="199">
        <v>0</v>
      </c>
      <c r="G474" s="200">
        <v>0</v>
      </c>
      <c r="H474" s="199">
        <v>0</v>
      </c>
      <c r="I474" s="200">
        <v>0</v>
      </c>
      <c r="J474" s="199">
        <v>0</v>
      </c>
      <c r="K474" s="199">
        <v>0</v>
      </c>
      <c r="L474" s="199">
        <v>0</v>
      </c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">
      <c r="A475" s="33" t="s">
        <v>140</v>
      </c>
      <c r="B475" s="33" t="s">
        <v>143</v>
      </c>
      <c r="C475" s="33">
        <v>32</v>
      </c>
      <c r="D475" s="33" t="s">
        <v>70</v>
      </c>
      <c r="E475" s="200">
        <v>0</v>
      </c>
      <c r="F475" s="199">
        <v>0</v>
      </c>
      <c r="G475" s="200">
        <v>0</v>
      </c>
      <c r="H475" s="199">
        <v>0</v>
      </c>
      <c r="I475" s="200">
        <v>0</v>
      </c>
      <c r="J475" s="199">
        <v>0</v>
      </c>
      <c r="K475" s="199">
        <v>0</v>
      </c>
      <c r="L475" s="199">
        <v>0</v>
      </c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">
      <c r="A476" s="33" t="s">
        <v>140</v>
      </c>
      <c r="B476" s="33" t="s">
        <v>143</v>
      </c>
      <c r="C476" s="33">
        <v>33</v>
      </c>
      <c r="D476" s="33" t="s">
        <v>71</v>
      </c>
      <c r="E476" s="200">
        <v>0</v>
      </c>
      <c r="F476" s="199">
        <v>0</v>
      </c>
      <c r="G476" s="200">
        <v>0</v>
      </c>
      <c r="H476" s="199">
        <v>0</v>
      </c>
      <c r="I476" s="200">
        <v>0</v>
      </c>
      <c r="J476" s="199">
        <v>0</v>
      </c>
      <c r="K476" s="199">
        <v>0</v>
      </c>
      <c r="L476" s="199">
        <v>0</v>
      </c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">
      <c r="A477" s="33" t="s">
        <v>140</v>
      </c>
      <c r="B477" s="33" t="s">
        <v>143</v>
      </c>
      <c r="C477" s="33">
        <v>34</v>
      </c>
      <c r="D477" s="33" t="s">
        <v>72</v>
      </c>
      <c r="E477" s="200">
        <v>0</v>
      </c>
      <c r="F477" s="199">
        <v>0</v>
      </c>
      <c r="G477" s="200">
        <v>0</v>
      </c>
      <c r="H477" s="199">
        <v>0</v>
      </c>
      <c r="I477" s="200">
        <v>0</v>
      </c>
      <c r="J477" s="199">
        <v>0</v>
      </c>
      <c r="K477" s="199">
        <v>0</v>
      </c>
      <c r="L477" s="199">
        <v>0</v>
      </c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">
      <c r="A478" s="33" t="s">
        <v>140</v>
      </c>
      <c r="B478" s="33" t="s">
        <v>143</v>
      </c>
      <c r="C478" s="33">
        <v>35</v>
      </c>
      <c r="D478" s="33" t="s">
        <v>73</v>
      </c>
      <c r="E478" s="200">
        <v>0</v>
      </c>
      <c r="F478" s="199">
        <v>0</v>
      </c>
      <c r="G478" s="200">
        <v>0</v>
      </c>
      <c r="H478" s="199">
        <v>-2541.2800000000002</v>
      </c>
      <c r="I478" s="200">
        <v>0</v>
      </c>
      <c r="J478" s="199">
        <v>0</v>
      </c>
      <c r="K478" s="199">
        <v>0</v>
      </c>
      <c r="L478" s="199">
        <v>0</v>
      </c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">
      <c r="A479" s="33" t="s">
        <v>140</v>
      </c>
      <c r="B479" s="33" t="s">
        <v>143</v>
      </c>
      <c r="C479" s="33">
        <v>36</v>
      </c>
      <c r="D479" s="33" t="s">
        <v>74</v>
      </c>
      <c r="E479" s="200">
        <v>0</v>
      </c>
      <c r="F479" s="199">
        <v>0</v>
      </c>
      <c r="G479" s="200">
        <v>0</v>
      </c>
      <c r="H479" s="199">
        <v>0</v>
      </c>
      <c r="I479" s="200">
        <v>0</v>
      </c>
      <c r="J479" s="199">
        <v>0</v>
      </c>
      <c r="K479" s="199">
        <v>0</v>
      </c>
      <c r="L479" s="199">
        <v>0</v>
      </c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">
      <c r="A480" s="33" t="s">
        <v>140</v>
      </c>
      <c r="B480" s="33" t="s">
        <v>143</v>
      </c>
      <c r="C480" s="33">
        <v>37</v>
      </c>
      <c r="D480" s="33" t="s">
        <v>75</v>
      </c>
      <c r="E480" s="200">
        <v>0</v>
      </c>
      <c r="F480" s="199">
        <v>0</v>
      </c>
      <c r="G480" s="200">
        <v>0</v>
      </c>
      <c r="H480" s="199">
        <v>0</v>
      </c>
      <c r="I480" s="200">
        <v>0</v>
      </c>
      <c r="J480" s="199">
        <v>0</v>
      </c>
      <c r="K480" s="199">
        <v>0</v>
      </c>
      <c r="L480" s="199">
        <v>0</v>
      </c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">
      <c r="A481" s="33" t="s">
        <v>140</v>
      </c>
      <c r="B481" s="33" t="s">
        <v>143</v>
      </c>
      <c r="C481" s="33">
        <v>38</v>
      </c>
      <c r="D481" s="33" t="s">
        <v>76</v>
      </c>
      <c r="E481" s="200">
        <v>0</v>
      </c>
      <c r="F481" s="199">
        <v>0</v>
      </c>
      <c r="G481" s="200">
        <v>0</v>
      </c>
      <c r="H481" s="199">
        <v>0</v>
      </c>
      <c r="I481" s="200">
        <v>0</v>
      </c>
      <c r="J481" s="199">
        <v>0</v>
      </c>
      <c r="K481" s="199">
        <v>0</v>
      </c>
      <c r="L481" s="199">
        <v>0</v>
      </c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">
      <c r="A482" s="33" t="s">
        <v>140</v>
      </c>
      <c r="B482" s="33" t="s">
        <v>143</v>
      </c>
      <c r="C482" s="33">
        <v>39</v>
      </c>
      <c r="D482" s="33" t="s">
        <v>77</v>
      </c>
      <c r="E482" s="200">
        <v>0</v>
      </c>
      <c r="F482" s="199">
        <v>0</v>
      </c>
      <c r="G482" s="200">
        <v>0</v>
      </c>
      <c r="H482" s="199">
        <v>0</v>
      </c>
      <c r="I482" s="200">
        <v>0</v>
      </c>
      <c r="J482" s="199">
        <v>0</v>
      </c>
      <c r="K482" s="199">
        <v>0</v>
      </c>
      <c r="L482" s="199">
        <v>0</v>
      </c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">
      <c r="A483" s="33" t="s">
        <v>140</v>
      </c>
      <c r="B483" s="33" t="s">
        <v>143</v>
      </c>
      <c r="C483" s="33">
        <v>40</v>
      </c>
      <c r="D483" s="33" t="s">
        <v>78</v>
      </c>
      <c r="E483" s="200">
        <v>0</v>
      </c>
      <c r="F483" s="199">
        <v>0</v>
      </c>
      <c r="G483" s="200">
        <v>0</v>
      </c>
      <c r="H483" s="199">
        <v>0</v>
      </c>
      <c r="I483" s="200">
        <v>0</v>
      </c>
      <c r="J483" s="199">
        <v>0</v>
      </c>
      <c r="K483" s="199">
        <v>0</v>
      </c>
      <c r="L483" s="199">
        <v>0</v>
      </c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">
      <c r="A484" s="33" t="s">
        <v>140</v>
      </c>
      <c r="B484" s="33" t="s">
        <v>144</v>
      </c>
      <c r="C484" s="33">
        <v>1</v>
      </c>
      <c r="D484" s="33" t="s">
        <v>25</v>
      </c>
      <c r="E484" s="200">
        <v>41151063</v>
      </c>
      <c r="F484" s="199">
        <v>92392968.040000007</v>
      </c>
      <c r="G484" s="200">
        <v>-87867</v>
      </c>
      <c r="H484" s="199">
        <v>-269007.28000000003</v>
      </c>
      <c r="I484" s="200">
        <v>58779</v>
      </c>
      <c r="J484" s="199">
        <v>128065.06</v>
      </c>
      <c r="K484" s="199">
        <v>-23806</v>
      </c>
      <c r="L484" s="199">
        <v>-47611.77</v>
      </c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">
      <c r="A485" s="33" t="s">
        <v>140</v>
      </c>
      <c r="B485" s="33" t="s">
        <v>144</v>
      </c>
      <c r="C485" s="33">
        <v>2</v>
      </c>
      <c r="D485" s="33" t="s">
        <v>26</v>
      </c>
      <c r="E485" s="200">
        <v>0</v>
      </c>
      <c r="F485" s="199">
        <v>0</v>
      </c>
      <c r="G485" s="200">
        <v>0</v>
      </c>
      <c r="H485" s="199">
        <v>0</v>
      </c>
      <c r="I485" s="200">
        <v>0</v>
      </c>
      <c r="J485" s="199">
        <v>0</v>
      </c>
      <c r="K485" s="199">
        <v>0</v>
      </c>
      <c r="L485" s="199">
        <v>0</v>
      </c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">
      <c r="A486" s="33" t="s">
        <v>140</v>
      </c>
      <c r="B486" s="33" t="s">
        <v>144</v>
      </c>
      <c r="C486" s="33">
        <v>3</v>
      </c>
      <c r="D486" s="33" t="s">
        <v>27</v>
      </c>
      <c r="E486" s="200">
        <v>19208491</v>
      </c>
      <c r="F486" s="199">
        <v>45307321</v>
      </c>
      <c r="G486" s="200">
        <v>-19208491</v>
      </c>
      <c r="H486" s="199">
        <v>-45307321</v>
      </c>
      <c r="I486" s="200">
        <v>0</v>
      </c>
      <c r="J486" s="199">
        <v>0</v>
      </c>
      <c r="K486" s="199">
        <v>0</v>
      </c>
      <c r="L486" s="199">
        <v>0</v>
      </c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">
      <c r="A487" s="33" t="s">
        <v>140</v>
      </c>
      <c r="B487" s="33" t="s">
        <v>144</v>
      </c>
      <c r="C487" s="33">
        <v>4</v>
      </c>
      <c r="D487" s="33" t="s">
        <v>28</v>
      </c>
      <c r="E487" s="200">
        <v>0</v>
      </c>
      <c r="F487" s="199">
        <v>0</v>
      </c>
      <c r="G487" s="200">
        <v>0</v>
      </c>
      <c r="H487" s="199">
        <v>0</v>
      </c>
      <c r="I487" s="200">
        <v>0</v>
      </c>
      <c r="J487" s="199">
        <v>0</v>
      </c>
      <c r="K487" s="199">
        <v>0</v>
      </c>
      <c r="L487" s="199">
        <v>0</v>
      </c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">
      <c r="A488" s="33" t="s">
        <v>140</v>
      </c>
      <c r="B488" s="33" t="s">
        <v>144</v>
      </c>
      <c r="C488" s="33">
        <v>5</v>
      </c>
      <c r="D488" s="33" t="s">
        <v>125</v>
      </c>
      <c r="E488" s="200">
        <v>0</v>
      </c>
      <c r="F488" s="199">
        <v>1129129</v>
      </c>
      <c r="G488" s="200">
        <v>0</v>
      </c>
      <c r="H488" s="199">
        <v>1891.68</v>
      </c>
      <c r="I488" s="200">
        <v>0</v>
      </c>
      <c r="J488" s="199">
        <v>0</v>
      </c>
      <c r="K488" s="199">
        <v>0</v>
      </c>
      <c r="L488" s="199">
        <v>0</v>
      </c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">
      <c r="A489" s="33" t="s">
        <v>140</v>
      </c>
      <c r="B489" s="33" t="s">
        <v>144</v>
      </c>
      <c r="C489" s="33">
        <v>6</v>
      </c>
      <c r="D489" s="33" t="s">
        <v>25</v>
      </c>
      <c r="E489" s="200">
        <v>-42688795</v>
      </c>
      <c r="F489" s="199">
        <v>-96195381.11999999</v>
      </c>
      <c r="G489" s="200">
        <v>-229268</v>
      </c>
      <c r="H489" s="199">
        <v>-194596.82</v>
      </c>
      <c r="I489" s="200">
        <v>21407</v>
      </c>
      <c r="J489" s="199">
        <v>46190.879999999997</v>
      </c>
      <c r="K489" s="199">
        <v>-10120</v>
      </c>
      <c r="L489" s="199">
        <v>-24961.599999999999</v>
      </c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">
      <c r="A490" s="33" t="s">
        <v>140</v>
      </c>
      <c r="B490" s="33" t="s">
        <v>144</v>
      </c>
      <c r="C490" s="33">
        <v>7</v>
      </c>
      <c r="D490" s="33" t="s">
        <v>26</v>
      </c>
      <c r="E490" s="200">
        <v>0</v>
      </c>
      <c r="F490" s="199">
        <v>0</v>
      </c>
      <c r="G490" s="200">
        <v>0</v>
      </c>
      <c r="H490" s="199">
        <v>0</v>
      </c>
      <c r="I490" s="200">
        <v>0</v>
      </c>
      <c r="J490" s="199">
        <v>0</v>
      </c>
      <c r="K490" s="199">
        <v>0</v>
      </c>
      <c r="L490" s="199">
        <v>0</v>
      </c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">
      <c r="A491" s="33" t="s">
        <v>140</v>
      </c>
      <c r="B491" s="33" t="s">
        <v>144</v>
      </c>
      <c r="C491" s="33">
        <v>8</v>
      </c>
      <c r="D491" s="33" t="s">
        <v>27</v>
      </c>
      <c r="E491" s="200">
        <v>-19275990</v>
      </c>
      <c r="F491" s="199">
        <v>-45452981</v>
      </c>
      <c r="G491" s="200">
        <v>19208491</v>
      </c>
      <c r="H491" s="199">
        <v>45307323</v>
      </c>
      <c r="I491" s="200">
        <v>0</v>
      </c>
      <c r="J491" s="199">
        <v>0</v>
      </c>
      <c r="K491" s="199">
        <v>0</v>
      </c>
      <c r="L491" s="199">
        <v>0</v>
      </c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">
      <c r="A492" s="33" t="s">
        <v>140</v>
      </c>
      <c r="B492" s="33" t="s">
        <v>144</v>
      </c>
      <c r="C492" s="33">
        <v>9</v>
      </c>
      <c r="D492" s="33" t="s">
        <v>28</v>
      </c>
      <c r="E492" s="200">
        <v>0</v>
      </c>
      <c r="F492" s="199">
        <v>0</v>
      </c>
      <c r="G492" s="200">
        <v>0</v>
      </c>
      <c r="H492" s="199">
        <v>0</v>
      </c>
      <c r="I492" s="200">
        <v>0</v>
      </c>
      <c r="J492" s="199">
        <v>0</v>
      </c>
      <c r="K492" s="199">
        <v>0</v>
      </c>
      <c r="L492" s="199">
        <v>0</v>
      </c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">
      <c r="A493" s="33" t="s">
        <v>140</v>
      </c>
      <c r="B493" s="33" t="s">
        <v>144</v>
      </c>
      <c r="C493" s="33">
        <v>10</v>
      </c>
      <c r="D493" s="33" t="s">
        <v>32</v>
      </c>
      <c r="E493" s="200">
        <v>719145</v>
      </c>
      <c r="F493" s="199">
        <v>1587153.0149999999</v>
      </c>
      <c r="G493" s="200">
        <v>-21</v>
      </c>
      <c r="H493" s="199">
        <v>-46.347000000000001</v>
      </c>
      <c r="I493" s="200">
        <v>0</v>
      </c>
      <c r="J493" s="199">
        <v>0</v>
      </c>
      <c r="K493" s="199">
        <v>0</v>
      </c>
      <c r="L493" s="199">
        <v>0</v>
      </c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">
      <c r="A494" s="33" t="s">
        <v>140</v>
      </c>
      <c r="B494" s="33" t="s">
        <v>144</v>
      </c>
      <c r="C494" s="33">
        <v>11</v>
      </c>
      <c r="D494" s="33" t="s">
        <v>35</v>
      </c>
      <c r="E494" s="200">
        <v>859628</v>
      </c>
      <c r="F494" s="199">
        <v>2026388.13</v>
      </c>
      <c r="G494" s="200">
        <v>-2035</v>
      </c>
      <c r="H494" s="199">
        <v>-5352.05</v>
      </c>
      <c r="I494" s="200">
        <v>0</v>
      </c>
      <c r="J494" s="199">
        <v>0</v>
      </c>
      <c r="K494" s="199">
        <v>0</v>
      </c>
      <c r="L494" s="199">
        <v>0</v>
      </c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">
      <c r="A495" s="33" t="s">
        <v>140</v>
      </c>
      <c r="B495" s="33" t="s">
        <v>144</v>
      </c>
      <c r="C495" s="33">
        <v>12</v>
      </c>
      <c r="D495" s="33" t="s">
        <v>36</v>
      </c>
      <c r="E495" s="200">
        <v>0</v>
      </c>
      <c r="F495" s="199">
        <v>0</v>
      </c>
      <c r="G495" s="200">
        <v>0</v>
      </c>
      <c r="H495" s="199">
        <v>0</v>
      </c>
      <c r="I495" s="200">
        <v>0</v>
      </c>
      <c r="J495" s="199">
        <v>0</v>
      </c>
      <c r="K495" s="199">
        <v>0</v>
      </c>
      <c r="L495" s="199">
        <v>0</v>
      </c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">
      <c r="A496" s="33" t="s">
        <v>140</v>
      </c>
      <c r="B496" s="33" t="s">
        <v>144</v>
      </c>
      <c r="C496" s="33">
        <v>13</v>
      </c>
      <c r="D496" s="33" t="s">
        <v>39</v>
      </c>
      <c r="E496" s="200">
        <v>-57911</v>
      </c>
      <c r="F496" s="199">
        <v>-127809.577</v>
      </c>
      <c r="G496" s="200">
        <v>-1702877</v>
      </c>
      <c r="H496" s="199">
        <v>-3758249.5389999999</v>
      </c>
      <c r="I496" s="200">
        <v>1708683</v>
      </c>
      <c r="J496" s="199">
        <v>3771063.3810000001</v>
      </c>
      <c r="K496" s="199">
        <v>-10401</v>
      </c>
      <c r="L496" s="199">
        <v>-22955.007000000001</v>
      </c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">
      <c r="A497" s="33" t="s">
        <v>140</v>
      </c>
      <c r="B497" s="33" t="s">
        <v>144</v>
      </c>
      <c r="C497" s="33">
        <v>14</v>
      </c>
      <c r="D497" s="33" t="s">
        <v>40</v>
      </c>
      <c r="E497" s="200">
        <v>0</v>
      </c>
      <c r="F497" s="199">
        <v>0</v>
      </c>
      <c r="G497" s="200">
        <v>-569</v>
      </c>
      <c r="H497" s="199">
        <v>-1266.03</v>
      </c>
      <c r="I497" s="200">
        <v>-1</v>
      </c>
      <c r="J497" s="199">
        <v>-2.19</v>
      </c>
      <c r="K497" s="199">
        <v>0</v>
      </c>
      <c r="L497" s="199">
        <v>0</v>
      </c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">
      <c r="A498" s="33" t="s">
        <v>140</v>
      </c>
      <c r="B498" s="33" t="s">
        <v>144</v>
      </c>
      <c r="C498" s="33">
        <v>15</v>
      </c>
      <c r="D498" s="33" t="s">
        <v>41</v>
      </c>
      <c r="E498" s="200">
        <v>0</v>
      </c>
      <c r="F498" s="199">
        <v>0</v>
      </c>
      <c r="G498" s="200">
        <v>0</v>
      </c>
      <c r="H498" s="199">
        <v>0</v>
      </c>
      <c r="I498" s="200">
        <v>6</v>
      </c>
      <c r="J498" s="199">
        <v>12.9</v>
      </c>
      <c r="K498" s="199">
        <v>0</v>
      </c>
      <c r="L498" s="199">
        <v>0</v>
      </c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">
      <c r="A499" s="33" t="s">
        <v>140</v>
      </c>
      <c r="B499" s="33" t="s">
        <v>144</v>
      </c>
      <c r="C499" s="33">
        <v>16</v>
      </c>
      <c r="D499" s="33" t="s">
        <v>42</v>
      </c>
      <c r="E499" s="200">
        <v>0</v>
      </c>
      <c r="F499" s="199">
        <v>0</v>
      </c>
      <c r="G499" s="200">
        <v>0</v>
      </c>
      <c r="H499" s="199">
        <v>0</v>
      </c>
      <c r="I499" s="200">
        <v>0</v>
      </c>
      <c r="J499" s="199">
        <v>0</v>
      </c>
      <c r="K499" s="199">
        <v>0</v>
      </c>
      <c r="L499" s="199">
        <v>0</v>
      </c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">
      <c r="A500" s="33" t="s">
        <v>140</v>
      </c>
      <c r="B500" s="33" t="s">
        <v>144</v>
      </c>
      <c r="C500" s="33">
        <v>17</v>
      </c>
      <c r="D500" s="33" t="s">
        <v>126</v>
      </c>
      <c r="E500" s="200">
        <v>3701</v>
      </c>
      <c r="F500" s="199">
        <v>8168.11</v>
      </c>
      <c r="G500" s="200">
        <v>217856</v>
      </c>
      <c r="H500" s="199">
        <v>480810.82</v>
      </c>
      <c r="I500" s="200">
        <v>0</v>
      </c>
      <c r="J500" s="199">
        <v>0</v>
      </c>
      <c r="K500" s="199">
        <v>0</v>
      </c>
      <c r="L500" s="199">
        <v>0</v>
      </c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">
      <c r="A501" s="33" t="s">
        <v>140</v>
      </c>
      <c r="B501" s="33" t="s">
        <v>144</v>
      </c>
      <c r="C501" s="33">
        <v>18</v>
      </c>
      <c r="D501" s="33" t="s">
        <v>127</v>
      </c>
      <c r="E501" s="200">
        <v>0</v>
      </c>
      <c r="F501" s="199">
        <v>0</v>
      </c>
      <c r="G501" s="200">
        <v>0</v>
      </c>
      <c r="H501" s="199">
        <v>0</v>
      </c>
      <c r="I501" s="200">
        <v>0</v>
      </c>
      <c r="J501" s="199">
        <v>0</v>
      </c>
      <c r="K501" s="199">
        <v>0</v>
      </c>
      <c r="L501" s="199">
        <v>0</v>
      </c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">
      <c r="A502" s="33" t="s">
        <v>140</v>
      </c>
      <c r="B502" s="33" t="s">
        <v>144</v>
      </c>
      <c r="C502" s="33">
        <v>19</v>
      </c>
      <c r="D502" s="33" t="s">
        <v>47</v>
      </c>
      <c r="E502" s="200">
        <v>0</v>
      </c>
      <c r="F502" s="199">
        <v>0</v>
      </c>
      <c r="G502" s="200">
        <v>0</v>
      </c>
      <c r="H502" s="199">
        <v>0</v>
      </c>
      <c r="I502" s="200">
        <v>0</v>
      </c>
      <c r="J502" s="199">
        <v>0</v>
      </c>
      <c r="K502" s="199">
        <v>0</v>
      </c>
      <c r="L502" s="199">
        <v>0</v>
      </c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">
      <c r="A503" s="33" t="s">
        <v>140</v>
      </c>
      <c r="B503" s="33" t="s">
        <v>144</v>
      </c>
      <c r="C503" s="33">
        <v>20</v>
      </c>
      <c r="D503" s="33" t="s">
        <v>128</v>
      </c>
      <c r="E503" s="200">
        <v>0</v>
      </c>
      <c r="F503" s="199">
        <v>0</v>
      </c>
      <c r="G503" s="200">
        <v>0</v>
      </c>
      <c r="H503" s="199">
        <v>0</v>
      </c>
      <c r="I503" s="200">
        <v>0</v>
      </c>
      <c r="J503" s="199">
        <v>0</v>
      </c>
      <c r="K503" s="199">
        <v>0</v>
      </c>
      <c r="L503" s="199">
        <v>0</v>
      </c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">
      <c r="A504" s="33" t="s">
        <v>140</v>
      </c>
      <c r="B504" s="33" t="s">
        <v>144</v>
      </c>
      <c r="C504" s="33">
        <v>21</v>
      </c>
      <c r="D504" s="33" t="s">
        <v>129</v>
      </c>
      <c r="E504" s="200">
        <v>0</v>
      </c>
      <c r="F504" s="199">
        <v>0</v>
      </c>
      <c r="G504" s="200">
        <v>0</v>
      </c>
      <c r="H504" s="199">
        <v>0</v>
      </c>
      <c r="I504" s="200">
        <v>0</v>
      </c>
      <c r="J504" s="199">
        <v>0</v>
      </c>
      <c r="K504" s="199">
        <v>0</v>
      </c>
      <c r="L504" s="199">
        <v>0</v>
      </c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">
      <c r="A505" s="33" t="s">
        <v>140</v>
      </c>
      <c r="B505" s="33" t="s">
        <v>144</v>
      </c>
      <c r="C505" s="33">
        <v>22</v>
      </c>
      <c r="D505" s="33" t="s">
        <v>130</v>
      </c>
      <c r="E505" s="200">
        <v>80668</v>
      </c>
      <c r="F505" s="199">
        <v>178034.27600000001</v>
      </c>
      <c r="G505" s="200">
        <v>1804781</v>
      </c>
      <c r="H505" s="199">
        <v>3983151.6669999999</v>
      </c>
      <c r="I505" s="200">
        <v>-1788874</v>
      </c>
      <c r="J505" s="199">
        <v>-3948044.9180000001</v>
      </c>
      <c r="K505" s="199">
        <v>44327</v>
      </c>
      <c r="L505" s="199">
        <v>97829.688999999998</v>
      </c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">
      <c r="A506" s="33" t="s">
        <v>140</v>
      </c>
      <c r="B506" s="33" t="s">
        <v>144</v>
      </c>
      <c r="C506" s="33">
        <v>23</v>
      </c>
      <c r="D506" s="33" t="s">
        <v>131</v>
      </c>
      <c r="E506" s="200">
        <v>-719145</v>
      </c>
      <c r="F506" s="199">
        <v>-1587153.0149999999</v>
      </c>
      <c r="G506" s="200">
        <v>21</v>
      </c>
      <c r="H506" s="199">
        <v>46.347000000000001</v>
      </c>
      <c r="I506" s="200">
        <v>0</v>
      </c>
      <c r="J506" s="199">
        <v>0</v>
      </c>
      <c r="K506" s="199">
        <v>0</v>
      </c>
      <c r="L506" s="199">
        <v>0</v>
      </c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">
      <c r="A507" s="33" t="s">
        <v>140</v>
      </c>
      <c r="B507" s="33" t="s">
        <v>144</v>
      </c>
      <c r="C507" s="33">
        <v>24</v>
      </c>
      <c r="D507" s="33" t="s">
        <v>55</v>
      </c>
      <c r="E507" s="200">
        <v>-24183369</v>
      </c>
      <c r="F507" s="199">
        <v>-379380.82</v>
      </c>
      <c r="G507" s="200">
        <v>-2294047</v>
      </c>
      <c r="H507" s="199">
        <v>-14240.75</v>
      </c>
      <c r="I507" s="200">
        <v>1699793</v>
      </c>
      <c r="J507" s="199">
        <v>9.9999999999980105E-3</v>
      </c>
      <c r="K507" s="199">
        <v>-766071</v>
      </c>
      <c r="L507" s="199">
        <v>1.3500311979441904E-13</v>
      </c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">
      <c r="A508" s="33" t="s">
        <v>140</v>
      </c>
      <c r="B508" s="33" t="s">
        <v>144</v>
      </c>
      <c r="C508" s="33">
        <v>25</v>
      </c>
      <c r="D508" s="33" t="s">
        <v>56</v>
      </c>
      <c r="E508" s="200">
        <v>0</v>
      </c>
      <c r="F508" s="199">
        <v>-2278451.4500000002</v>
      </c>
      <c r="G508" s="200">
        <v>0</v>
      </c>
      <c r="H508" s="199">
        <v>-3170212.12</v>
      </c>
      <c r="I508" s="200">
        <v>0</v>
      </c>
      <c r="J508" s="199">
        <v>0</v>
      </c>
      <c r="K508" s="199">
        <v>0</v>
      </c>
      <c r="L508" s="199">
        <v>0</v>
      </c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">
      <c r="A509" s="33" t="s">
        <v>140</v>
      </c>
      <c r="B509" s="33" t="s">
        <v>144</v>
      </c>
      <c r="C509" s="33">
        <v>26</v>
      </c>
      <c r="D509" s="33" t="s">
        <v>132</v>
      </c>
      <c r="E509" s="200">
        <v>0</v>
      </c>
      <c r="F509" s="199">
        <v>0</v>
      </c>
      <c r="G509" s="200">
        <v>0</v>
      </c>
      <c r="H509" s="199">
        <v>0</v>
      </c>
      <c r="I509" s="200">
        <v>0</v>
      </c>
      <c r="J509" s="199">
        <v>0</v>
      </c>
      <c r="K509" s="199">
        <v>0</v>
      </c>
      <c r="L509" s="199">
        <v>0</v>
      </c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">
      <c r="A510" s="33" t="s">
        <v>140</v>
      </c>
      <c r="B510" s="33" t="s">
        <v>144</v>
      </c>
      <c r="C510" s="33">
        <v>27</v>
      </c>
      <c r="D510" s="33" t="s">
        <v>133</v>
      </c>
      <c r="E510" s="200">
        <v>0</v>
      </c>
      <c r="F510" s="199">
        <v>0</v>
      </c>
      <c r="G510" s="200">
        <v>0</v>
      </c>
      <c r="H510" s="199">
        <v>0</v>
      </c>
      <c r="I510" s="200">
        <v>0</v>
      </c>
      <c r="J510" s="199">
        <v>0</v>
      </c>
      <c r="K510" s="199">
        <v>0</v>
      </c>
      <c r="L510" s="199">
        <v>0</v>
      </c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">
      <c r="A511" s="33" t="s">
        <v>140</v>
      </c>
      <c r="B511" s="33" t="s">
        <v>144</v>
      </c>
      <c r="C511" s="33">
        <v>28</v>
      </c>
      <c r="D511" s="33" t="s">
        <v>134</v>
      </c>
      <c r="E511" s="200">
        <v>0</v>
      </c>
      <c r="F511" s="199">
        <v>0</v>
      </c>
      <c r="G511" s="200">
        <v>0</v>
      </c>
      <c r="H511" s="199">
        <v>0</v>
      </c>
      <c r="I511" s="200">
        <v>0</v>
      </c>
      <c r="J511" s="199">
        <v>0</v>
      </c>
      <c r="K511" s="199">
        <v>0</v>
      </c>
      <c r="L511" s="199">
        <v>0</v>
      </c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">
      <c r="A512" s="33" t="s">
        <v>140</v>
      </c>
      <c r="B512" s="33" t="s">
        <v>144</v>
      </c>
      <c r="C512" s="33">
        <v>29</v>
      </c>
      <c r="D512" s="33" t="s">
        <v>135</v>
      </c>
      <c r="E512" s="200">
        <v>0</v>
      </c>
      <c r="F512" s="199">
        <v>0</v>
      </c>
      <c r="G512" s="200">
        <v>0</v>
      </c>
      <c r="H512" s="199">
        <v>0</v>
      </c>
      <c r="I512" s="200">
        <v>0</v>
      </c>
      <c r="J512" s="199">
        <v>0</v>
      </c>
      <c r="K512" s="199">
        <v>0</v>
      </c>
      <c r="L512" s="199">
        <v>0</v>
      </c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">
      <c r="A513" s="33" t="s">
        <v>140</v>
      </c>
      <c r="B513" s="33" t="s">
        <v>144</v>
      </c>
      <c r="C513" s="33">
        <v>30</v>
      </c>
      <c r="D513" s="33" t="s">
        <v>136</v>
      </c>
      <c r="E513" s="200">
        <v>0</v>
      </c>
      <c r="F513" s="199">
        <v>0</v>
      </c>
      <c r="G513" s="200">
        <v>0</v>
      </c>
      <c r="H513" s="199">
        <v>0</v>
      </c>
      <c r="I513" s="200">
        <v>0</v>
      </c>
      <c r="J513" s="199">
        <v>0</v>
      </c>
      <c r="K513" s="199">
        <v>0</v>
      </c>
      <c r="L513" s="199">
        <v>0</v>
      </c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">
      <c r="A514" s="33" t="s">
        <v>140</v>
      </c>
      <c r="B514" s="33" t="s">
        <v>144</v>
      </c>
      <c r="C514" s="33">
        <v>31</v>
      </c>
      <c r="D514" s="33" t="s">
        <v>137</v>
      </c>
      <c r="E514" s="200">
        <v>0</v>
      </c>
      <c r="F514" s="199">
        <v>0</v>
      </c>
      <c r="G514" s="200">
        <v>0</v>
      </c>
      <c r="H514" s="199">
        <v>0</v>
      </c>
      <c r="I514" s="200">
        <v>0</v>
      </c>
      <c r="J514" s="199">
        <v>0</v>
      </c>
      <c r="K514" s="199">
        <v>0</v>
      </c>
      <c r="L514" s="199">
        <v>0</v>
      </c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">
      <c r="A515" s="33" t="s">
        <v>140</v>
      </c>
      <c r="B515" s="33" t="s">
        <v>144</v>
      </c>
      <c r="C515" s="33">
        <v>32</v>
      </c>
      <c r="D515" s="33" t="s">
        <v>70</v>
      </c>
      <c r="E515" s="200">
        <v>0</v>
      </c>
      <c r="F515" s="199">
        <v>0</v>
      </c>
      <c r="G515" s="200">
        <v>0</v>
      </c>
      <c r="H515" s="199">
        <v>0</v>
      </c>
      <c r="I515" s="200">
        <v>0</v>
      </c>
      <c r="J515" s="199">
        <v>0</v>
      </c>
      <c r="K515" s="199">
        <v>0</v>
      </c>
      <c r="L515" s="199">
        <v>0</v>
      </c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">
      <c r="A516" s="33" t="s">
        <v>140</v>
      </c>
      <c r="B516" s="33" t="s">
        <v>144</v>
      </c>
      <c r="C516" s="33">
        <v>33</v>
      </c>
      <c r="D516" s="33" t="s">
        <v>71</v>
      </c>
      <c r="E516" s="200">
        <v>0</v>
      </c>
      <c r="F516" s="199">
        <v>0</v>
      </c>
      <c r="G516" s="200">
        <v>0</v>
      </c>
      <c r="H516" s="199">
        <v>0</v>
      </c>
      <c r="I516" s="200">
        <v>0</v>
      </c>
      <c r="J516" s="199">
        <v>0</v>
      </c>
      <c r="K516" s="199">
        <v>0</v>
      </c>
      <c r="L516" s="199">
        <v>0</v>
      </c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">
      <c r="A517" s="33" t="s">
        <v>140</v>
      </c>
      <c r="B517" s="33" t="s">
        <v>144</v>
      </c>
      <c r="C517" s="33">
        <v>34</v>
      </c>
      <c r="D517" s="33" t="s">
        <v>72</v>
      </c>
      <c r="E517" s="200">
        <v>0</v>
      </c>
      <c r="F517" s="199">
        <v>0</v>
      </c>
      <c r="G517" s="200">
        <v>0</v>
      </c>
      <c r="H517" s="199">
        <v>0</v>
      </c>
      <c r="I517" s="200">
        <v>0</v>
      </c>
      <c r="J517" s="199">
        <v>0</v>
      </c>
      <c r="K517" s="199">
        <v>0</v>
      </c>
      <c r="L517" s="199">
        <v>0</v>
      </c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">
      <c r="A518" s="33" t="s">
        <v>140</v>
      </c>
      <c r="B518" s="33" t="s">
        <v>144</v>
      </c>
      <c r="C518" s="33">
        <v>35</v>
      </c>
      <c r="D518" s="33" t="s">
        <v>73</v>
      </c>
      <c r="E518" s="200">
        <v>0</v>
      </c>
      <c r="F518" s="199">
        <v>-9739.94</v>
      </c>
      <c r="G518" s="200">
        <v>0</v>
      </c>
      <c r="H518" s="199">
        <v>-281.75</v>
      </c>
      <c r="I518" s="200">
        <v>0</v>
      </c>
      <c r="J518" s="199">
        <v>0</v>
      </c>
      <c r="K518" s="199">
        <v>0</v>
      </c>
      <c r="L518" s="199">
        <v>0</v>
      </c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">
      <c r="A519" s="33" t="s">
        <v>140</v>
      </c>
      <c r="B519" s="33" t="s">
        <v>144</v>
      </c>
      <c r="C519" s="33">
        <v>36</v>
      </c>
      <c r="D519" s="33" t="s">
        <v>74</v>
      </c>
      <c r="E519" s="200">
        <v>0</v>
      </c>
      <c r="F519" s="199">
        <v>0</v>
      </c>
      <c r="G519" s="200">
        <v>0</v>
      </c>
      <c r="H519" s="199">
        <v>0</v>
      </c>
      <c r="I519" s="200">
        <v>0</v>
      </c>
      <c r="J519" s="199">
        <v>0</v>
      </c>
      <c r="K519" s="199">
        <v>0</v>
      </c>
      <c r="L519" s="199">
        <v>0</v>
      </c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">
      <c r="A520" s="33" t="s">
        <v>140</v>
      </c>
      <c r="B520" s="33" t="s">
        <v>144</v>
      </c>
      <c r="C520" s="33">
        <v>37</v>
      </c>
      <c r="D520" s="33" t="s">
        <v>75</v>
      </c>
      <c r="E520" s="200">
        <v>0</v>
      </c>
      <c r="F520" s="199">
        <v>0</v>
      </c>
      <c r="G520" s="200">
        <v>0</v>
      </c>
      <c r="H520" s="199">
        <v>0</v>
      </c>
      <c r="I520" s="200">
        <v>0</v>
      </c>
      <c r="J520" s="199">
        <v>0</v>
      </c>
      <c r="K520" s="199">
        <v>0</v>
      </c>
      <c r="L520" s="199">
        <v>0</v>
      </c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">
      <c r="A521" s="33" t="s">
        <v>140</v>
      </c>
      <c r="B521" s="33" t="s">
        <v>144</v>
      </c>
      <c r="C521" s="33">
        <v>38</v>
      </c>
      <c r="D521" s="33" t="s">
        <v>76</v>
      </c>
      <c r="E521" s="200">
        <v>0</v>
      </c>
      <c r="F521" s="199">
        <v>0</v>
      </c>
      <c r="G521" s="200">
        <v>0</v>
      </c>
      <c r="H521" s="199">
        <v>0</v>
      </c>
      <c r="I521" s="200">
        <v>0</v>
      </c>
      <c r="J521" s="199">
        <v>0</v>
      </c>
      <c r="K521" s="199">
        <v>0</v>
      </c>
      <c r="L521" s="199">
        <v>0</v>
      </c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">
      <c r="A522" s="33" t="s">
        <v>140</v>
      </c>
      <c r="B522" s="33" t="s">
        <v>144</v>
      </c>
      <c r="C522" s="33">
        <v>39</v>
      </c>
      <c r="D522" s="33" t="s">
        <v>77</v>
      </c>
      <c r="E522" s="200">
        <v>0</v>
      </c>
      <c r="F522" s="199">
        <v>0</v>
      </c>
      <c r="G522" s="200">
        <v>0</v>
      </c>
      <c r="H522" s="199">
        <v>0</v>
      </c>
      <c r="I522" s="200">
        <v>0</v>
      </c>
      <c r="J522" s="199">
        <v>0</v>
      </c>
      <c r="K522" s="199">
        <v>0</v>
      </c>
      <c r="L522" s="199">
        <v>0</v>
      </c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">
      <c r="A523" s="33" t="s">
        <v>140</v>
      </c>
      <c r="B523" s="33" t="s">
        <v>144</v>
      </c>
      <c r="C523" s="33">
        <v>40</v>
      </c>
      <c r="D523" s="33" t="s">
        <v>78</v>
      </c>
      <c r="E523" s="200">
        <v>0</v>
      </c>
      <c r="F523" s="199">
        <v>7142.86</v>
      </c>
      <c r="G523" s="200">
        <v>0</v>
      </c>
      <c r="H523" s="199">
        <v>0</v>
      </c>
      <c r="I523" s="200">
        <v>0</v>
      </c>
      <c r="J523" s="199">
        <v>0</v>
      </c>
      <c r="K523" s="199">
        <v>0</v>
      </c>
      <c r="L523" s="199">
        <v>0</v>
      </c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">
      <c r="A524" s="33" t="s">
        <v>145</v>
      </c>
      <c r="B524" s="33" t="s">
        <v>146</v>
      </c>
      <c r="C524" s="33">
        <v>1</v>
      </c>
      <c r="D524" s="33" t="s">
        <v>25</v>
      </c>
      <c r="E524" s="200">
        <v>0</v>
      </c>
      <c r="F524" s="199">
        <v>0</v>
      </c>
      <c r="G524" s="200">
        <v>0</v>
      </c>
      <c r="H524" s="199">
        <v>0</v>
      </c>
      <c r="I524" s="200">
        <v>0</v>
      </c>
      <c r="J524" s="199">
        <v>0</v>
      </c>
      <c r="K524" s="199">
        <v>0</v>
      </c>
      <c r="L524" s="199">
        <v>0</v>
      </c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">
      <c r="A525" s="33" t="s">
        <v>145</v>
      </c>
      <c r="B525" s="33" t="s">
        <v>146</v>
      </c>
      <c r="C525" s="33">
        <v>2</v>
      </c>
      <c r="D525" s="33" t="s">
        <v>26</v>
      </c>
      <c r="E525" s="200">
        <v>0</v>
      </c>
      <c r="F525" s="199">
        <v>0</v>
      </c>
      <c r="G525" s="200">
        <v>0</v>
      </c>
      <c r="H525" s="199">
        <v>0</v>
      </c>
      <c r="I525" s="200">
        <v>0</v>
      </c>
      <c r="J525" s="199">
        <v>0</v>
      </c>
      <c r="K525" s="199">
        <v>0</v>
      </c>
      <c r="L525" s="199">
        <v>0</v>
      </c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">
      <c r="A526" s="33" t="s">
        <v>145</v>
      </c>
      <c r="B526" s="33" t="s">
        <v>146</v>
      </c>
      <c r="C526" s="33">
        <v>3</v>
      </c>
      <c r="D526" s="33" t="s">
        <v>27</v>
      </c>
      <c r="E526" s="200">
        <v>0</v>
      </c>
      <c r="F526" s="199">
        <v>0</v>
      </c>
      <c r="G526" s="200">
        <v>0</v>
      </c>
      <c r="H526" s="199">
        <v>0</v>
      </c>
      <c r="I526" s="200">
        <v>0</v>
      </c>
      <c r="J526" s="199">
        <v>0</v>
      </c>
      <c r="K526" s="199">
        <v>0</v>
      </c>
      <c r="L526" s="199">
        <v>0</v>
      </c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">
      <c r="A527" s="33" t="s">
        <v>145</v>
      </c>
      <c r="B527" s="33" t="s">
        <v>146</v>
      </c>
      <c r="C527" s="33">
        <v>4</v>
      </c>
      <c r="D527" s="33" t="s">
        <v>28</v>
      </c>
      <c r="E527" s="200">
        <v>0</v>
      </c>
      <c r="F527" s="199">
        <v>0</v>
      </c>
      <c r="G527" s="200">
        <v>0</v>
      </c>
      <c r="H527" s="199">
        <v>0</v>
      </c>
      <c r="I527" s="200">
        <v>0</v>
      </c>
      <c r="J527" s="199">
        <v>0</v>
      </c>
      <c r="K527" s="199">
        <v>0</v>
      </c>
      <c r="L527" s="199">
        <v>0</v>
      </c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">
      <c r="A528" s="33" t="s">
        <v>145</v>
      </c>
      <c r="B528" s="33" t="s">
        <v>146</v>
      </c>
      <c r="C528" s="33">
        <v>5</v>
      </c>
      <c r="D528" s="33" t="s">
        <v>125</v>
      </c>
      <c r="E528" s="200">
        <v>0</v>
      </c>
      <c r="F528" s="199">
        <v>0</v>
      </c>
      <c r="G528" s="200">
        <v>0</v>
      </c>
      <c r="H528" s="199">
        <v>0</v>
      </c>
      <c r="I528" s="200">
        <v>0</v>
      </c>
      <c r="J528" s="199">
        <v>0</v>
      </c>
      <c r="K528" s="199">
        <v>0</v>
      </c>
      <c r="L528" s="199">
        <v>0</v>
      </c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">
      <c r="A529" s="33" t="s">
        <v>145</v>
      </c>
      <c r="B529" s="33" t="s">
        <v>146</v>
      </c>
      <c r="C529" s="33">
        <v>6</v>
      </c>
      <c r="D529" s="33" t="s">
        <v>25</v>
      </c>
      <c r="E529" s="200">
        <v>0</v>
      </c>
      <c r="F529" s="199">
        <v>0</v>
      </c>
      <c r="G529" s="200">
        <v>0</v>
      </c>
      <c r="H529" s="199">
        <v>0</v>
      </c>
      <c r="I529" s="200">
        <v>0</v>
      </c>
      <c r="J529" s="199">
        <v>0</v>
      </c>
      <c r="K529" s="199">
        <v>0</v>
      </c>
      <c r="L529" s="199">
        <v>0</v>
      </c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">
      <c r="A530" s="33" t="s">
        <v>145</v>
      </c>
      <c r="B530" s="33" t="s">
        <v>146</v>
      </c>
      <c r="C530" s="33">
        <v>7</v>
      </c>
      <c r="D530" s="33" t="s">
        <v>26</v>
      </c>
      <c r="E530" s="200">
        <v>0</v>
      </c>
      <c r="F530" s="199">
        <v>0</v>
      </c>
      <c r="G530" s="200">
        <v>0</v>
      </c>
      <c r="H530" s="199">
        <v>0</v>
      </c>
      <c r="I530" s="200">
        <v>0</v>
      </c>
      <c r="J530" s="199">
        <v>0</v>
      </c>
      <c r="K530" s="199">
        <v>0</v>
      </c>
      <c r="L530" s="199">
        <v>0</v>
      </c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">
      <c r="A531" s="33" t="s">
        <v>145</v>
      </c>
      <c r="B531" s="33" t="s">
        <v>146</v>
      </c>
      <c r="C531" s="33">
        <v>8</v>
      </c>
      <c r="D531" s="33" t="s">
        <v>27</v>
      </c>
      <c r="E531" s="200">
        <v>0</v>
      </c>
      <c r="F531" s="199">
        <v>0</v>
      </c>
      <c r="G531" s="200">
        <v>0</v>
      </c>
      <c r="H531" s="199">
        <v>0</v>
      </c>
      <c r="I531" s="200">
        <v>0</v>
      </c>
      <c r="J531" s="199">
        <v>0</v>
      </c>
      <c r="K531" s="199">
        <v>0</v>
      </c>
      <c r="L531" s="199">
        <v>0</v>
      </c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">
      <c r="A532" s="33" t="s">
        <v>145</v>
      </c>
      <c r="B532" s="33" t="s">
        <v>146</v>
      </c>
      <c r="C532" s="33">
        <v>9</v>
      </c>
      <c r="D532" s="33" t="s">
        <v>28</v>
      </c>
      <c r="E532" s="200">
        <v>0</v>
      </c>
      <c r="F532" s="199">
        <v>0</v>
      </c>
      <c r="G532" s="200">
        <v>0</v>
      </c>
      <c r="H532" s="199">
        <v>0</v>
      </c>
      <c r="I532" s="200">
        <v>0</v>
      </c>
      <c r="J532" s="199">
        <v>0</v>
      </c>
      <c r="K532" s="199">
        <v>0</v>
      </c>
      <c r="L532" s="199">
        <v>0</v>
      </c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">
      <c r="A533" s="33" t="s">
        <v>145</v>
      </c>
      <c r="B533" s="33" t="s">
        <v>146</v>
      </c>
      <c r="C533" s="33">
        <v>10</v>
      </c>
      <c r="D533" s="33" t="s">
        <v>32</v>
      </c>
      <c r="E533" s="200">
        <v>0</v>
      </c>
      <c r="F533" s="199">
        <v>0</v>
      </c>
      <c r="G533" s="200">
        <v>0</v>
      </c>
      <c r="H533" s="199">
        <v>0</v>
      </c>
      <c r="I533" s="200">
        <v>0</v>
      </c>
      <c r="J533" s="199">
        <v>0</v>
      </c>
      <c r="K533" s="199">
        <v>0</v>
      </c>
      <c r="L533" s="199">
        <v>0</v>
      </c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">
      <c r="A534" s="33" t="s">
        <v>145</v>
      </c>
      <c r="B534" s="33" t="s">
        <v>146</v>
      </c>
      <c r="C534" s="33">
        <v>11</v>
      </c>
      <c r="D534" s="33" t="s">
        <v>35</v>
      </c>
      <c r="E534" s="200">
        <v>0</v>
      </c>
      <c r="F534" s="199">
        <v>0</v>
      </c>
      <c r="G534" s="200">
        <v>0</v>
      </c>
      <c r="H534" s="199">
        <v>0</v>
      </c>
      <c r="I534" s="200">
        <v>0</v>
      </c>
      <c r="J534" s="199">
        <v>0</v>
      </c>
      <c r="K534" s="199">
        <v>0</v>
      </c>
      <c r="L534" s="199">
        <v>0</v>
      </c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">
      <c r="A535" s="33" t="s">
        <v>145</v>
      </c>
      <c r="B535" s="33" t="s">
        <v>146</v>
      </c>
      <c r="C535" s="33">
        <v>12</v>
      </c>
      <c r="D535" s="33" t="s">
        <v>36</v>
      </c>
      <c r="E535" s="200">
        <v>0</v>
      </c>
      <c r="F535" s="199">
        <v>0</v>
      </c>
      <c r="G535" s="200">
        <v>0</v>
      </c>
      <c r="H535" s="199">
        <v>0</v>
      </c>
      <c r="I535" s="200">
        <v>0</v>
      </c>
      <c r="J535" s="199">
        <v>0</v>
      </c>
      <c r="K535" s="199">
        <v>0</v>
      </c>
      <c r="L535" s="199">
        <v>0</v>
      </c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">
      <c r="A536" s="33" t="s">
        <v>145</v>
      </c>
      <c r="B536" s="33" t="s">
        <v>146</v>
      </c>
      <c r="C536" s="33">
        <v>13</v>
      </c>
      <c r="D536" s="33" t="s">
        <v>39</v>
      </c>
      <c r="E536" s="200">
        <v>0</v>
      </c>
      <c r="F536" s="199">
        <v>0</v>
      </c>
      <c r="G536" s="200">
        <v>0</v>
      </c>
      <c r="H536" s="199">
        <v>0</v>
      </c>
      <c r="I536" s="200">
        <v>0</v>
      </c>
      <c r="J536" s="199">
        <v>0</v>
      </c>
      <c r="K536" s="199">
        <v>0</v>
      </c>
      <c r="L536" s="199">
        <v>0</v>
      </c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">
      <c r="A537" s="33" t="s">
        <v>145</v>
      </c>
      <c r="B537" s="33" t="s">
        <v>146</v>
      </c>
      <c r="C537" s="33">
        <v>14</v>
      </c>
      <c r="D537" s="33" t="s">
        <v>40</v>
      </c>
      <c r="E537" s="200">
        <v>0</v>
      </c>
      <c r="F537" s="199">
        <v>0</v>
      </c>
      <c r="G537" s="200">
        <v>0</v>
      </c>
      <c r="H537" s="199">
        <v>0</v>
      </c>
      <c r="I537" s="200">
        <v>0</v>
      </c>
      <c r="J537" s="199">
        <v>0</v>
      </c>
      <c r="K537" s="199">
        <v>0</v>
      </c>
      <c r="L537" s="199">
        <v>0</v>
      </c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">
      <c r="A538" s="33" t="s">
        <v>145</v>
      </c>
      <c r="B538" s="33" t="s">
        <v>146</v>
      </c>
      <c r="C538" s="33">
        <v>15</v>
      </c>
      <c r="D538" s="33" t="s">
        <v>41</v>
      </c>
      <c r="E538" s="200">
        <v>0</v>
      </c>
      <c r="F538" s="199">
        <v>0</v>
      </c>
      <c r="G538" s="200">
        <v>0</v>
      </c>
      <c r="H538" s="199">
        <v>0</v>
      </c>
      <c r="I538" s="200">
        <v>0</v>
      </c>
      <c r="J538" s="199">
        <v>0</v>
      </c>
      <c r="K538" s="199">
        <v>0</v>
      </c>
      <c r="L538" s="199">
        <v>0</v>
      </c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">
      <c r="A539" s="33" t="s">
        <v>145</v>
      </c>
      <c r="B539" s="33" t="s">
        <v>146</v>
      </c>
      <c r="C539" s="33">
        <v>16</v>
      </c>
      <c r="D539" s="33" t="s">
        <v>42</v>
      </c>
      <c r="E539" s="200">
        <v>0</v>
      </c>
      <c r="F539" s="199">
        <v>0</v>
      </c>
      <c r="G539" s="200">
        <v>0</v>
      </c>
      <c r="H539" s="199">
        <v>0</v>
      </c>
      <c r="I539" s="200">
        <v>0</v>
      </c>
      <c r="J539" s="199">
        <v>0</v>
      </c>
      <c r="K539" s="199">
        <v>0</v>
      </c>
      <c r="L539" s="199">
        <v>0</v>
      </c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">
      <c r="A540" s="33" t="s">
        <v>145</v>
      </c>
      <c r="B540" s="33" t="s">
        <v>146</v>
      </c>
      <c r="C540" s="33">
        <v>17</v>
      </c>
      <c r="D540" s="33" t="s">
        <v>126</v>
      </c>
      <c r="E540" s="200">
        <v>0</v>
      </c>
      <c r="F540" s="199">
        <v>0</v>
      </c>
      <c r="G540" s="200">
        <v>0</v>
      </c>
      <c r="H540" s="199">
        <v>0</v>
      </c>
      <c r="I540" s="200">
        <v>0</v>
      </c>
      <c r="J540" s="199">
        <v>0</v>
      </c>
      <c r="K540" s="199">
        <v>0</v>
      </c>
      <c r="L540" s="199">
        <v>0</v>
      </c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">
      <c r="A541" s="33" t="s">
        <v>145</v>
      </c>
      <c r="B541" s="33" t="s">
        <v>146</v>
      </c>
      <c r="C541" s="33">
        <v>18</v>
      </c>
      <c r="D541" s="33" t="s">
        <v>127</v>
      </c>
      <c r="E541" s="200">
        <v>0</v>
      </c>
      <c r="F541" s="199">
        <v>0</v>
      </c>
      <c r="G541" s="200">
        <v>0</v>
      </c>
      <c r="H541" s="199">
        <v>0</v>
      </c>
      <c r="I541" s="200">
        <v>0</v>
      </c>
      <c r="J541" s="199">
        <v>0</v>
      </c>
      <c r="K541" s="199">
        <v>0</v>
      </c>
      <c r="L541" s="199">
        <v>0</v>
      </c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">
      <c r="A542" s="33" t="s">
        <v>145</v>
      </c>
      <c r="B542" s="33" t="s">
        <v>146</v>
      </c>
      <c r="C542" s="33">
        <v>19</v>
      </c>
      <c r="D542" s="33" t="s">
        <v>47</v>
      </c>
      <c r="E542" s="200">
        <v>0</v>
      </c>
      <c r="F542" s="199">
        <v>0</v>
      </c>
      <c r="G542" s="200">
        <v>0</v>
      </c>
      <c r="H542" s="199">
        <v>0</v>
      </c>
      <c r="I542" s="200">
        <v>0</v>
      </c>
      <c r="J542" s="199">
        <v>0</v>
      </c>
      <c r="K542" s="199">
        <v>0</v>
      </c>
      <c r="L542" s="199">
        <v>0</v>
      </c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">
      <c r="A543" s="33" t="s">
        <v>145</v>
      </c>
      <c r="B543" s="33" t="s">
        <v>146</v>
      </c>
      <c r="C543" s="33">
        <v>20</v>
      </c>
      <c r="D543" s="33" t="s">
        <v>128</v>
      </c>
      <c r="E543" s="200">
        <v>0</v>
      </c>
      <c r="F543" s="199">
        <v>0</v>
      </c>
      <c r="G543" s="200">
        <v>0</v>
      </c>
      <c r="H543" s="199">
        <v>0</v>
      </c>
      <c r="I543" s="200">
        <v>0</v>
      </c>
      <c r="J543" s="199">
        <v>0</v>
      </c>
      <c r="K543" s="199">
        <v>0</v>
      </c>
      <c r="L543" s="199">
        <v>0</v>
      </c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">
      <c r="A544" s="33" t="s">
        <v>145</v>
      </c>
      <c r="B544" s="33" t="s">
        <v>146</v>
      </c>
      <c r="C544" s="33">
        <v>21</v>
      </c>
      <c r="D544" s="33" t="s">
        <v>129</v>
      </c>
      <c r="E544" s="200">
        <v>0</v>
      </c>
      <c r="F544" s="199">
        <v>0</v>
      </c>
      <c r="G544" s="200">
        <v>0</v>
      </c>
      <c r="H544" s="199">
        <v>0</v>
      </c>
      <c r="I544" s="200">
        <v>0</v>
      </c>
      <c r="J544" s="199">
        <v>0</v>
      </c>
      <c r="K544" s="199">
        <v>0</v>
      </c>
      <c r="L544" s="199">
        <v>0</v>
      </c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">
      <c r="A545" s="33" t="s">
        <v>145</v>
      </c>
      <c r="B545" s="33" t="s">
        <v>146</v>
      </c>
      <c r="C545" s="33">
        <v>22</v>
      </c>
      <c r="D545" s="33" t="s">
        <v>130</v>
      </c>
      <c r="E545" s="200">
        <v>0</v>
      </c>
      <c r="F545" s="199">
        <v>0</v>
      </c>
      <c r="G545" s="200">
        <v>0</v>
      </c>
      <c r="H545" s="199">
        <v>0</v>
      </c>
      <c r="I545" s="200">
        <v>0</v>
      </c>
      <c r="J545" s="199">
        <v>0</v>
      </c>
      <c r="K545" s="199">
        <v>0</v>
      </c>
      <c r="L545" s="199">
        <v>0</v>
      </c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">
      <c r="A546" s="33" t="s">
        <v>145</v>
      </c>
      <c r="B546" s="33" t="s">
        <v>146</v>
      </c>
      <c r="C546" s="33">
        <v>23</v>
      </c>
      <c r="D546" s="33" t="s">
        <v>131</v>
      </c>
      <c r="E546" s="200">
        <v>0</v>
      </c>
      <c r="F546" s="199">
        <v>0</v>
      </c>
      <c r="G546" s="200">
        <v>0</v>
      </c>
      <c r="H546" s="199">
        <v>0</v>
      </c>
      <c r="I546" s="200">
        <v>0</v>
      </c>
      <c r="J546" s="199">
        <v>0</v>
      </c>
      <c r="K546" s="199">
        <v>0</v>
      </c>
      <c r="L546" s="199">
        <v>0</v>
      </c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">
      <c r="A547" s="33" t="s">
        <v>145</v>
      </c>
      <c r="B547" s="33" t="s">
        <v>146</v>
      </c>
      <c r="C547" s="33">
        <v>24</v>
      </c>
      <c r="D547" s="33" t="s">
        <v>55</v>
      </c>
      <c r="E547" s="200">
        <v>0</v>
      </c>
      <c r="F547" s="199">
        <v>0</v>
      </c>
      <c r="G547" s="200">
        <v>0</v>
      </c>
      <c r="H547" s="199">
        <v>0</v>
      </c>
      <c r="I547" s="200">
        <v>0</v>
      </c>
      <c r="J547" s="199">
        <v>0</v>
      </c>
      <c r="K547" s="199">
        <v>0</v>
      </c>
      <c r="L547" s="199">
        <v>0</v>
      </c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">
      <c r="A548" s="33" t="s">
        <v>145</v>
      </c>
      <c r="B548" s="33" t="s">
        <v>146</v>
      </c>
      <c r="C548" s="33">
        <v>25</v>
      </c>
      <c r="D548" s="33" t="s">
        <v>56</v>
      </c>
      <c r="E548" s="200">
        <v>0</v>
      </c>
      <c r="F548" s="199">
        <v>0</v>
      </c>
      <c r="G548" s="200">
        <v>0</v>
      </c>
      <c r="H548" s="199">
        <v>0</v>
      </c>
      <c r="I548" s="200">
        <v>0</v>
      </c>
      <c r="J548" s="199">
        <v>0</v>
      </c>
      <c r="K548" s="199">
        <v>0</v>
      </c>
      <c r="L548" s="199">
        <v>0</v>
      </c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">
      <c r="A549" s="33" t="s">
        <v>145</v>
      </c>
      <c r="B549" s="33" t="s">
        <v>146</v>
      </c>
      <c r="C549" s="33">
        <v>26</v>
      </c>
      <c r="D549" s="33" t="s">
        <v>132</v>
      </c>
      <c r="E549" s="200">
        <v>0</v>
      </c>
      <c r="F549" s="199">
        <v>0</v>
      </c>
      <c r="G549" s="200">
        <v>0</v>
      </c>
      <c r="H549" s="199">
        <v>0</v>
      </c>
      <c r="I549" s="200">
        <v>0</v>
      </c>
      <c r="J549" s="199">
        <v>0</v>
      </c>
      <c r="K549" s="199">
        <v>0</v>
      </c>
      <c r="L549" s="199">
        <v>0</v>
      </c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">
      <c r="A550" s="33" t="s">
        <v>145</v>
      </c>
      <c r="B550" s="33" t="s">
        <v>146</v>
      </c>
      <c r="C550" s="33">
        <v>27</v>
      </c>
      <c r="D550" s="33" t="s">
        <v>133</v>
      </c>
      <c r="E550" s="200">
        <v>0</v>
      </c>
      <c r="F550" s="199">
        <v>0</v>
      </c>
      <c r="G550" s="200">
        <v>0</v>
      </c>
      <c r="H550" s="199">
        <v>0</v>
      </c>
      <c r="I550" s="200">
        <v>0</v>
      </c>
      <c r="J550" s="199">
        <v>0</v>
      </c>
      <c r="K550" s="199">
        <v>0</v>
      </c>
      <c r="L550" s="199">
        <v>0</v>
      </c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">
      <c r="A551" s="33" t="s">
        <v>145</v>
      </c>
      <c r="B551" s="33" t="s">
        <v>146</v>
      </c>
      <c r="C551" s="33">
        <v>28</v>
      </c>
      <c r="D551" s="33" t="s">
        <v>134</v>
      </c>
      <c r="E551" s="200">
        <v>0</v>
      </c>
      <c r="F551" s="199">
        <v>0</v>
      </c>
      <c r="G551" s="200">
        <v>0</v>
      </c>
      <c r="H551" s="199">
        <v>0</v>
      </c>
      <c r="I551" s="200">
        <v>0</v>
      </c>
      <c r="J551" s="199">
        <v>0</v>
      </c>
      <c r="K551" s="199">
        <v>0</v>
      </c>
      <c r="L551" s="199">
        <v>0</v>
      </c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">
      <c r="A552" s="33" t="s">
        <v>145</v>
      </c>
      <c r="B552" s="33" t="s">
        <v>146</v>
      </c>
      <c r="C552" s="33">
        <v>29</v>
      </c>
      <c r="D552" s="33" t="s">
        <v>135</v>
      </c>
      <c r="E552" s="200">
        <v>0</v>
      </c>
      <c r="F552" s="199">
        <v>0</v>
      </c>
      <c r="G552" s="200">
        <v>0</v>
      </c>
      <c r="H552" s="199">
        <v>0</v>
      </c>
      <c r="I552" s="200">
        <v>0</v>
      </c>
      <c r="J552" s="199">
        <v>0</v>
      </c>
      <c r="K552" s="199">
        <v>0</v>
      </c>
      <c r="L552" s="199">
        <v>0</v>
      </c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">
      <c r="A553" s="33" t="s">
        <v>145</v>
      </c>
      <c r="B553" s="33" t="s">
        <v>146</v>
      </c>
      <c r="C553" s="33">
        <v>30</v>
      </c>
      <c r="D553" s="33" t="s">
        <v>136</v>
      </c>
      <c r="E553" s="200">
        <v>0</v>
      </c>
      <c r="F553" s="199">
        <v>0</v>
      </c>
      <c r="G553" s="200">
        <v>0</v>
      </c>
      <c r="H553" s="199">
        <v>0</v>
      </c>
      <c r="I553" s="200">
        <v>0</v>
      </c>
      <c r="J553" s="199">
        <v>0</v>
      </c>
      <c r="K553" s="199">
        <v>0</v>
      </c>
      <c r="L553" s="199">
        <v>0</v>
      </c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">
      <c r="A554" s="33" t="s">
        <v>145</v>
      </c>
      <c r="B554" s="33" t="s">
        <v>146</v>
      </c>
      <c r="C554" s="33">
        <v>31</v>
      </c>
      <c r="D554" s="33" t="s">
        <v>137</v>
      </c>
      <c r="E554" s="200">
        <v>0</v>
      </c>
      <c r="F554" s="199">
        <v>0</v>
      </c>
      <c r="G554" s="200">
        <v>0</v>
      </c>
      <c r="H554" s="199">
        <v>0</v>
      </c>
      <c r="I554" s="200">
        <v>0</v>
      </c>
      <c r="J554" s="199">
        <v>0</v>
      </c>
      <c r="K554" s="199">
        <v>0</v>
      </c>
      <c r="L554" s="199">
        <v>0</v>
      </c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">
      <c r="A555" s="33" t="s">
        <v>145</v>
      </c>
      <c r="B555" s="33" t="s">
        <v>146</v>
      </c>
      <c r="C555" s="33">
        <v>32</v>
      </c>
      <c r="D555" s="33" t="s">
        <v>70</v>
      </c>
      <c r="E555" s="200">
        <v>0</v>
      </c>
      <c r="F555" s="199">
        <v>0</v>
      </c>
      <c r="G555" s="200">
        <v>0</v>
      </c>
      <c r="H555" s="199">
        <v>0</v>
      </c>
      <c r="I555" s="200">
        <v>0</v>
      </c>
      <c r="J555" s="199">
        <v>0</v>
      </c>
      <c r="K555" s="199">
        <v>0</v>
      </c>
      <c r="L555" s="199">
        <v>0</v>
      </c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">
      <c r="A556" s="33" t="s">
        <v>145</v>
      </c>
      <c r="B556" s="33" t="s">
        <v>146</v>
      </c>
      <c r="C556" s="33">
        <v>33</v>
      </c>
      <c r="D556" s="33" t="s">
        <v>71</v>
      </c>
      <c r="E556" s="200">
        <v>0</v>
      </c>
      <c r="F556" s="199">
        <v>0</v>
      </c>
      <c r="G556" s="200">
        <v>0</v>
      </c>
      <c r="H556" s="199">
        <v>0</v>
      </c>
      <c r="I556" s="200">
        <v>0</v>
      </c>
      <c r="J556" s="199">
        <v>0</v>
      </c>
      <c r="K556" s="199">
        <v>0</v>
      </c>
      <c r="L556" s="199">
        <v>0</v>
      </c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">
      <c r="A557" s="33" t="s">
        <v>145</v>
      </c>
      <c r="B557" s="33" t="s">
        <v>146</v>
      </c>
      <c r="C557" s="33">
        <v>34</v>
      </c>
      <c r="D557" s="33" t="s">
        <v>72</v>
      </c>
      <c r="E557" s="200">
        <v>0</v>
      </c>
      <c r="F557" s="199">
        <v>0</v>
      </c>
      <c r="G557" s="200">
        <v>0</v>
      </c>
      <c r="H557" s="199">
        <v>0</v>
      </c>
      <c r="I557" s="200">
        <v>0</v>
      </c>
      <c r="J557" s="199">
        <v>0</v>
      </c>
      <c r="K557" s="199">
        <v>0</v>
      </c>
      <c r="L557" s="199">
        <v>0</v>
      </c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">
      <c r="A558" s="33" t="s">
        <v>145</v>
      </c>
      <c r="B558" s="33" t="s">
        <v>146</v>
      </c>
      <c r="C558" s="33">
        <v>35</v>
      </c>
      <c r="D558" s="33" t="s">
        <v>73</v>
      </c>
      <c r="E558" s="200">
        <v>0</v>
      </c>
      <c r="F558" s="199">
        <v>0</v>
      </c>
      <c r="G558" s="200">
        <v>0</v>
      </c>
      <c r="H558" s="199">
        <v>0</v>
      </c>
      <c r="I558" s="200">
        <v>0</v>
      </c>
      <c r="J558" s="199">
        <v>0</v>
      </c>
      <c r="K558" s="199">
        <v>0</v>
      </c>
      <c r="L558" s="199">
        <v>0</v>
      </c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">
      <c r="A559" s="33" t="s">
        <v>145</v>
      </c>
      <c r="B559" s="33" t="s">
        <v>146</v>
      </c>
      <c r="C559" s="33">
        <v>36</v>
      </c>
      <c r="D559" s="33" t="s">
        <v>74</v>
      </c>
      <c r="E559" s="200">
        <v>0</v>
      </c>
      <c r="F559" s="199">
        <v>0</v>
      </c>
      <c r="G559" s="200">
        <v>0</v>
      </c>
      <c r="H559" s="199">
        <v>0</v>
      </c>
      <c r="I559" s="200">
        <v>0</v>
      </c>
      <c r="J559" s="199">
        <v>0</v>
      </c>
      <c r="K559" s="199">
        <v>0</v>
      </c>
      <c r="L559" s="199">
        <v>0</v>
      </c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">
      <c r="A560" s="33" t="s">
        <v>145</v>
      </c>
      <c r="B560" s="33" t="s">
        <v>146</v>
      </c>
      <c r="C560" s="33">
        <v>37</v>
      </c>
      <c r="D560" s="33" t="s">
        <v>75</v>
      </c>
      <c r="E560" s="200">
        <v>0</v>
      </c>
      <c r="F560" s="199">
        <v>0</v>
      </c>
      <c r="G560" s="200">
        <v>0</v>
      </c>
      <c r="H560" s="199">
        <v>0</v>
      </c>
      <c r="I560" s="200">
        <v>0</v>
      </c>
      <c r="J560" s="199">
        <v>0</v>
      </c>
      <c r="K560" s="199">
        <v>0</v>
      </c>
      <c r="L560" s="199">
        <v>0</v>
      </c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">
      <c r="A561" s="33" t="s">
        <v>145</v>
      </c>
      <c r="B561" s="33" t="s">
        <v>146</v>
      </c>
      <c r="C561" s="33">
        <v>38</v>
      </c>
      <c r="D561" s="33" t="s">
        <v>76</v>
      </c>
      <c r="E561" s="200">
        <v>0</v>
      </c>
      <c r="F561" s="199">
        <v>0</v>
      </c>
      <c r="G561" s="200">
        <v>0</v>
      </c>
      <c r="H561" s="199">
        <v>0</v>
      </c>
      <c r="I561" s="200">
        <v>0</v>
      </c>
      <c r="J561" s="199">
        <v>0</v>
      </c>
      <c r="K561" s="199">
        <v>0</v>
      </c>
      <c r="L561" s="199">
        <v>0</v>
      </c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">
      <c r="A562" s="33" t="s">
        <v>145</v>
      </c>
      <c r="B562" s="33" t="s">
        <v>146</v>
      </c>
      <c r="C562" s="33">
        <v>39</v>
      </c>
      <c r="D562" s="33" t="s">
        <v>77</v>
      </c>
      <c r="E562" s="200">
        <v>0</v>
      </c>
      <c r="F562" s="199">
        <v>0</v>
      </c>
      <c r="G562" s="200">
        <v>0</v>
      </c>
      <c r="H562" s="199">
        <v>0</v>
      </c>
      <c r="I562" s="200">
        <v>0</v>
      </c>
      <c r="J562" s="199">
        <v>0</v>
      </c>
      <c r="K562" s="199">
        <v>0</v>
      </c>
      <c r="L562" s="199">
        <v>0</v>
      </c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">
      <c r="A563" s="33" t="s">
        <v>145</v>
      </c>
      <c r="B563" s="33" t="s">
        <v>146</v>
      </c>
      <c r="C563" s="33">
        <v>40</v>
      </c>
      <c r="D563" s="33" t="s">
        <v>78</v>
      </c>
      <c r="E563" s="200">
        <v>0</v>
      </c>
      <c r="F563" s="199">
        <v>0</v>
      </c>
      <c r="G563" s="200">
        <v>0</v>
      </c>
      <c r="H563" s="199">
        <v>0</v>
      </c>
      <c r="I563" s="200">
        <v>0</v>
      </c>
      <c r="J563" s="199">
        <v>0</v>
      </c>
      <c r="K563" s="199">
        <v>0</v>
      </c>
      <c r="L563" s="199">
        <v>0</v>
      </c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">
      <c r="A564" s="33" t="s">
        <v>147</v>
      </c>
      <c r="B564" s="33" t="s">
        <v>148</v>
      </c>
      <c r="C564" s="33">
        <v>1</v>
      </c>
      <c r="D564" s="33" t="s">
        <v>25</v>
      </c>
      <c r="E564" s="200">
        <v>0</v>
      </c>
      <c r="F564" s="199">
        <v>0</v>
      </c>
      <c r="G564" s="200">
        <v>0</v>
      </c>
      <c r="H564" s="199">
        <v>0</v>
      </c>
      <c r="I564" s="200">
        <v>0</v>
      </c>
      <c r="J564" s="199">
        <v>0</v>
      </c>
      <c r="K564" s="199">
        <v>0</v>
      </c>
      <c r="L564" s="199">
        <v>0</v>
      </c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">
      <c r="A565" s="33" t="s">
        <v>147</v>
      </c>
      <c r="B565" s="33" t="s">
        <v>148</v>
      </c>
      <c r="C565" s="33">
        <v>2</v>
      </c>
      <c r="D565" s="33" t="s">
        <v>26</v>
      </c>
      <c r="E565" s="200">
        <v>0</v>
      </c>
      <c r="F565" s="199">
        <v>0</v>
      </c>
      <c r="G565" s="200">
        <v>0</v>
      </c>
      <c r="H565" s="199">
        <v>0</v>
      </c>
      <c r="I565" s="200">
        <v>0</v>
      </c>
      <c r="J565" s="199">
        <v>0</v>
      </c>
      <c r="K565" s="199">
        <v>0</v>
      </c>
      <c r="L565" s="199">
        <v>0</v>
      </c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">
      <c r="A566" s="33" t="s">
        <v>147</v>
      </c>
      <c r="B566" s="33" t="s">
        <v>148</v>
      </c>
      <c r="C566" s="33">
        <v>3</v>
      </c>
      <c r="D566" s="33" t="s">
        <v>27</v>
      </c>
      <c r="E566" s="200">
        <v>0</v>
      </c>
      <c r="F566" s="199">
        <v>0</v>
      </c>
      <c r="G566" s="200">
        <v>0</v>
      </c>
      <c r="H566" s="199">
        <v>0</v>
      </c>
      <c r="I566" s="200">
        <v>0</v>
      </c>
      <c r="J566" s="199">
        <v>0</v>
      </c>
      <c r="K566" s="199">
        <v>0</v>
      </c>
      <c r="L566" s="199">
        <v>0</v>
      </c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">
      <c r="A567" s="33" t="s">
        <v>147</v>
      </c>
      <c r="B567" s="33" t="s">
        <v>148</v>
      </c>
      <c r="C567" s="33">
        <v>4</v>
      </c>
      <c r="D567" s="33" t="s">
        <v>28</v>
      </c>
      <c r="E567" s="200">
        <v>0</v>
      </c>
      <c r="F567" s="199">
        <v>0</v>
      </c>
      <c r="G567" s="200">
        <v>0</v>
      </c>
      <c r="H567" s="199">
        <v>0</v>
      </c>
      <c r="I567" s="200">
        <v>0</v>
      </c>
      <c r="J567" s="199">
        <v>0</v>
      </c>
      <c r="K567" s="199">
        <v>0</v>
      </c>
      <c r="L567" s="199">
        <v>0</v>
      </c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">
      <c r="A568" s="33" t="s">
        <v>147</v>
      </c>
      <c r="B568" s="33" t="s">
        <v>148</v>
      </c>
      <c r="C568" s="33">
        <v>5</v>
      </c>
      <c r="D568" s="33" t="s">
        <v>125</v>
      </c>
      <c r="E568" s="200">
        <v>0</v>
      </c>
      <c r="F568" s="199">
        <v>0</v>
      </c>
      <c r="G568" s="200">
        <v>0</v>
      </c>
      <c r="H568" s="199">
        <v>0</v>
      </c>
      <c r="I568" s="200">
        <v>0</v>
      </c>
      <c r="J568" s="199">
        <v>0</v>
      </c>
      <c r="K568" s="199">
        <v>0</v>
      </c>
      <c r="L568" s="199">
        <v>0</v>
      </c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">
      <c r="A569" s="33" t="s">
        <v>147</v>
      </c>
      <c r="B569" s="33" t="s">
        <v>148</v>
      </c>
      <c r="C569" s="33">
        <v>6</v>
      </c>
      <c r="D569" s="33" t="s">
        <v>25</v>
      </c>
      <c r="E569" s="200">
        <v>0</v>
      </c>
      <c r="F569" s="199">
        <v>0</v>
      </c>
      <c r="G569" s="200">
        <v>0</v>
      </c>
      <c r="H569" s="199">
        <v>0</v>
      </c>
      <c r="I569" s="200">
        <v>0</v>
      </c>
      <c r="J569" s="199">
        <v>0</v>
      </c>
      <c r="K569" s="199">
        <v>0</v>
      </c>
      <c r="L569" s="199">
        <v>0</v>
      </c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">
      <c r="A570" s="33" t="s">
        <v>147</v>
      </c>
      <c r="B570" s="33" t="s">
        <v>148</v>
      </c>
      <c r="C570" s="33">
        <v>7</v>
      </c>
      <c r="D570" s="33" t="s">
        <v>26</v>
      </c>
      <c r="E570" s="201">
        <v>0</v>
      </c>
      <c r="F570" s="33">
        <v>0</v>
      </c>
      <c r="G570" s="201">
        <v>0</v>
      </c>
      <c r="H570" s="33">
        <v>0</v>
      </c>
      <c r="I570" s="201">
        <v>0</v>
      </c>
      <c r="J570" s="33">
        <v>0</v>
      </c>
      <c r="K570" s="33">
        <v>0</v>
      </c>
      <c r="L570" s="33">
        <v>0</v>
      </c>
    </row>
    <row r="571" spans="1:118" x14ac:dyDescent="0.2">
      <c r="A571" s="33" t="s">
        <v>147</v>
      </c>
      <c r="B571" s="33" t="s">
        <v>148</v>
      </c>
      <c r="C571" s="33">
        <v>8</v>
      </c>
      <c r="D571" s="33" t="s">
        <v>27</v>
      </c>
      <c r="E571" s="201">
        <v>0</v>
      </c>
      <c r="F571" s="33">
        <v>0</v>
      </c>
      <c r="G571" s="201">
        <v>0</v>
      </c>
      <c r="H571" s="33">
        <v>0</v>
      </c>
      <c r="I571" s="201">
        <v>0</v>
      </c>
      <c r="J571" s="33">
        <v>0</v>
      </c>
      <c r="K571" s="33">
        <v>0</v>
      </c>
      <c r="L571" s="33">
        <v>0</v>
      </c>
    </row>
    <row r="572" spans="1:118" x14ac:dyDescent="0.2">
      <c r="A572" s="33" t="s">
        <v>147</v>
      </c>
      <c r="B572" s="33" t="s">
        <v>148</v>
      </c>
      <c r="C572" s="33">
        <v>9</v>
      </c>
      <c r="D572" s="33" t="s">
        <v>28</v>
      </c>
      <c r="E572" s="201">
        <v>0</v>
      </c>
      <c r="F572" s="33">
        <v>0</v>
      </c>
      <c r="G572" s="201">
        <v>0</v>
      </c>
      <c r="H572" s="33">
        <v>0</v>
      </c>
      <c r="I572" s="201">
        <v>0</v>
      </c>
      <c r="J572" s="33">
        <v>0</v>
      </c>
      <c r="K572" s="33">
        <v>0</v>
      </c>
      <c r="L572" s="33">
        <v>0</v>
      </c>
    </row>
    <row r="573" spans="1:118" x14ac:dyDescent="0.2">
      <c r="A573" s="33" t="s">
        <v>147</v>
      </c>
      <c r="B573" s="33" t="s">
        <v>148</v>
      </c>
      <c r="C573" s="33">
        <v>10</v>
      </c>
      <c r="D573" s="33" t="s">
        <v>32</v>
      </c>
      <c r="E573" s="201">
        <v>0</v>
      </c>
      <c r="F573" s="33">
        <v>0</v>
      </c>
      <c r="G573" s="201">
        <v>0</v>
      </c>
      <c r="H573" s="33">
        <v>0</v>
      </c>
      <c r="I573" s="201">
        <v>0</v>
      </c>
      <c r="J573" s="33">
        <v>0</v>
      </c>
      <c r="K573" s="33">
        <v>0</v>
      </c>
      <c r="L573" s="33">
        <v>0</v>
      </c>
    </row>
    <row r="574" spans="1:118" x14ac:dyDescent="0.2">
      <c r="A574" s="33" t="s">
        <v>147</v>
      </c>
      <c r="B574" s="33" t="s">
        <v>148</v>
      </c>
      <c r="C574" s="33">
        <v>11</v>
      </c>
      <c r="D574" s="33" t="s">
        <v>35</v>
      </c>
      <c r="E574" s="201">
        <v>0</v>
      </c>
      <c r="F574" s="33">
        <v>0</v>
      </c>
      <c r="G574" s="201">
        <v>0</v>
      </c>
      <c r="H574" s="33">
        <v>0</v>
      </c>
      <c r="I574" s="201">
        <v>0</v>
      </c>
      <c r="J574" s="33">
        <v>0</v>
      </c>
      <c r="K574" s="33">
        <v>0</v>
      </c>
      <c r="L574" s="33">
        <v>0</v>
      </c>
    </row>
    <row r="575" spans="1:118" x14ac:dyDescent="0.2">
      <c r="A575" s="33" t="s">
        <v>147</v>
      </c>
      <c r="B575" s="33" t="s">
        <v>148</v>
      </c>
      <c r="C575" s="33">
        <v>12</v>
      </c>
      <c r="D575" s="33" t="s">
        <v>36</v>
      </c>
      <c r="E575" s="201">
        <v>0</v>
      </c>
      <c r="F575" s="33">
        <v>0</v>
      </c>
      <c r="G575" s="201">
        <v>0</v>
      </c>
      <c r="H575" s="33">
        <v>0</v>
      </c>
      <c r="I575" s="201">
        <v>0</v>
      </c>
      <c r="J575" s="33">
        <v>0</v>
      </c>
      <c r="K575" s="33">
        <v>0</v>
      </c>
      <c r="L575" s="33">
        <v>0</v>
      </c>
    </row>
    <row r="576" spans="1:118" x14ac:dyDescent="0.2">
      <c r="A576" s="33" t="s">
        <v>147</v>
      </c>
      <c r="B576" s="33" t="s">
        <v>148</v>
      </c>
      <c r="C576" s="33">
        <v>13</v>
      </c>
      <c r="D576" s="33" t="s">
        <v>39</v>
      </c>
      <c r="E576" s="201">
        <v>0</v>
      </c>
      <c r="F576" s="33">
        <v>0</v>
      </c>
      <c r="G576" s="201">
        <v>0</v>
      </c>
      <c r="H576" s="33">
        <v>0</v>
      </c>
      <c r="I576" s="201">
        <v>0</v>
      </c>
      <c r="J576" s="33">
        <v>0</v>
      </c>
      <c r="K576" s="33">
        <v>0</v>
      </c>
      <c r="L576" s="33">
        <v>0</v>
      </c>
    </row>
    <row r="577" spans="1:12" x14ac:dyDescent="0.2">
      <c r="A577" s="33" t="s">
        <v>147</v>
      </c>
      <c r="B577" s="33" t="s">
        <v>148</v>
      </c>
      <c r="C577" s="33">
        <v>14</v>
      </c>
      <c r="D577" s="33" t="s">
        <v>40</v>
      </c>
      <c r="E577" s="201">
        <v>0</v>
      </c>
      <c r="F577" s="33">
        <v>0</v>
      </c>
      <c r="G577" s="201">
        <v>0</v>
      </c>
      <c r="H577" s="33">
        <v>0</v>
      </c>
      <c r="I577" s="201">
        <v>0</v>
      </c>
      <c r="J577" s="33">
        <v>0</v>
      </c>
      <c r="K577" s="33">
        <v>0</v>
      </c>
      <c r="L577" s="33">
        <v>0</v>
      </c>
    </row>
    <row r="578" spans="1:12" x14ac:dyDescent="0.2">
      <c r="A578" s="33" t="s">
        <v>147</v>
      </c>
      <c r="B578" s="33" t="s">
        <v>148</v>
      </c>
      <c r="C578" s="33">
        <v>15</v>
      </c>
      <c r="D578" s="33" t="s">
        <v>41</v>
      </c>
      <c r="E578" s="201">
        <v>0</v>
      </c>
      <c r="F578" s="33">
        <v>0</v>
      </c>
      <c r="G578" s="201">
        <v>0</v>
      </c>
      <c r="H578" s="33">
        <v>0</v>
      </c>
      <c r="I578" s="201">
        <v>0</v>
      </c>
      <c r="J578" s="33">
        <v>0</v>
      </c>
      <c r="K578" s="33">
        <v>0</v>
      </c>
      <c r="L578" s="33">
        <v>0</v>
      </c>
    </row>
    <row r="579" spans="1:12" x14ac:dyDescent="0.2">
      <c r="A579" s="33" t="s">
        <v>147</v>
      </c>
      <c r="B579" s="33" t="s">
        <v>148</v>
      </c>
      <c r="C579" s="33">
        <v>16</v>
      </c>
      <c r="D579" s="33" t="s">
        <v>42</v>
      </c>
      <c r="E579" s="201">
        <v>0</v>
      </c>
      <c r="F579" s="33">
        <v>0</v>
      </c>
      <c r="G579" s="201">
        <v>0</v>
      </c>
      <c r="H579" s="33">
        <v>0</v>
      </c>
      <c r="I579" s="201">
        <v>0</v>
      </c>
      <c r="J579" s="33">
        <v>0</v>
      </c>
      <c r="K579" s="33">
        <v>0</v>
      </c>
      <c r="L579" s="33">
        <v>0</v>
      </c>
    </row>
    <row r="580" spans="1:12" x14ac:dyDescent="0.2">
      <c r="A580" s="33" t="s">
        <v>147</v>
      </c>
      <c r="B580" s="33" t="s">
        <v>148</v>
      </c>
      <c r="C580" s="33">
        <v>17</v>
      </c>
      <c r="D580" s="33" t="s">
        <v>126</v>
      </c>
      <c r="E580" s="201">
        <v>0</v>
      </c>
      <c r="F580" s="33">
        <v>0</v>
      </c>
      <c r="G580" s="201">
        <v>0</v>
      </c>
      <c r="H580" s="33">
        <v>0</v>
      </c>
      <c r="I580" s="201">
        <v>0</v>
      </c>
      <c r="J580" s="33">
        <v>0</v>
      </c>
      <c r="K580" s="33">
        <v>0</v>
      </c>
      <c r="L580" s="33">
        <v>0</v>
      </c>
    </row>
    <row r="581" spans="1:12" x14ac:dyDescent="0.2">
      <c r="A581" s="33" t="s">
        <v>147</v>
      </c>
      <c r="B581" s="33" t="s">
        <v>148</v>
      </c>
      <c r="C581" s="33">
        <v>18</v>
      </c>
      <c r="D581" s="33" t="s">
        <v>127</v>
      </c>
      <c r="E581" s="201">
        <v>0</v>
      </c>
      <c r="F581" s="33">
        <v>0</v>
      </c>
      <c r="G581" s="201">
        <v>0</v>
      </c>
      <c r="H581" s="33">
        <v>0</v>
      </c>
      <c r="I581" s="201">
        <v>0</v>
      </c>
      <c r="J581" s="33">
        <v>0</v>
      </c>
      <c r="K581" s="33">
        <v>0</v>
      </c>
      <c r="L581" s="33">
        <v>0</v>
      </c>
    </row>
    <row r="582" spans="1:12" x14ac:dyDescent="0.2">
      <c r="A582" s="33" t="s">
        <v>147</v>
      </c>
      <c r="B582" s="33" t="s">
        <v>148</v>
      </c>
      <c r="C582" s="33">
        <v>19</v>
      </c>
      <c r="D582" s="33" t="s">
        <v>47</v>
      </c>
      <c r="E582" s="201">
        <v>0</v>
      </c>
      <c r="F582" s="33">
        <v>0</v>
      </c>
      <c r="G582" s="201">
        <v>0</v>
      </c>
      <c r="H582" s="33">
        <v>0</v>
      </c>
      <c r="I582" s="201">
        <v>0</v>
      </c>
      <c r="J582" s="33">
        <v>0</v>
      </c>
      <c r="K582" s="33">
        <v>0</v>
      </c>
      <c r="L582" s="33">
        <v>0</v>
      </c>
    </row>
    <row r="583" spans="1:12" x14ac:dyDescent="0.2">
      <c r="A583" s="33" t="s">
        <v>147</v>
      </c>
      <c r="B583" s="33" t="s">
        <v>148</v>
      </c>
      <c r="C583" s="33">
        <v>20</v>
      </c>
      <c r="D583" s="33" t="s">
        <v>128</v>
      </c>
      <c r="E583" s="201">
        <v>0</v>
      </c>
      <c r="F583" s="33">
        <v>0</v>
      </c>
      <c r="G583" s="201">
        <v>0</v>
      </c>
      <c r="H583" s="33">
        <v>0</v>
      </c>
      <c r="I583" s="201">
        <v>0</v>
      </c>
      <c r="J583" s="33">
        <v>0</v>
      </c>
      <c r="K583" s="33">
        <v>0</v>
      </c>
      <c r="L583" s="33">
        <v>0</v>
      </c>
    </row>
    <row r="584" spans="1:12" x14ac:dyDescent="0.2">
      <c r="A584" s="33" t="s">
        <v>147</v>
      </c>
      <c r="B584" s="33" t="s">
        <v>148</v>
      </c>
      <c r="C584" s="33">
        <v>21</v>
      </c>
      <c r="D584" s="33" t="s">
        <v>129</v>
      </c>
      <c r="E584" s="201">
        <v>0</v>
      </c>
      <c r="F584" s="33">
        <v>0</v>
      </c>
      <c r="G584" s="201">
        <v>0</v>
      </c>
      <c r="H584" s="33">
        <v>0</v>
      </c>
      <c r="I584" s="201">
        <v>0</v>
      </c>
      <c r="J584" s="33">
        <v>0</v>
      </c>
      <c r="K584" s="33">
        <v>0</v>
      </c>
      <c r="L584" s="33">
        <v>0</v>
      </c>
    </row>
    <row r="585" spans="1:12" x14ac:dyDescent="0.2">
      <c r="A585" s="33" t="s">
        <v>147</v>
      </c>
      <c r="B585" s="33" t="s">
        <v>148</v>
      </c>
      <c r="C585" s="33">
        <v>22</v>
      </c>
      <c r="D585" s="33" t="s">
        <v>130</v>
      </c>
      <c r="E585" s="201">
        <v>0</v>
      </c>
      <c r="F585" s="33">
        <v>0</v>
      </c>
      <c r="G585" s="201">
        <v>0</v>
      </c>
      <c r="H585" s="33">
        <v>0</v>
      </c>
      <c r="I585" s="201">
        <v>0</v>
      </c>
      <c r="J585" s="33">
        <v>0</v>
      </c>
      <c r="K585" s="33">
        <v>0</v>
      </c>
      <c r="L585" s="33">
        <v>0</v>
      </c>
    </row>
    <row r="586" spans="1:12" x14ac:dyDescent="0.2">
      <c r="A586" s="33" t="s">
        <v>147</v>
      </c>
      <c r="B586" s="33" t="s">
        <v>148</v>
      </c>
      <c r="C586" s="33">
        <v>23</v>
      </c>
      <c r="D586" s="33" t="s">
        <v>131</v>
      </c>
      <c r="E586" s="201">
        <v>0</v>
      </c>
      <c r="F586" s="33">
        <v>0</v>
      </c>
      <c r="G586" s="201">
        <v>0</v>
      </c>
      <c r="H586" s="33">
        <v>0</v>
      </c>
      <c r="I586" s="201">
        <v>0</v>
      </c>
      <c r="J586" s="33">
        <v>0</v>
      </c>
      <c r="K586" s="33">
        <v>0</v>
      </c>
      <c r="L586" s="33">
        <v>0</v>
      </c>
    </row>
    <row r="587" spans="1:12" x14ac:dyDescent="0.2">
      <c r="A587" s="33" t="s">
        <v>147</v>
      </c>
      <c r="B587" s="33" t="s">
        <v>148</v>
      </c>
      <c r="C587" s="33">
        <v>24</v>
      </c>
      <c r="D587" s="33" t="s">
        <v>55</v>
      </c>
      <c r="E587" s="201">
        <v>0</v>
      </c>
      <c r="F587" s="33">
        <v>0</v>
      </c>
      <c r="G587" s="201">
        <v>0</v>
      </c>
      <c r="H587" s="33">
        <v>0</v>
      </c>
      <c r="I587" s="201">
        <v>0</v>
      </c>
      <c r="J587" s="33">
        <v>0</v>
      </c>
      <c r="K587" s="33">
        <v>0</v>
      </c>
      <c r="L587" s="33">
        <v>0</v>
      </c>
    </row>
    <row r="588" spans="1:12" x14ac:dyDescent="0.2">
      <c r="A588" s="33" t="s">
        <v>147</v>
      </c>
      <c r="B588" s="33" t="s">
        <v>148</v>
      </c>
      <c r="C588" s="33">
        <v>25</v>
      </c>
      <c r="D588" s="33" t="s">
        <v>56</v>
      </c>
      <c r="E588" s="201">
        <v>0</v>
      </c>
      <c r="F588" s="33">
        <v>0</v>
      </c>
      <c r="G588" s="201">
        <v>0</v>
      </c>
      <c r="H588" s="33">
        <v>0</v>
      </c>
      <c r="I588" s="201">
        <v>0</v>
      </c>
      <c r="J588" s="33">
        <v>0</v>
      </c>
      <c r="K588" s="33">
        <v>0</v>
      </c>
      <c r="L588" s="33">
        <v>0</v>
      </c>
    </row>
    <row r="589" spans="1:12" x14ac:dyDescent="0.2">
      <c r="A589" s="33" t="s">
        <v>147</v>
      </c>
      <c r="B589" s="33" t="s">
        <v>148</v>
      </c>
      <c r="C589" s="33">
        <v>26</v>
      </c>
      <c r="D589" s="33" t="s">
        <v>132</v>
      </c>
      <c r="E589" s="201">
        <v>0</v>
      </c>
      <c r="F589" s="33">
        <v>0</v>
      </c>
      <c r="G589" s="201">
        <v>0</v>
      </c>
      <c r="H589" s="33">
        <v>0</v>
      </c>
      <c r="I589" s="201">
        <v>0</v>
      </c>
      <c r="J589" s="33">
        <v>0</v>
      </c>
      <c r="K589" s="33">
        <v>0</v>
      </c>
      <c r="L589" s="33">
        <v>0</v>
      </c>
    </row>
    <row r="590" spans="1:12" x14ac:dyDescent="0.2">
      <c r="A590" s="33" t="s">
        <v>147</v>
      </c>
      <c r="B590" s="33" t="s">
        <v>148</v>
      </c>
      <c r="C590" s="33">
        <v>27</v>
      </c>
      <c r="D590" s="33" t="s">
        <v>133</v>
      </c>
      <c r="E590" s="201">
        <v>0</v>
      </c>
      <c r="F590" s="33">
        <v>0</v>
      </c>
      <c r="G590" s="201">
        <v>0</v>
      </c>
      <c r="H590" s="33">
        <v>0</v>
      </c>
      <c r="I590" s="201">
        <v>0</v>
      </c>
      <c r="J590" s="33">
        <v>0</v>
      </c>
      <c r="K590" s="33">
        <v>0</v>
      </c>
      <c r="L590" s="33">
        <v>0</v>
      </c>
    </row>
    <row r="591" spans="1:12" x14ac:dyDescent="0.2">
      <c r="A591" s="33" t="s">
        <v>147</v>
      </c>
      <c r="B591" s="33" t="s">
        <v>148</v>
      </c>
      <c r="C591" s="33">
        <v>28</v>
      </c>
      <c r="D591" s="33" t="s">
        <v>134</v>
      </c>
      <c r="E591" s="201">
        <v>0</v>
      </c>
      <c r="F591" s="33">
        <v>0</v>
      </c>
      <c r="G591" s="201">
        <v>0</v>
      </c>
      <c r="H591" s="33">
        <v>0</v>
      </c>
      <c r="I591" s="201">
        <v>0</v>
      </c>
      <c r="J591" s="33">
        <v>0</v>
      </c>
      <c r="K591" s="33">
        <v>0</v>
      </c>
      <c r="L591" s="33">
        <v>0</v>
      </c>
    </row>
    <row r="592" spans="1:12" x14ac:dyDescent="0.2">
      <c r="A592" s="33" t="s">
        <v>147</v>
      </c>
      <c r="B592" s="33" t="s">
        <v>148</v>
      </c>
      <c r="C592" s="33">
        <v>29</v>
      </c>
      <c r="D592" s="33" t="s">
        <v>135</v>
      </c>
      <c r="E592" s="201">
        <v>0</v>
      </c>
      <c r="F592" s="33">
        <v>0</v>
      </c>
      <c r="G592" s="201">
        <v>0</v>
      </c>
      <c r="H592" s="33">
        <v>0</v>
      </c>
      <c r="I592" s="201">
        <v>0</v>
      </c>
      <c r="J592" s="33">
        <v>0</v>
      </c>
      <c r="K592" s="33">
        <v>0</v>
      </c>
      <c r="L592" s="33">
        <v>0</v>
      </c>
    </row>
    <row r="593" spans="1:12" x14ac:dyDescent="0.2">
      <c r="A593" s="33" t="s">
        <v>147</v>
      </c>
      <c r="B593" s="33" t="s">
        <v>148</v>
      </c>
      <c r="C593" s="33">
        <v>30</v>
      </c>
      <c r="D593" s="33" t="s">
        <v>136</v>
      </c>
      <c r="E593" s="201">
        <v>0</v>
      </c>
      <c r="F593" s="33">
        <v>0</v>
      </c>
      <c r="G593" s="201">
        <v>0</v>
      </c>
      <c r="H593" s="33">
        <v>0</v>
      </c>
      <c r="I593" s="201">
        <v>0</v>
      </c>
      <c r="J593" s="33">
        <v>0</v>
      </c>
      <c r="K593" s="33">
        <v>0</v>
      </c>
      <c r="L593" s="33">
        <v>0</v>
      </c>
    </row>
    <row r="594" spans="1:12" x14ac:dyDescent="0.2">
      <c r="A594" s="33" t="s">
        <v>147</v>
      </c>
      <c r="B594" s="33" t="s">
        <v>148</v>
      </c>
      <c r="C594" s="33">
        <v>31</v>
      </c>
      <c r="D594" s="33" t="s">
        <v>137</v>
      </c>
      <c r="E594" s="201">
        <v>0</v>
      </c>
      <c r="F594" s="33">
        <v>0</v>
      </c>
      <c r="G594" s="201">
        <v>0</v>
      </c>
      <c r="H594" s="33">
        <v>0</v>
      </c>
      <c r="I594" s="201">
        <v>0</v>
      </c>
      <c r="J594" s="33">
        <v>0</v>
      </c>
      <c r="K594" s="33">
        <v>0</v>
      </c>
      <c r="L594" s="33">
        <v>0</v>
      </c>
    </row>
    <row r="595" spans="1:12" x14ac:dyDescent="0.2">
      <c r="A595" s="33" t="s">
        <v>147</v>
      </c>
      <c r="B595" s="33" t="s">
        <v>148</v>
      </c>
      <c r="C595" s="33">
        <v>32</v>
      </c>
      <c r="D595" s="33" t="s">
        <v>70</v>
      </c>
      <c r="E595" s="201">
        <v>0</v>
      </c>
      <c r="F595" s="33">
        <v>0</v>
      </c>
      <c r="G595" s="201">
        <v>0</v>
      </c>
      <c r="H595" s="33">
        <v>0</v>
      </c>
      <c r="I595" s="201">
        <v>0</v>
      </c>
      <c r="J595" s="33">
        <v>0</v>
      </c>
      <c r="K595" s="33">
        <v>0</v>
      </c>
      <c r="L595" s="33">
        <v>0</v>
      </c>
    </row>
    <row r="596" spans="1:12" x14ac:dyDescent="0.2">
      <c r="A596" s="33" t="s">
        <v>147</v>
      </c>
      <c r="B596" s="33" t="s">
        <v>148</v>
      </c>
      <c r="C596" s="33">
        <v>33</v>
      </c>
      <c r="D596" s="33" t="s">
        <v>71</v>
      </c>
      <c r="E596" s="201">
        <v>0</v>
      </c>
      <c r="F596" s="33">
        <v>0</v>
      </c>
      <c r="G596" s="201">
        <v>0</v>
      </c>
      <c r="H596" s="33">
        <v>0</v>
      </c>
      <c r="I596" s="201">
        <v>0</v>
      </c>
      <c r="J596" s="33">
        <v>0</v>
      </c>
      <c r="K596" s="33">
        <v>0</v>
      </c>
      <c r="L596" s="33">
        <v>0</v>
      </c>
    </row>
    <row r="597" spans="1:12" x14ac:dyDescent="0.2">
      <c r="A597" s="33" t="s">
        <v>147</v>
      </c>
      <c r="B597" s="33" t="s">
        <v>148</v>
      </c>
      <c r="C597" s="33">
        <v>34</v>
      </c>
      <c r="D597" s="33" t="s">
        <v>72</v>
      </c>
      <c r="E597" s="201">
        <v>0</v>
      </c>
      <c r="F597" s="33">
        <v>0</v>
      </c>
      <c r="G597" s="201">
        <v>0</v>
      </c>
      <c r="H597" s="33">
        <v>0</v>
      </c>
      <c r="I597" s="201">
        <v>0</v>
      </c>
      <c r="J597" s="33">
        <v>0</v>
      </c>
      <c r="K597" s="33">
        <v>0</v>
      </c>
      <c r="L597" s="33">
        <v>0</v>
      </c>
    </row>
    <row r="598" spans="1:12" x14ac:dyDescent="0.2">
      <c r="A598" s="33" t="s">
        <v>147</v>
      </c>
      <c r="B598" s="33" t="s">
        <v>148</v>
      </c>
      <c r="C598" s="33">
        <v>35</v>
      </c>
      <c r="D598" s="33" t="s">
        <v>73</v>
      </c>
      <c r="E598" s="201">
        <v>0</v>
      </c>
      <c r="F598" s="33">
        <v>0</v>
      </c>
      <c r="G598" s="201">
        <v>0</v>
      </c>
      <c r="H598" s="33">
        <v>0</v>
      </c>
      <c r="I598" s="201">
        <v>0</v>
      </c>
      <c r="J598" s="33">
        <v>0</v>
      </c>
      <c r="K598" s="33">
        <v>0</v>
      </c>
      <c r="L598" s="33">
        <v>0</v>
      </c>
    </row>
    <row r="599" spans="1:12" x14ac:dyDescent="0.2">
      <c r="A599" s="33" t="s">
        <v>147</v>
      </c>
      <c r="B599" s="33" t="s">
        <v>148</v>
      </c>
      <c r="C599" s="33">
        <v>36</v>
      </c>
      <c r="D599" s="33" t="s">
        <v>74</v>
      </c>
      <c r="E599" s="201">
        <v>0</v>
      </c>
      <c r="F599" s="33">
        <v>0</v>
      </c>
      <c r="G599" s="201">
        <v>0</v>
      </c>
      <c r="H599" s="33">
        <v>0</v>
      </c>
      <c r="I599" s="201">
        <v>0</v>
      </c>
      <c r="J599" s="33">
        <v>0</v>
      </c>
      <c r="K599" s="33">
        <v>0</v>
      </c>
      <c r="L599" s="33">
        <v>0</v>
      </c>
    </row>
    <row r="600" spans="1:12" x14ac:dyDescent="0.2">
      <c r="A600" s="33" t="s">
        <v>147</v>
      </c>
      <c r="B600" s="33" t="s">
        <v>148</v>
      </c>
      <c r="C600" s="33">
        <v>37</v>
      </c>
      <c r="D600" s="33" t="s">
        <v>75</v>
      </c>
      <c r="E600" s="201">
        <v>0</v>
      </c>
      <c r="F600" s="33">
        <v>0</v>
      </c>
      <c r="G600" s="201">
        <v>0</v>
      </c>
      <c r="H600" s="33">
        <v>0</v>
      </c>
      <c r="I600" s="201">
        <v>0</v>
      </c>
      <c r="J600" s="33">
        <v>0</v>
      </c>
      <c r="K600" s="33">
        <v>0</v>
      </c>
      <c r="L600" s="33">
        <v>0</v>
      </c>
    </row>
    <row r="601" spans="1:12" x14ac:dyDescent="0.2">
      <c r="A601" s="33" t="s">
        <v>147</v>
      </c>
      <c r="B601" s="33" t="s">
        <v>148</v>
      </c>
      <c r="C601" s="33">
        <v>38</v>
      </c>
      <c r="D601" s="33" t="s">
        <v>76</v>
      </c>
      <c r="E601" s="201">
        <v>0</v>
      </c>
      <c r="F601" s="33">
        <v>0</v>
      </c>
      <c r="G601" s="201">
        <v>0</v>
      </c>
      <c r="H601" s="33">
        <v>0</v>
      </c>
      <c r="I601" s="201">
        <v>0</v>
      </c>
      <c r="J601" s="33">
        <v>0</v>
      </c>
      <c r="K601" s="33">
        <v>0</v>
      </c>
      <c r="L601" s="33">
        <v>0</v>
      </c>
    </row>
    <row r="602" spans="1:12" x14ac:dyDescent="0.2">
      <c r="A602" s="33" t="s">
        <v>147</v>
      </c>
      <c r="B602" s="33" t="s">
        <v>148</v>
      </c>
      <c r="C602" s="33">
        <v>39</v>
      </c>
      <c r="D602" s="33" t="s">
        <v>77</v>
      </c>
      <c r="E602" s="201">
        <v>0</v>
      </c>
      <c r="F602" s="33">
        <v>0</v>
      </c>
      <c r="G602" s="201">
        <v>0</v>
      </c>
      <c r="H602" s="33">
        <v>0</v>
      </c>
      <c r="I602" s="201">
        <v>0</v>
      </c>
      <c r="J602" s="33">
        <v>0</v>
      </c>
      <c r="K602" s="33">
        <v>0</v>
      </c>
      <c r="L602" s="33">
        <v>0</v>
      </c>
    </row>
    <row r="603" spans="1:12" x14ac:dyDescent="0.2">
      <c r="A603" s="33" t="s">
        <v>147</v>
      </c>
      <c r="B603" s="33" t="s">
        <v>148</v>
      </c>
      <c r="C603" s="33">
        <v>40</v>
      </c>
      <c r="D603" s="33" t="s">
        <v>78</v>
      </c>
      <c r="E603" s="201">
        <v>0</v>
      </c>
      <c r="F603" s="33">
        <v>0</v>
      </c>
      <c r="G603" s="201">
        <v>0</v>
      </c>
      <c r="H603" s="33">
        <v>0</v>
      </c>
      <c r="I603" s="201">
        <v>0</v>
      </c>
      <c r="J603" s="33">
        <v>0</v>
      </c>
      <c r="K603" s="33">
        <v>0</v>
      </c>
      <c r="L603" s="33">
        <v>0</v>
      </c>
    </row>
    <row r="633" spans="4:31" x14ac:dyDescent="0.2">
      <c r="I633" s="207"/>
    </row>
    <row r="636" spans="4:31" x14ac:dyDescent="0.2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4:31" x14ac:dyDescent="0.2">
      <c r="F637" s="122" t="s">
        <v>22</v>
      </c>
      <c r="G637" s="143" t="s">
        <v>149</v>
      </c>
      <c r="H637" s="122" t="s">
        <v>22</v>
      </c>
      <c r="I637" s="143" t="s">
        <v>149</v>
      </c>
      <c r="J637" s="122" t="s">
        <v>22</v>
      </c>
      <c r="K637" s="122" t="s">
        <v>149</v>
      </c>
      <c r="L637" s="122" t="s">
        <v>22</v>
      </c>
      <c r="M637" s="122" t="s">
        <v>149</v>
      </c>
      <c r="N637" s="122" t="s">
        <v>22</v>
      </c>
      <c r="O637" s="122" t="s">
        <v>149</v>
      </c>
      <c r="P637" s="122" t="s">
        <v>22</v>
      </c>
      <c r="Q637" s="122" t="s">
        <v>149</v>
      </c>
      <c r="R637" s="122" t="s">
        <v>22</v>
      </c>
      <c r="S637" s="122" t="s">
        <v>149</v>
      </c>
      <c r="T637" s="122" t="s">
        <v>22</v>
      </c>
      <c r="U637" s="122" t="s">
        <v>149</v>
      </c>
      <c r="V637" s="122" t="s">
        <v>22</v>
      </c>
      <c r="W637" s="122" t="s">
        <v>149</v>
      </c>
      <c r="X637" s="122" t="s">
        <v>22</v>
      </c>
      <c r="Y637" s="122" t="s">
        <v>149</v>
      </c>
      <c r="Z637" s="122" t="s">
        <v>22</v>
      </c>
      <c r="AA637" s="122" t="s">
        <v>149</v>
      </c>
      <c r="AB637" s="122" t="s">
        <v>22</v>
      </c>
      <c r="AC637" s="122" t="s">
        <v>149</v>
      </c>
      <c r="AD637" s="116"/>
      <c r="AE637" s="116"/>
    </row>
    <row r="638" spans="4:31" s="201" customFormat="1" x14ac:dyDescent="0.2">
      <c r="D638" s="208" t="s">
        <v>113</v>
      </c>
      <c r="E638" s="209"/>
      <c r="F638" s="210">
        <f>BUG_GL!H82</f>
        <v>0</v>
      </c>
      <c r="G638" s="211">
        <f>BUG_GL!I82</f>
        <v>10983302.846000003</v>
      </c>
      <c r="H638" s="210">
        <f>BUG_GL!J82</f>
        <v>0</v>
      </c>
      <c r="I638" s="211">
        <f>BUG_GL!K82</f>
        <v>-10566036.280000003</v>
      </c>
      <c r="J638" s="210">
        <f>BUG_GL!L82</f>
        <v>0</v>
      </c>
      <c r="K638" s="211">
        <f>BUG_GL!M82</f>
        <v>-62093.420000000006</v>
      </c>
      <c r="L638" s="210">
        <f>BUG_GL!N82</f>
        <v>0</v>
      </c>
      <c r="M638" s="211">
        <f>BUG_GL!O82</f>
        <v>1820570.2180000001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4:31" s="201" customFormat="1" x14ac:dyDescent="0.2">
      <c r="D639" s="208" t="s">
        <v>141</v>
      </c>
      <c r="E639" s="209"/>
      <c r="F639" s="210">
        <f>CE_GL!H82</f>
        <v>0</v>
      </c>
      <c r="G639" s="212">
        <f>CE_GL!I82</f>
        <v>-3629573.1239999733</v>
      </c>
      <c r="H639" s="210">
        <f>CE_GL!J82</f>
        <v>0</v>
      </c>
      <c r="I639" s="211">
        <f>CE_GL!K82</f>
        <v>-1609351.6479999989</v>
      </c>
      <c r="J639" s="210">
        <f>CE_GL!L82</f>
        <v>0</v>
      </c>
      <c r="K639" s="211">
        <f>CE_GL!M82</f>
        <v>1697517.3279999944</v>
      </c>
      <c r="L639" s="210">
        <f>CE_GL!N82</f>
        <v>0</v>
      </c>
      <c r="M639" s="211">
        <f>CE_GL!O82</f>
        <v>2007157.8120000002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4:31" s="201" customFormat="1" x14ac:dyDescent="0.2">
      <c r="D640" s="208" t="s">
        <v>142</v>
      </c>
      <c r="E640" s="209"/>
      <c r="F640" s="210">
        <f>+'EAST-EGM-GL'!H82</f>
        <v>0</v>
      </c>
      <c r="G640" s="211">
        <f>+'EAST-EGM-GL'!I82</f>
        <v>10691469.334999859</v>
      </c>
      <c r="H640" s="210">
        <f>+'EAST-EGM-GL'!J82</f>
        <v>0</v>
      </c>
      <c r="I640" s="211">
        <f>+'EAST-EGM-GL'!K82</f>
        <v>4309407.8249999871</v>
      </c>
      <c r="J640" s="210">
        <f>+'EAST-EGM-GL'!L82</f>
        <v>0</v>
      </c>
      <c r="K640" s="210">
        <f>+'EAST-EGM-GL'!M82</f>
        <v>19905590.467999998</v>
      </c>
      <c r="L640" s="210">
        <f>+'EAST-EGM-GL'!N82</f>
        <v>0</v>
      </c>
      <c r="M640" s="210">
        <f>+'EAST-EGM-GL'!O82</f>
        <v>5756406.4639999988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">
      <c r="D641" s="208" t="s">
        <v>150</v>
      </c>
      <c r="E641" s="209"/>
      <c r="F641" s="210">
        <f>+'EAST-LRC-GL'!H82</f>
        <v>0</v>
      </c>
      <c r="G641" s="211">
        <f>+'EAST-LRC-GL'!I82</f>
        <v>740264.45999999973</v>
      </c>
      <c r="H641" s="210">
        <f>+'EAST-LRC-GL'!J82</f>
        <v>0</v>
      </c>
      <c r="I641" s="211">
        <f>+'EAST-LRC-GL'!K82</f>
        <v>716650.94199999922</v>
      </c>
      <c r="J641" s="210">
        <f>+'EAST-LRC-GL'!L82</f>
        <v>0</v>
      </c>
      <c r="K641" s="210">
        <f>+'EAST-LRC-GL'!M82</f>
        <v>-132761.49100000013</v>
      </c>
      <c r="L641" s="210">
        <f>+'EAST-LRC-GL'!N82</f>
        <v>0</v>
      </c>
      <c r="M641" s="210">
        <f>+'EAST-LRC-GL'!O82</f>
        <v>122666.66500000001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">
      <c r="D642" s="208" t="s">
        <v>151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">
      <c r="D643" s="208" t="s">
        <v>152</v>
      </c>
      <c r="E643" s="209"/>
      <c r="F643" s="210">
        <f>+'EAST-CON-GL '!H82</f>
        <v>0</v>
      </c>
      <c r="G643" s="210">
        <f>+'EAST-CON-GL '!I82</f>
        <v>11431733.79499981</v>
      </c>
      <c r="H643" s="210">
        <f>+'EAST-CON-GL '!J82</f>
        <v>0</v>
      </c>
      <c r="I643" s="210">
        <f>+'EAST-CON-GL '!K82</f>
        <v>5026058.7669999916</v>
      </c>
      <c r="J643" s="210">
        <f>+'EAST-CON-GL '!L82</f>
        <v>0</v>
      </c>
      <c r="K643" s="210">
        <f>+'EAST-CON-GL '!M82</f>
        <v>19772828.977000002</v>
      </c>
      <c r="L643" s="210">
        <f>+'EAST-CON-GL '!N82</f>
        <v>0</v>
      </c>
      <c r="M643" s="210">
        <f>+'EAST-CON-GL '!O82</f>
        <v>5943282.2889999999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">
      <c r="D644" s="208" t="s">
        <v>153</v>
      </c>
      <c r="E644" s="209"/>
      <c r="F644" s="210">
        <f>+'TX-EGM-GL'!H82</f>
        <v>0</v>
      </c>
      <c r="G644" s="211">
        <f>+'TX-EGM-GL'!I82</f>
        <v>10404897.875999998</v>
      </c>
      <c r="H644" s="210">
        <f>+'TX-EGM-GL'!J82</f>
        <v>0</v>
      </c>
      <c r="I644" s="211">
        <f>+'TX-EGM-GL'!K91</f>
        <v>-4237058.7469999976</v>
      </c>
      <c r="J644" s="210">
        <f>+'TX-EGM-GL'!L82</f>
        <v>0</v>
      </c>
      <c r="K644" s="211">
        <f>+'TX-EGM-GL'!M82</f>
        <v>1100818.3690000004</v>
      </c>
      <c r="L644" s="210">
        <f>+'TX-EGM-GL'!N82</f>
        <v>0</v>
      </c>
      <c r="M644" s="211">
        <f>+'TX-EGM-GL'!O82</f>
        <v>-248.23500000000331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">
      <c r="D645" s="208" t="s">
        <v>181</v>
      </c>
      <c r="E645" s="209"/>
      <c r="F645" s="210">
        <f>+'TX-HPLR-GL '!H82</f>
        <v>0</v>
      </c>
      <c r="G645" s="211">
        <f>+'TX-HPLR-GL '!I82</f>
        <v>254767.59999999998</v>
      </c>
      <c r="H645" s="210">
        <f>+'TX-HPLR-GL '!J82</f>
        <v>0</v>
      </c>
      <c r="I645" s="211">
        <f>+'TX-HPLR-GL '!K82</f>
        <v>-265884.48</v>
      </c>
      <c r="J645" s="210">
        <f>+'TX-HPLR-GL '!L82</f>
        <v>0</v>
      </c>
      <c r="K645" s="211">
        <f>+'TX-HPLR-GL '!M82</f>
        <v>113410.16</v>
      </c>
      <c r="L645" s="210">
        <f>+'TX-HPLR-GL '!N82</f>
        <v>0</v>
      </c>
      <c r="M645" s="211">
        <f>+'TX-HPLR-GL '!O82</f>
        <v>415.68000000000029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">
      <c r="D646" s="208" t="s">
        <v>180</v>
      </c>
      <c r="E646" s="209"/>
      <c r="F646" s="210">
        <f>+'TX-HPLC-GL'!H82</f>
        <v>0</v>
      </c>
      <c r="G646" s="210">
        <f>+'TX-HPLC-GL'!I82</f>
        <v>3136253</v>
      </c>
      <c r="H646" s="210">
        <f>+'TX-HPLC-GL'!J82</f>
        <v>0</v>
      </c>
      <c r="I646" s="210">
        <f>+'TX-HPLC-GL'!K82</f>
        <v>337966</v>
      </c>
      <c r="J646" s="210">
        <f>+'TX-HPLC-GL'!L82</f>
        <v>0</v>
      </c>
      <c r="K646" s="210">
        <f>+'TX-HPLC-GL'!M82</f>
        <v>-1688281</v>
      </c>
      <c r="L646" s="210">
        <f>+'TX-HPLC-GL'!N82</f>
        <v>0</v>
      </c>
      <c r="M646" s="210">
        <f>+'TX-HPLC-GL'!O82</f>
        <v>1920010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">
      <c r="D647" s="208" t="s">
        <v>154</v>
      </c>
      <c r="E647" s="209"/>
      <c r="F647" s="210">
        <f>+'TX-CON-GL '!H82</f>
        <v>0</v>
      </c>
      <c r="G647" s="210">
        <f>+'TX-CON-GL '!I82</f>
        <v>13795918.475999985</v>
      </c>
      <c r="H647" s="210">
        <f>+'TX-CON-GL '!J82</f>
        <v>0</v>
      </c>
      <c r="I647" s="210">
        <f>+'TX-CON-GL '!K82</f>
        <v>-4164977.2269999967</v>
      </c>
      <c r="J647" s="210">
        <f>+'TX-CON-GL '!L82</f>
        <v>0</v>
      </c>
      <c r="K647" s="210">
        <f>+'TX-CON-GL '!M82</f>
        <v>-474052.47100000019</v>
      </c>
      <c r="L647" s="210">
        <f>+'TX-CON-GL '!N82</f>
        <v>0</v>
      </c>
      <c r="M647" s="210">
        <f>+'TX-CON-GL '!O82</f>
        <v>1920177.4450000001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">
      <c r="D648" s="208" t="s">
        <v>144</v>
      </c>
      <c r="E648" s="209"/>
      <c r="F648" s="210">
        <f>+'WE-GL '!H82</f>
        <v>0</v>
      </c>
      <c r="G648" s="211">
        <f>+'WE-GL '!I82</f>
        <v>-3394592.4910000106</v>
      </c>
      <c r="H648" s="210">
        <f>+'WE-GL '!J82</f>
        <v>0</v>
      </c>
      <c r="I648" s="210">
        <f>+'WE-GL '!K82</f>
        <v>-3142502.1720000049</v>
      </c>
      <c r="J648" s="210">
        <f>+'WE-GL '!L82</f>
        <v>0</v>
      </c>
      <c r="K648" s="211">
        <f>+'WE-GL '!M82</f>
        <v>21410.122999999894</v>
      </c>
      <c r="L648" s="210">
        <f>+'WE-GL '!N82</f>
        <v>0</v>
      </c>
      <c r="M648" s="211">
        <f>+'WE-GL '!O82</f>
        <v>2301.3120000000054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">
      <c r="D649" s="208" t="s">
        <v>202</v>
      </c>
      <c r="E649" s="209"/>
      <c r="F649" s="210">
        <f>+'DEN-GL'!H82</f>
        <v>0</v>
      </c>
      <c r="G649" s="211">
        <f>+'DEN-GL'!I82</f>
        <v>-559151.60799999756</v>
      </c>
      <c r="H649" s="210">
        <f>+'DEN-GL'!J82</f>
        <v>0</v>
      </c>
      <c r="I649" s="211">
        <f>+'DEN-GL'!K82</f>
        <v>190751.41999999931</v>
      </c>
      <c r="J649" s="210">
        <f>+'DEN-GL'!L82</f>
        <v>0</v>
      </c>
      <c r="K649" s="211">
        <f>+'DEN-GL'!M82</f>
        <v>-391223.32199999993</v>
      </c>
      <c r="L649" s="210">
        <f>+'DEN-GL'!N82</f>
        <v>0</v>
      </c>
      <c r="M649" s="211">
        <f>+'DEN-GL'!O82</f>
        <v>-243.72000000000116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">
      <c r="D650" s="208" t="s">
        <v>146</v>
      </c>
      <c r="E650" s="209"/>
      <c r="F650" s="210">
        <f>+STG_GL!H82</f>
        <v>0</v>
      </c>
      <c r="G650" s="210">
        <f>+STG_GL!I82</f>
        <v>0</v>
      </c>
      <c r="H650" s="210">
        <f>+STG_GL!J82</f>
        <v>0</v>
      </c>
      <c r="I650" s="210">
        <f>+STG_GL!K82</f>
        <v>-459457</v>
      </c>
      <c r="J650" s="210">
        <f>+STG_GL!L82</f>
        <v>0</v>
      </c>
      <c r="K650" s="210">
        <f>+STG_GL!M82</f>
        <v>2805302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">
      <c r="D651" s="208" t="s">
        <v>160</v>
      </c>
      <c r="E651" s="209"/>
      <c r="F651" s="210">
        <f>+'ONT_GL '!H82</f>
        <v>0</v>
      </c>
      <c r="G651" s="211">
        <f>+'ONT_GL '!I82</f>
        <v>-928353.79000002448</v>
      </c>
      <c r="H651" s="210">
        <f>+'ONT_GL '!J82</f>
        <v>0</v>
      </c>
      <c r="I651" s="210">
        <f>+'ONT_GL '!K82</f>
        <v>291598.38999999966</v>
      </c>
      <c r="J651" s="210">
        <f>+'ONT_GL '!L82</f>
        <v>0</v>
      </c>
      <c r="K651" s="211">
        <f>+'ONT_GL '!M82</f>
        <v>-219481.30000000005</v>
      </c>
      <c r="L651" s="210">
        <f>+'ONT_GL '!N82</f>
        <v>0</v>
      </c>
      <c r="M651" s="211">
        <f>+'ONT_GL '!O82</f>
        <v>221666.71000000005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">
      <c r="D652" s="208" t="s">
        <v>193</v>
      </c>
      <c r="E652" s="209"/>
      <c r="F652" s="210">
        <f>+ARUBA_GL!H82</f>
        <v>0</v>
      </c>
      <c r="G652" s="211">
        <f>+ARUBA_GL!I82</f>
        <v>3006648.0340000018</v>
      </c>
      <c r="H652" s="210">
        <f>+ARUBA_GL!J82</f>
        <v>0</v>
      </c>
      <c r="I652" s="211">
        <f>+ARUBA_GL!K82</f>
        <v>-1978384.4980000053</v>
      </c>
      <c r="J652" s="210">
        <f>+ARUBA_GL!L82</f>
        <v>0</v>
      </c>
      <c r="K652" s="211">
        <f>+ARUBA_GL!M82</f>
        <v>-1444.2159999999999</v>
      </c>
      <c r="L652" s="210">
        <f>+ARUBA_GL!N82</f>
        <v>0</v>
      </c>
      <c r="M652" s="211">
        <f>+ARUBA_GL!O82</f>
        <v>-547046.89199999999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">
      <c r="D653" s="208" t="s">
        <v>197</v>
      </c>
      <c r="E653" s="209"/>
      <c r="F653" s="210">
        <f>+SITHE_GL!H82</f>
        <v>0</v>
      </c>
      <c r="G653" s="211">
        <f>+SITHE_GL!I82</f>
        <v>3694813.3480000021</v>
      </c>
      <c r="H653" s="210">
        <f>+SITHE_GL!J82</f>
        <v>0</v>
      </c>
      <c r="I653" s="211">
        <f>+SITHE_GL!K82</f>
        <v>-2963532.7019999996</v>
      </c>
      <c r="J653" s="210">
        <f>+SITHE_GL!L82</f>
        <v>0</v>
      </c>
      <c r="K653" s="211">
        <f>+SITHE_GL!M82</f>
        <v>159358.34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333375</xdr:colOff>
                    <xdr:row>0</xdr:row>
                    <xdr:rowOff>47625</xdr:rowOff>
                  </from>
                  <to>
                    <xdr:col>3</xdr:col>
                    <xdr:colOff>1476375</xdr:colOff>
                    <xdr:row>0</xdr:row>
                    <xdr:rowOff>276225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26</vt:i4>
      </vt:variant>
    </vt:vector>
  </HeadingPairs>
  <TitlesOfParts>
    <vt:vector size="80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EAST-EGM-FLSH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EAST-EGM-GL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EAST-EGM-VAR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Felienne</cp:lastModifiedBy>
  <cp:lastPrinted>2000-03-17T19:43:10Z</cp:lastPrinted>
  <dcterms:created xsi:type="dcterms:W3CDTF">1997-07-11T21:57:33Z</dcterms:created>
  <dcterms:modified xsi:type="dcterms:W3CDTF">2014-09-03T20:25:10Z</dcterms:modified>
</cp:coreProperties>
</file>