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activeTab="4"/>
  </bookViews>
  <sheets>
    <sheet name="9911" sheetId="5" r:id="rId1"/>
    <sheet name="9912" sheetId="1" r:id="rId2"/>
    <sheet name="0001" sheetId="2" r:id="rId3"/>
    <sheet name="0002" sheetId="4" r:id="rId4"/>
    <sheet name="summary" sheetId="3" r:id="rId5"/>
  </sheets>
  <calcPr calcId="152511"/>
</workbook>
</file>

<file path=xl/calcChain.xml><?xml version="1.0" encoding="utf-8"?>
<calcChain xmlns="http://schemas.openxmlformats.org/spreadsheetml/2006/main">
  <c r="I6" i="2" l="1"/>
  <c r="J6" i="2"/>
  <c r="K6" i="2"/>
  <c r="J7" i="2"/>
  <c r="J11" i="2" s="1"/>
  <c r="K7" i="2"/>
  <c r="J8" i="2"/>
  <c r="K8" i="2"/>
  <c r="K11" i="2" s="1"/>
  <c r="J9" i="2"/>
  <c r="K9" i="2"/>
  <c r="G6" i="4"/>
  <c r="I6" i="4" s="1"/>
  <c r="I12" i="4" s="1"/>
  <c r="H6" i="4"/>
  <c r="H7" i="4"/>
  <c r="I7" i="4"/>
  <c r="H8" i="4"/>
  <c r="I8" i="4"/>
  <c r="H9" i="4"/>
  <c r="I9" i="4"/>
  <c r="H10" i="4"/>
  <c r="I10" i="4"/>
  <c r="H12" i="4"/>
  <c r="E6" i="1"/>
  <c r="K6" i="1"/>
  <c r="L6" i="1"/>
  <c r="L11" i="1" s="1"/>
  <c r="M6" i="1"/>
  <c r="M11" i="1" s="1"/>
  <c r="L7" i="1"/>
  <c r="M7" i="1"/>
  <c r="L8" i="1"/>
  <c r="M8" i="1"/>
  <c r="L9" i="1"/>
  <c r="M9" i="1"/>
  <c r="E5" i="3"/>
  <c r="F5" i="3"/>
  <c r="G5" i="3"/>
  <c r="H5" i="3"/>
  <c r="I5" i="3" s="1"/>
  <c r="D6" i="3"/>
  <c r="E6" i="3"/>
  <c r="G6" i="3" s="1"/>
  <c r="F6" i="3"/>
  <c r="H6" i="3" s="1"/>
  <c r="G7" i="3"/>
  <c r="H7" i="3"/>
  <c r="E9" i="3"/>
  <c r="F9" i="3"/>
  <c r="G9" i="3"/>
  <c r="H9" i="3"/>
  <c r="I9" i="3" s="1"/>
  <c r="G10" i="3"/>
  <c r="H10" i="3"/>
  <c r="I10" i="3"/>
  <c r="G11" i="3"/>
  <c r="H11" i="3"/>
  <c r="C13" i="3"/>
  <c r="G13" i="3" s="1"/>
  <c r="D13" i="3"/>
  <c r="H13" i="3" s="1"/>
  <c r="I13" i="3" s="1"/>
  <c r="G14" i="3"/>
  <c r="H14" i="3"/>
  <c r="G15" i="3"/>
  <c r="H15" i="3"/>
  <c r="I18" i="3" l="1"/>
</calcChain>
</file>

<file path=xl/sharedStrings.xml><?xml version="1.0" encoding="utf-8"?>
<sst xmlns="http://schemas.openxmlformats.org/spreadsheetml/2006/main" count="100" uniqueCount="41">
  <si>
    <t>Storage Reconciliation - 9912</t>
  </si>
  <si>
    <t>Facility</t>
  </si>
  <si>
    <t>9912 GL</t>
  </si>
  <si>
    <t>0001 GL</t>
  </si>
  <si>
    <t>0002 GL</t>
  </si>
  <si>
    <t xml:space="preserve"> </t>
  </si>
  <si>
    <t>Volume</t>
  </si>
  <si>
    <t>$</t>
  </si>
  <si>
    <t xml:space="preserve">Volume </t>
  </si>
  <si>
    <t>Total</t>
  </si>
  <si>
    <t>Storage Reconciliation - 0001</t>
  </si>
  <si>
    <t>Bammel Co 012</t>
  </si>
  <si>
    <t>Centana Co 016</t>
  </si>
  <si>
    <t>CILCO  Co 016</t>
  </si>
  <si>
    <t>Storage Variance</t>
  </si>
  <si>
    <t>Prod Month</t>
  </si>
  <si>
    <t>GL Volume</t>
  </si>
  <si>
    <t>GL $</t>
  </si>
  <si>
    <t>Flash Volume</t>
  </si>
  <si>
    <t>Flash $</t>
  </si>
  <si>
    <t>Volume Var.</t>
  </si>
  <si>
    <t>$ Var.</t>
  </si>
  <si>
    <t>Income Impact</t>
  </si>
  <si>
    <t>Bammel</t>
  </si>
  <si>
    <t>Centana</t>
  </si>
  <si>
    <t>CILCO</t>
  </si>
  <si>
    <t>0001</t>
  </si>
  <si>
    <t>0003 GL</t>
  </si>
  <si>
    <t xml:space="preserve">0003 GL </t>
  </si>
  <si>
    <t>These amounts are net of inventory profit entries to be made in 0003 Accounting</t>
  </si>
  <si>
    <t xml:space="preserve">0004 GL </t>
  </si>
  <si>
    <t>0004 GL</t>
  </si>
  <si>
    <t>Storage Reconciliation - 0002</t>
  </si>
  <si>
    <t>Bammel Co 016</t>
  </si>
  <si>
    <t>* inventory profit of $(447,550) added to 0004 GL column</t>
  </si>
  <si>
    <t>0002</t>
  </si>
  <si>
    <t>Enron Gas Mktg Liquidations</t>
  </si>
  <si>
    <t>* Inventory profit of $(146,152) added to 0004 GL column</t>
  </si>
  <si>
    <t>* Inventory profit of $(847,572) added ti 0004 GL column</t>
  </si>
  <si>
    <t>Enron Gas Mktg. Liquidations</t>
  </si>
  <si>
    <t>Enron Gas Mktg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</si>
</sst>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right"/>
    </xf>
    <xf numFmtId="167" fontId="0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"/>
  <sheetViews>
    <sheetView topLeftCell="C1" workbookViewId="0">
      <selection activeCell="G8" sqref="G8"/>
    </sheetView>
  </sheetViews>
  <sheetFormatPr defaultRowHeight="12.75" x14ac:dyDescent="0.2"/>
  <cols>
    <col min="1" max="1" width="17.42578125" customWidth="1"/>
    <col min="2" max="2" width="10.85546875" bestFit="1" customWidth="1"/>
    <col min="3" max="3" width="12.85546875" bestFit="1" customWidth="1"/>
    <col min="4" max="4" width="10.85546875" bestFit="1" customWidth="1"/>
    <col min="5" max="5" width="12.85546875" bestFit="1" customWidth="1"/>
    <col min="7" max="7" width="11.28515625" bestFit="1" customWidth="1"/>
    <col min="8" max="11" width="11.28515625" customWidth="1"/>
    <col min="12" max="12" width="11.42578125" customWidth="1"/>
    <col min="13" max="13" width="14.28515625" customWidth="1"/>
  </cols>
  <sheetData>
    <row r="2" spans="1:13" ht="15" customHeight="1" x14ac:dyDescent="0.25">
      <c r="E2" s="2" t="s">
        <v>0</v>
      </c>
    </row>
    <row r="3" spans="1:13" ht="15" customHeight="1" x14ac:dyDescent="0.2"/>
    <row r="4" spans="1:13" ht="15" customHeight="1" x14ac:dyDescent="0.2">
      <c r="A4" s="1" t="s">
        <v>1</v>
      </c>
      <c r="B4" s="1" t="s">
        <v>2</v>
      </c>
      <c r="C4" s="1" t="s">
        <v>5</v>
      </c>
      <c r="D4" s="1" t="s">
        <v>3</v>
      </c>
      <c r="E4" s="1" t="s">
        <v>5</v>
      </c>
      <c r="F4" s="1" t="s">
        <v>4</v>
      </c>
      <c r="G4" s="1"/>
      <c r="H4" s="1" t="s">
        <v>27</v>
      </c>
      <c r="I4" s="1"/>
      <c r="J4" s="1" t="s">
        <v>31</v>
      </c>
      <c r="K4" s="1"/>
      <c r="L4" s="1" t="s">
        <v>9</v>
      </c>
      <c r="M4" s="1"/>
    </row>
    <row r="5" spans="1:13" x14ac:dyDescent="0.2">
      <c r="A5" s="1"/>
      <c r="B5" s="1" t="s">
        <v>6</v>
      </c>
      <c r="C5" s="1" t="s">
        <v>7</v>
      </c>
      <c r="D5" s="1" t="s">
        <v>8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7</v>
      </c>
      <c r="J5" s="1" t="s">
        <v>8</v>
      </c>
      <c r="K5" s="1" t="s">
        <v>7</v>
      </c>
      <c r="L5" s="1" t="s">
        <v>6</v>
      </c>
      <c r="M5" s="1" t="s">
        <v>7</v>
      </c>
    </row>
    <row r="6" spans="1:13" x14ac:dyDescent="0.2">
      <c r="A6" t="s">
        <v>11</v>
      </c>
      <c r="B6" s="3"/>
      <c r="C6" s="4"/>
      <c r="D6" s="3">
        <v>-5850267</v>
      </c>
      <c r="E6" s="4">
        <f>-13220784</f>
        <v>-13220784</v>
      </c>
      <c r="F6" s="3"/>
      <c r="G6" s="4">
        <v>0</v>
      </c>
      <c r="H6" s="4">
        <v>-10228</v>
      </c>
      <c r="I6" s="4">
        <v>-23641.3</v>
      </c>
      <c r="J6" s="4">
        <v>-3832</v>
      </c>
      <c r="K6" s="4">
        <f>-8718.77-847572</f>
        <v>-856290.77</v>
      </c>
      <c r="L6" s="3">
        <f t="shared" ref="L6:M9" si="0">+B6+D6+F6+H6+J6</f>
        <v>-5864327</v>
      </c>
      <c r="M6" s="4">
        <f t="shared" si="0"/>
        <v>-14100716.07</v>
      </c>
    </row>
    <row r="7" spans="1:13" x14ac:dyDescent="0.2">
      <c r="A7" t="s">
        <v>12</v>
      </c>
      <c r="B7" s="3">
        <v>-63000</v>
      </c>
      <c r="C7" s="4">
        <v>-136177.82999999999</v>
      </c>
      <c r="D7" s="3"/>
      <c r="E7" s="4"/>
      <c r="F7" s="3"/>
      <c r="G7" s="4">
        <v>0</v>
      </c>
      <c r="H7" s="4"/>
      <c r="I7" s="4">
        <v>0</v>
      </c>
      <c r="J7" s="4"/>
      <c r="K7" s="4">
        <v>0</v>
      </c>
      <c r="L7" s="3">
        <f t="shared" si="0"/>
        <v>-63000</v>
      </c>
      <c r="M7" s="4">
        <f t="shared" si="0"/>
        <v>-136177.82999999999</v>
      </c>
    </row>
    <row r="8" spans="1:13" x14ac:dyDescent="0.2">
      <c r="A8" t="s">
        <v>13</v>
      </c>
      <c r="B8" s="3"/>
      <c r="C8" s="4"/>
      <c r="D8" s="3">
        <v>-518976</v>
      </c>
      <c r="E8" s="4">
        <v>-2337060</v>
      </c>
      <c r="F8" s="3"/>
      <c r="G8" s="4"/>
      <c r="H8" s="4">
        <v>14060</v>
      </c>
      <c r="I8" s="4">
        <v>63312.18</v>
      </c>
      <c r="J8" s="4"/>
      <c r="K8" s="4"/>
      <c r="L8" s="3">
        <f t="shared" si="0"/>
        <v>-504916</v>
      </c>
      <c r="M8" s="4">
        <f t="shared" si="0"/>
        <v>-2273747.8199999998</v>
      </c>
    </row>
    <row r="9" spans="1:13" x14ac:dyDescent="0.2">
      <c r="A9" t="s">
        <v>39</v>
      </c>
      <c r="B9" s="3"/>
      <c r="C9" s="4"/>
      <c r="D9" s="3"/>
      <c r="E9" s="4"/>
      <c r="F9" s="3"/>
      <c r="G9" s="4"/>
      <c r="H9" s="4"/>
      <c r="I9" s="4"/>
      <c r="J9" s="4"/>
      <c r="K9" s="4">
        <v>2311</v>
      </c>
      <c r="L9" s="3">
        <f t="shared" si="0"/>
        <v>0</v>
      </c>
      <c r="M9" s="4">
        <f t="shared" si="0"/>
        <v>2311</v>
      </c>
    </row>
    <row r="10" spans="1:13" x14ac:dyDescent="0.2">
      <c r="B10" s="3"/>
      <c r="C10" s="4"/>
      <c r="D10" s="3"/>
      <c r="E10" s="4"/>
      <c r="F10" s="3"/>
      <c r="G10" s="4"/>
      <c r="H10" s="4"/>
      <c r="I10" s="4"/>
      <c r="J10" s="4"/>
      <c r="K10" s="4"/>
      <c r="L10" s="3"/>
      <c r="M10" s="4"/>
    </row>
    <row r="11" spans="1:13" x14ac:dyDescent="0.2">
      <c r="A11" t="s">
        <v>9</v>
      </c>
      <c r="B11" s="3"/>
      <c r="C11" s="4"/>
      <c r="D11" s="3"/>
      <c r="E11" s="4"/>
      <c r="F11" s="3"/>
      <c r="G11" s="4"/>
      <c r="H11" s="4"/>
      <c r="I11" s="4"/>
      <c r="J11" s="4"/>
      <c r="K11" s="4"/>
      <c r="L11" s="3">
        <f>SUM(L6:L10)</f>
        <v>-6432243</v>
      </c>
      <c r="M11" s="4">
        <f>SUM(M6:M10)</f>
        <v>-16508330.720000001</v>
      </c>
    </row>
    <row r="13" spans="1:13" x14ac:dyDescent="0.2">
      <c r="A13" t="s">
        <v>38</v>
      </c>
    </row>
  </sheetData>
  <pageMargins left="0.75" right="0.75" top="1" bottom="1" header="0.5" footer="0.5"/>
  <pageSetup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"/>
  <sheetViews>
    <sheetView workbookViewId="0">
      <selection activeCell="D8" sqref="D8"/>
    </sheetView>
  </sheetViews>
  <sheetFormatPr defaultRowHeight="12.75" x14ac:dyDescent="0.2"/>
  <cols>
    <col min="1" max="1" width="21.7109375" customWidth="1"/>
    <col min="2" max="3" width="12.7109375" customWidth="1"/>
    <col min="4" max="4" width="11" customWidth="1"/>
    <col min="5" max="9" width="12.140625" customWidth="1"/>
    <col min="10" max="10" width="12.42578125" customWidth="1"/>
    <col min="11" max="11" width="12.85546875" customWidth="1"/>
  </cols>
  <sheetData>
    <row r="2" spans="1:11" ht="15" customHeight="1" x14ac:dyDescent="0.25">
      <c r="C2" s="2" t="s">
        <v>10</v>
      </c>
    </row>
    <row r="3" spans="1:11" ht="15" customHeight="1" x14ac:dyDescent="0.2"/>
    <row r="4" spans="1:11" ht="15" customHeight="1" x14ac:dyDescent="0.2">
      <c r="A4" s="1" t="s">
        <v>1</v>
      </c>
      <c r="B4" s="1" t="s">
        <v>3</v>
      </c>
      <c r="C4" s="1" t="s">
        <v>5</v>
      </c>
      <c r="D4" s="1" t="s">
        <v>4</v>
      </c>
      <c r="E4" s="1"/>
      <c r="F4" s="1" t="s">
        <v>28</v>
      </c>
      <c r="G4" s="1"/>
      <c r="H4" s="1" t="s">
        <v>30</v>
      </c>
      <c r="I4" s="1"/>
      <c r="J4" s="1" t="s">
        <v>9</v>
      </c>
      <c r="K4" s="1"/>
    </row>
    <row r="5" spans="1:11" x14ac:dyDescent="0.2">
      <c r="A5" s="1"/>
      <c r="B5" s="1" t="s">
        <v>8</v>
      </c>
      <c r="C5" s="1" t="s">
        <v>7</v>
      </c>
      <c r="D5" s="1" t="s">
        <v>8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  <c r="J5" s="1" t="s">
        <v>6</v>
      </c>
      <c r="K5" s="1" t="s">
        <v>7</v>
      </c>
    </row>
    <row r="6" spans="1:11" x14ac:dyDescent="0.2">
      <c r="A6" t="s">
        <v>11</v>
      </c>
      <c r="B6" s="3"/>
      <c r="C6" s="4"/>
      <c r="D6" s="3">
        <v>-2767625</v>
      </c>
      <c r="E6" s="4">
        <v>-6454445.0300000003</v>
      </c>
      <c r="F6" s="4">
        <v>205238</v>
      </c>
      <c r="G6" s="4">
        <v>463578.53</v>
      </c>
      <c r="H6" s="4"/>
      <c r="I6" s="4">
        <f>1844.92-146152</f>
        <v>-144307.07999999999</v>
      </c>
      <c r="J6" s="3">
        <f t="shared" ref="J6:K9" si="0">+B6+D6+F6+H6</f>
        <v>-2562387</v>
      </c>
      <c r="K6" s="4">
        <f t="shared" si="0"/>
        <v>-6135173.5800000001</v>
      </c>
    </row>
    <row r="7" spans="1:11" x14ac:dyDescent="0.2">
      <c r="A7" t="s">
        <v>12</v>
      </c>
      <c r="B7" s="3">
        <v>-140000</v>
      </c>
      <c r="C7" s="4">
        <v>-299275.48</v>
      </c>
      <c r="D7" s="3">
        <v>24160</v>
      </c>
      <c r="E7" s="4">
        <v>51702.400000000001</v>
      </c>
      <c r="F7" s="4"/>
      <c r="G7" s="4">
        <v>0</v>
      </c>
      <c r="H7" s="4"/>
      <c r="I7" s="4">
        <v>0</v>
      </c>
      <c r="J7" s="3">
        <f t="shared" si="0"/>
        <v>-115840</v>
      </c>
      <c r="K7" s="4">
        <f t="shared" si="0"/>
        <v>-247573.08</v>
      </c>
    </row>
    <row r="8" spans="1:11" x14ac:dyDescent="0.2">
      <c r="A8" t="s">
        <v>13</v>
      </c>
      <c r="B8" s="3"/>
      <c r="C8" s="4"/>
      <c r="D8" s="3">
        <v>-648954</v>
      </c>
      <c r="E8" s="4">
        <v>-2922379.12</v>
      </c>
      <c r="F8" s="4">
        <v>-205128</v>
      </c>
      <c r="G8" s="4">
        <v>-940484.69</v>
      </c>
      <c r="H8" s="4"/>
      <c r="I8" s="4"/>
      <c r="J8" s="3">
        <f t="shared" si="0"/>
        <v>-854082</v>
      </c>
      <c r="K8" s="4">
        <f t="shared" si="0"/>
        <v>-3862863.81</v>
      </c>
    </row>
    <row r="9" spans="1:11" x14ac:dyDescent="0.2">
      <c r="A9" t="s">
        <v>36</v>
      </c>
      <c r="B9" s="3"/>
      <c r="C9" s="4"/>
      <c r="D9" s="3"/>
      <c r="E9" s="4"/>
      <c r="F9" s="4"/>
      <c r="G9" s="4"/>
      <c r="H9" s="4"/>
      <c r="I9" s="4">
        <v>-120910</v>
      </c>
      <c r="J9" s="3">
        <f t="shared" si="0"/>
        <v>0</v>
      </c>
      <c r="K9" s="4">
        <f t="shared" si="0"/>
        <v>-120910</v>
      </c>
    </row>
    <row r="10" spans="1:11" x14ac:dyDescent="0.2">
      <c r="B10" s="3"/>
      <c r="C10" s="4"/>
      <c r="D10" s="3"/>
      <c r="E10" s="4"/>
      <c r="F10" s="4"/>
      <c r="G10" s="4"/>
      <c r="H10" s="4"/>
      <c r="I10" s="4"/>
      <c r="J10" s="3"/>
      <c r="K10" s="4"/>
    </row>
    <row r="11" spans="1:11" x14ac:dyDescent="0.2">
      <c r="A11" t="s">
        <v>9</v>
      </c>
      <c r="J11" s="5">
        <f>SUM(J6:J10)</f>
        <v>-3532309</v>
      </c>
      <c r="K11" s="6">
        <f>SUM(K6:K10)</f>
        <v>-10366520.470000001</v>
      </c>
    </row>
    <row r="13" spans="1:11" x14ac:dyDescent="0.2">
      <c r="A13" t="s">
        <v>37</v>
      </c>
    </row>
  </sheetData>
  <pageMargins left="0.75" right="0.75" top="1" bottom="1" header="0.5" footer="0.5"/>
  <pageSetup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4"/>
  <sheetViews>
    <sheetView workbookViewId="0">
      <selection activeCell="I11" sqref="I11"/>
    </sheetView>
  </sheetViews>
  <sheetFormatPr defaultRowHeight="12.75" x14ac:dyDescent="0.2"/>
  <cols>
    <col min="1" max="1" width="22" customWidth="1"/>
    <col min="3" max="3" width="12" customWidth="1"/>
    <col min="4" max="4" width="14.85546875" customWidth="1"/>
    <col min="5" max="5" width="13.5703125" customWidth="1"/>
    <col min="7" max="7" width="15.5703125" customWidth="1"/>
    <col min="8" max="9" width="16.5703125" customWidth="1"/>
  </cols>
  <sheetData>
    <row r="2" spans="1:9" ht="15.75" x14ac:dyDescent="0.25">
      <c r="C2" s="2" t="s">
        <v>32</v>
      </c>
    </row>
    <row r="4" spans="1:9" x14ac:dyDescent="0.2">
      <c r="A4" s="1" t="s">
        <v>1</v>
      </c>
      <c r="B4" s="1" t="s">
        <v>4</v>
      </c>
      <c r="C4" s="1" t="s">
        <v>5</v>
      </c>
      <c r="D4" s="1" t="s">
        <v>28</v>
      </c>
      <c r="E4" s="1"/>
      <c r="F4" s="1" t="s">
        <v>30</v>
      </c>
      <c r="G4" s="1"/>
      <c r="H4" s="1" t="s">
        <v>9</v>
      </c>
      <c r="I4" s="1"/>
    </row>
    <row r="5" spans="1:9" x14ac:dyDescent="0.2">
      <c r="A5" s="1"/>
      <c r="B5" s="1" t="s">
        <v>8</v>
      </c>
      <c r="C5" s="1" t="s">
        <v>7</v>
      </c>
      <c r="D5" s="1" t="s">
        <v>8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</row>
    <row r="6" spans="1:9" x14ac:dyDescent="0.2">
      <c r="A6" t="s">
        <v>11</v>
      </c>
      <c r="B6" s="3"/>
      <c r="C6" s="4"/>
      <c r="D6" s="3">
        <v>-2574630</v>
      </c>
      <c r="E6" s="4">
        <v>-5818535</v>
      </c>
      <c r="F6" s="4">
        <v>870</v>
      </c>
      <c r="G6" s="4">
        <f>3819.27-1428901</f>
        <v>-1425081.73</v>
      </c>
      <c r="H6" s="3">
        <f t="shared" ref="H6:I9" si="0">+B6+D6+F6</f>
        <v>-2573760</v>
      </c>
      <c r="I6" s="4">
        <f t="shared" si="0"/>
        <v>-7243616.7300000004</v>
      </c>
    </row>
    <row r="7" spans="1:9" x14ac:dyDescent="0.2">
      <c r="A7" t="s">
        <v>33</v>
      </c>
      <c r="B7" s="3"/>
      <c r="C7" s="4"/>
      <c r="D7" s="3">
        <v>-409770</v>
      </c>
      <c r="E7" s="4">
        <v>-927925.31</v>
      </c>
      <c r="F7" s="4"/>
      <c r="G7" s="4">
        <v>0</v>
      </c>
      <c r="H7" s="3">
        <f>+B7+D7+F7</f>
        <v>-409770</v>
      </c>
      <c r="I7" s="4">
        <f>+C7+E7+G7</f>
        <v>-927925.31</v>
      </c>
    </row>
    <row r="8" spans="1:9" x14ac:dyDescent="0.2">
      <c r="A8" t="s">
        <v>12</v>
      </c>
      <c r="B8" s="3"/>
      <c r="C8" s="4"/>
      <c r="D8" s="3"/>
      <c r="E8" s="4"/>
      <c r="F8" s="4"/>
      <c r="G8" s="4">
        <v>0</v>
      </c>
      <c r="H8" s="3">
        <f t="shared" si="0"/>
        <v>0</v>
      </c>
      <c r="I8" s="4">
        <f t="shared" si="0"/>
        <v>0</v>
      </c>
    </row>
    <row r="9" spans="1:9" x14ac:dyDescent="0.2">
      <c r="A9" t="s">
        <v>13</v>
      </c>
      <c r="B9" s="3"/>
      <c r="C9" s="4"/>
      <c r="D9" s="3"/>
      <c r="E9" s="4"/>
      <c r="F9" s="4"/>
      <c r="G9" s="4"/>
      <c r="H9" s="3">
        <f t="shared" si="0"/>
        <v>0</v>
      </c>
      <c r="I9" s="4">
        <f t="shared" si="0"/>
        <v>0</v>
      </c>
    </row>
    <row r="10" spans="1:9" x14ac:dyDescent="0.2">
      <c r="A10" t="s">
        <v>36</v>
      </c>
      <c r="B10" s="3"/>
      <c r="C10" s="4"/>
      <c r="D10" s="3"/>
      <c r="E10" s="4"/>
      <c r="F10" s="4"/>
      <c r="G10" s="4">
        <v>885543</v>
      </c>
      <c r="H10" s="3">
        <f>+B10+D10+F10</f>
        <v>0</v>
      </c>
      <c r="I10" s="4">
        <f>+C10+E10+G10</f>
        <v>885543</v>
      </c>
    </row>
    <row r="11" spans="1:9" x14ac:dyDescent="0.2">
      <c r="B11" s="3"/>
      <c r="C11" s="4"/>
      <c r="D11" s="3"/>
      <c r="E11" s="4"/>
      <c r="F11" s="4"/>
      <c r="G11" s="4"/>
      <c r="H11" s="3"/>
      <c r="I11" s="4"/>
    </row>
    <row r="12" spans="1:9" x14ac:dyDescent="0.2">
      <c r="A12" t="s">
        <v>9</v>
      </c>
      <c r="H12" s="5">
        <f>SUM(H6:H11)</f>
        <v>-2983530</v>
      </c>
      <c r="I12" s="6">
        <f>SUM(I6:I11)</f>
        <v>-7285999.040000001</v>
      </c>
    </row>
    <row r="14" spans="1:9" x14ac:dyDescent="0.2">
      <c r="A14" t="s">
        <v>34</v>
      </c>
    </row>
  </sheetData>
  <pageMargins left="0.75" right="0.75" top="1" bottom="1" header="0.5" footer="0.5"/>
  <pageSetup scale="95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0"/>
  <sheetViews>
    <sheetView tabSelected="1" workbookViewId="0">
      <selection activeCell="D12" sqref="D12"/>
    </sheetView>
  </sheetViews>
  <sheetFormatPr defaultRowHeight="12.75" x14ac:dyDescent="0.2"/>
  <cols>
    <col min="1" max="1" width="11.28515625" customWidth="1"/>
    <col min="2" max="2" width="14.7109375" customWidth="1"/>
    <col min="3" max="3" width="13.28515625" customWidth="1"/>
    <col min="4" max="4" width="14.140625" customWidth="1"/>
    <col min="5" max="5" width="13.140625" customWidth="1"/>
    <col min="6" max="6" width="15.42578125" bestFit="1" customWidth="1"/>
    <col min="7" max="7" width="11.42578125" customWidth="1"/>
    <col min="8" max="8" width="11.85546875" bestFit="1" customWidth="1"/>
    <col min="9" max="9" width="12.28515625" customWidth="1"/>
  </cols>
  <sheetData>
    <row r="2" spans="1:9" x14ac:dyDescent="0.2">
      <c r="C2" t="s">
        <v>14</v>
      </c>
    </row>
    <row r="4" spans="1:9" x14ac:dyDescent="0.2">
      <c r="A4" t="s">
        <v>15</v>
      </c>
      <c r="B4" t="s">
        <v>1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</row>
    <row r="5" spans="1:9" x14ac:dyDescent="0.2">
      <c r="A5">
        <v>9912</v>
      </c>
      <c r="B5" t="s">
        <v>23</v>
      </c>
      <c r="C5" s="3">
        <v>-5864327</v>
      </c>
      <c r="D5" s="4">
        <v>-14100716</v>
      </c>
      <c r="E5" s="3">
        <f>-11133135+10000+5782004</f>
        <v>-5341131</v>
      </c>
      <c r="F5" s="4">
        <f>-25278603.8+21100+12388086.8</f>
        <v>-12869417</v>
      </c>
      <c r="G5" s="3">
        <f t="shared" ref="G5:H11" si="0">+C5-E5</f>
        <v>-523196</v>
      </c>
      <c r="H5" s="4">
        <f t="shared" si="0"/>
        <v>-1231299</v>
      </c>
      <c r="I5" s="8">
        <f>(+(H5/G5)-2.047)*G5</f>
        <v>-160316.78799999985</v>
      </c>
    </row>
    <row r="6" spans="1:9" x14ac:dyDescent="0.2">
      <c r="B6" t="s">
        <v>24</v>
      </c>
      <c r="C6" s="3">
        <v>-63000</v>
      </c>
      <c r="D6" s="4">
        <f>-136177.83</f>
        <v>-136177.82999999999</v>
      </c>
      <c r="E6" s="3">
        <f>-53000+-10000</f>
        <v>-63000</v>
      </c>
      <c r="F6" s="4">
        <f>-111830+-21100</f>
        <v>-132930</v>
      </c>
      <c r="G6" s="3">
        <f t="shared" si="0"/>
        <v>0</v>
      </c>
      <c r="H6" s="4">
        <f t="shared" si="0"/>
        <v>-3247.8299999999872</v>
      </c>
      <c r="I6" s="8">
        <v>-3248</v>
      </c>
    </row>
    <row r="7" spans="1:9" x14ac:dyDescent="0.2">
      <c r="B7" t="s">
        <v>25</v>
      </c>
      <c r="C7" s="3">
        <v>-504916</v>
      </c>
      <c r="D7" s="4">
        <v>-2273748</v>
      </c>
      <c r="E7" s="3">
        <v>-504916</v>
      </c>
      <c r="F7" s="4">
        <v>-1165111.74</v>
      </c>
      <c r="G7" s="3">
        <f t="shared" si="0"/>
        <v>0</v>
      </c>
      <c r="H7" s="4">
        <f t="shared" si="0"/>
        <v>-1108636.26</v>
      </c>
      <c r="I7" s="8">
        <v>-1108636</v>
      </c>
    </row>
    <row r="8" spans="1:9" x14ac:dyDescent="0.2">
      <c r="B8" t="s">
        <v>40</v>
      </c>
      <c r="C8" s="3"/>
      <c r="D8" s="4">
        <v>2311</v>
      </c>
      <c r="E8" s="3"/>
      <c r="F8" s="4"/>
      <c r="G8" s="3"/>
      <c r="H8" s="4"/>
      <c r="I8" s="8">
        <v>2311</v>
      </c>
    </row>
    <row r="9" spans="1:9" x14ac:dyDescent="0.2">
      <c r="A9" s="7" t="s">
        <v>26</v>
      </c>
      <c r="B9" t="s">
        <v>23</v>
      </c>
      <c r="C9" s="3">
        <v>-2562387</v>
      </c>
      <c r="D9" s="4">
        <v>-6135174</v>
      </c>
      <c r="E9" s="3">
        <f>-9530174+3000000+3944159+3600000-3000000</f>
        <v>-1986015</v>
      </c>
      <c r="F9" s="4">
        <f>-22996865.66+6897909+9229332.06+9214000-6975000</f>
        <v>-4630624.5999999996</v>
      </c>
      <c r="G9" s="3">
        <f t="shared" si="0"/>
        <v>-576372</v>
      </c>
      <c r="H9" s="4">
        <f t="shared" si="0"/>
        <v>-1504549.4000000004</v>
      </c>
      <c r="I9" s="8">
        <f>(+(H9/G9)-2.273)*G9</f>
        <v>-194455.84400000024</v>
      </c>
    </row>
    <row r="10" spans="1:9" x14ac:dyDescent="0.2">
      <c r="B10" t="s">
        <v>24</v>
      </c>
      <c r="C10" s="3">
        <v>-115840</v>
      </c>
      <c r="D10" s="4">
        <v>-247573</v>
      </c>
      <c r="E10" s="3">
        <v>-50000</v>
      </c>
      <c r="F10" s="4">
        <v>-128440</v>
      </c>
      <c r="G10" s="3">
        <f t="shared" si="0"/>
        <v>-65840</v>
      </c>
      <c r="H10" s="4">
        <f t="shared" si="0"/>
        <v>-119133</v>
      </c>
      <c r="I10" s="8">
        <f>(+(H10/G10)-2.273)*G10</f>
        <v>30521.320000000003</v>
      </c>
    </row>
    <row r="11" spans="1:9" x14ac:dyDescent="0.2">
      <c r="B11" t="s">
        <v>25</v>
      </c>
      <c r="C11" s="3">
        <v>-854082</v>
      </c>
      <c r="D11" s="4">
        <v>-3862864</v>
      </c>
      <c r="E11" s="3">
        <v>-854082</v>
      </c>
      <c r="F11" s="4">
        <v>-1974467.45</v>
      </c>
      <c r="G11" s="3">
        <f t="shared" si="0"/>
        <v>0</v>
      </c>
      <c r="H11" s="4">
        <f t="shared" si="0"/>
        <v>-1888396.55</v>
      </c>
      <c r="I11" s="8">
        <v>-1888397</v>
      </c>
    </row>
    <row r="12" spans="1:9" x14ac:dyDescent="0.2">
      <c r="B12" t="s">
        <v>40</v>
      </c>
      <c r="C12" s="3"/>
      <c r="D12" s="4">
        <v>-120910</v>
      </c>
      <c r="E12" s="3"/>
      <c r="F12" s="4"/>
      <c r="G12" s="3"/>
      <c r="H12" s="4"/>
      <c r="I12" s="8">
        <v>-120910</v>
      </c>
    </row>
    <row r="13" spans="1:9" x14ac:dyDescent="0.2">
      <c r="A13" s="7" t="s">
        <v>35</v>
      </c>
      <c r="B13" t="s">
        <v>23</v>
      </c>
      <c r="C13" s="3">
        <f>-2573760-409770</f>
        <v>-2983530</v>
      </c>
      <c r="D13" s="4">
        <f>-7243617-927925</f>
        <v>-8171542</v>
      </c>
      <c r="E13" s="3">
        <v>-2920412</v>
      </c>
      <c r="F13" s="4">
        <v>-7999269</v>
      </c>
      <c r="G13" s="3">
        <f t="shared" ref="G13:H15" si="1">+C13-E13</f>
        <v>-63118</v>
      </c>
      <c r="H13" s="4">
        <f t="shared" si="1"/>
        <v>-172273</v>
      </c>
      <c r="I13" s="8">
        <f>(+(H13/G13)-2.516)*G13</f>
        <v>-13468.111999999985</v>
      </c>
    </row>
    <row r="14" spans="1:9" x14ac:dyDescent="0.2">
      <c r="B14" t="s">
        <v>24</v>
      </c>
      <c r="C14" s="3">
        <v>0</v>
      </c>
      <c r="D14" s="4">
        <v>0</v>
      </c>
      <c r="E14" s="3">
        <v>0</v>
      </c>
      <c r="F14" s="4">
        <v>0</v>
      </c>
      <c r="G14" s="3">
        <f t="shared" si="1"/>
        <v>0</v>
      </c>
      <c r="H14" s="4">
        <f t="shared" si="1"/>
        <v>0</v>
      </c>
      <c r="I14" s="8">
        <v>0</v>
      </c>
    </row>
    <row r="15" spans="1:9" x14ac:dyDescent="0.2">
      <c r="B15" t="s">
        <v>25</v>
      </c>
      <c r="C15" s="3">
        <v>0</v>
      </c>
      <c r="D15" s="4">
        <v>0</v>
      </c>
      <c r="E15" s="3">
        <v>0</v>
      </c>
      <c r="F15" s="4">
        <v>0</v>
      </c>
      <c r="G15" s="3">
        <f t="shared" si="1"/>
        <v>0</v>
      </c>
      <c r="H15" s="4">
        <f t="shared" si="1"/>
        <v>0</v>
      </c>
      <c r="I15" s="8">
        <v>0</v>
      </c>
    </row>
    <row r="16" spans="1:9" x14ac:dyDescent="0.2">
      <c r="B16" t="s">
        <v>40</v>
      </c>
      <c r="D16">
        <v>885543</v>
      </c>
      <c r="I16" s="8">
        <v>885543</v>
      </c>
    </row>
    <row r="18" spans="1:9" x14ac:dyDescent="0.2">
      <c r="A18" t="s">
        <v>9</v>
      </c>
      <c r="I18" s="6">
        <f>SUM(I5:I17)</f>
        <v>-2571056.4240000001</v>
      </c>
    </row>
    <row r="20" spans="1:9" x14ac:dyDescent="0.2">
      <c r="A20" t="s">
        <v>29</v>
      </c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9911</vt:lpstr>
      <vt:lpstr>9912</vt:lpstr>
      <vt:lpstr>0001</vt:lpstr>
      <vt:lpstr>0002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2000-05-19T13:37:08Z</cp:lastPrinted>
  <dcterms:created xsi:type="dcterms:W3CDTF">2000-03-27T21:24:42Z</dcterms:created>
  <dcterms:modified xsi:type="dcterms:W3CDTF">2014-09-04T08:00:18Z</dcterms:modified>
</cp:coreProperties>
</file>