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450" windowWidth="13740" windowHeight="8190" activeTab="2"/>
  </bookViews>
  <sheets>
    <sheet name="Sheet1" sheetId="1" r:id="rId1"/>
    <sheet name="Sheet1 (3)" sheetId="4" r:id="rId2"/>
    <sheet name="Sheet1 (2)" sheetId="3" r:id="rId3"/>
    <sheet name="Sheet2" sheetId="5" r:id="rId4"/>
  </sheets>
  <externalReferences>
    <externalReference r:id="rId5"/>
    <externalReference r:id="rId6"/>
  </externalReferences>
  <definedNames>
    <definedName name="_xlnm.Print_Area" localSheetId="0">Sheet1!$A$24:$AA$56</definedName>
    <definedName name="_xlnm.Print_Area" localSheetId="1">'Sheet1 (3)'!$A$24:$AA$56</definedName>
  </definedNames>
  <calcPr calcId="92512" calcMode="manual" iterate="1" iterateCount="1" calcCompleted="0" calcOnSave="0"/>
</workbook>
</file>

<file path=xl/calcChain.xml><?xml version="1.0" encoding="utf-8"?>
<calcChain xmlns="http://schemas.openxmlformats.org/spreadsheetml/2006/main">
  <c r="B7" i="1" l="1"/>
  <c r="F7" i="1"/>
  <c r="H7" i="1"/>
  <c r="J7" i="1"/>
  <c r="K7" i="1"/>
  <c r="N7" i="1"/>
  <c r="Q7" i="1"/>
  <c r="B8" i="1"/>
  <c r="F8" i="1"/>
  <c r="H8" i="1"/>
  <c r="J8" i="1"/>
  <c r="K8" i="1"/>
  <c r="N8" i="1"/>
  <c r="Q8" i="1"/>
  <c r="B9" i="1"/>
  <c r="F9" i="1"/>
  <c r="H9" i="1"/>
  <c r="J9" i="1"/>
  <c r="K9" i="1"/>
  <c r="N9" i="1"/>
  <c r="Q9" i="1"/>
  <c r="B10" i="1"/>
  <c r="F10" i="1"/>
  <c r="H10" i="1"/>
  <c r="J10" i="1"/>
  <c r="K10" i="1"/>
  <c r="N10" i="1"/>
  <c r="Q10" i="1"/>
  <c r="B11" i="1"/>
  <c r="F11" i="1"/>
  <c r="G11" i="1"/>
  <c r="H11" i="1"/>
  <c r="J11" i="1"/>
  <c r="K11" i="1"/>
  <c r="N11" i="1"/>
  <c r="Q11" i="1"/>
  <c r="B12" i="1"/>
  <c r="F12" i="1"/>
  <c r="H12" i="1"/>
  <c r="J12" i="1"/>
  <c r="K12" i="1"/>
  <c r="N12" i="1"/>
  <c r="Q12" i="1"/>
  <c r="B13" i="1"/>
  <c r="D13" i="1"/>
  <c r="F13" i="1"/>
  <c r="G13" i="1"/>
  <c r="H13" i="1"/>
  <c r="J13" i="1"/>
  <c r="K13" i="1"/>
  <c r="Q13" i="1"/>
  <c r="B14" i="1"/>
  <c r="D14" i="1"/>
  <c r="F14" i="1"/>
  <c r="G14" i="1"/>
  <c r="H14" i="1"/>
  <c r="J14" i="1"/>
  <c r="K14" i="1"/>
  <c r="B15" i="1"/>
  <c r="D15" i="1"/>
  <c r="G15" i="1"/>
  <c r="H15" i="1"/>
  <c r="J15" i="1"/>
  <c r="K15" i="1"/>
  <c r="B16" i="1"/>
  <c r="D16" i="1"/>
  <c r="G16" i="1"/>
  <c r="H16" i="1"/>
  <c r="J16" i="1"/>
  <c r="K16" i="1"/>
  <c r="B17" i="1"/>
  <c r="D17" i="1"/>
  <c r="G17" i="1"/>
  <c r="H17" i="1"/>
  <c r="J17" i="1"/>
  <c r="K17" i="1"/>
  <c r="B18" i="1"/>
  <c r="D18" i="1"/>
  <c r="G18" i="1"/>
  <c r="H18" i="1"/>
  <c r="J18" i="1"/>
  <c r="K18" i="1"/>
  <c r="B19" i="1"/>
  <c r="D19" i="1"/>
  <c r="G19" i="1"/>
  <c r="H19" i="1"/>
  <c r="J19" i="1"/>
  <c r="K19" i="1"/>
  <c r="D21" i="1"/>
  <c r="E21" i="1"/>
  <c r="H21" i="1"/>
  <c r="J21" i="1"/>
  <c r="K21" i="1"/>
  <c r="B30" i="1"/>
  <c r="F30" i="1"/>
  <c r="H30" i="1"/>
  <c r="O30" i="1"/>
  <c r="R30" i="1"/>
  <c r="S30" i="1"/>
  <c r="V30" i="1"/>
  <c r="W30" i="1"/>
  <c r="X30" i="1"/>
  <c r="Y30" i="1"/>
  <c r="Z30" i="1"/>
  <c r="AA30" i="1"/>
  <c r="B31" i="1"/>
  <c r="D31" i="1"/>
  <c r="F31" i="1"/>
  <c r="H31" i="1"/>
  <c r="O31" i="1"/>
  <c r="R31" i="1"/>
  <c r="S31" i="1"/>
  <c r="V31" i="1"/>
  <c r="W31" i="1"/>
  <c r="X31" i="1"/>
  <c r="Y31" i="1"/>
  <c r="Z31" i="1"/>
  <c r="AA31" i="1"/>
  <c r="B32" i="1"/>
  <c r="D32" i="1"/>
  <c r="F32" i="1"/>
  <c r="H32" i="1"/>
  <c r="O32" i="1"/>
  <c r="R32" i="1"/>
  <c r="S32" i="1"/>
  <c r="V32" i="1"/>
  <c r="W32" i="1"/>
  <c r="X32" i="1"/>
  <c r="Y32" i="1"/>
  <c r="Z32" i="1"/>
  <c r="AA32" i="1"/>
  <c r="B33" i="1"/>
  <c r="D33" i="1"/>
  <c r="F33" i="1"/>
  <c r="H33" i="1"/>
  <c r="O33" i="1"/>
  <c r="R33" i="1"/>
  <c r="S33" i="1"/>
  <c r="V33" i="1"/>
  <c r="W33" i="1"/>
  <c r="X33" i="1"/>
  <c r="Y33" i="1"/>
  <c r="Z33" i="1"/>
  <c r="AA33" i="1"/>
  <c r="B34" i="1"/>
  <c r="D34" i="1"/>
  <c r="F34" i="1"/>
  <c r="H34" i="1"/>
  <c r="O34" i="1"/>
  <c r="R34" i="1"/>
  <c r="S34" i="1"/>
  <c r="V34" i="1"/>
  <c r="W34" i="1"/>
  <c r="X34" i="1"/>
  <c r="Y34" i="1"/>
  <c r="Z34" i="1"/>
  <c r="AA34" i="1"/>
  <c r="B35" i="1"/>
  <c r="D35" i="1"/>
  <c r="F35" i="1"/>
  <c r="H35" i="1"/>
  <c r="O35" i="1"/>
  <c r="R35" i="1"/>
  <c r="S35" i="1"/>
  <c r="V35" i="1"/>
  <c r="W35" i="1"/>
  <c r="X35" i="1"/>
  <c r="Y35" i="1"/>
  <c r="Z35" i="1"/>
  <c r="AA35" i="1"/>
  <c r="B36" i="1"/>
  <c r="F36" i="1"/>
  <c r="H36" i="1"/>
  <c r="O36" i="1"/>
  <c r="R36" i="1"/>
  <c r="S36" i="1"/>
  <c r="V36" i="1"/>
  <c r="W36" i="1"/>
  <c r="X36" i="1"/>
  <c r="Y36" i="1"/>
  <c r="Z36" i="1"/>
  <c r="AA36" i="1"/>
  <c r="B37" i="1"/>
  <c r="F37" i="1"/>
  <c r="H37" i="1"/>
  <c r="O37" i="1"/>
  <c r="R37" i="1"/>
  <c r="S37" i="1"/>
  <c r="V37" i="1"/>
  <c r="W37" i="1"/>
  <c r="X37" i="1"/>
  <c r="Y37" i="1"/>
  <c r="Z37" i="1"/>
  <c r="AA37" i="1"/>
  <c r="B38" i="1"/>
  <c r="F38" i="1"/>
  <c r="H38" i="1"/>
  <c r="O38" i="1"/>
  <c r="R38" i="1"/>
  <c r="S38" i="1"/>
  <c r="V38" i="1"/>
  <c r="W38" i="1"/>
  <c r="X38" i="1"/>
  <c r="Y38" i="1"/>
  <c r="Z38" i="1"/>
  <c r="AA38" i="1"/>
  <c r="B39" i="1"/>
  <c r="F39" i="1"/>
  <c r="H39" i="1"/>
  <c r="N39" i="1"/>
  <c r="O39" i="1"/>
  <c r="R39" i="1"/>
  <c r="S39" i="1"/>
  <c r="V39" i="1"/>
  <c r="W39" i="1"/>
  <c r="X39" i="1"/>
  <c r="Y39" i="1"/>
  <c r="Z39" i="1"/>
  <c r="AA39" i="1"/>
  <c r="B40" i="1"/>
  <c r="F40" i="1"/>
  <c r="H40" i="1"/>
  <c r="O40" i="1"/>
  <c r="R40" i="1"/>
  <c r="S40" i="1"/>
  <c r="V40" i="1"/>
  <c r="W40" i="1"/>
  <c r="X40" i="1"/>
  <c r="Y40" i="1"/>
  <c r="Z40" i="1"/>
  <c r="AA40" i="1"/>
  <c r="B41" i="1"/>
  <c r="F41" i="1"/>
  <c r="H41" i="1"/>
  <c r="O41" i="1"/>
  <c r="R41" i="1"/>
  <c r="S41" i="1"/>
  <c r="V41" i="1"/>
  <c r="W41" i="1"/>
  <c r="X41" i="1"/>
  <c r="Y41" i="1"/>
  <c r="Z41" i="1"/>
  <c r="AA41" i="1"/>
  <c r="B42" i="1"/>
  <c r="F42" i="1"/>
  <c r="H42" i="1"/>
  <c r="O42" i="1"/>
  <c r="R42" i="1"/>
  <c r="S42" i="1"/>
  <c r="V42" i="1"/>
  <c r="W42" i="1"/>
  <c r="X42" i="1"/>
  <c r="Y42" i="1"/>
  <c r="Z42" i="1"/>
  <c r="AA42" i="1"/>
  <c r="O43" i="1"/>
  <c r="R43" i="1"/>
  <c r="S43" i="1"/>
  <c r="V43" i="1"/>
  <c r="W43" i="1"/>
  <c r="X43" i="1"/>
  <c r="Y43" i="1"/>
  <c r="Z43" i="1"/>
  <c r="AA43" i="1"/>
  <c r="O44" i="1"/>
  <c r="R44" i="1"/>
  <c r="S44" i="1"/>
  <c r="V44" i="1"/>
  <c r="W44" i="1"/>
  <c r="X44" i="1"/>
  <c r="Y44" i="1"/>
  <c r="Z44" i="1"/>
  <c r="AA44" i="1"/>
  <c r="O45" i="1"/>
  <c r="R45" i="1"/>
  <c r="S45" i="1"/>
  <c r="V45" i="1"/>
  <c r="W45" i="1"/>
  <c r="X45" i="1"/>
  <c r="Y45" i="1"/>
  <c r="Z45" i="1"/>
  <c r="AA45" i="1"/>
  <c r="O46" i="1"/>
  <c r="R46" i="1"/>
  <c r="S46" i="1"/>
  <c r="V46" i="1"/>
  <c r="W46" i="1"/>
  <c r="X46" i="1"/>
  <c r="Y46" i="1"/>
  <c r="Z46" i="1"/>
  <c r="AA46" i="1"/>
  <c r="O47" i="1"/>
  <c r="R47" i="1"/>
  <c r="S47" i="1"/>
  <c r="V47" i="1"/>
  <c r="W47" i="1"/>
  <c r="X47" i="1"/>
  <c r="Y47" i="1"/>
  <c r="Z47" i="1"/>
  <c r="AA47" i="1"/>
  <c r="O48" i="1"/>
  <c r="R48" i="1"/>
  <c r="S48" i="1"/>
  <c r="V48" i="1"/>
  <c r="W48" i="1"/>
  <c r="X48" i="1"/>
  <c r="Y48" i="1"/>
  <c r="Z48" i="1"/>
  <c r="AA48" i="1"/>
  <c r="O49" i="1"/>
  <c r="R49" i="1"/>
  <c r="S49" i="1"/>
  <c r="V49" i="1"/>
  <c r="W49" i="1"/>
  <c r="X49" i="1"/>
  <c r="Y49" i="1"/>
  <c r="Z49" i="1"/>
  <c r="AA49" i="1"/>
  <c r="O50" i="1"/>
  <c r="R50" i="1"/>
  <c r="S50" i="1"/>
  <c r="V50" i="1"/>
  <c r="W50" i="1"/>
  <c r="X50" i="1"/>
  <c r="Y50" i="1"/>
  <c r="Z50" i="1"/>
  <c r="AA50" i="1"/>
  <c r="O51" i="1"/>
  <c r="R51" i="1"/>
  <c r="S51" i="1"/>
  <c r="V51" i="1"/>
  <c r="W51" i="1"/>
  <c r="X51" i="1"/>
  <c r="Y51" i="1"/>
  <c r="Z51" i="1"/>
  <c r="AA51" i="1"/>
  <c r="O52" i="1"/>
  <c r="R52" i="1"/>
  <c r="S52" i="1"/>
  <c r="V52" i="1"/>
  <c r="W52" i="1"/>
  <c r="X52" i="1"/>
  <c r="Y52" i="1"/>
  <c r="Z52" i="1"/>
  <c r="AA52" i="1"/>
  <c r="O53" i="1"/>
  <c r="R53" i="1"/>
  <c r="S53" i="1"/>
  <c r="V53" i="1"/>
  <c r="W53" i="1"/>
  <c r="X53" i="1"/>
  <c r="Y53" i="1"/>
  <c r="Z53" i="1"/>
  <c r="AA53" i="1"/>
  <c r="N54" i="1"/>
  <c r="O54" i="1"/>
  <c r="R54" i="1"/>
  <c r="S54" i="1"/>
  <c r="V54" i="1"/>
  <c r="W54" i="1"/>
  <c r="X54" i="1"/>
  <c r="Y54" i="1"/>
  <c r="Z54" i="1"/>
  <c r="AA54" i="1"/>
  <c r="F56" i="1"/>
  <c r="R56" i="1"/>
  <c r="Z56" i="1"/>
  <c r="F58" i="1"/>
  <c r="B5" i="3"/>
  <c r="C5" i="3"/>
  <c r="D5" i="3"/>
  <c r="E5" i="3"/>
  <c r="F5" i="3"/>
  <c r="G5" i="3"/>
  <c r="H5" i="3"/>
  <c r="I5" i="3"/>
  <c r="J5" i="3"/>
  <c r="L5" i="3"/>
  <c r="P5" i="3"/>
  <c r="R5" i="3"/>
  <c r="S5" i="3"/>
  <c r="B6" i="3"/>
  <c r="C6" i="3"/>
  <c r="D6" i="3"/>
  <c r="E6" i="3"/>
  <c r="F6" i="3"/>
  <c r="G6" i="3"/>
  <c r="H6" i="3"/>
  <c r="I6" i="3"/>
  <c r="J6" i="3"/>
  <c r="L6" i="3"/>
  <c r="P6" i="3"/>
  <c r="R6" i="3"/>
  <c r="S6" i="3"/>
  <c r="B7" i="3"/>
  <c r="C7" i="3"/>
  <c r="D7" i="3"/>
  <c r="E7" i="3"/>
  <c r="F7" i="3"/>
  <c r="G7" i="3"/>
  <c r="H7" i="3"/>
  <c r="I7" i="3"/>
  <c r="J7" i="3"/>
  <c r="L7" i="3"/>
  <c r="N7" i="3"/>
  <c r="P7" i="3"/>
  <c r="R7" i="3"/>
  <c r="S7" i="3"/>
  <c r="B8" i="3"/>
  <c r="C8" i="3"/>
  <c r="D8" i="3"/>
  <c r="E8" i="3"/>
  <c r="F8" i="3"/>
  <c r="G8" i="3"/>
  <c r="H8" i="3"/>
  <c r="I8" i="3"/>
  <c r="J8" i="3"/>
  <c r="L8" i="3"/>
  <c r="N8" i="3"/>
  <c r="P8" i="3"/>
  <c r="R8" i="3"/>
  <c r="S8" i="3"/>
  <c r="B9" i="3"/>
  <c r="C9" i="3"/>
  <c r="D9" i="3"/>
  <c r="E9" i="3"/>
  <c r="F9" i="3"/>
  <c r="G9" i="3"/>
  <c r="H9" i="3"/>
  <c r="I9" i="3"/>
  <c r="J9" i="3"/>
  <c r="L9" i="3"/>
  <c r="N9" i="3"/>
  <c r="P9" i="3"/>
  <c r="R9" i="3"/>
  <c r="S9" i="3"/>
  <c r="B10" i="3"/>
  <c r="C10" i="3"/>
  <c r="D10" i="3"/>
  <c r="E10" i="3"/>
  <c r="F10" i="3"/>
  <c r="G10" i="3"/>
  <c r="H10" i="3"/>
  <c r="I10" i="3"/>
  <c r="J10" i="3"/>
  <c r="L10" i="3"/>
  <c r="N10" i="3"/>
  <c r="P10" i="3"/>
  <c r="R10" i="3"/>
  <c r="S10" i="3"/>
  <c r="B11" i="3"/>
  <c r="C11" i="3"/>
  <c r="D11" i="3"/>
  <c r="E11" i="3"/>
  <c r="F11" i="3"/>
  <c r="G11" i="3"/>
  <c r="H11" i="3"/>
  <c r="I11" i="3"/>
  <c r="J11" i="3"/>
  <c r="L11" i="3"/>
  <c r="N11" i="3"/>
  <c r="P11" i="3"/>
  <c r="R11" i="3"/>
  <c r="S11" i="3"/>
  <c r="B13" i="3"/>
  <c r="C13" i="3"/>
  <c r="D13" i="3"/>
  <c r="E13" i="3"/>
  <c r="F13" i="3"/>
  <c r="G13" i="3"/>
  <c r="H13" i="3"/>
  <c r="I13" i="3"/>
  <c r="J13" i="3"/>
  <c r="N13" i="3"/>
  <c r="O13" i="3"/>
  <c r="D17" i="3"/>
  <c r="G17" i="3"/>
  <c r="H17" i="3"/>
  <c r="I17" i="3"/>
  <c r="J17" i="3"/>
  <c r="D18" i="3"/>
  <c r="G18" i="3"/>
  <c r="H18" i="3"/>
  <c r="I18" i="3"/>
  <c r="J18" i="3"/>
  <c r="R18" i="3"/>
  <c r="S18" i="3"/>
  <c r="T18" i="3"/>
  <c r="D19" i="3"/>
  <c r="G19" i="3"/>
  <c r="H19" i="3"/>
  <c r="I19" i="3"/>
  <c r="J19" i="3"/>
  <c r="D20" i="3"/>
  <c r="G20" i="3"/>
  <c r="H20" i="3"/>
  <c r="I20" i="3"/>
  <c r="J20" i="3"/>
  <c r="T20" i="3"/>
  <c r="D21" i="3"/>
  <c r="G21" i="3"/>
  <c r="H21" i="3"/>
  <c r="I21" i="3"/>
  <c r="J21" i="3"/>
  <c r="D22" i="3"/>
  <c r="G22" i="3"/>
  <c r="H22" i="3"/>
  <c r="I22" i="3"/>
  <c r="J22" i="3"/>
  <c r="D23" i="3"/>
  <c r="G23" i="3"/>
  <c r="H23" i="3"/>
  <c r="I23" i="3"/>
  <c r="J23" i="3"/>
  <c r="P23" i="3"/>
  <c r="B25" i="3"/>
  <c r="C25" i="3"/>
  <c r="D25" i="3"/>
  <c r="E25" i="3"/>
  <c r="F25" i="3"/>
  <c r="G25" i="3"/>
  <c r="H25" i="3"/>
  <c r="I25" i="3"/>
  <c r="J25" i="3"/>
  <c r="P25" i="3"/>
  <c r="B29" i="3"/>
  <c r="C29" i="3"/>
  <c r="E29" i="3"/>
  <c r="F29" i="3"/>
  <c r="H29" i="3"/>
  <c r="J29" i="3"/>
  <c r="L29" i="3"/>
  <c r="B30" i="3"/>
  <c r="C30" i="3"/>
  <c r="E30" i="3"/>
  <c r="F30" i="3"/>
  <c r="H30" i="3"/>
  <c r="J30" i="3"/>
  <c r="L30" i="3"/>
  <c r="B31" i="3"/>
  <c r="C31" i="3"/>
  <c r="E31" i="3"/>
  <c r="F31" i="3"/>
  <c r="H31" i="3"/>
  <c r="J31" i="3"/>
  <c r="L31" i="3"/>
  <c r="B32" i="3"/>
  <c r="C32" i="3"/>
  <c r="E32" i="3"/>
  <c r="F32" i="3"/>
  <c r="H32" i="3"/>
  <c r="J32" i="3"/>
  <c r="L32" i="3"/>
  <c r="B33" i="3"/>
  <c r="C33" i="3"/>
  <c r="E33" i="3"/>
  <c r="F33" i="3"/>
  <c r="H33" i="3"/>
  <c r="J33" i="3"/>
  <c r="L33" i="3"/>
  <c r="B34" i="3"/>
  <c r="C34" i="3"/>
  <c r="E34" i="3"/>
  <c r="F34" i="3"/>
  <c r="H34" i="3"/>
  <c r="J34" i="3"/>
  <c r="L34" i="3"/>
  <c r="B35" i="3"/>
  <c r="C35" i="3"/>
  <c r="E35" i="3"/>
  <c r="F35" i="3"/>
  <c r="H35" i="3"/>
  <c r="J35" i="3"/>
  <c r="L35" i="3"/>
  <c r="B37" i="3"/>
  <c r="C37" i="3"/>
  <c r="D37" i="3"/>
  <c r="E37" i="3"/>
  <c r="F37" i="3"/>
  <c r="G37" i="3"/>
  <c r="H37" i="3"/>
  <c r="I37" i="3"/>
  <c r="J37" i="3"/>
  <c r="B7" i="4"/>
  <c r="F7" i="4"/>
  <c r="H7" i="4"/>
  <c r="J7" i="4"/>
  <c r="K7" i="4"/>
  <c r="N7" i="4"/>
  <c r="Q7" i="4"/>
  <c r="B8" i="4"/>
  <c r="F8" i="4"/>
  <c r="H8" i="4"/>
  <c r="J8" i="4"/>
  <c r="K8" i="4"/>
  <c r="N8" i="4"/>
  <c r="Q8" i="4"/>
  <c r="B9" i="4"/>
  <c r="F9" i="4"/>
  <c r="H9" i="4"/>
  <c r="J9" i="4"/>
  <c r="K9" i="4"/>
  <c r="N9" i="4"/>
  <c r="Q9" i="4"/>
  <c r="B10" i="4"/>
  <c r="F10" i="4"/>
  <c r="H10" i="4"/>
  <c r="J10" i="4"/>
  <c r="K10" i="4"/>
  <c r="N10" i="4"/>
  <c r="Q10" i="4"/>
  <c r="B11" i="4"/>
  <c r="F11" i="4"/>
  <c r="G11" i="4"/>
  <c r="H11" i="4"/>
  <c r="J11" i="4"/>
  <c r="K11" i="4"/>
  <c r="N11" i="4"/>
  <c r="Q11" i="4"/>
  <c r="B12" i="4"/>
  <c r="F12" i="4"/>
  <c r="H12" i="4"/>
  <c r="J12" i="4"/>
  <c r="K12" i="4"/>
  <c r="N12" i="4"/>
  <c r="Q12" i="4"/>
  <c r="B13" i="4"/>
  <c r="D13" i="4"/>
  <c r="F13" i="4"/>
  <c r="G13" i="4"/>
  <c r="H13" i="4"/>
  <c r="J13" i="4"/>
  <c r="K13" i="4"/>
  <c r="Q13" i="4"/>
  <c r="B14" i="4"/>
  <c r="D14" i="4"/>
  <c r="F14" i="4"/>
  <c r="G14" i="4"/>
  <c r="H14" i="4"/>
  <c r="J14" i="4"/>
  <c r="K14" i="4"/>
  <c r="B15" i="4"/>
  <c r="D15" i="4"/>
  <c r="G15" i="4"/>
  <c r="H15" i="4"/>
  <c r="J15" i="4"/>
  <c r="K15" i="4"/>
  <c r="B16" i="4"/>
  <c r="D16" i="4"/>
  <c r="G16" i="4"/>
  <c r="H16" i="4"/>
  <c r="J16" i="4"/>
  <c r="K16" i="4"/>
  <c r="B17" i="4"/>
  <c r="D17" i="4"/>
  <c r="G17" i="4"/>
  <c r="H17" i="4"/>
  <c r="J17" i="4"/>
  <c r="K17" i="4"/>
  <c r="B18" i="4"/>
  <c r="D18" i="4"/>
  <c r="G18" i="4"/>
  <c r="H18" i="4"/>
  <c r="J18" i="4"/>
  <c r="K18" i="4"/>
  <c r="B19" i="4"/>
  <c r="D19" i="4"/>
  <c r="G19" i="4"/>
  <c r="H19" i="4"/>
  <c r="J19" i="4"/>
  <c r="K19" i="4"/>
  <c r="D21" i="4"/>
  <c r="E21" i="4"/>
  <c r="H21" i="4"/>
  <c r="J21" i="4"/>
  <c r="K21" i="4"/>
  <c r="C30" i="4"/>
  <c r="F30" i="4"/>
  <c r="H30" i="4"/>
  <c r="O30" i="4"/>
  <c r="R30" i="4"/>
  <c r="S30" i="4"/>
  <c r="V30" i="4"/>
  <c r="W30" i="4"/>
  <c r="X30" i="4"/>
  <c r="Y30" i="4"/>
  <c r="Z30" i="4"/>
  <c r="AA30" i="4"/>
  <c r="C31" i="4"/>
  <c r="F31" i="4"/>
  <c r="H31" i="4"/>
  <c r="O31" i="4"/>
  <c r="R31" i="4"/>
  <c r="S31" i="4"/>
  <c r="V31" i="4"/>
  <c r="W31" i="4"/>
  <c r="X31" i="4"/>
  <c r="Y31" i="4"/>
  <c r="Z31" i="4"/>
  <c r="AA31" i="4"/>
  <c r="C32" i="4"/>
  <c r="F32" i="4"/>
  <c r="H32" i="4"/>
  <c r="O32" i="4"/>
  <c r="R32" i="4"/>
  <c r="S32" i="4"/>
  <c r="V32" i="4"/>
  <c r="W32" i="4"/>
  <c r="X32" i="4"/>
  <c r="Y32" i="4"/>
  <c r="Z32" i="4"/>
  <c r="AA32" i="4"/>
  <c r="C33" i="4"/>
  <c r="F33" i="4"/>
  <c r="H33" i="4"/>
  <c r="O33" i="4"/>
  <c r="R33" i="4"/>
  <c r="S33" i="4"/>
  <c r="V33" i="4"/>
  <c r="W33" i="4"/>
  <c r="X33" i="4"/>
  <c r="Y33" i="4"/>
  <c r="Z33" i="4"/>
  <c r="AA33" i="4"/>
  <c r="C34" i="4"/>
  <c r="F34" i="4"/>
  <c r="H34" i="4"/>
  <c r="O34" i="4"/>
  <c r="R34" i="4"/>
  <c r="S34" i="4"/>
  <c r="V34" i="4"/>
  <c r="W34" i="4"/>
  <c r="X34" i="4"/>
  <c r="Y34" i="4"/>
  <c r="Z34" i="4"/>
  <c r="AA34" i="4"/>
  <c r="C35" i="4"/>
  <c r="F35" i="4"/>
  <c r="H35" i="4"/>
  <c r="O35" i="4"/>
  <c r="R35" i="4"/>
  <c r="S35" i="4"/>
  <c r="V35" i="4"/>
  <c r="W35" i="4"/>
  <c r="X35" i="4"/>
  <c r="Y35" i="4"/>
  <c r="Z35" i="4"/>
  <c r="AA35" i="4"/>
  <c r="C36" i="4"/>
  <c r="F36" i="4"/>
  <c r="H36" i="4"/>
  <c r="O36" i="4"/>
  <c r="R36" i="4"/>
  <c r="S36" i="4"/>
  <c r="V36" i="4"/>
  <c r="W36" i="4"/>
  <c r="X36" i="4"/>
  <c r="Y36" i="4"/>
  <c r="Z36" i="4"/>
  <c r="AA36" i="4"/>
  <c r="F37" i="4"/>
  <c r="H37" i="4"/>
  <c r="O37" i="4"/>
  <c r="R37" i="4"/>
  <c r="S37" i="4"/>
  <c r="V37" i="4"/>
  <c r="W37" i="4"/>
  <c r="X37" i="4"/>
  <c r="Y37" i="4"/>
  <c r="Z37" i="4"/>
  <c r="AA37" i="4"/>
  <c r="B38" i="4"/>
  <c r="F38" i="4"/>
  <c r="H38" i="4"/>
  <c r="O38" i="4"/>
  <c r="R38" i="4"/>
  <c r="S38" i="4"/>
  <c r="V38" i="4"/>
  <c r="W38" i="4"/>
  <c r="X38" i="4"/>
  <c r="Y38" i="4"/>
  <c r="Z38" i="4"/>
  <c r="AA38" i="4"/>
  <c r="B39" i="4"/>
  <c r="F39" i="4"/>
  <c r="H39" i="4"/>
  <c r="O39" i="4"/>
  <c r="R39" i="4"/>
  <c r="S39" i="4"/>
  <c r="V39" i="4"/>
  <c r="W39" i="4"/>
  <c r="X39" i="4"/>
  <c r="Y39" i="4"/>
  <c r="Z39" i="4"/>
  <c r="AA39" i="4"/>
  <c r="B40" i="4"/>
  <c r="F40" i="4"/>
  <c r="H40" i="4"/>
  <c r="O40" i="4"/>
  <c r="R40" i="4"/>
  <c r="S40" i="4"/>
  <c r="V40" i="4"/>
  <c r="W40" i="4"/>
  <c r="X40" i="4"/>
  <c r="Y40" i="4"/>
  <c r="Z40" i="4"/>
  <c r="AA40" i="4"/>
  <c r="B41" i="4"/>
  <c r="F41" i="4"/>
  <c r="H41" i="4"/>
  <c r="O41" i="4"/>
  <c r="R41" i="4"/>
  <c r="S41" i="4"/>
  <c r="V41" i="4"/>
  <c r="W41" i="4"/>
  <c r="X41" i="4"/>
  <c r="Y41" i="4"/>
  <c r="Z41" i="4"/>
  <c r="AA41" i="4"/>
  <c r="B42" i="4"/>
  <c r="F42" i="4"/>
  <c r="H42" i="4"/>
  <c r="O42" i="4"/>
  <c r="R42" i="4"/>
  <c r="S42" i="4"/>
  <c r="V42" i="4"/>
  <c r="W42" i="4"/>
  <c r="X42" i="4"/>
  <c r="Y42" i="4"/>
  <c r="Z42" i="4"/>
  <c r="AA42" i="4"/>
  <c r="O43" i="4"/>
  <c r="R43" i="4"/>
  <c r="S43" i="4"/>
  <c r="V43" i="4"/>
  <c r="W43" i="4"/>
  <c r="X43" i="4"/>
  <c r="Y43" i="4"/>
  <c r="Z43" i="4"/>
  <c r="AA43" i="4"/>
  <c r="O44" i="4"/>
  <c r="R44" i="4"/>
  <c r="S44" i="4"/>
  <c r="V44" i="4"/>
  <c r="W44" i="4"/>
  <c r="X44" i="4"/>
  <c r="Y44" i="4"/>
  <c r="Z44" i="4"/>
  <c r="AA44" i="4"/>
  <c r="O45" i="4"/>
  <c r="R45" i="4"/>
  <c r="S45" i="4"/>
  <c r="V45" i="4"/>
  <c r="W45" i="4"/>
  <c r="X45" i="4"/>
  <c r="Y45" i="4"/>
  <c r="Z45" i="4"/>
  <c r="AA45" i="4"/>
  <c r="O46" i="4"/>
  <c r="R46" i="4"/>
  <c r="S46" i="4"/>
  <c r="V46" i="4"/>
  <c r="W46" i="4"/>
  <c r="X46" i="4"/>
  <c r="Y46" i="4"/>
  <c r="Z46" i="4"/>
  <c r="AA46" i="4"/>
  <c r="O47" i="4"/>
  <c r="R47" i="4"/>
  <c r="S47" i="4"/>
  <c r="V47" i="4"/>
  <c r="W47" i="4"/>
  <c r="X47" i="4"/>
  <c r="Y47" i="4"/>
  <c r="Z47" i="4"/>
  <c r="AA47" i="4"/>
  <c r="O48" i="4"/>
  <c r="R48" i="4"/>
  <c r="S48" i="4"/>
  <c r="V48" i="4"/>
  <c r="W48" i="4"/>
  <c r="X48" i="4"/>
  <c r="Y48" i="4"/>
  <c r="Z48" i="4"/>
  <c r="AA48" i="4"/>
  <c r="O49" i="4"/>
  <c r="R49" i="4"/>
  <c r="S49" i="4"/>
  <c r="V49" i="4"/>
  <c r="W49" i="4"/>
  <c r="X49" i="4"/>
  <c r="Y49" i="4"/>
  <c r="Z49" i="4"/>
  <c r="AA49" i="4"/>
  <c r="O50" i="4"/>
  <c r="R50" i="4"/>
  <c r="S50" i="4"/>
  <c r="V50" i="4"/>
  <c r="W50" i="4"/>
  <c r="X50" i="4"/>
  <c r="Y50" i="4"/>
  <c r="Z50" i="4"/>
  <c r="AA50" i="4"/>
  <c r="O51" i="4"/>
  <c r="R51" i="4"/>
  <c r="S51" i="4"/>
  <c r="V51" i="4"/>
  <c r="W51" i="4"/>
  <c r="X51" i="4"/>
  <c r="Y51" i="4"/>
  <c r="Z51" i="4"/>
  <c r="AA51" i="4"/>
  <c r="O52" i="4"/>
  <c r="R52" i="4"/>
  <c r="S52" i="4"/>
  <c r="V52" i="4"/>
  <c r="W52" i="4"/>
  <c r="X52" i="4"/>
  <c r="Y52" i="4"/>
  <c r="Z52" i="4"/>
  <c r="AA52" i="4"/>
  <c r="O53" i="4"/>
  <c r="R53" i="4"/>
  <c r="S53" i="4"/>
  <c r="V53" i="4"/>
  <c r="W53" i="4"/>
  <c r="X53" i="4"/>
  <c r="Y53" i="4"/>
  <c r="Z53" i="4"/>
  <c r="AA53" i="4"/>
  <c r="O54" i="4"/>
  <c r="R54" i="4"/>
  <c r="S54" i="4"/>
  <c r="V54" i="4"/>
  <c r="W54" i="4"/>
  <c r="X54" i="4"/>
  <c r="Y54" i="4"/>
  <c r="Z54" i="4"/>
  <c r="AA54" i="4"/>
  <c r="F56" i="4"/>
  <c r="R56" i="4"/>
  <c r="Z56" i="4"/>
  <c r="F58" i="4"/>
  <c r="R60" i="4"/>
  <c r="E65" i="4"/>
  <c r="B66" i="4"/>
  <c r="E66" i="4"/>
  <c r="B67" i="4"/>
  <c r="E67" i="4"/>
  <c r="B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  <c r="J5" i="5"/>
  <c r="M5" i="5"/>
  <c r="N5" i="5"/>
  <c r="O5" i="5"/>
  <c r="P5" i="5"/>
  <c r="Q5" i="5"/>
  <c r="R5" i="5"/>
  <c r="S5" i="5"/>
  <c r="T5" i="5"/>
  <c r="U5" i="5"/>
  <c r="N6" i="5"/>
  <c r="R6" i="5"/>
  <c r="S6" i="5"/>
  <c r="T6" i="5"/>
  <c r="U6" i="5"/>
  <c r="V6" i="5"/>
  <c r="X6" i="5"/>
  <c r="J7" i="5"/>
  <c r="M7" i="5"/>
  <c r="N7" i="5"/>
  <c r="O7" i="5"/>
  <c r="P7" i="5"/>
  <c r="Q7" i="5"/>
  <c r="R7" i="5"/>
  <c r="S7" i="5"/>
  <c r="T7" i="5"/>
  <c r="U7" i="5"/>
  <c r="N8" i="5"/>
  <c r="R8" i="5"/>
  <c r="S8" i="5"/>
  <c r="T8" i="5"/>
  <c r="U8" i="5"/>
  <c r="V8" i="5"/>
  <c r="X8" i="5"/>
  <c r="J9" i="5"/>
  <c r="M9" i="5"/>
  <c r="N9" i="5"/>
  <c r="O9" i="5"/>
  <c r="P9" i="5"/>
  <c r="Q9" i="5"/>
  <c r="R9" i="5"/>
  <c r="S9" i="5"/>
  <c r="T9" i="5"/>
  <c r="U9" i="5"/>
  <c r="N10" i="5"/>
  <c r="R10" i="5"/>
  <c r="S10" i="5"/>
  <c r="T10" i="5"/>
  <c r="U10" i="5"/>
  <c r="V10" i="5"/>
  <c r="X10" i="5"/>
  <c r="J11" i="5"/>
  <c r="M11" i="5"/>
  <c r="N11" i="5"/>
  <c r="O11" i="5"/>
  <c r="P11" i="5"/>
  <c r="Q11" i="5"/>
  <c r="R11" i="5"/>
  <c r="S11" i="5"/>
  <c r="T11" i="5"/>
  <c r="U11" i="5"/>
  <c r="N12" i="5"/>
  <c r="R12" i="5"/>
  <c r="S12" i="5"/>
  <c r="T12" i="5"/>
  <c r="U12" i="5"/>
  <c r="V12" i="5"/>
  <c r="X12" i="5"/>
  <c r="J13" i="5"/>
  <c r="M13" i="5"/>
  <c r="N13" i="5"/>
  <c r="O13" i="5"/>
  <c r="P13" i="5"/>
  <c r="Q13" i="5"/>
  <c r="R13" i="5"/>
  <c r="S13" i="5"/>
  <c r="T13" i="5"/>
  <c r="U13" i="5"/>
  <c r="N14" i="5"/>
  <c r="R14" i="5"/>
  <c r="S14" i="5"/>
  <c r="T14" i="5"/>
  <c r="U14" i="5"/>
  <c r="V14" i="5"/>
  <c r="X14" i="5"/>
  <c r="J15" i="5"/>
  <c r="M15" i="5"/>
  <c r="N15" i="5"/>
  <c r="O15" i="5"/>
  <c r="P15" i="5"/>
  <c r="Q15" i="5"/>
  <c r="R15" i="5"/>
  <c r="S15" i="5"/>
  <c r="T15" i="5"/>
  <c r="U15" i="5"/>
  <c r="N16" i="5"/>
  <c r="R16" i="5"/>
  <c r="S16" i="5"/>
  <c r="T16" i="5"/>
  <c r="U16" i="5"/>
  <c r="V16" i="5"/>
  <c r="X16" i="5"/>
  <c r="J17" i="5"/>
  <c r="M17" i="5"/>
  <c r="N17" i="5"/>
  <c r="O17" i="5"/>
  <c r="P17" i="5"/>
  <c r="Q17" i="5"/>
  <c r="R17" i="5"/>
  <c r="S17" i="5"/>
  <c r="T17" i="5"/>
  <c r="U17" i="5"/>
  <c r="N18" i="5"/>
  <c r="R18" i="5"/>
  <c r="S18" i="5"/>
  <c r="T18" i="5"/>
  <c r="U18" i="5"/>
  <c r="V18" i="5"/>
  <c r="X18" i="5"/>
  <c r="J19" i="5"/>
  <c r="M19" i="5"/>
  <c r="N19" i="5"/>
  <c r="O19" i="5"/>
  <c r="P19" i="5"/>
  <c r="Q19" i="5"/>
  <c r="R19" i="5"/>
  <c r="S19" i="5"/>
  <c r="T19" i="5"/>
  <c r="U19" i="5"/>
  <c r="N20" i="5"/>
  <c r="R20" i="5"/>
  <c r="S20" i="5"/>
  <c r="T20" i="5"/>
  <c r="U20" i="5"/>
  <c r="V20" i="5"/>
  <c r="X20" i="5"/>
  <c r="J21" i="5"/>
  <c r="M21" i="5"/>
  <c r="N21" i="5"/>
  <c r="O21" i="5"/>
  <c r="P21" i="5"/>
  <c r="Q21" i="5"/>
  <c r="R21" i="5"/>
  <c r="S21" i="5"/>
  <c r="T21" i="5"/>
  <c r="U21" i="5"/>
  <c r="N22" i="5"/>
  <c r="R22" i="5"/>
  <c r="S22" i="5"/>
  <c r="T22" i="5"/>
  <c r="U22" i="5"/>
  <c r="V22" i="5"/>
  <c r="X22" i="5"/>
  <c r="J23" i="5"/>
  <c r="M23" i="5"/>
  <c r="N23" i="5"/>
  <c r="O23" i="5"/>
  <c r="P23" i="5"/>
  <c r="Q23" i="5"/>
  <c r="R23" i="5"/>
  <c r="S23" i="5"/>
  <c r="T23" i="5"/>
  <c r="U23" i="5"/>
  <c r="N24" i="5"/>
  <c r="R24" i="5"/>
  <c r="S24" i="5"/>
  <c r="T24" i="5"/>
  <c r="U24" i="5"/>
  <c r="V24" i="5"/>
  <c r="X24" i="5"/>
  <c r="J25" i="5"/>
  <c r="M25" i="5"/>
  <c r="N25" i="5"/>
  <c r="O25" i="5"/>
  <c r="P25" i="5"/>
  <c r="Q25" i="5"/>
  <c r="R25" i="5"/>
  <c r="S25" i="5"/>
  <c r="T25" i="5"/>
  <c r="U25" i="5"/>
  <c r="N26" i="5"/>
  <c r="R26" i="5"/>
  <c r="S26" i="5"/>
  <c r="T26" i="5"/>
  <c r="U26" i="5"/>
  <c r="V26" i="5"/>
  <c r="X26" i="5"/>
  <c r="J27" i="5"/>
  <c r="M27" i="5"/>
  <c r="N27" i="5"/>
  <c r="O27" i="5"/>
  <c r="P27" i="5"/>
  <c r="Q27" i="5"/>
  <c r="R27" i="5"/>
  <c r="S27" i="5"/>
  <c r="T27" i="5"/>
  <c r="U27" i="5"/>
  <c r="N28" i="5"/>
  <c r="R28" i="5"/>
  <c r="S28" i="5"/>
  <c r="T28" i="5"/>
  <c r="U28" i="5"/>
  <c r="V28" i="5"/>
  <c r="X28" i="5"/>
  <c r="J29" i="5"/>
  <c r="M29" i="5"/>
  <c r="N29" i="5"/>
  <c r="O29" i="5"/>
  <c r="P29" i="5"/>
  <c r="Q29" i="5"/>
  <c r="R29" i="5"/>
  <c r="S29" i="5"/>
  <c r="T29" i="5"/>
  <c r="U29" i="5"/>
  <c r="N30" i="5"/>
  <c r="R30" i="5"/>
  <c r="S30" i="5"/>
  <c r="T30" i="5"/>
  <c r="U30" i="5"/>
  <c r="V30" i="5"/>
  <c r="X30" i="5"/>
  <c r="D36" i="5"/>
  <c r="D37" i="5"/>
  <c r="G37" i="5"/>
  <c r="K37" i="5"/>
  <c r="E38" i="5"/>
  <c r="H38" i="5"/>
  <c r="M38" i="5"/>
  <c r="E39" i="5"/>
  <c r="D40" i="5"/>
  <c r="D41" i="5"/>
  <c r="G41" i="5"/>
  <c r="K41" i="5"/>
  <c r="E42" i="5"/>
  <c r="H42" i="5"/>
  <c r="M42" i="5"/>
  <c r="E43" i="5"/>
  <c r="D44" i="5"/>
  <c r="D45" i="5"/>
  <c r="G45" i="5"/>
  <c r="K45" i="5"/>
  <c r="E46" i="5"/>
  <c r="H46" i="5"/>
  <c r="M46" i="5"/>
  <c r="E47" i="5"/>
  <c r="D48" i="5"/>
  <c r="D49" i="5"/>
  <c r="G49" i="5"/>
  <c r="K49" i="5"/>
  <c r="E50" i="5"/>
  <c r="H50" i="5"/>
  <c r="M50" i="5"/>
  <c r="E51" i="5"/>
  <c r="D52" i="5"/>
  <c r="D53" i="5"/>
  <c r="G53" i="5"/>
  <c r="K53" i="5"/>
  <c r="E54" i="5"/>
  <c r="H54" i="5"/>
  <c r="M54" i="5"/>
  <c r="E55" i="5"/>
  <c r="D56" i="5"/>
  <c r="D57" i="5"/>
  <c r="G57" i="5"/>
  <c r="K57" i="5"/>
  <c r="E58" i="5"/>
  <c r="H58" i="5"/>
  <c r="M58" i="5"/>
  <c r="E59" i="5"/>
  <c r="D60" i="5"/>
  <c r="D61" i="5"/>
  <c r="G61" i="5"/>
  <c r="K61" i="5"/>
  <c r="E62" i="5"/>
  <c r="H62" i="5"/>
  <c r="M62" i="5"/>
  <c r="E63" i="5"/>
  <c r="D64" i="5"/>
  <c r="D65" i="5"/>
  <c r="G65" i="5"/>
  <c r="K65" i="5"/>
  <c r="E66" i="5"/>
  <c r="H66" i="5"/>
  <c r="M66" i="5"/>
  <c r="E67" i="5"/>
  <c r="D68" i="5"/>
  <c r="D69" i="5"/>
  <c r="G69" i="5"/>
  <c r="K69" i="5"/>
  <c r="E70" i="5"/>
  <c r="H70" i="5"/>
  <c r="M70" i="5"/>
  <c r="E71" i="5"/>
  <c r="D72" i="5"/>
  <c r="D73" i="5"/>
  <c r="G73" i="5"/>
  <c r="K73" i="5"/>
  <c r="E74" i="5"/>
  <c r="H74" i="5"/>
  <c r="M74" i="5"/>
  <c r="E75" i="5"/>
  <c r="D76" i="5"/>
  <c r="D77" i="5"/>
  <c r="G77" i="5"/>
  <c r="K77" i="5"/>
  <c r="E78" i="5"/>
  <c r="H78" i="5"/>
  <c r="M78" i="5"/>
  <c r="E79" i="5"/>
  <c r="D80" i="5"/>
  <c r="D81" i="5"/>
  <c r="G81" i="5"/>
  <c r="K81" i="5"/>
  <c r="E82" i="5"/>
  <c r="H82" i="5"/>
  <c r="M82" i="5"/>
  <c r="E83" i="5"/>
  <c r="D84" i="5"/>
  <c r="D85" i="5"/>
  <c r="G85" i="5"/>
  <c r="K85" i="5"/>
  <c r="E86" i="5"/>
  <c r="H86" i="5"/>
  <c r="M86" i="5"/>
  <c r="E87" i="5"/>
  <c r="D91" i="5"/>
  <c r="D92" i="5"/>
  <c r="G92" i="5"/>
  <c r="K92" i="5"/>
  <c r="E93" i="5"/>
  <c r="H93" i="5"/>
  <c r="M93" i="5"/>
  <c r="E94" i="5"/>
  <c r="D95" i="5"/>
  <c r="D96" i="5"/>
  <c r="G96" i="5"/>
  <c r="K96" i="5"/>
  <c r="E97" i="5"/>
  <c r="H97" i="5"/>
  <c r="M97" i="5"/>
  <c r="E98" i="5"/>
  <c r="D99" i="5"/>
  <c r="D100" i="5"/>
  <c r="G100" i="5"/>
  <c r="K100" i="5"/>
  <c r="E101" i="5"/>
  <c r="H101" i="5"/>
  <c r="M101" i="5"/>
  <c r="E102" i="5"/>
  <c r="D103" i="5"/>
  <c r="D104" i="5"/>
  <c r="G104" i="5"/>
  <c r="K104" i="5"/>
  <c r="E105" i="5"/>
  <c r="H105" i="5"/>
  <c r="M105" i="5"/>
  <c r="E106" i="5"/>
  <c r="D107" i="5"/>
  <c r="D108" i="5"/>
  <c r="G108" i="5"/>
  <c r="K108" i="5"/>
  <c r="E109" i="5"/>
  <c r="H109" i="5"/>
  <c r="E110" i="5"/>
  <c r="D111" i="5"/>
  <c r="D112" i="5"/>
  <c r="G112" i="5"/>
  <c r="K112" i="5"/>
  <c r="E113" i="5"/>
  <c r="H113" i="5"/>
  <c r="M113" i="5"/>
  <c r="E114" i="5"/>
  <c r="D115" i="5"/>
  <c r="D116" i="5"/>
  <c r="G116" i="5"/>
  <c r="K116" i="5"/>
  <c r="E117" i="5"/>
  <c r="H117" i="5"/>
  <c r="E118" i="5"/>
  <c r="D119" i="5"/>
  <c r="D120" i="5"/>
  <c r="G120" i="5"/>
  <c r="K120" i="5"/>
  <c r="E121" i="5"/>
  <c r="H121" i="5"/>
  <c r="E122" i="5"/>
  <c r="D123" i="5"/>
  <c r="D124" i="5"/>
  <c r="G124" i="5"/>
  <c r="K124" i="5"/>
  <c r="E125" i="5"/>
  <c r="H125" i="5"/>
  <c r="E126" i="5"/>
  <c r="D127" i="5"/>
  <c r="D128" i="5"/>
  <c r="G128" i="5"/>
  <c r="K128" i="5"/>
  <c r="E129" i="5"/>
  <c r="H129" i="5"/>
  <c r="M129" i="5"/>
  <c r="E130" i="5"/>
  <c r="D131" i="5"/>
  <c r="D132" i="5"/>
  <c r="G132" i="5"/>
  <c r="K132" i="5"/>
  <c r="E133" i="5"/>
  <c r="H133" i="5"/>
  <c r="M133" i="5"/>
  <c r="E134" i="5"/>
  <c r="D135" i="5"/>
  <c r="D136" i="5"/>
  <c r="G136" i="5"/>
  <c r="K136" i="5"/>
  <c r="E137" i="5"/>
  <c r="H137" i="5"/>
  <c r="M137" i="5"/>
  <c r="E138" i="5"/>
</calcChain>
</file>

<file path=xl/comments1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comments2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sharedStrings.xml><?xml version="1.0" encoding="utf-8"?>
<sst xmlns="http://schemas.openxmlformats.org/spreadsheetml/2006/main" count="531" uniqueCount="120">
  <si>
    <t>Per Troy's Calculation:</t>
  </si>
  <si>
    <t>Corporate Rate for Capital</t>
  </si>
  <si>
    <t xml:space="preserve">Monthly </t>
  </si>
  <si>
    <t>Cummulative</t>
  </si>
  <si>
    <t xml:space="preserve">Financial </t>
  </si>
  <si>
    <t>Prime</t>
  </si>
  <si>
    <t xml:space="preserve">Carrying </t>
  </si>
  <si>
    <t>Corp</t>
  </si>
  <si>
    <t>Month</t>
  </si>
  <si>
    <t>Volume</t>
  </si>
  <si>
    <t>Liquidations</t>
  </si>
  <si>
    <t>WACOG</t>
  </si>
  <si>
    <t>Rate</t>
  </si>
  <si>
    <t>Cost</t>
  </si>
  <si>
    <t>P/L</t>
  </si>
  <si>
    <t>totals</t>
  </si>
  <si>
    <t>Cashflows</t>
  </si>
  <si>
    <t xml:space="preserve">Net </t>
  </si>
  <si>
    <t>Monthly Cashflow</t>
  </si>
  <si>
    <t>Operational Plan</t>
  </si>
  <si>
    <t>fuel</t>
  </si>
  <si>
    <t>Physical</t>
  </si>
  <si>
    <t>NSS 2 - Year 2</t>
  </si>
  <si>
    <t>NSS 1 - Year 3</t>
  </si>
  <si>
    <t>NSS Combined Cashflows</t>
  </si>
  <si>
    <t>s/b</t>
  </si>
  <si>
    <t>differ</t>
  </si>
  <si>
    <t>Value</t>
  </si>
  <si>
    <t>Financial</t>
  </si>
  <si>
    <t>NSS2 Volumes</t>
  </si>
  <si>
    <t>Buy Volume</t>
  </si>
  <si>
    <t>Buy Dollars</t>
  </si>
  <si>
    <t>Buy Average Price</t>
  </si>
  <si>
    <t>Sale Volume</t>
  </si>
  <si>
    <t>Sale Dollars</t>
  </si>
  <si>
    <t>Sale Average Price</t>
  </si>
  <si>
    <t>Net Position</t>
  </si>
  <si>
    <t>Net Price</t>
  </si>
  <si>
    <t>0301</t>
  </si>
  <si>
    <t>0401</t>
  </si>
  <si>
    <t>0501</t>
  </si>
  <si>
    <t>0601</t>
  </si>
  <si>
    <t>0701</t>
  </si>
  <si>
    <t>0801</t>
  </si>
  <si>
    <t>0901</t>
  </si>
  <si>
    <t>Total</t>
  </si>
  <si>
    <t>Phillip</t>
  </si>
  <si>
    <t>Phyliss</t>
  </si>
  <si>
    <t>Difference</t>
  </si>
  <si>
    <t>Tagg Liquidations</t>
  </si>
  <si>
    <t>total liquidations</t>
  </si>
  <si>
    <t>volume</t>
  </si>
  <si>
    <t>total $</t>
  </si>
  <si>
    <t>(Index + Mid)</t>
  </si>
  <si>
    <t>(Unify - Contract Price)</t>
  </si>
  <si>
    <t xml:space="preserve"> </t>
  </si>
  <si>
    <t>Per Accounting</t>
  </si>
  <si>
    <t>Carrying cost</t>
  </si>
  <si>
    <t>Enron Midwest NSS Program II</t>
  </si>
  <si>
    <t>Delivery</t>
  </si>
  <si>
    <t xml:space="preserve">Buy or Sell  </t>
  </si>
  <si>
    <t>Daily</t>
  </si>
  <si>
    <t>Total Monthly</t>
  </si>
  <si>
    <t>Total Purchase</t>
  </si>
  <si>
    <t>EMW</t>
  </si>
  <si>
    <t>Fuel</t>
  </si>
  <si>
    <t>ITS Fuel</t>
  </si>
  <si>
    <t>Inventory</t>
  </si>
  <si>
    <t>Gas</t>
  </si>
  <si>
    <t>Cum</t>
  </si>
  <si>
    <t>Monthly</t>
  </si>
  <si>
    <t>Counterparty</t>
  </si>
  <si>
    <t>EMW Perspective</t>
  </si>
  <si>
    <t>or Sale</t>
  </si>
  <si>
    <t>Sitara</t>
  </si>
  <si>
    <t>Sales</t>
  </si>
  <si>
    <t>Sales/(Purchase)</t>
  </si>
  <si>
    <t>Sales/Purchase $'s</t>
  </si>
  <si>
    <t>Cum Gas Sales</t>
  </si>
  <si>
    <t>Cum Inv Vol</t>
  </si>
  <si>
    <t>Wacog</t>
  </si>
  <si>
    <t>ME physical (incl fuel)</t>
  </si>
  <si>
    <t>Rates</t>
  </si>
  <si>
    <t>PGLC</t>
  </si>
  <si>
    <t>S Total</t>
  </si>
  <si>
    <t>B Total</t>
  </si>
  <si>
    <t>April's Prime Rate is 8.00 %</t>
  </si>
  <si>
    <t>May's Prime Rate is 7.500 %</t>
  </si>
  <si>
    <t>from Lee-corrected</t>
  </si>
  <si>
    <t>June's Prime Rate is 7.00 %</t>
  </si>
  <si>
    <t>from Lee</t>
  </si>
  <si>
    <t>July's Prime Rate is 6.75 %</t>
  </si>
  <si>
    <t>August's Prime Rate is 6.75 %</t>
  </si>
  <si>
    <t>September's Prime Rate is 6.5 %</t>
  </si>
  <si>
    <t>Entries</t>
  </si>
  <si>
    <t>NSS Sales/Purchases Entries</t>
  </si>
  <si>
    <t>Title Transfer Entries</t>
  </si>
  <si>
    <t>PRM Entries</t>
  </si>
  <si>
    <t>Should Be</t>
  </si>
  <si>
    <t>AR-20016000-700002657</t>
  </si>
  <si>
    <t>Purchase-50001000-700002657</t>
  </si>
  <si>
    <t>Inventory21041000-700002657</t>
  </si>
  <si>
    <t>MTM-42000000-700002657</t>
  </si>
  <si>
    <t>Fuel Sales40004000-500004563</t>
  </si>
  <si>
    <t>AP 30016000-700002657</t>
  </si>
  <si>
    <t>PRM - Curr Liab - 30300000-700002657</t>
  </si>
  <si>
    <t>Sales-40004000-700002657</t>
  </si>
  <si>
    <t>Adjustments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</si>
  <si>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</si>
  <si>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</si>
  <si>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</si>
  <si>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</si>
  <si>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</si>
  <si>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</si>
  <si>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</si>
  <si>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</si>
  <si>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</si>
  <si>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</si>
  <si>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January, 2002</t>
  </si>
  <si>
    <t>February,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</si>
</sst>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_);[Red]\(&quot;$&quot;#,##0.000\)"/>
    <numFmt numFmtId="166" formatCode="_(&quot;$&quot;* #,##0_);_(&quot;$&quot;* \(#,##0\);_(&quot;$&quot;* &quot;-&quot;??_);_(@_)"/>
    <numFmt numFmtId="168" formatCode="_(&quot;$&quot;* #,##0.0000_);_(&quot;$&quot;* \(#,##0.0000\);_(&quot;$&quot;* &quot;-&quot;??_);_(@_)"/>
    <numFmt numFmtId="170" formatCode="_(* #,##0_);_(* \(#,##0\);_(* &quot;-&quot;??_);_(@_)"/>
    <numFmt numFmtId="171" formatCode="mm/dd/yy"/>
    <numFmt numFmtId="172" formatCode="_(* #,##0.000000000_);_(* \(#,##0.000000000\);_(* &quot;-&quot;??_);_(@_)"/>
    <numFmt numFmtId="173" formatCode="_(* #,##0.00000_);_(* \(#,##0.00000\);_(* &quot;-&quot;??_);_(@_)"/>
    <numFmt numFmtId="174" formatCode="_(* #,##0.0000_);_(* \(#,##0.0000\);_(* &quot;-&quot;??_);_(@_)"/>
    <numFmt numFmtId="175" formatCode="mmmm\-yy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13">
    <xf numFmtId="0" fontId="0" fillId="0" borderId="0" xfId="0"/>
    <xf numFmtId="0" fontId="1" fillId="0" borderId="0" xfId="3" applyAlignment="1">
      <alignment horizontal="center"/>
    </xf>
    <xf numFmtId="0" fontId="1" fillId="0" borderId="0" xfId="3"/>
    <xf numFmtId="0" fontId="2" fillId="0" borderId="1" xfId="3" applyFont="1" applyBorder="1" applyAlignment="1">
      <alignment horizontal="left"/>
    </xf>
    <xf numFmtId="0" fontId="2" fillId="0" borderId="2" xfId="3" applyFont="1" applyBorder="1" applyAlignment="1">
      <alignment horizontal="left"/>
    </xf>
    <xf numFmtId="0" fontId="1" fillId="0" borderId="2" xfId="3" applyBorder="1"/>
    <xf numFmtId="0" fontId="1" fillId="0" borderId="2" xfId="3" applyBorder="1" applyAlignment="1">
      <alignment horizontal="center"/>
    </xf>
    <xf numFmtId="0" fontId="1" fillId="0" borderId="3" xfId="3" applyBorder="1"/>
    <xf numFmtId="0" fontId="2" fillId="0" borderId="2" xfId="3" applyFont="1" applyBorder="1"/>
    <xf numFmtId="0" fontId="2" fillId="0" borderId="4" xfId="3" applyFont="1" applyBorder="1"/>
    <xf numFmtId="0" fontId="1" fillId="0" borderId="5" xfId="3" applyBorder="1" applyAlignment="1">
      <alignment horizontal="center"/>
    </xf>
    <xf numFmtId="0" fontId="1" fillId="0" borderId="0" xfId="3" applyBorder="1" applyAlignment="1">
      <alignment horizontal="center"/>
    </xf>
    <xf numFmtId="0" fontId="1" fillId="0" borderId="0" xfId="3" applyBorder="1"/>
    <xf numFmtId="0" fontId="1" fillId="0" borderId="6" xfId="3" applyBorder="1"/>
    <xf numFmtId="0" fontId="1" fillId="0" borderId="7" xfId="3" applyBorder="1"/>
    <xf numFmtId="0" fontId="1" fillId="0" borderId="6" xfId="3" applyBorder="1" applyAlignment="1">
      <alignment horizontal="center"/>
    </xf>
    <xf numFmtId="0" fontId="1" fillId="0" borderId="7" xfId="3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0" xfId="3" applyFont="1" applyBorder="1"/>
    <xf numFmtId="0" fontId="3" fillId="0" borderId="6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6" fontId="1" fillId="0" borderId="6" xfId="3" applyNumberFormat="1" applyBorder="1" applyAlignment="1">
      <alignment horizontal="center"/>
    </xf>
    <xf numFmtId="17" fontId="1" fillId="0" borderId="5" xfId="3" applyNumberFormat="1" applyBorder="1" applyAlignment="1">
      <alignment horizontal="center"/>
    </xf>
    <xf numFmtId="3" fontId="1" fillId="0" borderId="0" xfId="3" applyNumberFormat="1" applyAlignment="1">
      <alignment horizontal="center"/>
    </xf>
    <xf numFmtId="6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0" fontId="1" fillId="0" borderId="0" xfId="4" applyNumberFormat="1" applyBorder="1" applyAlignment="1">
      <alignment horizontal="center"/>
    </xf>
    <xf numFmtId="6" fontId="1" fillId="0" borderId="6" xfId="2" applyNumberFormat="1" applyBorder="1" applyAlignment="1">
      <alignment horizontal="center"/>
    </xf>
    <xf numFmtId="6" fontId="1" fillId="0" borderId="7" xfId="2" applyNumberFormat="1" applyBorder="1" applyAlignment="1">
      <alignment horizontal="center"/>
    </xf>
    <xf numFmtId="17" fontId="1" fillId="0" borderId="5" xfId="3" applyNumberFormat="1" applyFill="1" applyBorder="1" applyAlignment="1">
      <alignment horizontal="center"/>
    </xf>
    <xf numFmtId="3" fontId="1" fillId="0" borderId="0" xfId="3" applyNumberFormat="1" applyFill="1" applyAlignment="1">
      <alignment horizontal="center"/>
    </xf>
    <xf numFmtId="6" fontId="1" fillId="0" borderId="0" xfId="2" applyNumberFormat="1" applyFill="1" applyBorder="1" applyAlignment="1">
      <alignment horizontal="center"/>
    </xf>
    <xf numFmtId="164" fontId="1" fillId="0" borderId="0" xfId="2" applyNumberFormat="1" applyFill="1" applyBorder="1" applyAlignment="1">
      <alignment horizontal="center"/>
    </xf>
    <xf numFmtId="10" fontId="1" fillId="0" borderId="0" xfId="4" applyNumberFormat="1" applyFill="1" applyAlignment="1">
      <alignment horizontal="center"/>
    </xf>
    <xf numFmtId="6" fontId="1" fillId="0" borderId="6" xfId="2" applyNumberFormat="1" applyFill="1" applyBorder="1" applyAlignment="1">
      <alignment horizontal="center"/>
    </xf>
    <xf numFmtId="10" fontId="1" fillId="0" borderId="0" xfId="4" applyNumberFormat="1" applyFill="1" applyBorder="1" applyAlignment="1">
      <alignment horizontal="center"/>
    </xf>
    <xf numFmtId="6" fontId="1" fillId="0" borderId="7" xfId="2" applyNumberFormat="1" applyFill="1" applyBorder="1" applyAlignment="1">
      <alignment horizontal="center"/>
    </xf>
    <xf numFmtId="9" fontId="1" fillId="0" borderId="0" xfId="4"/>
    <xf numFmtId="17" fontId="1" fillId="0" borderId="0" xfId="3" applyNumberFormat="1" applyAlignment="1">
      <alignment horizontal="center"/>
    </xf>
    <xf numFmtId="3" fontId="1" fillId="0" borderId="0" xfId="3" applyNumberFormat="1" applyBorder="1" applyAlignment="1">
      <alignment horizontal="center"/>
    </xf>
    <xf numFmtId="8" fontId="1" fillId="0" borderId="0" xfId="2" applyNumberFormat="1" applyBorder="1" applyAlignment="1">
      <alignment horizontal="center"/>
    </xf>
    <xf numFmtId="3" fontId="1" fillId="0" borderId="0" xfId="3" applyNumberFormat="1" applyFill="1" applyBorder="1" applyAlignment="1">
      <alignment horizontal="center"/>
    </xf>
    <xf numFmtId="8" fontId="1" fillId="0" borderId="0" xfId="2" applyNumberFormat="1" applyFill="1" applyBorder="1" applyAlignment="1">
      <alignment horizontal="center"/>
    </xf>
    <xf numFmtId="37" fontId="1" fillId="0" borderId="0" xfId="3" applyNumberFormat="1" applyFill="1" applyBorder="1" applyAlignment="1">
      <alignment horizontal="center"/>
    </xf>
    <xf numFmtId="6" fontId="1" fillId="0" borderId="0" xfId="3" applyNumberFormat="1" applyFill="1" applyBorder="1" applyAlignment="1">
      <alignment horizontal="center"/>
    </xf>
    <xf numFmtId="6" fontId="1" fillId="0" borderId="6" xfId="3" applyNumberFormat="1" applyFill="1" applyBorder="1"/>
    <xf numFmtId="6" fontId="1" fillId="0" borderId="6" xfId="3" applyNumberFormat="1" applyFill="1" applyBorder="1" applyAlignment="1">
      <alignment horizontal="center"/>
    </xf>
    <xf numFmtId="6" fontId="1" fillId="0" borderId="7" xfId="3" applyNumberFormat="1" applyFill="1" applyBorder="1" applyAlignment="1">
      <alignment horizontal="center"/>
    </xf>
    <xf numFmtId="17" fontId="1" fillId="0" borderId="0" xfId="3" applyNumberFormat="1" applyFill="1" applyBorder="1" applyAlignment="1">
      <alignment horizontal="center"/>
    </xf>
    <xf numFmtId="17" fontId="1" fillId="0" borderId="8" xfId="3" applyNumberFormat="1" applyFill="1" applyBorder="1" applyAlignment="1">
      <alignment horizontal="center"/>
    </xf>
    <xf numFmtId="17" fontId="1" fillId="0" borderId="9" xfId="3" applyNumberFormat="1" applyFill="1" applyBorder="1" applyAlignment="1">
      <alignment horizontal="center"/>
    </xf>
    <xf numFmtId="0" fontId="1" fillId="0" borderId="9" xfId="3" applyFill="1" applyBorder="1" applyAlignment="1">
      <alignment horizontal="center"/>
    </xf>
    <xf numFmtId="10" fontId="1" fillId="0" borderId="9" xfId="4" applyNumberFormat="1" applyFill="1" applyBorder="1" applyAlignment="1">
      <alignment horizontal="center"/>
    </xf>
    <xf numFmtId="0" fontId="1" fillId="0" borderId="10" xfId="3" applyFill="1" applyBorder="1"/>
    <xf numFmtId="0" fontId="1" fillId="0" borderId="10" xfId="3" applyFill="1" applyBorder="1" applyAlignment="1">
      <alignment horizontal="center"/>
    </xf>
    <xf numFmtId="6" fontId="1" fillId="0" borderId="11" xfId="3" applyNumberFormat="1" applyFill="1" applyBorder="1" applyAlignment="1">
      <alignment horizontal="center"/>
    </xf>
    <xf numFmtId="0" fontId="0" fillId="0" borderId="0" xfId="0" applyAlignment="1">
      <alignment horizontal="center"/>
    </xf>
    <xf numFmtId="3" fontId="1" fillId="2" borderId="0" xfId="3" applyNumberFormat="1" applyFill="1" applyAlignment="1">
      <alignment horizontal="center"/>
    </xf>
    <xf numFmtId="6" fontId="1" fillId="2" borderId="0" xfId="2" applyNumberFormat="1" applyFill="1" applyBorder="1" applyAlignment="1">
      <alignment horizontal="center"/>
    </xf>
    <xf numFmtId="17" fontId="1" fillId="3" borderId="5" xfId="3" applyNumberFormat="1" applyFill="1" applyBorder="1" applyAlignment="1">
      <alignment horizontal="center"/>
    </xf>
    <xf numFmtId="3" fontId="1" fillId="3" borderId="0" xfId="3" applyNumberFormat="1" applyFill="1" applyAlignment="1">
      <alignment horizontal="center"/>
    </xf>
    <xf numFmtId="6" fontId="1" fillId="3" borderId="0" xfId="2" applyNumberFormat="1" applyFill="1" applyBorder="1" applyAlignment="1">
      <alignment horizontal="center"/>
    </xf>
    <xf numFmtId="164" fontId="1" fillId="3" borderId="0" xfId="2" applyNumberFormat="1" applyFill="1" applyBorder="1" applyAlignment="1">
      <alignment horizontal="center"/>
    </xf>
    <xf numFmtId="10" fontId="1" fillId="3" borderId="0" xfId="4" applyNumberFormat="1" applyFill="1" applyAlignment="1">
      <alignment horizontal="center"/>
    </xf>
    <xf numFmtId="6" fontId="1" fillId="3" borderId="6" xfId="2" applyNumberFormat="1" applyFill="1" applyBorder="1" applyAlignment="1">
      <alignment horizontal="center"/>
    </xf>
    <xf numFmtId="10" fontId="1" fillId="3" borderId="0" xfId="4" applyNumberFormat="1" applyFill="1" applyBorder="1" applyAlignment="1">
      <alignment horizontal="center"/>
    </xf>
    <xf numFmtId="6" fontId="1" fillId="3" borderId="7" xfId="2" applyNumberFormat="1" applyFill="1" applyBorder="1" applyAlignment="1">
      <alignment horizontal="center"/>
    </xf>
    <xf numFmtId="17" fontId="1" fillId="0" borderId="0" xfId="3" applyNumberFormat="1" applyBorder="1" applyAlignment="1">
      <alignment horizontal="center"/>
    </xf>
    <xf numFmtId="0" fontId="1" fillId="0" borderId="0" xfId="3" applyFill="1" applyBorder="1" applyAlignment="1">
      <alignment horizontal="center"/>
    </xf>
    <xf numFmtId="0" fontId="0" fillId="0" borderId="0" xfId="0" applyBorder="1"/>
    <xf numFmtId="6" fontId="1" fillId="0" borderId="0" xfId="3" applyNumberFormat="1" applyFill="1" applyBorder="1"/>
    <xf numFmtId="0" fontId="0" fillId="0" borderId="0" xfId="0" applyFill="1" applyBorder="1"/>
    <xf numFmtId="0" fontId="2" fillId="0" borderId="0" xfId="3" applyFont="1" applyBorder="1" applyAlignment="1">
      <alignment horizontal="left"/>
    </xf>
    <xf numFmtId="0" fontId="2" fillId="0" borderId="0" xfId="3" applyFont="1" applyBorder="1"/>
    <xf numFmtId="6" fontId="1" fillId="0" borderId="0" xfId="3" applyNumberForma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1" fillId="0" borderId="0" xfId="3" applyFill="1" applyBorder="1"/>
    <xf numFmtId="37" fontId="1" fillId="0" borderId="0" xfId="3" applyNumberFormat="1" applyFill="1" applyAlignment="1">
      <alignment horizontal="center"/>
    </xf>
    <xf numFmtId="37" fontId="1" fillId="0" borderId="0" xfId="3" applyNumberFormat="1" applyBorder="1" applyAlignment="1">
      <alignment horizontal="center"/>
    </xf>
    <xf numFmtId="6" fontId="1" fillId="4" borderId="0" xfId="2" applyNumberForma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0" xfId="0" applyNumberFormat="1"/>
    <xf numFmtId="17" fontId="0" fillId="0" borderId="0" xfId="0" applyNumberFormat="1"/>
    <xf numFmtId="44" fontId="0" fillId="0" borderId="0" xfId="0" applyNumberFormat="1"/>
    <xf numFmtId="3" fontId="1" fillId="0" borderId="0" xfId="3" applyNumberFormat="1"/>
    <xf numFmtId="3" fontId="1" fillId="0" borderId="0" xfId="3" applyNumberFormat="1" applyFill="1"/>
    <xf numFmtId="17" fontId="1" fillId="3" borderId="0" xfId="3" applyNumberFormat="1" applyFill="1" applyBorder="1" applyAlignment="1">
      <alignment horizontal="center"/>
    </xf>
    <xf numFmtId="170" fontId="1" fillId="0" borderId="0" xfId="1" applyNumberFormat="1" applyAlignment="1">
      <alignment horizontal="center"/>
    </xf>
    <xf numFmtId="166" fontId="1" fillId="0" borderId="0" xfId="2" applyNumberFormat="1" applyAlignment="1">
      <alignment horizontal="center"/>
    </xf>
    <xf numFmtId="44" fontId="1" fillId="0" borderId="0" xfId="2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/>
    <xf numFmtId="170" fontId="1" fillId="3" borderId="0" xfId="1" applyNumberFormat="1" applyFill="1" applyAlignment="1">
      <alignment horizontal="center"/>
    </xf>
    <xf numFmtId="166" fontId="1" fillId="3" borderId="0" xfId="2" applyNumberFormat="1" applyFill="1" applyAlignment="1">
      <alignment horizontal="center"/>
    </xf>
    <xf numFmtId="44" fontId="1" fillId="3" borderId="0" xfId="2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/>
    <xf numFmtId="0" fontId="1" fillId="3" borderId="0" xfId="3" applyFill="1" applyBorder="1" applyAlignment="1">
      <alignment horizontal="center"/>
    </xf>
    <xf numFmtId="0" fontId="0" fillId="3" borderId="0" xfId="0" quotePrefix="1" applyFill="1"/>
    <xf numFmtId="168" fontId="1" fillId="3" borderId="0" xfId="2" applyNumberFormat="1" applyFill="1" applyAlignment="1">
      <alignment horizontal="center"/>
    </xf>
    <xf numFmtId="44" fontId="0" fillId="3" borderId="0" xfId="0" applyNumberFormat="1" applyFill="1" applyAlignment="1">
      <alignment horizontal="center"/>
    </xf>
    <xf numFmtId="0" fontId="0" fillId="4" borderId="0" xfId="0" applyFill="1"/>
    <xf numFmtId="170" fontId="1" fillId="4" borderId="0" xfId="1" applyNumberFormat="1" applyFill="1" applyAlignment="1">
      <alignment horizontal="center"/>
    </xf>
    <xf numFmtId="166" fontId="1" fillId="4" borderId="0" xfId="2" applyNumberFormat="1" applyFill="1" applyAlignment="1">
      <alignment horizontal="center"/>
    </xf>
    <xf numFmtId="44" fontId="1" fillId="4" borderId="0" xfId="2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quotePrefix="1" applyFill="1"/>
    <xf numFmtId="168" fontId="1" fillId="4" borderId="0" xfId="2" applyNumberFormat="1" applyFill="1" applyAlignment="1">
      <alignment horizontal="center"/>
    </xf>
    <xf numFmtId="44" fontId="0" fillId="4" borderId="0" xfId="0" applyNumberFormat="1" applyFill="1" applyAlignment="1">
      <alignment horizontal="center"/>
    </xf>
    <xf numFmtId="170" fontId="1" fillId="2" borderId="0" xfId="1" applyNumberFormat="1" applyFill="1" applyAlignment="1">
      <alignment horizontal="center"/>
    </xf>
    <xf numFmtId="0" fontId="0" fillId="5" borderId="0" xfId="0" applyFill="1"/>
    <xf numFmtId="170" fontId="1" fillId="5" borderId="0" xfId="1" applyNumberFormat="1" applyFill="1" applyAlignment="1">
      <alignment horizontal="center"/>
    </xf>
    <xf numFmtId="166" fontId="1" fillId="5" borderId="0" xfId="2" applyNumberFormat="1" applyFill="1" applyAlignment="1">
      <alignment horizontal="center"/>
    </xf>
    <xf numFmtId="44" fontId="1" fillId="5" borderId="0" xfId="2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quotePrefix="1" applyFill="1"/>
    <xf numFmtId="168" fontId="1" fillId="5" borderId="0" xfId="2" applyNumberFormat="1" applyFill="1" applyAlignment="1">
      <alignment horizontal="center"/>
    </xf>
    <xf numFmtId="44" fontId="0" fillId="5" borderId="0" xfId="0" applyNumberFormat="1" applyFill="1" applyAlignment="1">
      <alignment horizontal="center"/>
    </xf>
    <xf numFmtId="44" fontId="0" fillId="0" borderId="0" xfId="0" applyNumberFormat="1" applyFill="1" applyAlignment="1">
      <alignment horizontal="center"/>
    </xf>
    <xf numFmtId="170" fontId="1" fillId="0" borderId="0" xfId="1" applyNumberFormat="1" applyFill="1" applyAlignment="1">
      <alignment horizontal="center"/>
    </xf>
    <xf numFmtId="170" fontId="0" fillId="0" borderId="0" xfId="0" applyNumberFormat="1"/>
    <xf numFmtId="44" fontId="0" fillId="2" borderId="0" xfId="0" applyNumberFormat="1" applyFill="1"/>
    <xf numFmtId="166" fontId="1" fillId="5" borderId="0" xfId="2" applyNumberFormat="1" applyFont="1" applyFill="1" applyAlignment="1">
      <alignment horizontal="center"/>
    </xf>
    <xf numFmtId="0" fontId="2" fillId="0" borderId="0" xfId="0" applyFont="1"/>
    <xf numFmtId="166" fontId="0" fillId="0" borderId="0" xfId="2" applyNumberFormat="1" applyFont="1"/>
    <xf numFmtId="166" fontId="0" fillId="0" borderId="0" xfId="0" applyNumberFormat="1"/>
    <xf numFmtId="0" fontId="1" fillId="3" borderId="0" xfId="3" applyFont="1" applyFill="1" applyBorder="1" applyAlignment="1">
      <alignment horizontal="center"/>
    </xf>
    <xf numFmtId="171" fontId="7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38" fontId="7" fillId="0" borderId="0" xfId="0" applyNumberFormat="1" applyFont="1"/>
    <xf numFmtId="44" fontId="7" fillId="0" borderId="0" xfId="2" applyFont="1" applyAlignment="1">
      <alignment horizontal="center"/>
    </xf>
    <xf numFmtId="8" fontId="7" fillId="0" borderId="0" xfId="2" applyNumberFormat="1" applyFont="1" applyAlignment="1">
      <alignment horizontal="center"/>
    </xf>
    <xf numFmtId="0" fontId="7" fillId="0" borderId="0" xfId="0" applyFont="1" applyFill="1"/>
    <xf numFmtId="172" fontId="7" fillId="0" borderId="0" xfId="0" applyNumberFormat="1" applyFont="1"/>
    <xf numFmtId="173" fontId="7" fillId="0" borderId="0" xfId="0" applyNumberFormat="1" applyFont="1"/>
    <xf numFmtId="44" fontId="7" fillId="0" borderId="0" xfId="2" applyFont="1"/>
    <xf numFmtId="0" fontId="7" fillId="0" borderId="0" xfId="0" applyFont="1"/>
    <xf numFmtId="174" fontId="7" fillId="0" borderId="0" xfId="1" applyNumberFormat="1" applyFont="1"/>
    <xf numFmtId="44" fontId="7" fillId="0" borderId="0" xfId="0" applyNumberFormat="1" applyFont="1"/>
    <xf numFmtId="15" fontId="7" fillId="0" borderId="0" xfId="0" applyNumberFormat="1" applyFont="1" applyAlignment="1">
      <alignment horizontal="center"/>
    </xf>
    <xf numFmtId="171" fontId="7" fillId="0" borderId="0" xfId="0" applyNumberFormat="1" applyFont="1" applyAlignment="1">
      <alignment horizontal="center"/>
    </xf>
    <xf numFmtId="14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38" fontId="8" fillId="0" borderId="0" xfId="0" applyNumberFormat="1" applyFont="1" applyFill="1"/>
    <xf numFmtId="170" fontId="8" fillId="0" borderId="0" xfId="1" applyNumberFormat="1" applyFont="1" applyFill="1"/>
    <xf numFmtId="43" fontId="8" fillId="0" borderId="0" xfId="1" applyFont="1" applyFill="1" applyAlignment="1">
      <alignment horizontal="center"/>
    </xf>
    <xf numFmtId="170" fontId="8" fillId="0" borderId="0" xfId="1" applyNumberFormat="1" applyFont="1" applyFill="1" applyAlignment="1">
      <alignment horizontal="center"/>
    </xf>
    <xf numFmtId="43" fontId="8" fillId="0" borderId="0" xfId="1" applyFont="1" applyFill="1"/>
    <xf numFmtId="170" fontId="8" fillId="0" borderId="0" xfId="1" applyNumberFormat="1" applyFont="1"/>
    <xf numFmtId="44" fontId="8" fillId="0" borderId="0" xfId="2" applyFont="1"/>
    <xf numFmtId="44" fontId="8" fillId="0" borderId="0" xfId="2" applyFont="1" applyFill="1"/>
    <xf numFmtId="44" fontId="8" fillId="0" borderId="0" xfId="0" applyNumberFormat="1" applyFont="1" applyFill="1"/>
    <xf numFmtId="170" fontId="7" fillId="0" borderId="0" xfId="0" applyNumberFormat="1" applyFont="1"/>
    <xf numFmtId="0" fontId="8" fillId="0" borderId="0" xfId="0" applyFont="1"/>
    <xf numFmtId="170" fontId="7" fillId="0" borderId="0" xfId="1" applyNumberFormat="1" applyFont="1"/>
    <xf numFmtId="43" fontId="8" fillId="0" borderId="0" xfId="1" applyFont="1" applyAlignment="1">
      <alignment horizontal="center"/>
    </xf>
    <xf numFmtId="170" fontId="8" fillId="0" borderId="0" xfId="1" applyNumberFormat="1" applyFont="1" applyAlignment="1">
      <alignment horizontal="center"/>
    </xf>
    <xf numFmtId="170" fontId="8" fillId="2" borderId="0" xfId="1" applyNumberFormat="1" applyFont="1" applyFill="1"/>
    <xf numFmtId="44" fontId="7" fillId="6" borderId="0" xfId="0" applyNumberFormat="1" applyFont="1" applyFill="1"/>
    <xf numFmtId="9" fontId="7" fillId="0" borderId="0" xfId="0" applyNumberFormat="1" applyFont="1"/>
    <xf numFmtId="43" fontId="7" fillId="0" borderId="0" xfId="1" applyFont="1" applyAlignment="1">
      <alignment horizontal="center"/>
    </xf>
    <xf numFmtId="170" fontId="7" fillId="0" borderId="0" xfId="1" applyNumberFormat="1" applyFont="1" applyAlignment="1">
      <alignment horizontal="center"/>
    </xf>
    <xf numFmtId="43" fontId="7" fillId="0" borderId="0" xfId="1" applyFont="1" applyFill="1"/>
    <xf numFmtId="0" fontId="8" fillId="0" borderId="0" xfId="0" applyFont="1" applyFill="1" applyAlignment="1">
      <alignment horizontal="left"/>
    </xf>
    <xf numFmtId="38" fontId="8" fillId="0" borderId="0" xfId="0" applyNumberFormat="1" applyFont="1"/>
    <xf numFmtId="0" fontId="8" fillId="0" borderId="0" xfId="0" applyFont="1" applyAlignment="1">
      <alignment horizontal="left"/>
    </xf>
    <xf numFmtId="43" fontId="7" fillId="0" borderId="0" xfId="0" applyNumberFormat="1" applyFont="1"/>
    <xf numFmtId="44" fontId="8" fillId="0" borderId="0" xfId="0" applyNumberFormat="1" applyFont="1" applyFill="1" applyAlignment="1">
      <alignment horizontal="right"/>
    </xf>
    <xf numFmtId="175" fontId="7" fillId="0" borderId="0" xfId="0" applyNumberFormat="1" applyFont="1" applyAlignment="1">
      <alignment horizontal="center"/>
    </xf>
    <xf numFmtId="44" fontId="7" fillId="0" borderId="0" xfId="0" applyNumberFormat="1" applyFont="1" applyAlignment="1">
      <alignment horizontal="center"/>
    </xf>
    <xf numFmtId="40" fontId="7" fillId="0" borderId="0" xfId="2" applyNumberFormat="1" applyFont="1"/>
    <xf numFmtId="44" fontId="7" fillId="0" borderId="0" xfId="2" applyNumberFormat="1" applyFont="1" applyAlignment="1">
      <alignment horizontal="center"/>
    </xf>
    <xf numFmtId="40" fontId="7" fillId="0" borderId="0" xfId="0" applyNumberFormat="1" applyFont="1"/>
    <xf numFmtId="44" fontId="7" fillId="6" borderId="0" xfId="2" applyFont="1" applyFill="1"/>
    <xf numFmtId="171" fontId="7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38" fontId="7" fillId="0" borderId="2" xfId="0" applyNumberFormat="1" applyFont="1" applyBorder="1"/>
    <xf numFmtId="44" fontId="7" fillId="0" borderId="2" xfId="2" applyFont="1" applyBorder="1" applyAlignment="1">
      <alignment horizontal="center"/>
    </xf>
    <xf numFmtId="8" fontId="7" fillId="0" borderId="2" xfId="2" applyNumberFormat="1" applyFont="1" applyBorder="1" applyAlignment="1">
      <alignment horizontal="center"/>
    </xf>
    <xf numFmtId="0" fontId="7" fillId="0" borderId="2" xfId="0" applyFont="1" applyFill="1" applyBorder="1"/>
    <xf numFmtId="0" fontId="7" fillId="0" borderId="2" xfId="0" applyFont="1" applyBorder="1"/>
    <xf numFmtId="44" fontId="7" fillId="0" borderId="2" xfId="2" applyFont="1" applyBorder="1"/>
    <xf numFmtId="44" fontId="7" fillId="0" borderId="4" xfId="2" applyFont="1" applyBorder="1"/>
    <xf numFmtId="171" fontId="7" fillId="0" borderId="5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8" fontId="7" fillId="0" borderId="0" xfId="0" applyNumberFormat="1" applyFont="1" applyBorder="1"/>
    <xf numFmtId="44" fontId="7" fillId="0" borderId="0" xfId="2" applyFont="1" applyBorder="1" applyAlignment="1">
      <alignment horizontal="center"/>
    </xf>
    <xf numFmtId="8" fontId="7" fillId="0" borderId="0" xfId="2" applyNumberFormat="1" applyFont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Border="1"/>
    <xf numFmtId="44" fontId="7" fillId="0" borderId="0" xfId="2" applyFont="1" applyBorder="1"/>
    <xf numFmtId="44" fontId="7" fillId="0" borderId="7" xfId="2" applyFont="1" applyBorder="1"/>
    <xf numFmtId="43" fontId="7" fillId="0" borderId="0" xfId="1" applyFont="1" applyBorder="1" applyAlignment="1">
      <alignment horizontal="center"/>
    </xf>
    <xf numFmtId="170" fontId="7" fillId="0" borderId="0" xfId="0" applyNumberFormat="1" applyFont="1" applyBorder="1"/>
    <xf numFmtId="44" fontId="7" fillId="0" borderId="0" xfId="0" applyNumberFormat="1" applyFont="1" applyBorder="1" applyAlignment="1">
      <alignment horizontal="center"/>
    </xf>
    <xf numFmtId="44" fontId="7" fillId="0" borderId="0" xfId="2" applyNumberFormat="1" applyFont="1" applyBorder="1" applyAlignment="1">
      <alignment horizontal="center"/>
    </xf>
    <xf numFmtId="171" fontId="7" fillId="0" borderId="8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44" fontId="7" fillId="0" borderId="9" xfId="2" applyFont="1" applyBorder="1" applyAlignment="1">
      <alignment horizontal="center"/>
    </xf>
    <xf numFmtId="38" fontId="7" fillId="0" borderId="9" xfId="0" applyNumberFormat="1" applyFont="1" applyBorder="1"/>
    <xf numFmtId="44" fontId="7" fillId="0" borderId="9" xfId="2" applyNumberFormat="1" applyFont="1" applyBorder="1" applyAlignment="1">
      <alignment horizontal="center"/>
    </xf>
    <xf numFmtId="0" fontId="7" fillId="0" borderId="9" xfId="0" applyFont="1" applyFill="1" applyBorder="1"/>
    <xf numFmtId="0" fontId="7" fillId="0" borderId="9" xfId="0" applyFont="1" applyBorder="1"/>
    <xf numFmtId="44" fontId="7" fillId="0" borderId="9" xfId="2" applyFont="1" applyBorder="1"/>
    <xf numFmtId="44" fontId="7" fillId="0" borderId="11" xfId="2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5">
    <cellStyle name="Comma" xfId="1" builtinId="3"/>
    <cellStyle name="Currency" xfId="2" builtinId="4"/>
    <cellStyle name="Normal" xfId="0" builtinId="0"/>
    <cellStyle name="Normal_NSS Value Summary 3-30-0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cogNSS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love/Local%20Settings/Temporary%20Internet%20Files/OLK611/Wacog%20Settlement%20Tieo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mt MAR GL MAR Prod"/>
      <sheetName val="Entries_Mar."/>
      <sheetName val="04-01 GL Income Stmt APR Prod"/>
      <sheetName val="Entries_Apr. 2001"/>
      <sheetName val="05-01 GL Income Stmt May PROD"/>
      <sheetName val="Entries_May 2001"/>
      <sheetName val="06-01 GL Income Stmt June Prod"/>
      <sheetName val="Entries_june 2001"/>
      <sheetName val="07-01 GL Income Stmt July Prod "/>
      <sheetName val="Entries_july 2001"/>
      <sheetName val="08-01 GL Income Stmt Aug"/>
      <sheetName val="Entries_Aug 2001"/>
      <sheetName val="corr08-01 GL Income Stmt Aug "/>
      <sheetName val="CorrEntries_Aug 2001"/>
      <sheetName val="09-01 GL Income Stmt Sep"/>
      <sheetName val="Entries_Sept 2001"/>
    </sheetNames>
    <sheetDataSet>
      <sheetData sheetId="0"/>
      <sheetData sheetId="1"/>
      <sheetData sheetId="2"/>
      <sheetData sheetId="3"/>
      <sheetData sheetId="4"/>
      <sheetData sheetId="5">
        <row r="36">
          <cell r="D36">
            <v>11019220.692391466</v>
          </cell>
        </row>
        <row r="37">
          <cell r="D37">
            <v>1170432.3076085334</v>
          </cell>
          <cell r="G37">
            <v>11019220.692391466</v>
          </cell>
          <cell r="K37">
            <v>11019220.692391466</v>
          </cell>
        </row>
        <row r="38">
          <cell r="E38">
            <v>0</v>
          </cell>
          <cell r="H38">
            <v>-11019220.692391466</v>
          </cell>
          <cell r="M38">
            <v>-11019220.692391466</v>
          </cell>
        </row>
        <row r="39">
          <cell r="E39">
            <v>-12189653</v>
          </cell>
        </row>
        <row r="40">
          <cell r="D40">
            <v>6644037.5274682958</v>
          </cell>
        </row>
        <row r="41">
          <cell r="D41">
            <v>2310465.2447204748</v>
          </cell>
          <cell r="G41">
            <v>6530869.6922051208</v>
          </cell>
          <cell r="K41">
            <v>6644037.5274682958</v>
          </cell>
        </row>
        <row r="42">
          <cell r="E42">
            <v>-113167.83526317454</v>
          </cell>
          <cell r="H42">
            <v>-6530869.6922051208</v>
          </cell>
          <cell r="M42">
            <v>-17663258.219859764</v>
          </cell>
        </row>
        <row r="43">
          <cell r="E43">
            <v>-8841334.9369255956</v>
          </cell>
        </row>
        <row r="44">
          <cell r="D44">
            <v>9306889.2443412766</v>
          </cell>
        </row>
        <row r="45">
          <cell r="D45">
            <v>220081.00849819818</v>
          </cell>
          <cell r="G45">
            <v>9148489.4041856211</v>
          </cell>
          <cell r="K45">
            <v>9306889.2443412766</v>
          </cell>
        </row>
        <row r="46">
          <cell r="E46">
            <v>-158399.84015565709</v>
          </cell>
          <cell r="H46">
            <v>-9148489.4041856211</v>
          </cell>
          <cell r="M46">
            <v>-26970147.464201041</v>
          </cell>
        </row>
        <row r="47">
          <cell r="E47">
            <v>-9368570.4126838185</v>
          </cell>
        </row>
      </sheetData>
      <sheetData sheetId="6"/>
      <sheetData sheetId="7">
        <row r="48">
          <cell r="D48">
            <v>10039809.562738994</v>
          </cell>
        </row>
        <row r="49">
          <cell r="D49">
            <v>2482681.5148156295</v>
          </cell>
          <cell r="G49">
            <v>9871843.340639323</v>
          </cell>
          <cell r="K49">
            <v>10039809.562738994</v>
          </cell>
        </row>
        <row r="50">
          <cell r="E50">
            <v>-167966.2220996705</v>
          </cell>
          <cell r="H50">
            <v>-9871843.340639323</v>
          </cell>
          <cell r="M50">
            <v>-37009957.026940033</v>
          </cell>
        </row>
        <row r="51">
          <cell r="E51">
            <v>-12354524.855454953</v>
          </cell>
        </row>
      </sheetData>
      <sheetData sheetId="8"/>
      <sheetData sheetId="9"/>
      <sheetData sheetId="10"/>
      <sheetData sheetId="11">
        <row r="56">
          <cell r="D56">
            <v>2302351.3922877139</v>
          </cell>
        </row>
        <row r="57">
          <cell r="D57">
            <v>2481917.2977122865</v>
          </cell>
          <cell r="G57">
            <v>2266263.9379020804</v>
          </cell>
          <cell r="K57">
            <v>2302351.3922877139</v>
          </cell>
        </row>
        <row r="58">
          <cell r="E58">
            <v>-36087.454385633762</v>
          </cell>
          <cell r="H58">
            <v>-2266263.9379020804</v>
          </cell>
          <cell r="M58">
            <v>-45022210.230213188</v>
          </cell>
        </row>
        <row r="59">
          <cell r="E59">
            <v>-4748181.2356143668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"/>
      <sheetName val="Volume"/>
      <sheetName val="Dollars"/>
      <sheetName val="09-01 GL Income Stmt Sep"/>
      <sheetName val="08-01 GL Income Stmt Aug Prod"/>
      <sheetName val="07-01 GL Income Stmt July Prod "/>
      <sheetName val="06-01 GL Income Stmt June Prod"/>
      <sheetName val="05-01 GL Income Stmt May PROD"/>
      <sheetName val="04-01 GL Income Stmt APR Prod"/>
      <sheetName val="Income Stmt Accts ( Mar Prod)"/>
      <sheetName val="Feb.,01 02-01 GL NSS"/>
      <sheetName val="Jan., 01 NSS"/>
      <sheetName val="Dec. NSS"/>
      <sheetName val="Nov NSS"/>
      <sheetName val="Oct NSS"/>
      <sheetName val="Sept NSS"/>
      <sheetName val="August NSS"/>
      <sheetName val="July NSS"/>
      <sheetName val="June"/>
      <sheetName val="May"/>
      <sheetName val="April B&amp;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B58"/>
  <sheetViews>
    <sheetView zoomScale="65" workbookViewId="0">
      <selection activeCell="F18" sqref="F18"/>
    </sheetView>
  </sheetViews>
  <sheetFormatPr defaultRowHeight="12.75" x14ac:dyDescent="0.2"/>
  <cols>
    <col min="1" max="1" width="18.85546875" customWidth="1"/>
    <col min="2" max="2" width="11.28515625" customWidth="1"/>
    <col min="3" max="3" width="13.5703125" bestFit="1" customWidth="1"/>
    <col min="4" max="4" width="14.140625" bestFit="1" customWidth="1"/>
    <col min="5" max="5" width="18.140625" bestFit="1" customWidth="1"/>
    <col min="6" max="6" width="18.140625" style="57" bestFit="1" customWidth="1"/>
    <col min="7" max="7" width="7" bestFit="1" customWidth="1"/>
    <col min="8" max="8" width="12" customWidth="1"/>
    <col min="9" max="9" width="32.7109375" bestFit="1" customWidth="1"/>
    <col min="10" max="10" width="12" customWidth="1"/>
    <col min="11" max="11" width="11.85546875" bestFit="1" customWidth="1"/>
    <col min="12" max="12" width="8.42578125" bestFit="1" customWidth="1"/>
    <col min="13" max="13" width="16.85546875" bestFit="1" customWidth="1"/>
    <col min="14" max="14" width="11.28515625" bestFit="1" customWidth="1"/>
    <col min="15" max="15" width="13.5703125" bestFit="1" customWidth="1"/>
    <col min="16" max="16" width="12.42578125" bestFit="1" customWidth="1"/>
    <col min="17" max="17" width="13.140625" bestFit="1" customWidth="1"/>
    <col min="18" max="18" width="18.140625" bestFit="1" customWidth="1"/>
    <col min="19" max="19" width="14" customWidth="1"/>
    <col min="22" max="22" width="11.28515625" bestFit="1" customWidth="1"/>
    <col min="23" max="23" width="13.5703125" bestFit="1" customWidth="1"/>
    <col min="24" max="24" width="12.42578125" bestFit="1" customWidth="1"/>
    <col min="25" max="25" width="13.140625" bestFit="1" customWidth="1"/>
    <col min="26" max="26" width="18.140625" bestFit="1" customWidth="1"/>
    <col min="27" max="27" width="10" bestFit="1" customWidth="1"/>
  </cols>
  <sheetData>
    <row r="1" spans="1:19" ht="13.5" thickBot="1" x14ac:dyDescent="0.25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31">
        <v>2073170</v>
      </c>
      <c r="Q7" s="88">
        <f>+M7-P7</f>
        <v>88153</v>
      </c>
      <c r="R7" s="2"/>
      <c r="S7" s="2"/>
    </row>
    <row r="8" spans="1:19" x14ac:dyDescent="0.2">
      <c r="A8" s="23">
        <v>36982</v>
      </c>
      <c r="B8" s="24">
        <f t="shared" ref="B8:B19" si="5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31">
        <v>1286773</v>
      </c>
      <c r="Q8" s="88">
        <f t="shared" ref="Q8:Q13" si="6">+M8-P8</f>
        <v>1557</v>
      </c>
      <c r="R8" s="2"/>
      <c r="S8" s="2"/>
    </row>
    <row r="9" spans="1:19" x14ac:dyDescent="0.2">
      <c r="A9" s="23">
        <v>37012</v>
      </c>
      <c r="B9" s="24">
        <f t="shared" si="5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31">
        <v>2067464</v>
      </c>
      <c r="Q9" s="88">
        <f t="shared" si="6"/>
        <v>-2931</v>
      </c>
      <c r="R9" s="2"/>
      <c r="S9" s="2"/>
    </row>
    <row r="10" spans="1:19" x14ac:dyDescent="0.2">
      <c r="A10" s="23">
        <v>37043</v>
      </c>
      <c r="B10" s="24">
        <f t="shared" si="5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31">
        <v>2867180</v>
      </c>
      <c r="Q10" s="88">
        <f t="shared" si="6"/>
        <v>-10077</v>
      </c>
      <c r="R10" s="2"/>
      <c r="S10" s="2"/>
    </row>
    <row r="11" spans="1:19" x14ac:dyDescent="0.2">
      <c r="A11" s="30">
        <v>37073</v>
      </c>
      <c r="B11" s="31">
        <f t="shared" si="5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31">
        <v>2222664</v>
      </c>
      <c r="Q11" s="88">
        <f t="shared" si="6"/>
        <v>12</v>
      </c>
      <c r="R11" s="2"/>
      <c r="S11" s="2"/>
    </row>
    <row r="12" spans="1:19" x14ac:dyDescent="0.2">
      <c r="A12" s="30">
        <v>37104</v>
      </c>
      <c r="B12" s="58">
        <f t="shared" si="5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31">
        <v>1072780</v>
      </c>
      <c r="Q12" s="88">
        <f t="shared" si="6"/>
        <v>12535</v>
      </c>
      <c r="R12" s="2"/>
      <c r="S12" s="2"/>
    </row>
    <row r="13" spans="1:19" x14ac:dyDescent="0.2">
      <c r="A13" s="60">
        <v>37135</v>
      </c>
      <c r="B13" s="61">
        <f t="shared" si="5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31">
        <v>1049348</v>
      </c>
      <c r="Q13" s="88">
        <f t="shared" si="6"/>
        <v>-1049348</v>
      </c>
      <c r="R13" s="2"/>
      <c r="S13" s="2"/>
    </row>
    <row r="14" spans="1:19" x14ac:dyDescent="0.2">
      <c r="A14" s="30">
        <v>37165</v>
      </c>
      <c r="B14" s="31">
        <f t="shared" si="5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30">
        <v>37196</v>
      </c>
      <c r="B15" s="81">
        <f t="shared" si="5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30">
        <v>37226</v>
      </c>
      <c r="B16" s="81">
        <f t="shared" si="5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">
      <c r="A17" s="30">
        <v>37257</v>
      </c>
      <c r="B17" s="81">
        <f t="shared" si="5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">
      <c r="A18" s="30">
        <v>37288</v>
      </c>
      <c r="B18" s="81">
        <f t="shared" si="5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">
      <c r="A19" s="30">
        <v>37316</v>
      </c>
      <c r="B19" s="81">
        <f t="shared" si="5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5" thickBot="1" x14ac:dyDescent="0.25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">
      <c r="A26" s="11"/>
      <c r="B26" s="11"/>
      <c r="C26" s="11"/>
      <c r="D26" s="12"/>
      <c r="E26" s="12"/>
      <c r="F26" s="11"/>
      <c r="G26" s="11"/>
      <c r="H26" s="12"/>
      <c r="I26" s="11"/>
      <c r="J26" s="12"/>
      <c r="K26" s="12"/>
      <c r="L26" s="2"/>
    </row>
    <row r="27" spans="1:28" x14ac:dyDescent="0.2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">
      <c r="A28" s="18" t="s">
        <v>8</v>
      </c>
      <c r="B28" s="18" t="s">
        <v>9</v>
      </c>
      <c r="C28" s="18" t="s">
        <v>9</v>
      </c>
      <c r="D28" s="19" t="s">
        <v>27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">
      <c r="A30" s="68">
        <v>36951</v>
      </c>
      <c r="B30" s="31">
        <f>2391039-229584</f>
        <v>2161455</v>
      </c>
      <c r="C30" s="31">
        <v>2161455</v>
      </c>
      <c r="D30" s="25">
        <v>11019220.692391466</v>
      </c>
      <c r="E30" s="32"/>
      <c r="F30" s="25">
        <f t="shared" ref="F30:F42" si="7">+D30-E30</f>
        <v>11019220.692391466</v>
      </c>
      <c r="G30" s="27"/>
      <c r="H30" s="26">
        <f t="shared" ref="H30:H42" si="8">+F30/B30</f>
        <v>5.0980569534834022</v>
      </c>
      <c r="I30" s="32">
        <v>0</v>
      </c>
      <c r="J30" s="59">
        <v>0</v>
      </c>
      <c r="K30" s="31"/>
      <c r="L30" s="88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37" si="9">+P30-Q30</f>
        <v>0</v>
      </c>
      <c r="S30" s="26">
        <f>IF(R30&lt;&gt;0,+R30/N30,0)</f>
        <v>0</v>
      </c>
      <c r="U30" s="49">
        <v>36951</v>
      </c>
      <c r="V30" s="82">
        <f t="shared" ref="V30:V40" si="10">+B30+N30</f>
        <v>2161455</v>
      </c>
      <c r="W30" s="82">
        <f>+V30</f>
        <v>2161455</v>
      </c>
      <c r="X30" s="25">
        <f t="shared" ref="X30:Z35" si="11">+D30+P30</f>
        <v>11019220.692391466</v>
      </c>
      <c r="Y30" s="25">
        <f t="shared" si="11"/>
        <v>0</v>
      </c>
      <c r="Z30" s="25">
        <f t="shared" si="11"/>
        <v>11019220.692391466</v>
      </c>
      <c r="AA30" s="26">
        <f>IF(Z30&lt;&gt;0,+Z30/V30,0)</f>
        <v>5.0980569534834022</v>
      </c>
      <c r="AB30" s="26"/>
    </row>
    <row r="31" spans="1:28" x14ac:dyDescent="0.2">
      <c r="A31" s="68">
        <v>36982</v>
      </c>
      <c r="B31" s="31">
        <f t="shared" ref="B31:B42" si="12">+C31-C30</f>
        <v>1266261</v>
      </c>
      <c r="C31" s="31">
        <v>3427716</v>
      </c>
      <c r="D31" s="25">
        <f>+D8-D7</f>
        <v>6644037.5274682939</v>
      </c>
      <c r="E31" s="32">
        <v>-91800</v>
      </c>
      <c r="F31" s="25">
        <f t="shared" si="7"/>
        <v>6735837.5274682939</v>
      </c>
      <c r="G31" s="27"/>
      <c r="H31" s="26">
        <f t="shared" si="8"/>
        <v>5.3194700993462591</v>
      </c>
      <c r="I31" s="32">
        <v>-91800</v>
      </c>
      <c r="J31" s="59">
        <v>280165</v>
      </c>
      <c r="K31" s="31"/>
      <c r="L31" s="88"/>
      <c r="M31" s="49">
        <v>36982</v>
      </c>
      <c r="N31">
        <v>0</v>
      </c>
      <c r="O31" s="42">
        <f>+O30+N31</f>
        <v>0</v>
      </c>
      <c r="P31" s="25">
        <v>0</v>
      </c>
      <c r="Q31" s="25">
        <v>0</v>
      </c>
      <c r="R31" s="25">
        <f t="shared" si="9"/>
        <v>0</v>
      </c>
      <c r="S31" s="26">
        <f t="shared" ref="S31:S37" si="13">IF(R31&lt;&gt;0,+R31/N31,0)</f>
        <v>0</v>
      </c>
      <c r="U31" s="49">
        <v>36982</v>
      </c>
      <c r="V31" s="82">
        <f t="shared" si="10"/>
        <v>1266261</v>
      </c>
      <c r="W31" s="82">
        <f>+W30+V31</f>
        <v>3427716</v>
      </c>
      <c r="X31" s="25">
        <f t="shared" si="11"/>
        <v>6644037.5274682939</v>
      </c>
      <c r="Y31" s="25">
        <f t="shared" si="11"/>
        <v>-91800</v>
      </c>
      <c r="Z31" s="25">
        <f t="shared" si="11"/>
        <v>6735837.5274682939</v>
      </c>
      <c r="AA31" s="26">
        <f t="shared" ref="AA31:AA54" si="14">IF(Z31&lt;&gt;0,+Z31/V31,0)</f>
        <v>5.3194700993462591</v>
      </c>
      <c r="AB31" s="26"/>
    </row>
    <row r="32" spans="1:28" x14ac:dyDescent="0.2">
      <c r="A32" s="68">
        <v>37012</v>
      </c>
      <c r="B32" s="31">
        <f t="shared" si="12"/>
        <v>2031347</v>
      </c>
      <c r="C32" s="31">
        <v>5459063</v>
      </c>
      <c r="D32" s="25">
        <f>+D9-D8</f>
        <v>9306889.2443412766</v>
      </c>
      <c r="E32" s="32">
        <v>38672</v>
      </c>
      <c r="F32" s="25">
        <f t="shared" si="7"/>
        <v>9268217.2443412766</v>
      </c>
      <c r="G32" s="27"/>
      <c r="H32" s="26">
        <f t="shared" si="8"/>
        <v>4.5625967618241869</v>
      </c>
      <c r="I32" s="32">
        <v>38672</v>
      </c>
      <c r="J32" s="59">
        <v>1161561</v>
      </c>
      <c r="K32" s="31"/>
      <c r="L32" s="88"/>
      <c r="M32" s="49">
        <v>37012</v>
      </c>
      <c r="N32">
        <v>0</v>
      </c>
      <c r="O32" s="42">
        <f t="shared" ref="O32:O43" si="15">+O31+N32</f>
        <v>0</v>
      </c>
      <c r="P32" s="25">
        <v>0</v>
      </c>
      <c r="Q32" s="25">
        <v>0</v>
      </c>
      <c r="R32" s="25">
        <f t="shared" si="9"/>
        <v>0</v>
      </c>
      <c r="S32" s="26">
        <f t="shared" si="13"/>
        <v>0</v>
      </c>
      <c r="U32" s="49">
        <v>37012</v>
      </c>
      <c r="V32" s="82">
        <f t="shared" si="10"/>
        <v>2031347</v>
      </c>
      <c r="W32" s="82">
        <f t="shared" ref="W32:W54" si="16">+W31+V32</f>
        <v>5459063</v>
      </c>
      <c r="X32" s="25">
        <f t="shared" si="11"/>
        <v>9306889.2443412766</v>
      </c>
      <c r="Y32" s="25">
        <f t="shared" si="11"/>
        <v>38672</v>
      </c>
      <c r="Z32" s="25">
        <f t="shared" si="11"/>
        <v>9268217.2443412766</v>
      </c>
      <c r="AA32" s="26">
        <f t="shared" si="14"/>
        <v>4.5625967618241869</v>
      </c>
      <c r="AB32" s="26"/>
    </row>
    <row r="33" spans="1:28" x14ac:dyDescent="0.2">
      <c r="A33" s="68">
        <v>37043</v>
      </c>
      <c r="B33" s="31">
        <f t="shared" si="12"/>
        <v>2822006</v>
      </c>
      <c r="C33" s="31">
        <v>8281069</v>
      </c>
      <c r="D33" s="25">
        <f>+D10-D9</f>
        <v>10053112.305798966</v>
      </c>
      <c r="E33" s="32">
        <v>2355525</v>
      </c>
      <c r="F33" s="25">
        <f t="shared" si="7"/>
        <v>7697587.3057989664</v>
      </c>
      <c r="G33" s="27"/>
      <c r="H33" s="26">
        <f t="shared" si="8"/>
        <v>2.7277005455689913</v>
      </c>
      <c r="I33" s="32">
        <v>2355525</v>
      </c>
      <c r="J33" s="59">
        <v>-166011</v>
      </c>
      <c r="K33" s="31"/>
      <c r="L33" s="88"/>
      <c r="M33" s="49">
        <v>37043</v>
      </c>
      <c r="N33">
        <v>0</v>
      </c>
      <c r="O33" s="42">
        <f t="shared" si="15"/>
        <v>0</v>
      </c>
      <c r="P33" s="25">
        <v>0</v>
      </c>
      <c r="Q33" s="25">
        <v>0</v>
      </c>
      <c r="R33" s="25">
        <f t="shared" si="9"/>
        <v>0</v>
      </c>
      <c r="S33" s="26">
        <f t="shared" si="13"/>
        <v>0</v>
      </c>
      <c r="U33" s="49">
        <v>37043</v>
      </c>
      <c r="V33" s="82">
        <f t="shared" si="10"/>
        <v>2822006</v>
      </c>
      <c r="W33" s="82">
        <f t="shared" si="16"/>
        <v>8281069</v>
      </c>
      <c r="X33" s="25">
        <f t="shared" si="11"/>
        <v>10053112.305798966</v>
      </c>
      <c r="Y33" s="25">
        <f t="shared" si="11"/>
        <v>2355525</v>
      </c>
      <c r="Z33" s="25">
        <f t="shared" si="11"/>
        <v>7697587.3057989664</v>
      </c>
      <c r="AA33" s="26">
        <f t="shared" si="14"/>
        <v>2.7277005455689913</v>
      </c>
      <c r="AB33" s="26"/>
    </row>
    <row r="34" spans="1:28" x14ac:dyDescent="0.2">
      <c r="A34" s="49">
        <v>37073</v>
      </c>
      <c r="B34" s="31">
        <f t="shared" si="12"/>
        <v>2179520</v>
      </c>
      <c r="C34" s="31">
        <v>10460589</v>
      </c>
      <c r="D34" s="32">
        <f>+D11-D10</f>
        <v>5696599.0700000003</v>
      </c>
      <c r="E34" s="32">
        <v>171120</v>
      </c>
      <c r="F34" s="32">
        <f t="shared" si="7"/>
        <v>5525479.0700000003</v>
      </c>
      <c r="G34" s="36"/>
      <c r="H34" s="33">
        <f t="shared" si="8"/>
        <v>2.5351816317354281</v>
      </c>
      <c r="I34" s="32">
        <v>171120</v>
      </c>
      <c r="J34" s="59">
        <v>-1625468</v>
      </c>
      <c r="K34" s="31"/>
      <c r="L34" s="88"/>
      <c r="M34" s="49">
        <v>37073</v>
      </c>
      <c r="N34">
        <v>0</v>
      </c>
      <c r="O34" s="42">
        <f t="shared" si="15"/>
        <v>0</v>
      </c>
      <c r="P34" s="32">
        <v>0</v>
      </c>
      <c r="Q34" s="32">
        <v>0</v>
      </c>
      <c r="R34" s="25">
        <f t="shared" si="9"/>
        <v>0</v>
      </c>
      <c r="S34" s="26">
        <f t="shared" si="13"/>
        <v>0</v>
      </c>
      <c r="U34" s="49">
        <v>37073</v>
      </c>
      <c r="V34" s="82">
        <f t="shared" si="10"/>
        <v>2179520</v>
      </c>
      <c r="W34" s="82">
        <f t="shared" si="16"/>
        <v>10460589</v>
      </c>
      <c r="X34" s="25">
        <f t="shared" si="11"/>
        <v>5696599.0700000003</v>
      </c>
      <c r="Y34" s="25">
        <f t="shared" si="11"/>
        <v>171120</v>
      </c>
      <c r="Z34" s="25">
        <f t="shared" si="11"/>
        <v>5525479.0700000003</v>
      </c>
      <c r="AA34" s="26">
        <f t="shared" si="14"/>
        <v>2.5351816317354281</v>
      </c>
      <c r="AB34" s="33"/>
    </row>
    <row r="35" spans="1:28" x14ac:dyDescent="0.2">
      <c r="A35" s="49">
        <v>37104</v>
      </c>
      <c r="B35" s="31">
        <f t="shared" si="12"/>
        <v>976685</v>
      </c>
      <c r="C35" s="31">
        <v>11437274</v>
      </c>
      <c r="D35" s="32">
        <f>+D12-D11</f>
        <v>2302351.3899999931</v>
      </c>
      <c r="E35" s="32">
        <v>172282.5</v>
      </c>
      <c r="F35" s="32">
        <f t="shared" si="7"/>
        <v>2130068.8899999931</v>
      </c>
      <c r="G35" s="36"/>
      <c r="H35" s="33">
        <f t="shared" si="8"/>
        <v>2.1809169691353847</v>
      </c>
      <c r="I35" s="32">
        <v>172282.5</v>
      </c>
      <c r="J35" s="59">
        <v>-118846</v>
      </c>
      <c r="K35" s="31"/>
      <c r="L35" s="88"/>
      <c r="M35" s="49">
        <v>37104</v>
      </c>
      <c r="N35">
        <v>0</v>
      </c>
      <c r="O35" s="42">
        <f t="shared" si="15"/>
        <v>0</v>
      </c>
      <c r="P35" s="32">
        <v>0</v>
      </c>
      <c r="Q35" s="32">
        <v>0</v>
      </c>
      <c r="R35" s="25">
        <f t="shared" si="9"/>
        <v>0</v>
      </c>
      <c r="S35" s="26">
        <f t="shared" si="13"/>
        <v>0</v>
      </c>
      <c r="U35" s="49">
        <v>37104</v>
      </c>
      <c r="V35" s="82">
        <f t="shared" si="10"/>
        <v>976685</v>
      </c>
      <c r="W35" s="82">
        <f t="shared" si="16"/>
        <v>11437274</v>
      </c>
      <c r="X35" s="25">
        <f t="shared" si="11"/>
        <v>2302351.3899999931</v>
      </c>
      <c r="Y35" s="25">
        <f t="shared" si="11"/>
        <v>172282.5</v>
      </c>
      <c r="Z35" s="25">
        <f t="shared" si="11"/>
        <v>2130068.8899999931</v>
      </c>
      <c r="AA35" s="26">
        <f t="shared" si="14"/>
        <v>2.1809169691353847</v>
      </c>
      <c r="AB35" s="33"/>
    </row>
    <row r="36" spans="1:28" x14ac:dyDescent="0.2">
      <c r="A36" s="49">
        <v>37135</v>
      </c>
      <c r="B36" s="31">
        <f t="shared" si="12"/>
        <v>1887128</v>
      </c>
      <c r="C36" s="31">
        <v>13324402</v>
      </c>
      <c r="D36" s="32"/>
      <c r="E36" s="32">
        <v>-3742835</v>
      </c>
      <c r="F36" s="32">
        <f t="shared" si="7"/>
        <v>3742835</v>
      </c>
      <c r="G36" s="36"/>
      <c r="H36" s="33">
        <f t="shared" si="8"/>
        <v>1.9833498310660431</v>
      </c>
      <c r="I36" s="32"/>
      <c r="K36" s="31"/>
      <c r="L36" s="88"/>
      <c r="M36" s="49">
        <v>37135</v>
      </c>
      <c r="N36">
        <v>0</v>
      </c>
      <c r="O36" s="42">
        <f t="shared" si="15"/>
        <v>0</v>
      </c>
      <c r="P36" s="32">
        <v>0</v>
      </c>
      <c r="Q36" s="32">
        <v>0</v>
      </c>
      <c r="R36" s="25">
        <f t="shared" si="9"/>
        <v>0</v>
      </c>
      <c r="S36" s="26">
        <f t="shared" si="13"/>
        <v>0</v>
      </c>
      <c r="U36" s="49">
        <v>37135</v>
      </c>
      <c r="V36" s="82">
        <f t="shared" si="10"/>
        <v>1887128</v>
      </c>
      <c r="W36" s="82">
        <f t="shared" si="16"/>
        <v>13324402</v>
      </c>
      <c r="X36" s="25">
        <f t="shared" ref="X36:Z40" si="17">+D36+P36</f>
        <v>0</v>
      </c>
      <c r="Y36" s="25">
        <f t="shared" si="17"/>
        <v>-3742835</v>
      </c>
      <c r="Z36" s="25">
        <f t="shared" si="17"/>
        <v>3742835</v>
      </c>
      <c r="AA36" s="26">
        <f t="shared" si="14"/>
        <v>1.9833498310660431</v>
      </c>
      <c r="AB36" s="33"/>
    </row>
    <row r="37" spans="1:28" x14ac:dyDescent="0.2">
      <c r="A37" s="49">
        <v>37165</v>
      </c>
      <c r="B37" s="31">
        <f t="shared" si="12"/>
        <v>1627317</v>
      </c>
      <c r="C37" s="31">
        <v>14951719</v>
      </c>
      <c r="D37" s="32"/>
      <c r="E37" s="83">
        <v>-4647960</v>
      </c>
      <c r="F37" s="32">
        <f t="shared" si="7"/>
        <v>4647960</v>
      </c>
      <c r="G37" s="36"/>
      <c r="H37" s="33">
        <f t="shared" si="8"/>
        <v>2.8562105600814101</v>
      </c>
      <c r="I37" s="32"/>
      <c r="J37" s="32"/>
      <c r="K37" s="32"/>
      <c r="L37" s="2"/>
      <c r="M37" s="49">
        <v>37165</v>
      </c>
      <c r="N37">
        <v>0</v>
      </c>
      <c r="O37" s="42">
        <f t="shared" si="15"/>
        <v>0</v>
      </c>
      <c r="P37" s="32">
        <v>0</v>
      </c>
      <c r="Q37" s="83">
        <v>0</v>
      </c>
      <c r="R37" s="25">
        <f t="shared" si="9"/>
        <v>0</v>
      </c>
      <c r="S37" s="26">
        <f t="shared" si="13"/>
        <v>0</v>
      </c>
      <c r="U37" s="49">
        <v>37165</v>
      </c>
      <c r="V37" s="82">
        <f t="shared" si="10"/>
        <v>1627317</v>
      </c>
      <c r="W37" s="82">
        <f t="shared" si="16"/>
        <v>14951719</v>
      </c>
      <c r="X37" s="25">
        <f t="shared" si="17"/>
        <v>0</v>
      </c>
      <c r="Y37" s="25">
        <f t="shared" si="17"/>
        <v>-4647960</v>
      </c>
      <c r="Z37" s="25">
        <f t="shared" si="17"/>
        <v>4647960</v>
      </c>
      <c r="AA37" s="26">
        <f t="shared" si="14"/>
        <v>2.8562105600814101</v>
      </c>
      <c r="AB37" s="33"/>
    </row>
    <row r="38" spans="1:28" x14ac:dyDescent="0.2">
      <c r="A38" s="49">
        <v>37196</v>
      </c>
      <c r="B38" s="81">
        <f t="shared" si="12"/>
        <v>-2564363</v>
      </c>
      <c r="C38" s="31">
        <v>12387356</v>
      </c>
      <c r="D38" s="32"/>
      <c r="E38" s="83">
        <v>5425585</v>
      </c>
      <c r="F38" s="32">
        <f t="shared" si="7"/>
        <v>-5425585</v>
      </c>
      <c r="G38" s="36"/>
      <c r="H38" s="33">
        <f t="shared" si="8"/>
        <v>2.1157632519265017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5"/>
        <v>2750000</v>
      </c>
      <c r="P38" s="32"/>
      <c r="Q38" s="83">
        <v>-7435588</v>
      </c>
      <c r="R38" s="25">
        <f t="shared" ref="R38:R54" si="18">+P38-Q38</f>
        <v>7435588</v>
      </c>
      <c r="S38" s="26">
        <f>IF(R38&lt;&gt;0,+R38/N38,0)</f>
        <v>2.7038501818181819</v>
      </c>
      <c r="T38" s="36"/>
      <c r="U38" s="49">
        <v>37196</v>
      </c>
      <c r="V38" s="82">
        <f t="shared" si="10"/>
        <v>185637</v>
      </c>
      <c r="W38" s="82">
        <f t="shared" si="16"/>
        <v>15137356</v>
      </c>
      <c r="X38" s="25">
        <f t="shared" si="17"/>
        <v>0</v>
      </c>
      <c r="Y38" s="25">
        <f t="shared" si="17"/>
        <v>-2010003</v>
      </c>
      <c r="Z38" s="25">
        <f t="shared" si="17"/>
        <v>2010003</v>
      </c>
      <c r="AA38" s="26">
        <f t="shared" si="14"/>
        <v>10.827599023901485</v>
      </c>
      <c r="AB38" s="33"/>
    </row>
    <row r="39" spans="1:28" x14ac:dyDescent="0.2">
      <c r="A39" s="49">
        <v>37226</v>
      </c>
      <c r="B39" s="81">
        <f t="shared" si="12"/>
        <v>-4920003</v>
      </c>
      <c r="C39" s="31">
        <v>7467353</v>
      </c>
      <c r="D39" s="32"/>
      <c r="E39" s="83">
        <v>15772292</v>
      </c>
      <c r="F39" s="32">
        <f t="shared" si="7"/>
        <v>-15772292</v>
      </c>
      <c r="G39" s="36"/>
      <c r="H39" s="33">
        <f t="shared" si="8"/>
        <v>3.2057484517793995</v>
      </c>
      <c r="I39" s="32"/>
      <c r="J39" s="32"/>
      <c r="K39" s="32"/>
      <c r="L39" s="32"/>
      <c r="M39" s="49">
        <v>37226</v>
      </c>
      <c r="N39" s="42">
        <f>1000000+1000000</f>
        <v>2000000</v>
      </c>
      <c r="O39" s="42">
        <f t="shared" si="15"/>
        <v>4750000</v>
      </c>
      <c r="P39" s="32"/>
      <c r="Q39" s="83">
        <v>-5499760</v>
      </c>
      <c r="R39" s="25">
        <f t="shared" si="18"/>
        <v>5499760</v>
      </c>
      <c r="S39" s="26">
        <f>IF(R39&lt;&gt;0,+R39/N39,0)</f>
        <v>2.7498800000000001</v>
      </c>
      <c r="T39" s="36"/>
      <c r="U39" s="49">
        <v>37226</v>
      </c>
      <c r="V39" s="82">
        <f t="shared" si="10"/>
        <v>-2920003</v>
      </c>
      <c r="W39" s="82">
        <f t="shared" si="16"/>
        <v>12217353</v>
      </c>
      <c r="X39" s="25">
        <f t="shared" si="17"/>
        <v>0</v>
      </c>
      <c r="Y39" s="25">
        <f t="shared" si="17"/>
        <v>10272532</v>
      </c>
      <c r="Z39" s="25">
        <f t="shared" si="17"/>
        <v>-10272532</v>
      </c>
      <c r="AA39" s="26">
        <f t="shared" si="14"/>
        <v>3.5179867965889078</v>
      </c>
      <c r="AB39" s="33"/>
    </row>
    <row r="40" spans="1:28" x14ac:dyDescent="0.2">
      <c r="A40" s="49">
        <v>37257</v>
      </c>
      <c r="B40" s="81">
        <f t="shared" si="12"/>
        <v>-2162337</v>
      </c>
      <c r="C40" s="31">
        <v>5305016</v>
      </c>
      <c r="D40" s="32"/>
      <c r="E40" s="83">
        <v>8163877</v>
      </c>
      <c r="F40" s="32">
        <f t="shared" si="7"/>
        <v>-8163877</v>
      </c>
      <c r="G40" s="36"/>
      <c r="H40" s="33">
        <f t="shared" si="8"/>
        <v>3.7754878171163884</v>
      </c>
      <c r="I40" s="32"/>
      <c r="J40" s="32"/>
      <c r="K40" s="32"/>
      <c r="L40" s="32"/>
      <c r="M40" s="49">
        <v>37257</v>
      </c>
      <c r="N40" s="42"/>
      <c r="O40" s="42">
        <f>+O39+N40</f>
        <v>4750000</v>
      </c>
      <c r="P40" s="32"/>
      <c r="Q40" s="83"/>
      <c r="R40" s="25">
        <f t="shared" si="18"/>
        <v>0</v>
      </c>
      <c r="S40" s="26">
        <f t="shared" ref="S40:S54" si="19">IF(R40&lt;&gt;0,+R40/N40,0)</f>
        <v>0</v>
      </c>
      <c r="T40" s="36"/>
      <c r="U40" s="49">
        <v>37257</v>
      </c>
      <c r="V40" s="82">
        <f t="shared" si="10"/>
        <v>-2162337</v>
      </c>
      <c r="W40" s="82">
        <f t="shared" si="16"/>
        <v>10055016</v>
      </c>
      <c r="X40" s="25">
        <f t="shared" si="17"/>
        <v>0</v>
      </c>
      <c r="Y40" s="25">
        <f t="shared" si="17"/>
        <v>8163877</v>
      </c>
      <c r="Z40" s="25">
        <f t="shared" si="17"/>
        <v>-8163877</v>
      </c>
      <c r="AA40" s="26">
        <f t="shared" si="14"/>
        <v>3.7754878171163884</v>
      </c>
      <c r="AB40" s="33"/>
    </row>
    <row r="41" spans="1:28" x14ac:dyDescent="0.2">
      <c r="A41" s="49">
        <v>37288</v>
      </c>
      <c r="B41" s="81">
        <f t="shared" si="12"/>
        <v>-2002604</v>
      </c>
      <c r="C41" s="31">
        <v>3302412</v>
      </c>
      <c r="D41" s="32"/>
      <c r="E41" s="83">
        <v>12600962</v>
      </c>
      <c r="F41" s="32">
        <f t="shared" si="7"/>
        <v>-12600962</v>
      </c>
      <c r="G41" s="36"/>
      <c r="H41" s="33">
        <f t="shared" si="8"/>
        <v>6.292288440450533</v>
      </c>
      <c r="I41" s="32"/>
      <c r="J41" s="32"/>
      <c r="K41" s="32"/>
      <c r="L41" s="32"/>
      <c r="M41" s="49">
        <v>37288</v>
      </c>
      <c r="N41" s="42"/>
      <c r="O41" s="42">
        <f t="shared" si="15"/>
        <v>4750000</v>
      </c>
      <c r="P41" s="32"/>
      <c r="Q41" s="83"/>
      <c r="R41" s="25">
        <f t="shared" si="18"/>
        <v>0</v>
      </c>
      <c r="S41" s="26">
        <f t="shared" si="19"/>
        <v>0</v>
      </c>
      <c r="T41" s="36"/>
      <c r="U41" s="49">
        <v>37288</v>
      </c>
      <c r="V41" s="82">
        <f t="shared" ref="V41:V54" si="20">+B41+N41</f>
        <v>-2002604</v>
      </c>
      <c r="W41" s="82">
        <f t="shared" si="16"/>
        <v>8052412</v>
      </c>
      <c r="X41" s="25">
        <f t="shared" ref="X41:X54" si="21">+D41+P41</f>
        <v>0</v>
      </c>
      <c r="Y41" s="25">
        <f t="shared" ref="Y41:Y54" si="22">+E41+Q41</f>
        <v>12600962</v>
      </c>
      <c r="Z41" s="25">
        <f t="shared" ref="Z41:Z54" si="23">+F41+R41</f>
        <v>-12600962</v>
      </c>
      <c r="AA41" s="26">
        <f t="shared" si="14"/>
        <v>6.292288440450533</v>
      </c>
      <c r="AB41" s="33"/>
    </row>
    <row r="42" spans="1:28" x14ac:dyDescent="0.2">
      <c r="A42" s="49">
        <v>37316</v>
      </c>
      <c r="B42" s="81">
        <f t="shared" si="12"/>
        <v>-3302412</v>
      </c>
      <c r="C42" s="31">
        <v>0</v>
      </c>
      <c r="D42" s="32"/>
      <c r="E42" s="83">
        <v>18483449</v>
      </c>
      <c r="F42" s="32">
        <f t="shared" si="7"/>
        <v>-18483449</v>
      </c>
      <c r="G42" s="36"/>
      <c r="H42" s="33">
        <f t="shared" si="8"/>
        <v>5.5969542867455662</v>
      </c>
      <c r="I42" s="32"/>
      <c r="J42" s="32"/>
      <c r="K42" s="32"/>
      <c r="L42" s="32"/>
      <c r="M42" s="49">
        <v>37316</v>
      </c>
      <c r="N42" s="42"/>
      <c r="O42" s="42">
        <f t="shared" si="15"/>
        <v>4750000</v>
      </c>
      <c r="P42" s="32"/>
      <c r="Q42" s="83"/>
      <c r="R42" s="25">
        <f t="shared" si="18"/>
        <v>0</v>
      </c>
      <c r="S42" s="26">
        <f t="shared" si="19"/>
        <v>0</v>
      </c>
      <c r="T42" s="36"/>
      <c r="U42" s="49">
        <v>37316</v>
      </c>
      <c r="V42" s="82">
        <f t="shared" si="20"/>
        <v>-3302412</v>
      </c>
      <c r="W42" s="82">
        <f t="shared" si="16"/>
        <v>4750000</v>
      </c>
      <c r="X42" s="25">
        <f t="shared" si="21"/>
        <v>0</v>
      </c>
      <c r="Y42" s="25">
        <f t="shared" si="22"/>
        <v>18483449</v>
      </c>
      <c r="Z42" s="25">
        <f t="shared" si="23"/>
        <v>-18483449</v>
      </c>
      <c r="AA42" s="26">
        <f t="shared" si="14"/>
        <v>5.5969542867455662</v>
      </c>
      <c r="AB42" s="33"/>
    </row>
    <row r="43" spans="1:28" x14ac:dyDescent="0.2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5"/>
        <v>6750000</v>
      </c>
      <c r="P43" s="32"/>
      <c r="Q43" s="83">
        <v>-6599748</v>
      </c>
      <c r="R43" s="25">
        <f t="shared" si="18"/>
        <v>6599748</v>
      </c>
      <c r="S43" s="26">
        <f t="shared" si="19"/>
        <v>3.299874</v>
      </c>
      <c r="T43" s="36"/>
      <c r="U43" s="49">
        <v>37347</v>
      </c>
      <c r="V43" s="82">
        <f t="shared" si="20"/>
        <v>2000000</v>
      </c>
      <c r="W43" s="82">
        <f t="shared" si="16"/>
        <v>6750000</v>
      </c>
      <c r="X43" s="25">
        <f t="shared" si="21"/>
        <v>0</v>
      </c>
      <c r="Y43" s="25">
        <f t="shared" si="22"/>
        <v>-6599748</v>
      </c>
      <c r="Z43" s="25">
        <f t="shared" si="23"/>
        <v>6599748</v>
      </c>
      <c r="AA43" s="26">
        <f t="shared" si="14"/>
        <v>3.299874</v>
      </c>
      <c r="AB43" s="33"/>
    </row>
    <row r="44" spans="1:28" x14ac:dyDescent="0.2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>+O43+N44</f>
        <v>8750000</v>
      </c>
      <c r="P44" s="76"/>
      <c r="Q44" s="83">
        <v>-6601308</v>
      </c>
      <c r="R44" s="25">
        <f t="shared" si="18"/>
        <v>6601308</v>
      </c>
      <c r="S44" s="26">
        <f t="shared" si="19"/>
        <v>3.3006540000000002</v>
      </c>
      <c r="T44" s="36"/>
      <c r="U44" s="49">
        <v>37377</v>
      </c>
      <c r="V44" s="82">
        <f t="shared" si="20"/>
        <v>2000000</v>
      </c>
      <c r="W44" s="82">
        <f t="shared" si="16"/>
        <v>8750000</v>
      </c>
      <c r="X44" s="25">
        <f t="shared" si="21"/>
        <v>0</v>
      </c>
      <c r="Y44" s="25">
        <f t="shared" si="22"/>
        <v>-6601308</v>
      </c>
      <c r="Z44" s="25">
        <f t="shared" si="23"/>
        <v>6601308</v>
      </c>
      <c r="AA44" s="26">
        <f t="shared" si="14"/>
        <v>3.3006540000000002</v>
      </c>
      <c r="AB44" s="76"/>
    </row>
    <row r="45" spans="1:28" x14ac:dyDescent="0.2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>
        <v>1000000</v>
      </c>
      <c r="O45" s="42">
        <f>+O44+N45</f>
        <v>9750000</v>
      </c>
      <c r="P45" s="76"/>
      <c r="Q45" s="83">
        <v>-2728724</v>
      </c>
      <c r="R45" s="25">
        <f t="shared" si="18"/>
        <v>2728724</v>
      </c>
      <c r="S45" s="26">
        <f t="shared" si="19"/>
        <v>2.7287240000000001</v>
      </c>
      <c r="T45" s="36"/>
      <c r="U45" s="49">
        <v>37408</v>
      </c>
      <c r="V45" s="82">
        <f t="shared" si="20"/>
        <v>1000000</v>
      </c>
      <c r="W45" s="82">
        <f t="shared" si="16"/>
        <v>9750000</v>
      </c>
      <c r="X45" s="25">
        <f t="shared" si="21"/>
        <v>0</v>
      </c>
      <c r="Y45" s="25">
        <f t="shared" si="22"/>
        <v>-2728724</v>
      </c>
      <c r="Z45" s="25">
        <f t="shared" si="23"/>
        <v>2728724</v>
      </c>
      <c r="AA45" s="26">
        <f t="shared" si="14"/>
        <v>2.7287240000000001</v>
      </c>
      <c r="AB45" s="76"/>
    </row>
    <row r="46" spans="1:28" x14ac:dyDescent="0.2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ref="O46:O53" si="24">+O45+N46</f>
        <v>9750000</v>
      </c>
      <c r="P46" s="72"/>
      <c r="Q46" s="83"/>
      <c r="R46" s="25">
        <f t="shared" si="18"/>
        <v>0</v>
      </c>
      <c r="S46" s="26">
        <f t="shared" si="19"/>
        <v>0</v>
      </c>
      <c r="T46" s="36"/>
      <c r="U46" s="49">
        <v>37438</v>
      </c>
      <c r="V46" s="82">
        <f t="shared" si="20"/>
        <v>0</v>
      </c>
      <c r="W46" s="82">
        <f t="shared" si="16"/>
        <v>9750000</v>
      </c>
      <c r="X46" s="25">
        <f t="shared" si="21"/>
        <v>0</v>
      </c>
      <c r="Y46" s="25">
        <f t="shared" si="22"/>
        <v>0</v>
      </c>
      <c r="Z46" s="25">
        <f t="shared" si="23"/>
        <v>0</v>
      </c>
      <c r="AA46" s="26">
        <f t="shared" si="14"/>
        <v>0</v>
      </c>
      <c r="AB46" s="72"/>
    </row>
    <row r="47" spans="1:28" x14ac:dyDescent="0.2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24"/>
        <v>9750000</v>
      </c>
      <c r="P47" s="72"/>
      <c r="Q47" s="83"/>
      <c r="R47" s="25">
        <f t="shared" si="18"/>
        <v>0</v>
      </c>
      <c r="S47" s="26">
        <f t="shared" si="19"/>
        <v>0</v>
      </c>
      <c r="T47" s="36"/>
      <c r="U47" s="49">
        <v>37469</v>
      </c>
      <c r="V47" s="82">
        <f t="shared" si="20"/>
        <v>0</v>
      </c>
      <c r="W47" s="82">
        <f t="shared" si="16"/>
        <v>9750000</v>
      </c>
      <c r="X47" s="25">
        <f t="shared" si="21"/>
        <v>0</v>
      </c>
      <c r="Y47" s="25">
        <f t="shared" si="22"/>
        <v>0</v>
      </c>
      <c r="Z47" s="25">
        <f t="shared" si="23"/>
        <v>0</v>
      </c>
      <c r="AA47" s="26">
        <f t="shared" si="14"/>
        <v>0</v>
      </c>
      <c r="AB47" s="72"/>
    </row>
    <row r="48" spans="1:28" x14ac:dyDescent="0.2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24"/>
        <v>8750000</v>
      </c>
      <c r="P48" s="72"/>
      <c r="Q48" s="83">
        <v>2994212</v>
      </c>
      <c r="R48" s="25">
        <f t="shared" si="18"/>
        <v>-2994212</v>
      </c>
      <c r="S48" s="26">
        <f t="shared" si="19"/>
        <v>2.9942120000000001</v>
      </c>
      <c r="T48" s="36"/>
      <c r="U48" s="49">
        <v>37500</v>
      </c>
      <c r="V48" s="82">
        <f t="shared" si="20"/>
        <v>-1000000</v>
      </c>
      <c r="W48" s="82">
        <f t="shared" si="16"/>
        <v>8750000</v>
      </c>
      <c r="X48" s="25">
        <f t="shared" si="21"/>
        <v>0</v>
      </c>
      <c r="Y48" s="25">
        <f t="shared" si="22"/>
        <v>2994212</v>
      </c>
      <c r="Z48" s="25">
        <f t="shared" si="23"/>
        <v>-2994212</v>
      </c>
      <c r="AA48" s="26">
        <f t="shared" si="14"/>
        <v>2.9942120000000001</v>
      </c>
      <c r="AB48" s="72"/>
    </row>
    <row r="49" spans="1:28" x14ac:dyDescent="0.2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24"/>
        <v>6000000</v>
      </c>
      <c r="P49" s="72"/>
      <c r="Q49" s="83">
        <v>8452256</v>
      </c>
      <c r="R49" s="25">
        <f t="shared" si="18"/>
        <v>-8452256</v>
      </c>
      <c r="S49" s="26">
        <f t="shared" si="19"/>
        <v>3.0735476363636365</v>
      </c>
      <c r="T49" s="36"/>
      <c r="U49" s="49">
        <v>37530</v>
      </c>
      <c r="V49" s="82">
        <f t="shared" si="20"/>
        <v>-2750000</v>
      </c>
      <c r="W49" s="82">
        <f t="shared" si="16"/>
        <v>6000000</v>
      </c>
      <c r="X49" s="25">
        <f t="shared" si="21"/>
        <v>0</v>
      </c>
      <c r="Y49" s="25">
        <f t="shared" si="22"/>
        <v>8452256</v>
      </c>
      <c r="Z49" s="25">
        <f t="shared" si="23"/>
        <v>-8452256</v>
      </c>
      <c r="AA49" s="26">
        <f t="shared" si="14"/>
        <v>3.0735476363636365</v>
      </c>
      <c r="AB49" s="72"/>
    </row>
    <row r="50" spans="1:28" x14ac:dyDescent="0.2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24"/>
        <v>6000000</v>
      </c>
      <c r="P50" s="72"/>
      <c r="Q50" s="83"/>
      <c r="R50" s="25">
        <f t="shared" si="18"/>
        <v>0</v>
      </c>
      <c r="S50" s="26">
        <f t="shared" si="19"/>
        <v>0</v>
      </c>
      <c r="T50" s="36"/>
      <c r="U50" s="49">
        <v>37561</v>
      </c>
      <c r="V50" s="82">
        <f t="shared" si="20"/>
        <v>0</v>
      </c>
      <c r="W50" s="82">
        <f t="shared" si="16"/>
        <v>6000000</v>
      </c>
      <c r="X50" s="25">
        <f t="shared" si="21"/>
        <v>0</v>
      </c>
      <c r="Y50" s="25">
        <f t="shared" si="22"/>
        <v>0</v>
      </c>
      <c r="Z50" s="25">
        <f t="shared" si="23"/>
        <v>0</v>
      </c>
      <c r="AA50" s="26">
        <f t="shared" si="14"/>
        <v>0</v>
      </c>
      <c r="AB50" s="72"/>
    </row>
    <row r="51" spans="1:28" x14ac:dyDescent="0.2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24"/>
        <v>6000000</v>
      </c>
      <c r="P51" s="72"/>
      <c r="Q51" s="83"/>
      <c r="R51" s="25">
        <f t="shared" si="18"/>
        <v>0</v>
      </c>
      <c r="S51" s="26">
        <f t="shared" si="19"/>
        <v>0</v>
      </c>
      <c r="T51" s="36"/>
      <c r="U51" s="49">
        <v>37591</v>
      </c>
      <c r="V51" s="82">
        <f t="shared" si="20"/>
        <v>0</v>
      </c>
      <c r="W51" s="82">
        <f t="shared" si="16"/>
        <v>6000000</v>
      </c>
      <c r="X51" s="25">
        <f t="shared" si="21"/>
        <v>0</v>
      </c>
      <c r="Y51" s="25">
        <f t="shared" si="22"/>
        <v>0</v>
      </c>
      <c r="Z51" s="25">
        <f t="shared" si="23"/>
        <v>0</v>
      </c>
      <c r="AA51" s="26">
        <f t="shared" si="14"/>
        <v>0</v>
      </c>
      <c r="AB51" s="72"/>
    </row>
    <row r="52" spans="1:28" x14ac:dyDescent="0.2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24"/>
        <v>6000000</v>
      </c>
      <c r="P52" s="72"/>
      <c r="Q52" s="83"/>
      <c r="R52" s="25">
        <f t="shared" si="18"/>
        <v>0</v>
      </c>
      <c r="S52" s="26">
        <f t="shared" si="19"/>
        <v>0</v>
      </c>
      <c r="T52" s="36"/>
      <c r="U52" s="49">
        <v>37622</v>
      </c>
      <c r="V52" s="82">
        <f t="shared" si="20"/>
        <v>0</v>
      </c>
      <c r="W52" s="82">
        <f t="shared" si="16"/>
        <v>6000000</v>
      </c>
      <c r="X52" s="25">
        <f t="shared" si="21"/>
        <v>0</v>
      </c>
      <c r="Y52" s="25">
        <f t="shared" si="22"/>
        <v>0</v>
      </c>
      <c r="Z52" s="25">
        <f t="shared" si="23"/>
        <v>0</v>
      </c>
      <c r="AA52" s="26">
        <f t="shared" si="14"/>
        <v>0</v>
      </c>
      <c r="AB52" s="72"/>
    </row>
    <row r="53" spans="1:28" x14ac:dyDescent="0.2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24"/>
        <v>6000000</v>
      </c>
      <c r="P53" s="76"/>
      <c r="Q53" s="83"/>
      <c r="R53" s="25">
        <f t="shared" si="18"/>
        <v>0</v>
      </c>
      <c r="S53" s="26">
        <f t="shared" si="19"/>
        <v>0</v>
      </c>
      <c r="T53" s="36"/>
      <c r="U53" s="49">
        <v>37653</v>
      </c>
      <c r="V53" s="82">
        <f t="shared" si="20"/>
        <v>0</v>
      </c>
      <c r="W53" s="82">
        <f t="shared" si="16"/>
        <v>6000000</v>
      </c>
      <c r="X53" s="25">
        <f t="shared" si="21"/>
        <v>0</v>
      </c>
      <c r="Y53" s="25">
        <f t="shared" si="22"/>
        <v>0</v>
      </c>
      <c r="Z53" s="25">
        <f t="shared" si="23"/>
        <v>0</v>
      </c>
      <c r="AA53" s="26">
        <f t="shared" si="14"/>
        <v>0</v>
      </c>
      <c r="AB53" s="76"/>
    </row>
    <row r="54" spans="1:28" x14ac:dyDescent="0.2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f>+-4000000+-1000000</f>
        <v>-5000000</v>
      </c>
      <c r="O54" s="42">
        <f>+O53+N54</f>
        <v>1000000</v>
      </c>
      <c r="P54" s="76"/>
      <c r="Q54" s="83">
        <v>20067809</v>
      </c>
      <c r="R54" s="25">
        <f t="shared" si="18"/>
        <v>-20067809</v>
      </c>
      <c r="S54" s="26">
        <f t="shared" si="19"/>
        <v>4.0135617999999997</v>
      </c>
      <c r="T54" s="36"/>
      <c r="U54" s="49">
        <v>37681</v>
      </c>
      <c r="V54" s="82">
        <f t="shared" si="20"/>
        <v>-5000000</v>
      </c>
      <c r="W54" s="82">
        <f t="shared" si="16"/>
        <v>1000000</v>
      </c>
      <c r="X54" s="25">
        <f t="shared" si="21"/>
        <v>0</v>
      </c>
      <c r="Y54" s="25">
        <f t="shared" si="22"/>
        <v>20067809</v>
      </c>
      <c r="Z54" s="25">
        <f t="shared" si="23"/>
        <v>-20067809</v>
      </c>
      <c r="AA54" s="26">
        <f t="shared" si="14"/>
        <v>4.0135617999999997</v>
      </c>
      <c r="AB54" s="76"/>
    </row>
    <row r="55" spans="1:28" x14ac:dyDescent="0.2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">
      <c r="A56" s="49" t="s">
        <v>15</v>
      </c>
      <c r="B56" s="49"/>
      <c r="C56" s="42"/>
      <c r="D56" s="45"/>
      <c r="E56" s="45"/>
      <c r="F56" s="32">
        <f>SUM(F30:F54)</f>
        <v>-9678959.2700000033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-2649149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-12328108.270000003</v>
      </c>
      <c r="AA56" s="36"/>
      <c r="AB56" s="71"/>
    </row>
    <row r="57" spans="1:28" x14ac:dyDescent="0.2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">
      <c r="E58" s="57" t="s">
        <v>26</v>
      </c>
      <c r="F58" s="84">
        <f>+F56-F57</f>
        <v>-6091209.2700000033</v>
      </c>
      <c r="J58" s="70"/>
      <c r="K58" s="70"/>
      <c r="R58" s="32"/>
    </row>
  </sheetData>
  <phoneticPr fontId="0" type="noConversion"/>
  <pageMargins left="0.32" right="0.22" top="0.63" bottom="0.62" header="0.5" footer="0.34"/>
  <pageSetup scale="36" orientation="landscape" r:id="rId1"/>
  <headerFooter alignWithMargins="0">
    <oddFooter>&amp;L&amp;D&amp;C&amp;F&amp;R&amp;T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80"/>
  <sheetViews>
    <sheetView zoomScale="65" workbookViewId="0">
      <selection activeCell="E30" sqref="E30:E36"/>
    </sheetView>
  </sheetViews>
  <sheetFormatPr defaultRowHeight="12.75" x14ac:dyDescent="0.2"/>
  <cols>
    <col min="1" max="1" width="18.85546875" customWidth="1"/>
    <col min="2" max="2" width="11.28515625" customWidth="1"/>
    <col min="3" max="3" width="13.5703125" bestFit="1" customWidth="1"/>
    <col min="4" max="4" width="14.140625" bestFit="1" customWidth="1"/>
    <col min="5" max="5" width="18.140625" bestFit="1" customWidth="1"/>
    <col min="6" max="6" width="18.140625" style="57" bestFit="1" customWidth="1"/>
    <col min="7" max="7" width="7" bestFit="1" customWidth="1"/>
    <col min="8" max="8" width="12" customWidth="1"/>
    <col min="9" max="9" width="32.7109375" bestFit="1" customWidth="1"/>
    <col min="10" max="10" width="12" customWidth="1"/>
    <col min="11" max="11" width="11.85546875" bestFit="1" customWidth="1"/>
    <col min="12" max="12" width="8.42578125" bestFit="1" customWidth="1"/>
    <col min="13" max="13" width="16.85546875" bestFit="1" customWidth="1"/>
    <col min="14" max="14" width="11.28515625" bestFit="1" customWidth="1"/>
    <col min="15" max="15" width="13.5703125" bestFit="1" customWidth="1"/>
    <col min="16" max="16" width="12.42578125" bestFit="1" customWidth="1"/>
    <col min="17" max="17" width="12.42578125" customWidth="1"/>
    <col min="18" max="18" width="18.140625" bestFit="1" customWidth="1"/>
    <col min="19" max="19" width="14" customWidth="1"/>
    <col min="22" max="22" width="11.28515625" bestFit="1" customWidth="1"/>
    <col min="23" max="23" width="13.5703125" bestFit="1" customWidth="1"/>
    <col min="24" max="25" width="12.42578125" bestFit="1" customWidth="1"/>
    <col min="26" max="26" width="18.140625" bestFit="1" customWidth="1"/>
    <col min="27" max="27" width="10" bestFit="1" customWidth="1"/>
  </cols>
  <sheetData>
    <row r="1" spans="1:19" ht="13.5" thickBot="1" x14ac:dyDescent="0.25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31">
        <v>2073170</v>
      </c>
      <c r="Q7" s="88">
        <f t="shared" ref="Q7:Q13" si="5">+M7-P7</f>
        <v>88153</v>
      </c>
      <c r="R7" s="2"/>
      <c r="S7" s="2"/>
    </row>
    <row r="8" spans="1:19" x14ac:dyDescent="0.2">
      <c r="A8" s="23">
        <v>36982</v>
      </c>
      <c r="B8" s="24">
        <f t="shared" ref="B8:B19" si="6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31">
        <v>1286773</v>
      </c>
      <c r="Q8" s="88">
        <f t="shared" si="5"/>
        <v>1557</v>
      </c>
      <c r="R8" s="2"/>
      <c r="S8" s="2"/>
    </row>
    <row r="9" spans="1:19" x14ac:dyDescent="0.2">
      <c r="A9" s="23">
        <v>37012</v>
      </c>
      <c r="B9" s="24">
        <f t="shared" si="6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31">
        <v>2067464</v>
      </c>
      <c r="Q9" s="88">
        <f t="shared" si="5"/>
        <v>-2931</v>
      </c>
      <c r="R9" s="2"/>
      <c r="S9" s="2"/>
    </row>
    <row r="10" spans="1:19" x14ac:dyDescent="0.2">
      <c r="A10" s="23">
        <v>37043</v>
      </c>
      <c r="B10" s="24">
        <f t="shared" si="6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31">
        <v>2867180</v>
      </c>
      <c r="Q10" s="88">
        <f t="shared" si="5"/>
        <v>-10077</v>
      </c>
      <c r="R10" s="2"/>
      <c r="S10" s="2"/>
    </row>
    <row r="11" spans="1:19" x14ac:dyDescent="0.2">
      <c r="A11" s="30">
        <v>37073</v>
      </c>
      <c r="B11" s="31">
        <f t="shared" si="6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31">
        <v>2222664</v>
      </c>
      <c r="Q11" s="88">
        <f t="shared" si="5"/>
        <v>12</v>
      </c>
      <c r="R11" s="2"/>
      <c r="S11" s="2"/>
    </row>
    <row r="12" spans="1:19" x14ac:dyDescent="0.2">
      <c r="A12" s="30">
        <v>37104</v>
      </c>
      <c r="B12" s="58">
        <f t="shared" si="6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31">
        <v>1072780</v>
      </c>
      <c r="Q12" s="88">
        <f t="shared" si="5"/>
        <v>12535</v>
      </c>
      <c r="R12" s="2"/>
      <c r="S12" s="2"/>
    </row>
    <row r="13" spans="1:19" x14ac:dyDescent="0.2">
      <c r="A13" s="60">
        <v>37135</v>
      </c>
      <c r="B13" s="61">
        <f t="shared" si="6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31">
        <v>1049348</v>
      </c>
      <c r="Q13" s="88">
        <f t="shared" si="5"/>
        <v>-1049348</v>
      </c>
      <c r="R13" s="2"/>
      <c r="S13" s="2"/>
    </row>
    <row r="14" spans="1:19" x14ac:dyDescent="0.2">
      <c r="A14" s="30">
        <v>37165</v>
      </c>
      <c r="B14" s="31">
        <f t="shared" si="6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30">
        <v>37196</v>
      </c>
      <c r="B15" s="81">
        <f t="shared" si="6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30">
        <v>37226</v>
      </c>
      <c r="B16" s="81">
        <f t="shared" si="6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">
      <c r="A17" s="30">
        <v>37257</v>
      </c>
      <c r="B17" s="81">
        <f t="shared" si="6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">
      <c r="A18" s="30">
        <v>37288</v>
      </c>
      <c r="B18" s="81">
        <f t="shared" si="6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">
      <c r="A19" s="30">
        <v>37316</v>
      </c>
      <c r="B19" s="81">
        <f t="shared" si="6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5" thickBot="1" x14ac:dyDescent="0.25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">
      <c r="A26" s="11"/>
      <c r="B26" s="11"/>
      <c r="C26" s="11"/>
      <c r="D26" s="12"/>
      <c r="E26" s="12"/>
      <c r="F26" s="11"/>
      <c r="G26" s="11"/>
      <c r="H26" s="12"/>
      <c r="I26" s="11"/>
      <c r="J26" s="12"/>
      <c r="K26" s="12"/>
      <c r="L26" s="2"/>
    </row>
    <row r="27" spans="1:28" x14ac:dyDescent="0.2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">
      <c r="A28" s="18" t="s">
        <v>8</v>
      </c>
      <c r="B28" s="18" t="s">
        <v>9</v>
      </c>
      <c r="C28" s="18" t="s">
        <v>9</v>
      </c>
      <c r="D28" s="19" t="s">
        <v>27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">
      <c r="A30" s="68">
        <v>36951</v>
      </c>
      <c r="B30" s="31">
        <v>2073170</v>
      </c>
      <c r="C30" s="31">
        <f>+B30</f>
        <v>2073170</v>
      </c>
      <c r="D30" s="25">
        <v>10581846.310000001</v>
      </c>
      <c r="E30" s="32">
        <v>-1825815</v>
      </c>
      <c r="F30" s="25">
        <f t="shared" ref="F30:F42" si="7">+D30-E30</f>
        <v>12407661.310000001</v>
      </c>
      <c r="G30" s="27"/>
      <c r="H30" s="26">
        <f t="shared" ref="H30:H42" si="8">+F30/B30</f>
        <v>5.984874038308484</v>
      </c>
      <c r="I30" s="32"/>
      <c r="J30" s="32"/>
      <c r="K30" s="31"/>
      <c r="L30" s="89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54" si="9">+P30-Q30</f>
        <v>0</v>
      </c>
      <c r="S30" s="26">
        <f t="shared" ref="S30:S54" si="10">IF(R30&lt;&gt;0,+R30/N30,0)</f>
        <v>0</v>
      </c>
      <c r="U30" s="49">
        <v>36951</v>
      </c>
      <c r="V30" s="82">
        <f t="shared" ref="V30:V54" si="11">+B30+N30</f>
        <v>2073170</v>
      </c>
      <c r="W30" s="82">
        <f>+V30</f>
        <v>2073170</v>
      </c>
      <c r="X30" s="25">
        <f t="shared" ref="X30:X54" si="12">+D30+P30</f>
        <v>10581846.310000001</v>
      </c>
      <c r="Y30" s="25">
        <f t="shared" ref="Y30:Y54" si="13">+E30+Q30</f>
        <v>-1825815</v>
      </c>
      <c r="Z30" s="25">
        <f t="shared" ref="Z30:Z54" si="14">+F30+R30</f>
        <v>12407661.310000001</v>
      </c>
      <c r="AA30" s="26">
        <f t="shared" ref="AA30:AA54" si="15">IF(Z30&lt;&gt;0,+Z30/V30,0)</f>
        <v>5.984874038308484</v>
      </c>
      <c r="AB30" s="26"/>
    </row>
    <row r="31" spans="1:28" x14ac:dyDescent="0.2">
      <c r="A31" s="68">
        <v>36982</v>
      </c>
      <c r="B31" s="31">
        <v>1286773</v>
      </c>
      <c r="C31" s="31">
        <f t="shared" ref="C31:C36" si="16">+C30+B31</f>
        <v>3359943</v>
      </c>
      <c r="D31" s="25">
        <v>6669422.7599999998</v>
      </c>
      <c r="E31" s="32">
        <v>-549320</v>
      </c>
      <c r="F31" s="25">
        <f t="shared" si="7"/>
        <v>7218742.7599999998</v>
      </c>
      <c r="G31" s="27"/>
      <c r="H31" s="26">
        <f t="shared" si="8"/>
        <v>5.609958213297916</v>
      </c>
      <c r="I31" s="32"/>
      <c r="J31" s="32"/>
      <c r="K31" s="31"/>
      <c r="L31" s="89"/>
      <c r="M31" s="49">
        <v>36982</v>
      </c>
      <c r="N31">
        <v>0</v>
      </c>
      <c r="O31" s="42">
        <f t="shared" ref="O31:O54" si="17">+O30+N31</f>
        <v>0</v>
      </c>
      <c r="P31" s="25">
        <v>0</v>
      </c>
      <c r="Q31" s="25">
        <v>0</v>
      </c>
      <c r="R31" s="25">
        <f t="shared" si="9"/>
        <v>0</v>
      </c>
      <c r="S31" s="26">
        <f t="shared" si="10"/>
        <v>0</v>
      </c>
      <c r="U31" s="49">
        <v>36982</v>
      </c>
      <c r="V31" s="82">
        <f t="shared" si="11"/>
        <v>1286773</v>
      </c>
      <c r="W31" s="82">
        <f t="shared" ref="W31:W54" si="18">+W30+V31</f>
        <v>3359943</v>
      </c>
      <c r="X31" s="25">
        <f t="shared" si="12"/>
        <v>6669422.7599999998</v>
      </c>
      <c r="Y31" s="25">
        <f t="shared" si="13"/>
        <v>-549320</v>
      </c>
      <c r="Z31" s="25">
        <f t="shared" si="14"/>
        <v>7218742.7599999998</v>
      </c>
      <c r="AA31" s="26">
        <f t="shared" si="15"/>
        <v>5.609958213297916</v>
      </c>
      <c r="AB31" s="26"/>
    </row>
    <row r="32" spans="1:28" x14ac:dyDescent="0.2">
      <c r="A32" s="68">
        <v>37012</v>
      </c>
      <c r="B32" s="31">
        <v>2067464</v>
      </c>
      <c r="C32" s="31">
        <f t="shared" si="16"/>
        <v>5427407</v>
      </c>
      <c r="D32" s="25">
        <v>9337402.3900000006</v>
      </c>
      <c r="E32" s="32">
        <v>-4669574</v>
      </c>
      <c r="F32" s="25">
        <f t="shared" si="7"/>
        <v>14006976.390000001</v>
      </c>
      <c r="G32" s="27"/>
      <c r="H32" s="26">
        <f t="shared" si="8"/>
        <v>6.7749553994652389</v>
      </c>
      <c r="I32" s="32"/>
      <c r="J32" s="32"/>
      <c r="K32" s="31"/>
      <c r="L32" s="89"/>
      <c r="M32" s="49">
        <v>37012</v>
      </c>
      <c r="N32">
        <v>0</v>
      </c>
      <c r="O32" s="42">
        <f t="shared" si="17"/>
        <v>0</v>
      </c>
      <c r="P32" s="25">
        <v>0</v>
      </c>
      <c r="Q32" s="25">
        <v>0</v>
      </c>
      <c r="R32" s="25">
        <f t="shared" si="9"/>
        <v>0</v>
      </c>
      <c r="S32" s="26">
        <f t="shared" si="10"/>
        <v>0</v>
      </c>
      <c r="U32" s="49">
        <v>37012</v>
      </c>
      <c r="V32" s="82">
        <f t="shared" si="11"/>
        <v>2067464</v>
      </c>
      <c r="W32" s="82">
        <f t="shared" si="18"/>
        <v>5427407</v>
      </c>
      <c r="X32" s="25">
        <f t="shared" si="12"/>
        <v>9337402.3900000006</v>
      </c>
      <c r="Y32" s="25">
        <f t="shared" si="13"/>
        <v>-4669574</v>
      </c>
      <c r="Z32" s="25">
        <f t="shared" si="14"/>
        <v>14006976.390000001</v>
      </c>
      <c r="AA32" s="26">
        <f t="shared" si="15"/>
        <v>6.7749553994652389</v>
      </c>
      <c r="AB32" s="26"/>
    </row>
    <row r="33" spans="1:28" x14ac:dyDescent="0.2">
      <c r="A33" s="68">
        <v>37043</v>
      </c>
      <c r="B33" s="31">
        <v>2867180</v>
      </c>
      <c r="C33" s="31">
        <f t="shared" si="16"/>
        <v>8294587</v>
      </c>
      <c r="D33" s="25">
        <v>10230649.33</v>
      </c>
      <c r="E33" s="32">
        <v>-9993689</v>
      </c>
      <c r="F33" s="25">
        <f t="shared" si="7"/>
        <v>20224338.329999998</v>
      </c>
      <c r="G33" s="27"/>
      <c r="H33" s="26">
        <f t="shared" si="8"/>
        <v>7.0537386316868833</v>
      </c>
      <c r="I33" s="32"/>
      <c r="J33" s="32"/>
      <c r="K33" s="31"/>
      <c r="L33" s="89"/>
      <c r="M33" s="49">
        <v>37043</v>
      </c>
      <c r="N33">
        <v>0</v>
      </c>
      <c r="O33" s="42">
        <f t="shared" si="17"/>
        <v>0</v>
      </c>
      <c r="P33" s="25">
        <v>0</v>
      </c>
      <c r="Q33" s="25">
        <v>0</v>
      </c>
      <c r="R33" s="25">
        <f t="shared" si="9"/>
        <v>0</v>
      </c>
      <c r="S33" s="26">
        <f t="shared" si="10"/>
        <v>0</v>
      </c>
      <c r="U33" s="49">
        <v>37043</v>
      </c>
      <c r="V33" s="82">
        <f t="shared" si="11"/>
        <v>2867180</v>
      </c>
      <c r="W33" s="82">
        <f t="shared" si="18"/>
        <v>8294587</v>
      </c>
      <c r="X33" s="25">
        <f t="shared" si="12"/>
        <v>10230649.33</v>
      </c>
      <c r="Y33" s="25">
        <f t="shared" si="13"/>
        <v>-9993689</v>
      </c>
      <c r="Z33" s="25">
        <f t="shared" si="14"/>
        <v>20224338.329999998</v>
      </c>
      <c r="AA33" s="26">
        <f t="shared" si="15"/>
        <v>7.0537386316868833</v>
      </c>
      <c r="AB33" s="26"/>
    </row>
    <row r="34" spans="1:28" x14ac:dyDescent="0.2">
      <c r="A34" s="49">
        <v>37073</v>
      </c>
      <c r="B34" s="31">
        <v>2222664</v>
      </c>
      <c r="C34" s="31">
        <f t="shared" si="16"/>
        <v>10517251</v>
      </c>
      <c r="D34" s="32">
        <v>6710518.0599999996</v>
      </c>
      <c r="E34" s="32">
        <v>-8436494</v>
      </c>
      <c r="F34" s="32">
        <f t="shared" si="7"/>
        <v>15147012.059999999</v>
      </c>
      <c r="G34" s="36"/>
      <c r="H34" s="33">
        <f t="shared" si="8"/>
        <v>6.8148006446318465</v>
      </c>
      <c r="I34" s="32"/>
      <c r="J34" s="32"/>
      <c r="K34" s="31"/>
      <c r="L34" s="89"/>
      <c r="M34" s="49">
        <v>37073</v>
      </c>
      <c r="N34">
        <v>0</v>
      </c>
      <c r="O34" s="42">
        <f t="shared" si="17"/>
        <v>0</v>
      </c>
      <c r="P34" s="32">
        <v>0</v>
      </c>
      <c r="Q34" s="32">
        <v>0</v>
      </c>
      <c r="R34" s="25">
        <f t="shared" si="9"/>
        <v>0</v>
      </c>
      <c r="S34" s="26">
        <f t="shared" si="10"/>
        <v>0</v>
      </c>
      <c r="U34" s="49">
        <v>37073</v>
      </c>
      <c r="V34" s="82">
        <f t="shared" si="11"/>
        <v>2222664</v>
      </c>
      <c r="W34" s="82">
        <f t="shared" si="18"/>
        <v>10517251</v>
      </c>
      <c r="X34" s="25">
        <f t="shared" si="12"/>
        <v>6710518.0599999996</v>
      </c>
      <c r="Y34" s="25">
        <f t="shared" si="13"/>
        <v>-8436494</v>
      </c>
      <c r="Z34" s="25">
        <f t="shared" si="14"/>
        <v>15147012.059999999</v>
      </c>
      <c r="AA34" s="26">
        <f t="shared" si="15"/>
        <v>6.8148006446318465</v>
      </c>
      <c r="AB34" s="33"/>
    </row>
    <row r="35" spans="1:28" x14ac:dyDescent="0.2">
      <c r="A35" s="49">
        <v>37104</v>
      </c>
      <c r="B35" s="31">
        <v>1072780</v>
      </c>
      <c r="C35" s="31">
        <f t="shared" si="16"/>
        <v>11590031</v>
      </c>
      <c r="D35" s="32">
        <v>3120262.47</v>
      </c>
      <c r="E35" s="32">
        <v>-4952828</v>
      </c>
      <c r="F35" s="32">
        <f t="shared" si="7"/>
        <v>8073090.4700000007</v>
      </c>
      <c r="G35" s="36"/>
      <c r="H35" s="33">
        <f t="shared" si="8"/>
        <v>7.5253924103730503</v>
      </c>
      <c r="I35" s="32"/>
      <c r="J35" s="32"/>
      <c r="K35" s="31"/>
      <c r="L35" s="89"/>
      <c r="M35" s="49">
        <v>37104</v>
      </c>
      <c r="N35">
        <v>0</v>
      </c>
      <c r="O35" s="42">
        <f t="shared" si="17"/>
        <v>0</v>
      </c>
      <c r="P35" s="32">
        <v>0</v>
      </c>
      <c r="Q35" s="32">
        <v>0</v>
      </c>
      <c r="R35" s="25">
        <f t="shared" si="9"/>
        <v>0</v>
      </c>
      <c r="S35" s="26">
        <f t="shared" si="10"/>
        <v>0</v>
      </c>
      <c r="U35" s="49">
        <v>37104</v>
      </c>
      <c r="V35" s="82">
        <f t="shared" si="11"/>
        <v>1072780</v>
      </c>
      <c r="W35" s="82">
        <f t="shared" si="18"/>
        <v>11590031</v>
      </c>
      <c r="X35" s="25">
        <f t="shared" si="12"/>
        <v>3120262.47</v>
      </c>
      <c r="Y35" s="25">
        <f t="shared" si="13"/>
        <v>-4952828</v>
      </c>
      <c r="Z35" s="25">
        <f t="shared" si="14"/>
        <v>8073090.4700000007</v>
      </c>
      <c r="AA35" s="26">
        <f t="shared" si="15"/>
        <v>7.5253924103730503</v>
      </c>
      <c r="AB35" s="33"/>
    </row>
    <row r="36" spans="1:28" x14ac:dyDescent="0.2">
      <c r="A36" s="49">
        <v>37135</v>
      </c>
      <c r="B36" s="31">
        <v>1049348</v>
      </c>
      <c r="C36" s="31">
        <f t="shared" si="16"/>
        <v>12639379</v>
      </c>
      <c r="D36" s="32">
        <v>2380340.6800000002</v>
      </c>
      <c r="E36" s="32">
        <v>-3882403</v>
      </c>
      <c r="F36" s="32">
        <f t="shared" si="7"/>
        <v>6262743.6799999997</v>
      </c>
      <c r="G36" s="36"/>
      <c r="H36" s="33">
        <f t="shared" si="8"/>
        <v>5.9682237732382388</v>
      </c>
      <c r="I36" s="32"/>
      <c r="J36" s="76"/>
      <c r="K36" s="31"/>
      <c r="L36" s="89"/>
      <c r="M36" s="49">
        <v>37135</v>
      </c>
      <c r="N36">
        <v>0</v>
      </c>
      <c r="O36" s="42">
        <f t="shared" si="17"/>
        <v>0</v>
      </c>
      <c r="P36" s="32">
        <v>0</v>
      </c>
      <c r="Q36" s="32">
        <v>0</v>
      </c>
      <c r="R36" s="25">
        <f t="shared" si="9"/>
        <v>0</v>
      </c>
      <c r="S36" s="26">
        <f t="shared" si="10"/>
        <v>0</v>
      </c>
      <c r="U36" s="49">
        <v>37135</v>
      </c>
      <c r="V36" s="82">
        <f t="shared" si="11"/>
        <v>1049348</v>
      </c>
      <c r="W36" s="82">
        <f t="shared" si="18"/>
        <v>12639379</v>
      </c>
      <c r="X36" s="25">
        <f t="shared" si="12"/>
        <v>2380340.6800000002</v>
      </c>
      <c r="Y36" s="25">
        <f t="shared" si="13"/>
        <v>-3882403</v>
      </c>
      <c r="Z36" s="25">
        <f t="shared" si="14"/>
        <v>6262743.6799999997</v>
      </c>
      <c r="AA36" s="26">
        <f t="shared" si="15"/>
        <v>5.9682237732382388</v>
      </c>
      <c r="AB36" s="33"/>
    </row>
    <row r="37" spans="1:28" x14ac:dyDescent="0.2">
      <c r="A37" s="49">
        <v>37165</v>
      </c>
      <c r="B37" s="31"/>
      <c r="C37" s="31"/>
      <c r="D37" s="32"/>
      <c r="E37" s="83">
        <v>-4647960</v>
      </c>
      <c r="F37" s="32">
        <f t="shared" si="7"/>
        <v>4647960</v>
      </c>
      <c r="G37" s="36"/>
      <c r="H37" s="33" t="e">
        <f t="shared" si="8"/>
        <v>#DIV/0!</v>
      </c>
      <c r="I37" s="32"/>
      <c r="J37" s="32"/>
      <c r="K37" s="32"/>
      <c r="L37" s="2"/>
      <c r="M37" s="49">
        <v>37165</v>
      </c>
      <c r="N37">
        <v>0</v>
      </c>
      <c r="O37" s="42">
        <f t="shared" si="17"/>
        <v>0</v>
      </c>
      <c r="P37" s="32">
        <v>0</v>
      </c>
      <c r="Q37" s="83">
        <v>0</v>
      </c>
      <c r="R37" s="25">
        <f t="shared" si="9"/>
        <v>0</v>
      </c>
      <c r="S37" s="26">
        <f t="shared" si="10"/>
        <v>0</v>
      </c>
      <c r="U37" s="49">
        <v>37165</v>
      </c>
      <c r="V37" s="82">
        <f t="shared" si="11"/>
        <v>0</v>
      </c>
      <c r="W37" s="82">
        <f t="shared" si="18"/>
        <v>12639379</v>
      </c>
      <c r="X37" s="25">
        <f t="shared" si="12"/>
        <v>0</v>
      </c>
      <c r="Y37" s="25">
        <f t="shared" si="13"/>
        <v>-4647960</v>
      </c>
      <c r="Z37" s="25">
        <f t="shared" si="14"/>
        <v>4647960</v>
      </c>
      <c r="AA37" s="26" t="e">
        <f t="shared" si="15"/>
        <v>#DIV/0!</v>
      </c>
      <c r="AB37" s="33"/>
    </row>
    <row r="38" spans="1:28" x14ac:dyDescent="0.2">
      <c r="A38" s="49">
        <v>37196</v>
      </c>
      <c r="B38" s="81">
        <f>+C38-C37</f>
        <v>12387356</v>
      </c>
      <c r="C38" s="31">
        <v>12387356</v>
      </c>
      <c r="D38" s="32"/>
      <c r="E38" s="83">
        <v>5442416</v>
      </c>
      <c r="F38" s="32">
        <f t="shared" si="7"/>
        <v>-5442416</v>
      </c>
      <c r="G38" s="36"/>
      <c r="H38" s="33">
        <f t="shared" si="8"/>
        <v>-0.43935251396666086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7"/>
        <v>2750000</v>
      </c>
      <c r="P38" s="32"/>
      <c r="Q38" s="83">
        <v>-7432334</v>
      </c>
      <c r="R38" s="25">
        <f t="shared" si="9"/>
        <v>7432334</v>
      </c>
      <c r="S38" s="26">
        <f t="shared" si="10"/>
        <v>2.702666909090909</v>
      </c>
      <c r="T38" s="36"/>
      <c r="U38" s="49">
        <v>37196</v>
      </c>
      <c r="V38" s="82">
        <f t="shared" si="11"/>
        <v>15137356</v>
      </c>
      <c r="W38" s="82">
        <f t="shared" si="18"/>
        <v>27776735</v>
      </c>
      <c r="X38" s="25">
        <f t="shared" si="12"/>
        <v>0</v>
      </c>
      <c r="Y38" s="25">
        <f t="shared" si="13"/>
        <v>-1989918</v>
      </c>
      <c r="Z38" s="25">
        <f t="shared" si="14"/>
        <v>1989918</v>
      </c>
      <c r="AA38" s="26">
        <f t="shared" si="15"/>
        <v>0.13145743549930383</v>
      </c>
      <c r="AB38" s="33"/>
    </row>
    <row r="39" spans="1:28" x14ac:dyDescent="0.2">
      <c r="A39" s="49">
        <v>37226</v>
      </c>
      <c r="B39" s="81">
        <f>+C39-C38</f>
        <v>-4920003</v>
      </c>
      <c r="C39" s="31">
        <v>7467353</v>
      </c>
      <c r="D39" s="32"/>
      <c r="E39" s="83">
        <v>15696427</v>
      </c>
      <c r="F39" s="32">
        <f t="shared" si="7"/>
        <v>-15696427</v>
      </c>
      <c r="G39" s="36"/>
      <c r="H39" s="33">
        <f t="shared" si="8"/>
        <v>3.1903287457345044</v>
      </c>
      <c r="I39" s="32"/>
      <c r="J39" s="32"/>
      <c r="K39" s="32"/>
      <c r="L39" s="32"/>
      <c r="M39" s="49">
        <v>37226</v>
      </c>
      <c r="N39" s="42">
        <v>1000000</v>
      </c>
      <c r="O39" s="42">
        <f t="shared" si="17"/>
        <v>3750000</v>
      </c>
      <c r="P39" s="32"/>
      <c r="Q39" s="83">
        <v>-2905062</v>
      </c>
      <c r="R39" s="25">
        <f t="shared" si="9"/>
        <v>2905062</v>
      </c>
      <c r="S39" s="26">
        <f t="shared" si="10"/>
        <v>2.905062</v>
      </c>
      <c r="T39" s="36"/>
      <c r="U39" s="49">
        <v>37226</v>
      </c>
      <c r="V39" s="82">
        <f t="shared" si="11"/>
        <v>-3920003</v>
      </c>
      <c r="W39" s="82">
        <f t="shared" si="18"/>
        <v>23856732</v>
      </c>
      <c r="X39" s="25">
        <f t="shared" si="12"/>
        <v>0</v>
      </c>
      <c r="Y39" s="25">
        <f t="shared" si="13"/>
        <v>12791365</v>
      </c>
      <c r="Z39" s="25">
        <f t="shared" si="14"/>
        <v>-12791365</v>
      </c>
      <c r="AA39" s="26">
        <f t="shared" si="15"/>
        <v>3.2631008190554955</v>
      </c>
      <c r="AB39" s="33"/>
    </row>
    <row r="40" spans="1:28" x14ac:dyDescent="0.2">
      <c r="A40" s="49">
        <v>37257</v>
      </c>
      <c r="B40" s="81">
        <f>+C40-C39</f>
        <v>-2162337</v>
      </c>
      <c r="C40" s="31">
        <v>5305016</v>
      </c>
      <c r="D40" s="32"/>
      <c r="E40" s="83">
        <v>8143603</v>
      </c>
      <c r="F40" s="32">
        <f t="shared" si="7"/>
        <v>-8143603</v>
      </c>
      <c r="G40" s="36"/>
      <c r="H40" s="33">
        <f t="shared" si="8"/>
        <v>3.7661118502805069</v>
      </c>
      <c r="I40" s="32"/>
      <c r="J40" s="32"/>
      <c r="K40" s="32"/>
      <c r="L40" s="32"/>
      <c r="M40" s="49">
        <v>37257</v>
      </c>
      <c r="N40" s="42"/>
      <c r="O40" s="42">
        <f t="shared" si="17"/>
        <v>3750000</v>
      </c>
      <c r="P40" s="32"/>
      <c r="Q40" s="83"/>
      <c r="R40" s="25">
        <f t="shared" si="9"/>
        <v>0</v>
      </c>
      <c r="S40" s="26">
        <f t="shared" si="10"/>
        <v>0</v>
      </c>
      <c r="T40" s="36"/>
      <c r="U40" s="49">
        <v>37257</v>
      </c>
      <c r="V40" s="82">
        <f t="shared" si="11"/>
        <v>-2162337</v>
      </c>
      <c r="W40" s="82">
        <f t="shared" si="18"/>
        <v>21694395</v>
      </c>
      <c r="X40" s="25">
        <f t="shared" si="12"/>
        <v>0</v>
      </c>
      <c r="Y40" s="25">
        <f t="shared" si="13"/>
        <v>8143603</v>
      </c>
      <c r="Z40" s="25">
        <f t="shared" si="14"/>
        <v>-8143603</v>
      </c>
      <c r="AA40" s="26">
        <f t="shared" si="15"/>
        <v>3.7661118502805069</v>
      </c>
      <c r="AB40" s="33"/>
    </row>
    <row r="41" spans="1:28" x14ac:dyDescent="0.2">
      <c r="A41" s="49">
        <v>37288</v>
      </c>
      <c r="B41" s="81">
        <f>+C41-C40</f>
        <v>-2002604</v>
      </c>
      <c r="C41" s="31">
        <v>3302412</v>
      </c>
      <c r="D41" s="32"/>
      <c r="E41" s="83">
        <v>12654526</v>
      </c>
      <c r="F41" s="32">
        <f t="shared" si="7"/>
        <v>-12654526</v>
      </c>
      <c r="G41" s="36"/>
      <c r="H41" s="33">
        <f t="shared" si="8"/>
        <v>6.3190356156284517</v>
      </c>
      <c r="I41" s="32"/>
      <c r="J41" s="32"/>
      <c r="K41" s="32"/>
      <c r="L41" s="32"/>
      <c r="M41" s="49">
        <v>37288</v>
      </c>
      <c r="N41" s="42"/>
      <c r="O41" s="42">
        <f t="shared" si="17"/>
        <v>3750000</v>
      </c>
      <c r="P41" s="32"/>
      <c r="Q41" s="83"/>
      <c r="R41" s="25">
        <f t="shared" si="9"/>
        <v>0</v>
      </c>
      <c r="S41" s="26">
        <f t="shared" si="10"/>
        <v>0</v>
      </c>
      <c r="T41" s="36"/>
      <c r="U41" s="49">
        <v>37288</v>
      </c>
      <c r="V41" s="82">
        <f t="shared" si="11"/>
        <v>-2002604</v>
      </c>
      <c r="W41" s="82">
        <f t="shared" si="18"/>
        <v>19691791</v>
      </c>
      <c r="X41" s="25">
        <f t="shared" si="12"/>
        <v>0</v>
      </c>
      <c r="Y41" s="25">
        <f t="shared" si="13"/>
        <v>12654526</v>
      </c>
      <c r="Z41" s="25">
        <f t="shared" si="14"/>
        <v>-12654526</v>
      </c>
      <c r="AA41" s="26">
        <f t="shared" si="15"/>
        <v>6.3190356156284517</v>
      </c>
      <c r="AB41" s="33"/>
    </row>
    <row r="42" spans="1:28" x14ac:dyDescent="0.2">
      <c r="A42" s="49">
        <v>37316</v>
      </c>
      <c r="B42" s="81">
        <f>+C42-C41</f>
        <v>-3302412</v>
      </c>
      <c r="C42" s="31">
        <v>0</v>
      </c>
      <c r="D42" s="32"/>
      <c r="E42" s="83">
        <v>18471386</v>
      </c>
      <c r="F42" s="32">
        <f t="shared" si="7"/>
        <v>-18471386</v>
      </c>
      <c r="G42" s="36"/>
      <c r="H42" s="33">
        <f t="shared" si="8"/>
        <v>5.5933015020536505</v>
      </c>
      <c r="I42" s="32"/>
      <c r="J42" s="32"/>
      <c r="K42" s="32"/>
      <c r="L42" s="32"/>
      <c r="M42" s="49">
        <v>37316</v>
      </c>
      <c r="N42" s="42"/>
      <c r="O42" s="42">
        <f t="shared" si="17"/>
        <v>3750000</v>
      </c>
      <c r="P42" s="32"/>
      <c r="Q42" s="83"/>
      <c r="R42" s="25">
        <f t="shared" si="9"/>
        <v>0</v>
      </c>
      <c r="S42" s="26">
        <f t="shared" si="10"/>
        <v>0</v>
      </c>
      <c r="T42" s="36"/>
      <c r="U42" s="49">
        <v>37316</v>
      </c>
      <c r="V42" s="82">
        <f t="shared" si="11"/>
        <v>-3302412</v>
      </c>
      <c r="W42" s="82">
        <f t="shared" si="18"/>
        <v>16389379</v>
      </c>
      <c r="X42" s="25">
        <f t="shared" si="12"/>
        <v>0</v>
      </c>
      <c r="Y42" s="25">
        <f t="shared" si="13"/>
        <v>18471386</v>
      </c>
      <c r="Z42" s="25">
        <f t="shared" si="14"/>
        <v>-18471386</v>
      </c>
      <c r="AA42" s="26">
        <f t="shared" si="15"/>
        <v>5.5933015020536505</v>
      </c>
      <c r="AB42" s="33"/>
    </row>
    <row r="43" spans="1:28" x14ac:dyDescent="0.2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7"/>
        <v>5750000</v>
      </c>
      <c r="P43" s="32"/>
      <c r="Q43" s="83">
        <v>-6596622</v>
      </c>
      <c r="R43" s="25">
        <f t="shared" si="9"/>
        <v>6596622</v>
      </c>
      <c r="S43" s="26">
        <f t="shared" si="10"/>
        <v>3.298311</v>
      </c>
      <c r="T43" s="36"/>
      <c r="U43" s="49">
        <v>37347</v>
      </c>
      <c r="V43" s="82">
        <f t="shared" si="11"/>
        <v>2000000</v>
      </c>
      <c r="W43" s="82">
        <f t="shared" si="18"/>
        <v>18389379</v>
      </c>
      <c r="X43" s="25">
        <f t="shared" si="12"/>
        <v>0</v>
      </c>
      <c r="Y43" s="25">
        <f t="shared" si="13"/>
        <v>-6596622</v>
      </c>
      <c r="Z43" s="25">
        <f t="shared" si="14"/>
        <v>6596622</v>
      </c>
      <c r="AA43" s="26">
        <f t="shared" si="15"/>
        <v>3.298311</v>
      </c>
      <c r="AB43" s="33"/>
    </row>
    <row r="44" spans="1:28" x14ac:dyDescent="0.2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 t="shared" si="17"/>
        <v>7750000</v>
      </c>
      <c r="P44" s="76"/>
      <c r="Q44" s="83">
        <v>-6598282</v>
      </c>
      <c r="R44" s="25">
        <f t="shared" si="9"/>
        <v>6598282</v>
      </c>
      <c r="S44" s="26">
        <f t="shared" si="10"/>
        <v>3.2991410000000001</v>
      </c>
      <c r="T44" s="36"/>
      <c r="U44" s="49">
        <v>37377</v>
      </c>
      <c r="V44" s="82">
        <f t="shared" si="11"/>
        <v>2000000</v>
      </c>
      <c r="W44" s="82">
        <f t="shared" si="18"/>
        <v>20389379</v>
      </c>
      <c r="X44" s="25">
        <f t="shared" si="12"/>
        <v>0</v>
      </c>
      <c r="Y44" s="25">
        <f t="shared" si="13"/>
        <v>-6598282</v>
      </c>
      <c r="Z44" s="25">
        <f t="shared" si="14"/>
        <v>6598282</v>
      </c>
      <c r="AA44" s="26">
        <f t="shared" si="15"/>
        <v>3.2991410000000001</v>
      </c>
      <c r="AB44" s="76"/>
    </row>
    <row r="45" spans="1:28" x14ac:dyDescent="0.2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>
        <v>1000000</v>
      </c>
      <c r="O45" s="42">
        <f t="shared" si="17"/>
        <v>8750000</v>
      </c>
      <c r="P45" s="76"/>
      <c r="Q45" s="83">
        <v>-2727541</v>
      </c>
      <c r="R45" s="25">
        <f t="shared" si="9"/>
        <v>2727541</v>
      </c>
      <c r="S45" s="26">
        <f t="shared" si="10"/>
        <v>2.727541</v>
      </c>
      <c r="T45" s="36"/>
      <c r="U45" s="49">
        <v>37408</v>
      </c>
      <c r="V45" s="82">
        <f t="shared" si="11"/>
        <v>1000000</v>
      </c>
      <c r="W45" s="82">
        <f t="shared" si="18"/>
        <v>21389379</v>
      </c>
      <c r="X45" s="25">
        <f t="shared" si="12"/>
        <v>0</v>
      </c>
      <c r="Y45" s="25">
        <f t="shared" si="13"/>
        <v>-2727541</v>
      </c>
      <c r="Z45" s="25">
        <f t="shared" si="14"/>
        <v>2727541</v>
      </c>
      <c r="AA45" s="26">
        <f t="shared" si="15"/>
        <v>2.727541</v>
      </c>
      <c r="AB45" s="76"/>
    </row>
    <row r="46" spans="1:28" x14ac:dyDescent="0.2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si="17"/>
        <v>8750000</v>
      </c>
      <c r="P46" s="72"/>
      <c r="Q46" s="83"/>
      <c r="R46" s="25">
        <f t="shared" si="9"/>
        <v>0</v>
      </c>
      <c r="S46" s="26">
        <f t="shared" si="10"/>
        <v>0</v>
      </c>
      <c r="T46" s="36"/>
      <c r="U46" s="49">
        <v>37438</v>
      </c>
      <c r="V46" s="82">
        <f t="shared" si="11"/>
        <v>0</v>
      </c>
      <c r="W46" s="82">
        <f t="shared" si="18"/>
        <v>21389379</v>
      </c>
      <c r="X46" s="25">
        <f t="shared" si="12"/>
        <v>0</v>
      </c>
      <c r="Y46" s="25">
        <f t="shared" si="13"/>
        <v>0</v>
      </c>
      <c r="Z46" s="25">
        <f t="shared" si="14"/>
        <v>0</v>
      </c>
      <c r="AA46" s="26">
        <f t="shared" si="15"/>
        <v>0</v>
      </c>
      <c r="AB46" s="72"/>
    </row>
    <row r="47" spans="1:28" x14ac:dyDescent="0.2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17"/>
        <v>8750000</v>
      </c>
      <c r="P47" s="72"/>
      <c r="Q47" s="83"/>
      <c r="R47" s="25">
        <f t="shared" si="9"/>
        <v>0</v>
      </c>
      <c r="S47" s="26">
        <f t="shared" si="10"/>
        <v>0</v>
      </c>
      <c r="T47" s="36"/>
      <c r="U47" s="49">
        <v>37469</v>
      </c>
      <c r="V47" s="82">
        <f t="shared" si="11"/>
        <v>0</v>
      </c>
      <c r="W47" s="82">
        <f t="shared" si="18"/>
        <v>21389379</v>
      </c>
      <c r="X47" s="25">
        <f t="shared" si="12"/>
        <v>0</v>
      </c>
      <c r="Y47" s="25">
        <f t="shared" si="13"/>
        <v>0</v>
      </c>
      <c r="Z47" s="25">
        <f t="shared" si="14"/>
        <v>0</v>
      </c>
      <c r="AA47" s="26">
        <f t="shared" si="15"/>
        <v>0</v>
      </c>
      <c r="AB47" s="72"/>
    </row>
    <row r="48" spans="1:28" x14ac:dyDescent="0.2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17"/>
        <v>7750000</v>
      </c>
      <c r="P48" s="72"/>
      <c r="Q48" s="83">
        <v>2993285</v>
      </c>
      <c r="R48" s="25">
        <f t="shared" si="9"/>
        <v>-2993285</v>
      </c>
      <c r="S48" s="26">
        <f t="shared" si="10"/>
        <v>2.9932850000000002</v>
      </c>
      <c r="T48" s="36"/>
      <c r="U48" s="49">
        <v>37500</v>
      </c>
      <c r="V48" s="82">
        <f t="shared" si="11"/>
        <v>-1000000</v>
      </c>
      <c r="W48" s="82">
        <f t="shared" si="18"/>
        <v>20389379</v>
      </c>
      <c r="X48" s="25">
        <f t="shared" si="12"/>
        <v>0</v>
      </c>
      <c r="Y48" s="25">
        <f t="shared" si="13"/>
        <v>2993285</v>
      </c>
      <c r="Z48" s="25">
        <f t="shared" si="14"/>
        <v>-2993285</v>
      </c>
      <c r="AA48" s="26">
        <f t="shared" si="15"/>
        <v>2.9932850000000002</v>
      </c>
      <c r="AB48" s="72"/>
    </row>
    <row r="49" spans="1:28" x14ac:dyDescent="0.2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17"/>
        <v>5000000</v>
      </c>
      <c r="P49" s="72"/>
      <c r="Q49" s="83">
        <v>8450115</v>
      </c>
      <c r="R49" s="25">
        <f t="shared" si="9"/>
        <v>-8450115</v>
      </c>
      <c r="S49" s="26">
        <f t="shared" si="10"/>
        <v>3.072769090909091</v>
      </c>
      <c r="T49" s="36"/>
      <c r="U49" s="49">
        <v>37530</v>
      </c>
      <c r="V49" s="82">
        <f t="shared" si="11"/>
        <v>-2750000</v>
      </c>
      <c r="W49" s="82">
        <f t="shared" si="18"/>
        <v>17639379</v>
      </c>
      <c r="X49" s="25">
        <f t="shared" si="12"/>
        <v>0</v>
      </c>
      <c r="Y49" s="25">
        <f t="shared" si="13"/>
        <v>8450115</v>
      </c>
      <c r="Z49" s="25">
        <f t="shared" si="14"/>
        <v>-8450115</v>
      </c>
      <c r="AA49" s="26">
        <f t="shared" si="15"/>
        <v>3.072769090909091</v>
      </c>
      <c r="AB49" s="72"/>
    </row>
    <row r="50" spans="1:28" x14ac:dyDescent="0.2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17"/>
        <v>5000000</v>
      </c>
      <c r="P50" s="72"/>
      <c r="Q50" s="83"/>
      <c r="R50" s="25">
        <f t="shared" si="9"/>
        <v>0</v>
      </c>
      <c r="S50" s="26">
        <f t="shared" si="10"/>
        <v>0</v>
      </c>
      <c r="T50" s="36"/>
      <c r="U50" s="49">
        <v>37561</v>
      </c>
      <c r="V50" s="82">
        <f t="shared" si="11"/>
        <v>0</v>
      </c>
      <c r="W50" s="82">
        <f t="shared" si="18"/>
        <v>17639379</v>
      </c>
      <c r="X50" s="25">
        <f t="shared" si="12"/>
        <v>0</v>
      </c>
      <c r="Y50" s="25">
        <f t="shared" si="13"/>
        <v>0</v>
      </c>
      <c r="Z50" s="25">
        <f t="shared" si="14"/>
        <v>0</v>
      </c>
      <c r="AA50" s="26">
        <f t="shared" si="15"/>
        <v>0</v>
      </c>
      <c r="AB50" s="72"/>
    </row>
    <row r="51" spans="1:28" x14ac:dyDescent="0.2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17"/>
        <v>5000000</v>
      </c>
      <c r="P51" s="72"/>
      <c r="Q51" s="83"/>
      <c r="R51" s="25">
        <f t="shared" si="9"/>
        <v>0</v>
      </c>
      <c r="S51" s="26">
        <f t="shared" si="10"/>
        <v>0</v>
      </c>
      <c r="T51" s="36"/>
      <c r="U51" s="49">
        <v>37591</v>
      </c>
      <c r="V51" s="82">
        <f t="shared" si="11"/>
        <v>0</v>
      </c>
      <c r="W51" s="82">
        <f t="shared" si="18"/>
        <v>17639379</v>
      </c>
      <c r="X51" s="25">
        <f t="shared" si="12"/>
        <v>0</v>
      </c>
      <c r="Y51" s="25">
        <f t="shared" si="13"/>
        <v>0</v>
      </c>
      <c r="Z51" s="25">
        <f t="shared" si="14"/>
        <v>0</v>
      </c>
      <c r="AA51" s="26">
        <f t="shared" si="15"/>
        <v>0</v>
      </c>
      <c r="AB51" s="72"/>
    </row>
    <row r="52" spans="1:28" x14ac:dyDescent="0.2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17"/>
        <v>5000000</v>
      </c>
      <c r="P52" s="72"/>
      <c r="Q52" s="83"/>
      <c r="R52" s="25">
        <f t="shared" si="9"/>
        <v>0</v>
      </c>
      <c r="S52" s="26">
        <f t="shared" si="10"/>
        <v>0</v>
      </c>
      <c r="T52" s="36"/>
      <c r="U52" s="49">
        <v>37622</v>
      </c>
      <c r="V52" s="82">
        <f t="shared" si="11"/>
        <v>0</v>
      </c>
      <c r="W52" s="82">
        <f t="shared" si="18"/>
        <v>17639379</v>
      </c>
      <c r="X52" s="25">
        <f t="shared" si="12"/>
        <v>0</v>
      </c>
      <c r="Y52" s="25">
        <f t="shared" si="13"/>
        <v>0</v>
      </c>
      <c r="Z52" s="25">
        <f t="shared" si="14"/>
        <v>0</v>
      </c>
      <c r="AA52" s="26">
        <f t="shared" si="15"/>
        <v>0</v>
      </c>
      <c r="AB52" s="72"/>
    </row>
    <row r="53" spans="1:28" x14ac:dyDescent="0.2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17"/>
        <v>5000000</v>
      </c>
      <c r="P53" s="76"/>
      <c r="Q53" s="83"/>
      <c r="R53" s="25">
        <f t="shared" si="9"/>
        <v>0</v>
      </c>
      <c r="S53" s="26">
        <f t="shared" si="10"/>
        <v>0</v>
      </c>
      <c r="T53" s="36"/>
      <c r="U53" s="49">
        <v>37653</v>
      </c>
      <c r="V53" s="82">
        <f t="shared" si="11"/>
        <v>0</v>
      </c>
      <c r="W53" s="82">
        <f t="shared" si="18"/>
        <v>17639379</v>
      </c>
      <c r="X53" s="25">
        <f t="shared" si="12"/>
        <v>0</v>
      </c>
      <c r="Y53" s="25">
        <f t="shared" si="13"/>
        <v>0</v>
      </c>
      <c r="Z53" s="25">
        <f t="shared" si="14"/>
        <v>0</v>
      </c>
      <c r="AA53" s="26">
        <f t="shared" si="15"/>
        <v>0</v>
      </c>
      <c r="AB53" s="76"/>
    </row>
    <row r="54" spans="1:28" x14ac:dyDescent="0.2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v>-4000000</v>
      </c>
      <c r="O54" s="42">
        <f t="shared" si="17"/>
        <v>1000000</v>
      </c>
      <c r="P54" s="76"/>
      <c r="Q54" s="83">
        <v>17017685</v>
      </c>
      <c r="R54" s="25">
        <f t="shared" si="9"/>
        <v>-17017685</v>
      </c>
      <c r="S54" s="26">
        <f t="shared" si="10"/>
        <v>4.25442125</v>
      </c>
      <c r="T54" s="36"/>
      <c r="U54" s="49">
        <v>37681</v>
      </c>
      <c r="V54" s="82">
        <f t="shared" si="11"/>
        <v>-4000000</v>
      </c>
      <c r="W54" s="82">
        <f t="shared" si="18"/>
        <v>13639379</v>
      </c>
      <c r="X54" s="25">
        <f t="shared" si="12"/>
        <v>0</v>
      </c>
      <c r="Y54" s="25">
        <f t="shared" si="13"/>
        <v>17017685</v>
      </c>
      <c r="Z54" s="25">
        <f t="shared" si="14"/>
        <v>-17017685</v>
      </c>
      <c r="AA54" s="26">
        <f t="shared" si="15"/>
        <v>4.25442125</v>
      </c>
      <c r="AB54" s="76"/>
    </row>
    <row r="55" spans="1:28" x14ac:dyDescent="0.2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">
      <c r="A56" s="49" t="s">
        <v>15</v>
      </c>
      <c r="B56" s="49"/>
      <c r="C56" s="42"/>
      <c r="D56" s="45"/>
      <c r="E56" s="45"/>
      <c r="F56" s="32">
        <f>SUM(F30:F54)</f>
        <v>27580167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-2201244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25378923</v>
      </c>
      <c r="AA56" s="36"/>
      <c r="AB56" s="71"/>
    </row>
    <row r="57" spans="1:28" x14ac:dyDescent="0.2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">
      <c r="E58" s="57" t="s">
        <v>26</v>
      </c>
      <c r="F58" s="84">
        <f>+F56-F57</f>
        <v>31167917</v>
      </c>
      <c r="J58" s="70"/>
      <c r="K58" s="70"/>
      <c r="R58" s="32"/>
    </row>
    <row r="59" spans="1:28" ht="13.5" thickBot="1" x14ac:dyDescent="0.25">
      <c r="J59" s="70"/>
      <c r="K59" s="70"/>
    </row>
    <row r="60" spans="1:28" x14ac:dyDescent="0.2">
      <c r="A60" s="3" t="s">
        <v>16</v>
      </c>
      <c r="B60" s="4"/>
      <c r="C60" s="4"/>
      <c r="D60" s="5"/>
      <c r="E60" s="5"/>
      <c r="F60" s="9"/>
      <c r="J60" s="70"/>
      <c r="K60" s="70"/>
      <c r="R60" s="85">
        <f>+R56-R58</f>
        <v>-2201244</v>
      </c>
    </row>
    <row r="61" spans="1:28" x14ac:dyDescent="0.2">
      <c r="A61" s="10"/>
      <c r="B61" s="11"/>
      <c r="C61" s="11"/>
      <c r="D61" s="12"/>
      <c r="E61" s="12"/>
      <c r="F61" s="14"/>
    </row>
    <row r="62" spans="1:28" x14ac:dyDescent="0.2">
      <c r="A62" s="10"/>
      <c r="B62" s="11" t="s">
        <v>2</v>
      </c>
      <c r="C62" s="11" t="s">
        <v>3</v>
      </c>
      <c r="D62" s="12"/>
      <c r="E62" s="11" t="s">
        <v>17</v>
      </c>
      <c r="F62" s="16"/>
    </row>
    <row r="63" spans="1:28" x14ac:dyDescent="0.2">
      <c r="A63" s="17" t="s">
        <v>8</v>
      </c>
      <c r="B63" s="18" t="s">
        <v>9</v>
      </c>
      <c r="C63" s="18" t="s">
        <v>9</v>
      </c>
      <c r="D63" s="18" t="s">
        <v>11</v>
      </c>
      <c r="E63" s="18" t="s">
        <v>18</v>
      </c>
      <c r="F63" s="21"/>
    </row>
    <row r="64" spans="1:28" x14ac:dyDescent="0.2">
      <c r="A64" s="10"/>
      <c r="B64" s="11"/>
      <c r="C64" s="11"/>
      <c r="D64" s="12"/>
      <c r="E64" s="12"/>
      <c r="F64" s="14"/>
    </row>
    <row r="65" spans="1:6" x14ac:dyDescent="0.2">
      <c r="A65" s="23">
        <v>36951</v>
      </c>
      <c r="B65" s="40">
        <v>2161455</v>
      </c>
      <c r="C65" s="40">
        <v>2161455</v>
      </c>
      <c r="D65" s="41">
        <v>2.8</v>
      </c>
      <c r="E65" s="25">
        <f t="shared" ref="E65:E77" si="19">+B65*D65</f>
        <v>6052074</v>
      </c>
      <c r="F65" s="29"/>
    </row>
    <row r="66" spans="1:6" x14ac:dyDescent="0.2">
      <c r="A66" s="23">
        <v>36982</v>
      </c>
      <c r="B66" s="40">
        <f>+C66-C65</f>
        <v>1266261</v>
      </c>
      <c r="C66" s="40">
        <v>3427716</v>
      </c>
      <c r="D66" s="41">
        <v>2.8</v>
      </c>
      <c r="E66" s="25">
        <f t="shared" si="19"/>
        <v>3545530.8</v>
      </c>
      <c r="F66" s="29"/>
    </row>
    <row r="67" spans="1:6" x14ac:dyDescent="0.2">
      <c r="A67" s="23">
        <v>37012</v>
      </c>
      <c r="B67" s="40">
        <f>+C67-C66</f>
        <v>2029288</v>
      </c>
      <c r="C67" s="40">
        <v>5457004</v>
      </c>
      <c r="D67" s="41">
        <v>2.8</v>
      </c>
      <c r="E67" s="25">
        <f t="shared" si="19"/>
        <v>5682006.3999999994</v>
      </c>
      <c r="F67" s="29"/>
    </row>
    <row r="68" spans="1:6" x14ac:dyDescent="0.2">
      <c r="A68" s="23">
        <v>37043</v>
      </c>
      <c r="B68" s="40">
        <f>+C68-C67</f>
        <v>2813887</v>
      </c>
      <c r="C68" s="40">
        <v>8270891</v>
      </c>
      <c r="D68" s="41">
        <v>2.8</v>
      </c>
      <c r="E68" s="25">
        <f t="shared" si="19"/>
        <v>7878883.5999999996</v>
      </c>
      <c r="F68" s="29"/>
    </row>
    <row r="69" spans="1:6" x14ac:dyDescent="0.2">
      <c r="A69" s="30">
        <v>37073</v>
      </c>
      <c r="B69" s="42">
        <v>2222676</v>
      </c>
      <c r="C69" s="42">
        <f t="shared" ref="C69:C77" si="20">+C68+B69</f>
        <v>10493567</v>
      </c>
      <c r="D69" s="43">
        <v>2.8</v>
      </c>
      <c r="E69" s="25">
        <f t="shared" si="19"/>
        <v>6223492.7999999998</v>
      </c>
      <c r="F69" s="37"/>
    </row>
    <row r="70" spans="1:6" x14ac:dyDescent="0.2">
      <c r="A70" s="30">
        <v>37104</v>
      </c>
      <c r="B70" s="42">
        <v>1697448</v>
      </c>
      <c r="C70" s="42">
        <f t="shared" si="20"/>
        <v>12191015</v>
      </c>
      <c r="D70" s="43">
        <v>2.8</v>
      </c>
      <c r="E70" s="25">
        <f t="shared" si="19"/>
        <v>4752854.3999999994</v>
      </c>
      <c r="F70" s="37"/>
    </row>
    <row r="71" spans="1:6" x14ac:dyDescent="0.2">
      <c r="A71" s="30">
        <v>37135</v>
      </c>
      <c r="B71" s="42">
        <v>1374743</v>
      </c>
      <c r="C71" s="42">
        <f t="shared" si="20"/>
        <v>13565758</v>
      </c>
      <c r="D71" s="43">
        <v>2.8</v>
      </c>
      <c r="E71" s="25">
        <f t="shared" si="19"/>
        <v>3849280.4</v>
      </c>
      <c r="F71" s="37"/>
    </row>
    <row r="72" spans="1:6" x14ac:dyDescent="0.2">
      <c r="A72" s="30">
        <v>37165</v>
      </c>
      <c r="B72" s="42">
        <v>1634953</v>
      </c>
      <c r="C72" s="42">
        <f t="shared" si="20"/>
        <v>15200711</v>
      </c>
      <c r="D72" s="43">
        <v>2.8</v>
      </c>
      <c r="E72" s="25">
        <f t="shared" si="19"/>
        <v>4577868.3999999994</v>
      </c>
      <c r="F72" s="37"/>
    </row>
    <row r="73" spans="1:6" x14ac:dyDescent="0.2">
      <c r="A73" s="30">
        <v>37196</v>
      </c>
      <c r="B73" s="44">
        <v>-2564363</v>
      </c>
      <c r="C73" s="42">
        <f t="shared" si="20"/>
        <v>12636348</v>
      </c>
      <c r="D73" s="43">
        <v>3.15</v>
      </c>
      <c r="E73" s="25">
        <f t="shared" si="19"/>
        <v>-8077743.4500000002</v>
      </c>
      <c r="F73" s="37"/>
    </row>
    <row r="74" spans="1:6" x14ac:dyDescent="0.2">
      <c r="A74" s="30">
        <v>37226</v>
      </c>
      <c r="B74" s="44">
        <v>-4920003</v>
      </c>
      <c r="C74" s="42">
        <f t="shared" si="20"/>
        <v>7716345</v>
      </c>
      <c r="D74" s="43">
        <v>3.15</v>
      </c>
      <c r="E74" s="25">
        <f t="shared" si="19"/>
        <v>-15498009.449999999</v>
      </c>
      <c r="F74" s="37"/>
    </row>
    <row r="75" spans="1:6" x14ac:dyDescent="0.2">
      <c r="A75" s="30">
        <v>37257</v>
      </c>
      <c r="B75" s="44">
        <v>-2162337</v>
      </c>
      <c r="C75" s="42">
        <f t="shared" si="20"/>
        <v>5554008</v>
      </c>
      <c r="D75" s="43">
        <v>3.15</v>
      </c>
      <c r="E75" s="25">
        <f t="shared" si="19"/>
        <v>-6811361.5499999998</v>
      </c>
      <c r="F75" s="37"/>
    </row>
    <row r="76" spans="1:6" x14ac:dyDescent="0.2">
      <c r="A76" s="30">
        <v>37288</v>
      </c>
      <c r="B76" s="44">
        <v>-2002604</v>
      </c>
      <c r="C76" s="42">
        <f t="shared" si="20"/>
        <v>3551404</v>
      </c>
      <c r="D76" s="43">
        <v>3.15</v>
      </c>
      <c r="E76" s="25">
        <f t="shared" si="19"/>
        <v>-6308202.5999999996</v>
      </c>
      <c r="F76" s="37"/>
    </row>
    <row r="77" spans="1:6" x14ac:dyDescent="0.2">
      <c r="A77" s="30">
        <v>37316</v>
      </c>
      <c r="B77" s="44">
        <v>-3469812</v>
      </c>
      <c r="C77" s="42">
        <f t="shared" si="20"/>
        <v>81592</v>
      </c>
      <c r="D77" s="43">
        <v>3.15</v>
      </c>
      <c r="E77" s="25">
        <f t="shared" si="19"/>
        <v>-10929907.799999999</v>
      </c>
      <c r="F77" s="37"/>
    </row>
    <row r="78" spans="1:6" x14ac:dyDescent="0.2">
      <c r="A78" s="30"/>
      <c r="B78" s="44"/>
      <c r="C78" s="42"/>
      <c r="D78" s="43"/>
      <c r="E78" s="25"/>
      <c r="F78" s="37"/>
    </row>
    <row r="79" spans="1:6" x14ac:dyDescent="0.2">
      <c r="A79" s="30" t="s">
        <v>15</v>
      </c>
      <c r="B79" s="49"/>
      <c r="C79" s="42"/>
      <c r="D79" s="45"/>
      <c r="E79" s="45"/>
      <c r="F79" s="48"/>
    </row>
    <row r="80" spans="1:6" ht="13.5" thickBot="1" x14ac:dyDescent="0.25">
      <c r="A80" s="50"/>
      <c r="B80" s="51"/>
      <c r="C80" s="51"/>
      <c r="D80" s="52"/>
      <c r="E80" s="52"/>
      <c r="F80" s="56"/>
    </row>
  </sheetData>
  <phoneticPr fontId="0" type="noConversion"/>
  <pageMargins left="0.32" right="0.22" top="0.63" bottom="0.62" header="0.5" footer="0.34"/>
  <pageSetup scale="36" orientation="landscape" r:id="rId1"/>
  <headerFooter alignWithMargins="0">
    <oddFooter>&amp;L&amp;D&amp;C&amp;F&amp;R&amp;T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topLeftCell="K1" zoomScale="80" workbookViewId="0">
      <selection activeCell="Q25" sqref="Q25"/>
    </sheetView>
  </sheetViews>
  <sheetFormatPr defaultRowHeight="12.75" x14ac:dyDescent="0.2"/>
  <cols>
    <col min="1" max="1" width="9.28515625" bestFit="1" customWidth="1"/>
    <col min="2" max="2" width="15.140625" style="91" bestFit="1" customWidth="1"/>
    <col min="3" max="3" width="13.85546875" style="92" customWidth="1"/>
    <col min="4" max="4" width="17.42578125" style="93" customWidth="1"/>
    <col min="5" max="5" width="15.7109375" style="91" customWidth="1"/>
    <col min="6" max="6" width="14.85546875" style="92" customWidth="1"/>
    <col min="7" max="7" width="20.140625" style="93" customWidth="1"/>
    <col min="8" max="8" width="12.42578125" style="91" customWidth="1"/>
    <col min="9" max="9" width="10.85546875" style="93" bestFit="1" customWidth="1"/>
    <col min="10" max="10" width="16.28515625" style="57" bestFit="1" customWidth="1"/>
    <col min="11" max="12" width="16.28515625" style="57" customWidth="1"/>
    <col min="13" max="13" width="9.140625" style="57"/>
    <col min="14" max="14" width="17" style="57" bestFit="1" customWidth="1"/>
    <col min="15" max="15" width="15.85546875" style="57" bestFit="1" customWidth="1"/>
    <col min="16" max="16" width="16.28515625" bestFit="1" customWidth="1"/>
    <col min="17" max="17" width="16.28515625" customWidth="1"/>
    <col min="18" max="18" width="12.28515625" bestFit="1" customWidth="1"/>
    <col min="19" max="19" width="17" bestFit="1" customWidth="1"/>
    <col min="20" max="20" width="16.28515625" bestFit="1" customWidth="1"/>
  </cols>
  <sheetData>
    <row r="1" spans="1:19" x14ac:dyDescent="0.2">
      <c r="E1" s="91" t="s">
        <v>29</v>
      </c>
    </row>
    <row r="2" spans="1:19" x14ac:dyDescent="0.2">
      <c r="A2" s="106" t="s">
        <v>46</v>
      </c>
      <c r="B2" s="107" t="s">
        <v>53</v>
      </c>
      <c r="C2" s="108"/>
      <c r="D2" s="109"/>
      <c r="E2" s="107"/>
      <c r="F2" s="108"/>
      <c r="G2" s="109"/>
      <c r="H2" s="107"/>
      <c r="I2" s="109"/>
      <c r="J2" s="110"/>
      <c r="K2" s="110"/>
      <c r="L2" s="110"/>
    </row>
    <row r="3" spans="1:19" x14ac:dyDescent="0.2">
      <c r="A3" s="106"/>
      <c r="B3" s="107"/>
      <c r="C3" s="108"/>
      <c r="D3" s="109"/>
      <c r="E3" s="107"/>
      <c r="F3" s="108"/>
      <c r="G3" s="109"/>
      <c r="H3" s="107"/>
      <c r="I3" s="109"/>
      <c r="J3" s="110"/>
      <c r="K3" s="110"/>
      <c r="L3" s="110"/>
      <c r="N3" s="77" t="s">
        <v>49</v>
      </c>
      <c r="O3" s="77"/>
    </row>
    <row r="4" spans="1:19" x14ac:dyDescent="0.2">
      <c r="A4" s="106" t="s">
        <v>8</v>
      </c>
      <c r="B4" s="107" t="s">
        <v>30</v>
      </c>
      <c r="C4" s="108" t="s">
        <v>31</v>
      </c>
      <c r="D4" s="109" t="s">
        <v>32</v>
      </c>
      <c r="E4" s="107" t="s">
        <v>33</v>
      </c>
      <c r="F4" s="108" t="s">
        <v>34</v>
      </c>
      <c r="G4" s="109" t="s">
        <v>35</v>
      </c>
      <c r="H4" s="107" t="s">
        <v>36</v>
      </c>
      <c r="I4" s="109" t="s">
        <v>37</v>
      </c>
      <c r="J4" s="110"/>
      <c r="K4" s="110"/>
      <c r="L4" s="110"/>
      <c r="N4" s="77" t="s">
        <v>21</v>
      </c>
      <c r="O4" s="77" t="s">
        <v>28</v>
      </c>
      <c r="P4" s="77" t="s">
        <v>50</v>
      </c>
      <c r="Q4" s="77"/>
      <c r="R4" s="77" t="s">
        <v>51</v>
      </c>
      <c r="S4" s="77" t="s">
        <v>52</v>
      </c>
    </row>
    <row r="5" spans="1:19" x14ac:dyDescent="0.2">
      <c r="A5" s="111" t="s">
        <v>38</v>
      </c>
      <c r="B5" s="107">
        <f>150855+87500+2064399</f>
        <v>2302754</v>
      </c>
      <c r="C5" s="108">
        <f>11766255.21</f>
        <v>11766255.210000001</v>
      </c>
      <c r="D5" s="112">
        <f>11766255.21/2302754</f>
        <v>5.109644890422512</v>
      </c>
      <c r="E5" s="107">
        <f>153934+75189+461</f>
        <v>229584</v>
      </c>
      <c r="F5" s="108">
        <f>(782209.94+399803.16+2395.8)</f>
        <v>1184408.8999999999</v>
      </c>
      <c r="G5" s="112">
        <f>(782209.94+399803.16+2395.8)/229584</f>
        <v>5.1589348560875319</v>
      </c>
      <c r="H5" s="107">
        <f>B5-E5</f>
        <v>2073170</v>
      </c>
      <c r="I5" s="112">
        <f>(+C5-F5)/H5</f>
        <v>5.1041864921834676</v>
      </c>
      <c r="J5" s="113">
        <f>+H5*I5</f>
        <v>10581846.310000001</v>
      </c>
      <c r="K5" s="113">
        <v>4.8557399999999999</v>
      </c>
      <c r="L5" s="113">
        <f>(G17-G5)*E5</f>
        <v>-13976.589999999764</v>
      </c>
      <c r="N5" s="123">
        <v>0</v>
      </c>
      <c r="O5" s="123">
        <v>-1825815</v>
      </c>
      <c r="P5" s="87">
        <f>+N5+O5</f>
        <v>-1825815</v>
      </c>
      <c r="Q5" s="86">
        <v>36951</v>
      </c>
      <c r="R5" s="124">
        <f>+H5</f>
        <v>2073170</v>
      </c>
      <c r="S5" s="87">
        <f>+-J5+P5</f>
        <v>-12407661.310000001</v>
      </c>
    </row>
    <row r="6" spans="1:19" x14ac:dyDescent="0.2">
      <c r="A6" s="111" t="s">
        <v>39</v>
      </c>
      <c r="B6" s="107">
        <f>743633+34000+948700+3500+1830+8000</f>
        <v>1739663</v>
      </c>
      <c r="C6" s="108">
        <f>3897434.49+163700+4838899.07+18690+9644.1+39200</f>
        <v>8967567.6600000001</v>
      </c>
      <c r="D6" s="112">
        <f t="shared" ref="D6:D11" si="0">C6/B6</f>
        <v>5.1547728841735436</v>
      </c>
      <c r="E6" s="107">
        <f>258401+31586+13403+5000+144500</f>
        <v>452890</v>
      </c>
      <c r="F6" s="108">
        <f>1321538.38+163961.72+71899.8+26775+713970</f>
        <v>2298144.9</v>
      </c>
      <c r="G6" s="112">
        <f t="shared" ref="G6:G11" si="1">F6/E6</f>
        <v>5.074399743867164</v>
      </c>
      <c r="H6" s="107">
        <f>B6-E6</f>
        <v>1286773</v>
      </c>
      <c r="I6" s="112">
        <f t="shared" ref="I6:I11" si="2">(+C6-F6)/H6</f>
        <v>5.183060850670631</v>
      </c>
      <c r="J6" s="113">
        <f t="shared" ref="J6:J11" si="3">+H6*I6</f>
        <v>6669422.7599999998</v>
      </c>
      <c r="K6" s="113">
        <v>5.2688519999999999</v>
      </c>
      <c r="L6" s="113">
        <f t="shared" ref="L6:L11" si="4">(G18-G6)*E6</f>
        <v>20676.267809989247</v>
      </c>
      <c r="N6" s="123">
        <v>96205</v>
      </c>
      <c r="O6" s="123">
        <v>-645524</v>
      </c>
      <c r="P6" s="87">
        <f t="shared" ref="P6:P11" si="5">+N6+O6</f>
        <v>-549319</v>
      </c>
      <c r="Q6" s="86">
        <v>36982</v>
      </c>
      <c r="R6" s="124">
        <f t="shared" ref="R6:R11" si="6">+H6</f>
        <v>1286773</v>
      </c>
      <c r="S6" s="87">
        <f t="shared" ref="S6:S11" si="7">+-J6+P6</f>
        <v>-7218741.7599999998</v>
      </c>
    </row>
    <row r="7" spans="1:19" x14ac:dyDescent="0.2">
      <c r="A7" s="111" t="s">
        <v>40</v>
      </c>
      <c r="B7" s="107">
        <f>891334+45000+953093+220898+2139</f>
        <v>2112464</v>
      </c>
      <c r="C7" s="108">
        <f>3888471.5+206100+4411828.1+1012553.22+10149.57</f>
        <v>9529102.3900000006</v>
      </c>
      <c r="D7" s="112">
        <f t="shared" si="0"/>
        <v>4.5108945714577864</v>
      </c>
      <c r="E7" s="107">
        <f>15000+30000</f>
        <v>45000</v>
      </c>
      <c r="F7" s="108">
        <f>125100+66600</f>
        <v>191700</v>
      </c>
      <c r="G7" s="112">
        <f t="shared" si="1"/>
        <v>4.26</v>
      </c>
      <c r="H7" s="107">
        <f>B7-E7</f>
        <v>2067464</v>
      </c>
      <c r="I7" s="112">
        <f t="shared" si="2"/>
        <v>4.5163554915587412</v>
      </c>
      <c r="J7" s="113">
        <f t="shared" si="3"/>
        <v>9337402.3900000006</v>
      </c>
      <c r="K7" s="113">
        <v>4.7449960000000004</v>
      </c>
      <c r="L7" s="113">
        <f t="shared" si="4"/>
        <v>28381.010000000028</v>
      </c>
      <c r="N7" s="123">
        <f>-4609498+4674929</f>
        <v>65431</v>
      </c>
      <c r="O7" s="123">
        <v>-60077</v>
      </c>
      <c r="P7" s="87">
        <f t="shared" si="5"/>
        <v>5354</v>
      </c>
      <c r="Q7" s="86">
        <v>37012</v>
      </c>
      <c r="R7" s="124">
        <f t="shared" si="6"/>
        <v>2067464</v>
      </c>
      <c r="S7" s="87">
        <f t="shared" si="7"/>
        <v>-9332048.3900000006</v>
      </c>
    </row>
    <row r="8" spans="1:19" x14ac:dyDescent="0.2">
      <c r="A8" s="111" t="s">
        <v>41</v>
      </c>
      <c r="B8" s="107">
        <f>2225740+16500+368970+32638+600000+185090</f>
        <v>3428938</v>
      </c>
      <c r="C8" s="108">
        <f>8016324.09+58470+1323193.52+125773.13+2151000+695397.67</f>
        <v>12370158.41</v>
      </c>
      <c r="D8" s="112">
        <f t="shared" si="0"/>
        <v>3.6075771594587014</v>
      </c>
      <c r="E8" s="107">
        <f>41100+11500+5000+10138+20000+50000+424020</f>
        <v>561758</v>
      </c>
      <c r="F8" s="108">
        <f>164219.75+42895+18150+40393.38+83600+195260+1594990.95</f>
        <v>2139509.08</v>
      </c>
      <c r="G8" s="112">
        <f t="shared" si="1"/>
        <v>3.8085956586288048</v>
      </c>
      <c r="H8" s="107">
        <f>B8-E8</f>
        <v>2867180</v>
      </c>
      <c r="I8" s="112">
        <f t="shared" si="2"/>
        <v>3.5681922062793405</v>
      </c>
      <c r="J8" s="113">
        <f t="shared" si="3"/>
        <v>10230649.33</v>
      </c>
      <c r="K8" s="113">
        <v>3.5849799999999998</v>
      </c>
      <c r="L8" s="113">
        <f t="shared" si="4"/>
        <v>342869.79999999958</v>
      </c>
      <c r="N8" s="123">
        <f>-7680091+7768943</f>
        <v>88852</v>
      </c>
      <c r="O8" s="123">
        <v>-2313599</v>
      </c>
      <c r="P8" s="87">
        <f t="shared" si="5"/>
        <v>-2224747</v>
      </c>
      <c r="Q8" s="86">
        <v>37043</v>
      </c>
      <c r="R8" s="124">
        <f t="shared" si="6"/>
        <v>2867180</v>
      </c>
      <c r="S8" s="87">
        <f t="shared" si="7"/>
        <v>-12455396.33</v>
      </c>
    </row>
    <row r="9" spans="1:19" x14ac:dyDescent="0.2">
      <c r="A9" s="111" t="s">
        <v>42</v>
      </c>
      <c r="B9" s="107">
        <f>2130379+405699+10000+2400+620000+10277</f>
        <v>3178755</v>
      </c>
      <c r="C9" s="108">
        <f>6470211.36+1202844.88+28550+6984+1841400+32196.94</f>
        <v>9582187.1799999997</v>
      </c>
      <c r="D9" s="112">
        <f t="shared" si="0"/>
        <v>3.0144465930843993</v>
      </c>
      <c r="E9" s="107">
        <f>392762+10608+533421+10000+4200+5100</f>
        <v>956091</v>
      </c>
      <c r="F9" s="108">
        <f>1204713.37+30105.36+1579760.64+28150+12096+16843.75</f>
        <v>2871669.12</v>
      </c>
      <c r="G9" s="112">
        <f t="shared" si="1"/>
        <v>3.0035520886610168</v>
      </c>
      <c r="H9" s="107">
        <f>B9-E9</f>
        <v>2222664</v>
      </c>
      <c r="I9" s="112">
        <f t="shared" si="2"/>
        <v>3.019132923374833</v>
      </c>
      <c r="J9" s="113">
        <f t="shared" si="3"/>
        <v>6710518.0599999996</v>
      </c>
      <c r="K9" s="113">
        <v>2.00793</v>
      </c>
      <c r="L9" s="113">
        <f t="shared" si="4"/>
        <v>984485.07138607826</v>
      </c>
      <c r="N9" s="123">
        <f>-6231657+6310811</f>
        <v>79154</v>
      </c>
      <c r="O9" s="123">
        <v>-2204837</v>
      </c>
      <c r="P9" s="87">
        <f t="shared" si="5"/>
        <v>-2125683</v>
      </c>
      <c r="Q9" s="86">
        <v>37073</v>
      </c>
      <c r="R9" s="124">
        <f t="shared" si="6"/>
        <v>2222664</v>
      </c>
      <c r="S9" s="87">
        <f t="shared" si="7"/>
        <v>-8836201.0599999987</v>
      </c>
    </row>
    <row r="10" spans="1:19" x14ac:dyDescent="0.2">
      <c r="A10" s="111" t="s">
        <v>43</v>
      </c>
      <c r="B10" s="107">
        <f>1316804+10000+300678+103549</f>
        <v>1731031</v>
      </c>
      <c r="C10" s="108">
        <f>3891142.72+30100+860700.97+316504.08</f>
        <v>5098447.7700000005</v>
      </c>
      <c r="D10" s="112">
        <f t="shared" si="0"/>
        <v>2.9453243587203235</v>
      </c>
      <c r="E10" s="107">
        <f>334565+38565+279538+583+5000</f>
        <v>658251</v>
      </c>
      <c r="F10" s="108">
        <f>1041804.36+104433.05+818540.59+1807.3+11600</f>
        <v>1978185.3</v>
      </c>
      <c r="G10" s="112">
        <f t="shared" si="1"/>
        <v>3.0052142723672279</v>
      </c>
      <c r="H10" s="107">
        <f>+B10-E10</f>
        <v>1072780</v>
      </c>
      <c r="I10" s="112">
        <f t="shared" si="2"/>
        <v>2.9085762877756864</v>
      </c>
      <c r="J10" s="113">
        <f t="shared" si="3"/>
        <v>3120262.4700000007</v>
      </c>
      <c r="K10" s="113">
        <v>3.046462</v>
      </c>
      <c r="L10" s="113">
        <f t="shared" si="4"/>
        <v>581441.15923216089</v>
      </c>
      <c r="N10" s="123">
        <f>-4985991+5363941</f>
        <v>377950</v>
      </c>
      <c r="O10" s="123">
        <v>33163</v>
      </c>
      <c r="P10" s="87">
        <f t="shared" si="5"/>
        <v>411113</v>
      </c>
      <c r="Q10" s="86">
        <v>37104</v>
      </c>
      <c r="R10" s="124">
        <f t="shared" si="6"/>
        <v>1072780</v>
      </c>
      <c r="S10" s="87">
        <f t="shared" si="7"/>
        <v>-2709149.4700000007</v>
      </c>
    </row>
    <row r="11" spans="1:19" x14ac:dyDescent="0.2">
      <c r="A11" s="111" t="s">
        <v>44</v>
      </c>
      <c r="B11" s="107">
        <f>1111006+564007+5000+100957</f>
        <v>1780970</v>
      </c>
      <c r="C11" s="108">
        <f>2448827.38+1157494.68+11250+225769.92</f>
        <v>3843341.9799999995</v>
      </c>
      <c r="D11" s="112">
        <f t="shared" si="0"/>
        <v>2.1580048962082459</v>
      </c>
      <c r="E11" s="107">
        <f>591909+139713</f>
        <v>731622</v>
      </c>
      <c r="F11" s="108">
        <f>1152332.2+310669.1</f>
        <v>1463001.2999999998</v>
      </c>
      <c r="G11" s="112">
        <f t="shared" si="1"/>
        <v>1.9996682713204357</v>
      </c>
      <c r="H11" s="107">
        <f>+B11-E11</f>
        <v>1049348</v>
      </c>
      <c r="I11" s="112">
        <f t="shared" si="2"/>
        <v>2.268399691999222</v>
      </c>
      <c r="J11" s="113">
        <f t="shared" si="3"/>
        <v>2380340.6799999997</v>
      </c>
      <c r="K11" s="113">
        <v>2.2413880000000002</v>
      </c>
      <c r="L11" s="113">
        <f t="shared" si="4"/>
        <v>1221576.3291406692</v>
      </c>
      <c r="N11" s="123">
        <f>-3323438+3412429</f>
        <v>88991</v>
      </c>
      <c r="O11" s="123">
        <v>-558965</v>
      </c>
      <c r="P11" s="87">
        <f t="shared" si="5"/>
        <v>-469974</v>
      </c>
      <c r="Q11" s="86">
        <v>37135</v>
      </c>
      <c r="R11" s="124">
        <f t="shared" si="6"/>
        <v>1049348</v>
      </c>
      <c r="S11" s="87">
        <f t="shared" si="7"/>
        <v>-2850314.6799999997</v>
      </c>
    </row>
    <row r="12" spans="1:19" x14ac:dyDescent="0.2">
      <c r="A12" s="111"/>
      <c r="B12" s="107"/>
      <c r="C12" s="108"/>
      <c r="D12" s="112"/>
      <c r="E12" s="107"/>
      <c r="F12" s="108"/>
      <c r="G12" s="112"/>
      <c r="H12" s="107"/>
      <c r="I12" s="112"/>
      <c r="J12" s="113"/>
      <c r="K12" s="113"/>
      <c r="L12" s="113"/>
      <c r="N12" s="77"/>
      <c r="O12" s="77"/>
      <c r="Q12" s="86">
        <v>37165</v>
      </c>
      <c r="R12" s="114">
        <v>2312340</v>
      </c>
      <c r="S12" s="126">
        <v>-4647960</v>
      </c>
    </row>
    <row r="13" spans="1:19" x14ac:dyDescent="0.2">
      <c r="A13" s="106" t="s">
        <v>45</v>
      </c>
      <c r="B13" s="107">
        <f>SUM(B5:B11)</f>
        <v>16274575</v>
      </c>
      <c r="C13" s="108">
        <f>SUM(C5:C11)</f>
        <v>61157060.600000001</v>
      </c>
      <c r="D13" s="109">
        <f>(D5+D6+D7+D8+D9+D10+D11)/7</f>
        <v>3.7858093362179308</v>
      </c>
      <c r="E13" s="107">
        <f>SUM(E5:E11)</f>
        <v>3635196</v>
      </c>
      <c r="F13" s="108">
        <f>SUM(F5:F11)</f>
        <v>12126618.600000001</v>
      </c>
      <c r="G13" s="109">
        <f>(G5+G6+G7+G8+G9+G10+G11)/7</f>
        <v>3.7586235558474543</v>
      </c>
      <c r="H13" s="107">
        <f>SUM(H5:H11)</f>
        <v>12639379</v>
      </c>
      <c r="I13" s="109">
        <f>(I5+I6+I7+I8+I9+I10+I11)/7</f>
        <v>3.7954148491202746</v>
      </c>
      <c r="J13" s="108">
        <f>SUM(J5:J11)</f>
        <v>49030442</v>
      </c>
      <c r="K13" s="108"/>
      <c r="L13" s="108"/>
      <c r="N13" s="94">
        <f>SUM(N5:N12)</f>
        <v>796583</v>
      </c>
      <c r="O13" s="94">
        <f>SUM(O5:O12)</f>
        <v>-7575654</v>
      </c>
      <c r="Q13" s="86">
        <v>37196</v>
      </c>
      <c r="R13" s="124">
        <v>-2564363</v>
      </c>
      <c r="S13" s="87">
        <v>5442416</v>
      </c>
    </row>
    <row r="14" spans="1:19" x14ac:dyDescent="0.2">
      <c r="A14" s="96"/>
      <c r="B14" s="97"/>
      <c r="C14" s="98"/>
      <c r="D14" s="99"/>
      <c r="E14" s="97"/>
      <c r="F14" s="98"/>
      <c r="G14" s="99"/>
      <c r="H14" s="97"/>
      <c r="I14" s="99"/>
      <c r="J14" s="100"/>
      <c r="K14" s="100"/>
      <c r="L14" s="100"/>
      <c r="Q14" s="86">
        <v>37226</v>
      </c>
      <c r="R14" s="124">
        <v>-4920003</v>
      </c>
      <c r="S14" s="87">
        <v>15696427</v>
      </c>
    </row>
    <row r="15" spans="1:19" x14ac:dyDescent="0.2">
      <c r="A15" s="101" t="s">
        <v>47</v>
      </c>
      <c r="B15" s="90" t="s">
        <v>54</v>
      </c>
      <c r="C15" s="90"/>
      <c r="D15" s="90"/>
      <c r="E15" s="102"/>
      <c r="F15" s="102"/>
      <c r="G15" s="131" t="s">
        <v>11</v>
      </c>
      <c r="H15" s="66"/>
      <c r="I15" s="102"/>
      <c r="J15" s="66"/>
      <c r="K15" s="66"/>
      <c r="L15" s="66"/>
      <c r="M15" s="69"/>
      <c r="Q15" s="86">
        <v>37257</v>
      </c>
      <c r="R15" s="124">
        <v>-2162337</v>
      </c>
      <c r="S15" s="87">
        <v>8143603</v>
      </c>
    </row>
    <row r="16" spans="1:19" x14ac:dyDescent="0.2">
      <c r="A16" s="96" t="s">
        <v>8</v>
      </c>
      <c r="B16" s="97" t="s">
        <v>30</v>
      </c>
      <c r="C16" s="98" t="s">
        <v>31</v>
      </c>
      <c r="D16" s="99" t="s">
        <v>32</v>
      </c>
      <c r="E16" s="97" t="s">
        <v>33</v>
      </c>
      <c r="F16" s="98" t="s">
        <v>34</v>
      </c>
      <c r="G16" s="99" t="s">
        <v>35</v>
      </c>
      <c r="H16" s="97" t="s">
        <v>36</v>
      </c>
      <c r="I16" s="99" t="s">
        <v>37</v>
      </c>
      <c r="J16" s="100"/>
      <c r="K16" s="100"/>
      <c r="L16" s="100"/>
      <c r="M16" s="95"/>
      <c r="Q16" s="86">
        <v>37288</v>
      </c>
      <c r="R16" s="124">
        <v>-2002604</v>
      </c>
      <c r="S16" s="87">
        <v>12654526</v>
      </c>
    </row>
    <row r="17" spans="1:20" x14ac:dyDescent="0.2">
      <c r="A17" s="103" t="s">
        <v>38</v>
      </c>
      <c r="B17" s="97">
        <v>2391039</v>
      </c>
      <c r="C17" s="98">
        <v>12189653</v>
      </c>
      <c r="D17" s="104">
        <f>+C17/B17</f>
        <v>5.0980569534834022</v>
      </c>
      <c r="E17" s="97">
        <v>229584</v>
      </c>
      <c r="F17" s="98">
        <v>1170432.31</v>
      </c>
      <c r="G17" s="104">
        <f>+F17/E17</f>
        <v>5.098056963899924</v>
      </c>
      <c r="H17" s="97">
        <f>B17-E17</f>
        <v>2161455</v>
      </c>
      <c r="I17" s="99">
        <f t="shared" ref="I17:I23" si="8">(+C17-F17)/H17</f>
        <v>5.0980569523769868</v>
      </c>
      <c r="J17" s="105">
        <f>+H17*I17</f>
        <v>11019220.689999999</v>
      </c>
      <c r="K17" s="105"/>
      <c r="L17" s="105"/>
      <c r="Q17" s="86">
        <v>37316</v>
      </c>
      <c r="R17" s="124">
        <v>-3302412</v>
      </c>
      <c r="S17" s="87">
        <v>18471386</v>
      </c>
    </row>
    <row r="18" spans="1:20" x14ac:dyDescent="0.2">
      <c r="A18" s="103" t="s">
        <v>39</v>
      </c>
      <c r="B18" s="97">
        <v>1739663</v>
      </c>
      <c r="C18" s="98">
        <v>8841334.9399999995</v>
      </c>
      <c r="D18" s="104">
        <f t="shared" ref="D18:D23" si="9">+C18/B18</f>
        <v>5.0822112903476127</v>
      </c>
      <c r="E18" s="97">
        <v>451258</v>
      </c>
      <c r="F18" s="98">
        <v>2310465.2400000002</v>
      </c>
      <c r="G18" s="104">
        <f t="shared" ref="G18:G23" si="10">+F18/E18</f>
        <v>5.1200538051402971</v>
      </c>
      <c r="H18" s="97">
        <f t="shared" ref="H18:H23" si="11">B18-E18</f>
        <v>1288405</v>
      </c>
      <c r="I18" s="99">
        <f t="shared" si="8"/>
        <v>5.0689571214020432</v>
      </c>
      <c r="J18" s="105">
        <f t="shared" ref="J18:J23" si="12">+H18*I18</f>
        <v>6530869.6999999993</v>
      </c>
      <c r="K18" s="105"/>
      <c r="L18" s="105"/>
      <c r="R18" s="125">
        <f>SUM(R5:R17)</f>
        <v>0</v>
      </c>
      <c r="S18" s="87">
        <f>SUM(S5:S17)</f>
        <v>-49114.999999992549</v>
      </c>
      <c r="T18" s="87">
        <f>+-362333+3568860</f>
        <v>3206527</v>
      </c>
    </row>
    <row r="19" spans="1:20" x14ac:dyDescent="0.2">
      <c r="A19" s="103" t="s">
        <v>40</v>
      </c>
      <c r="B19" s="97">
        <v>2112464</v>
      </c>
      <c r="C19" s="98">
        <v>9368570.4100000001</v>
      </c>
      <c r="D19" s="104">
        <f t="shared" si="9"/>
        <v>4.4349018066106689</v>
      </c>
      <c r="E19" s="97">
        <v>45000</v>
      </c>
      <c r="F19" s="98">
        <v>220081.01</v>
      </c>
      <c r="G19" s="104">
        <f t="shared" si="10"/>
        <v>4.8906891111111115</v>
      </c>
      <c r="H19" s="97">
        <f t="shared" si="11"/>
        <v>2067464</v>
      </c>
      <c r="I19" s="99">
        <f t="shared" si="8"/>
        <v>4.4249812330468634</v>
      </c>
      <c r="J19" s="105">
        <f t="shared" si="12"/>
        <v>9148489.4000000004</v>
      </c>
      <c r="K19" s="105"/>
      <c r="L19" s="105"/>
    </row>
    <row r="20" spans="1:20" x14ac:dyDescent="0.2">
      <c r="A20" s="103" t="s">
        <v>41</v>
      </c>
      <c r="B20" s="97">
        <v>3428938</v>
      </c>
      <c r="C20" s="98">
        <v>12377404.9</v>
      </c>
      <c r="D20" s="104">
        <f t="shared" si="9"/>
        <v>3.6096904930914473</v>
      </c>
      <c r="E20" s="97">
        <v>561758</v>
      </c>
      <c r="F20" s="98">
        <v>2482378.88</v>
      </c>
      <c r="G20" s="104">
        <f t="shared" si="10"/>
        <v>4.4189470910961655</v>
      </c>
      <c r="H20" s="97">
        <f t="shared" si="11"/>
        <v>2867180</v>
      </c>
      <c r="I20" s="99">
        <f t="shared" si="8"/>
        <v>3.4511352688007029</v>
      </c>
      <c r="J20" s="105">
        <f t="shared" si="12"/>
        <v>9895026.0199999996</v>
      </c>
      <c r="K20" s="105"/>
      <c r="L20" s="105"/>
      <c r="T20" s="87">
        <f>+T18-S18</f>
        <v>3255641.9999999925</v>
      </c>
    </row>
    <row r="21" spans="1:20" x14ac:dyDescent="0.2">
      <c r="A21" s="103" t="s">
        <v>42</v>
      </c>
      <c r="B21" s="97">
        <v>3179514</v>
      </c>
      <c r="C21" s="98">
        <v>9496114.5099999998</v>
      </c>
      <c r="D21" s="104">
        <f t="shared" si="9"/>
        <v>2.9866559826438883</v>
      </c>
      <c r="E21" s="97">
        <v>966850</v>
      </c>
      <c r="F21" s="98">
        <v>3899547.93</v>
      </c>
      <c r="G21" s="104">
        <f t="shared" si="10"/>
        <v>4.0332501732430055</v>
      </c>
      <c r="H21" s="97">
        <f t="shared" si="11"/>
        <v>2212664</v>
      </c>
      <c r="I21" s="99">
        <f t="shared" si="8"/>
        <v>2.5293341329727426</v>
      </c>
      <c r="J21" s="105">
        <f t="shared" si="12"/>
        <v>5596566.5800000001</v>
      </c>
      <c r="K21" s="105"/>
      <c r="L21" s="105"/>
    </row>
    <row r="22" spans="1:20" x14ac:dyDescent="0.2">
      <c r="A22" s="103" t="s">
        <v>43</v>
      </c>
      <c r="B22" s="97">
        <v>1622482</v>
      </c>
      <c r="C22" s="98">
        <v>4750063.37</v>
      </c>
      <c r="D22" s="104">
        <f t="shared" si="9"/>
        <v>2.9276524300423672</v>
      </c>
      <c r="E22" s="97">
        <v>539879</v>
      </c>
      <c r="F22" s="98">
        <v>2099333.7999999998</v>
      </c>
      <c r="G22" s="104">
        <f t="shared" si="10"/>
        <v>3.8885265031608931</v>
      </c>
      <c r="H22" s="97">
        <f t="shared" si="11"/>
        <v>1082603</v>
      </c>
      <c r="I22" s="99">
        <f t="shared" si="8"/>
        <v>2.4484779462092754</v>
      </c>
      <c r="J22" s="105">
        <f t="shared" si="12"/>
        <v>2650729.5700000003</v>
      </c>
      <c r="K22" s="105"/>
      <c r="L22" s="105"/>
      <c r="P22" s="128" t="s">
        <v>56</v>
      </c>
    </row>
    <row r="23" spans="1:20" x14ac:dyDescent="0.2">
      <c r="A23" s="103" t="s">
        <v>44</v>
      </c>
      <c r="B23" s="97">
        <v>1679679</v>
      </c>
      <c r="C23" s="98">
        <v>3579053.41</v>
      </c>
      <c r="D23" s="104">
        <f t="shared" si="9"/>
        <v>2.1307960687726646</v>
      </c>
      <c r="E23" s="97">
        <v>630665</v>
      </c>
      <c r="F23" s="98">
        <v>2314131</v>
      </c>
      <c r="G23" s="104">
        <f t="shared" si="10"/>
        <v>3.6693506061062529</v>
      </c>
      <c r="H23" s="97">
        <f t="shared" si="11"/>
        <v>1049014</v>
      </c>
      <c r="I23" s="99">
        <f t="shared" si="8"/>
        <v>1.205820332235795</v>
      </c>
      <c r="J23" s="105">
        <f t="shared" si="12"/>
        <v>1264922.4100000001</v>
      </c>
      <c r="K23" s="105"/>
      <c r="L23" s="105"/>
      <c r="P23" s="130">
        <f>-J25+N13+O13+S12+S13+S14+S16+S15+S17</f>
        <v>2875502.6299999952</v>
      </c>
    </row>
    <row r="24" spans="1:20" x14ac:dyDescent="0.2">
      <c r="A24" s="103"/>
      <c r="B24" s="97"/>
      <c r="C24" s="98"/>
      <c r="D24" s="104"/>
      <c r="E24" s="97"/>
      <c r="F24" s="98"/>
      <c r="G24" s="104"/>
      <c r="H24" s="97"/>
      <c r="I24" s="99"/>
      <c r="J24" s="105"/>
      <c r="K24" s="105"/>
      <c r="L24" s="105"/>
      <c r="P24" s="129">
        <v>252975</v>
      </c>
      <c r="Q24" t="s">
        <v>57</v>
      </c>
    </row>
    <row r="25" spans="1:20" x14ac:dyDescent="0.2">
      <c r="A25" s="96" t="s">
        <v>45</v>
      </c>
      <c r="B25" s="97">
        <f>SUM(B17:B24)</f>
        <v>16153779</v>
      </c>
      <c r="C25" s="98">
        <f>SUM(C17:C24)</f>
        <v>60602194.539999992</v>
      </c>
      <c r="D25" s="99">
        <f>(D17+D18+D19+D20+D21+D22+D23)/7</f>
        <v>3.7528521464274363</v>
      </c>
      <c r="E25" s="97">
        <f>SUM(E17:E23)</f>
        <v>3424994</v>
      </c>
      <c r="F25" s="98">
        <f>SUM(F17:F23)</f>
        <v>14496370.170000002</v>
      </c>
      <c r="G25" s="99">
        <f>(G17+G18+G19+G20+G21+G22+G23)/7</f>
        <v>4.4455534648225212</v>
      </c>
      <c r="H25" s="97">
        <f>SUM(H17:H23)</f>
        <v>12728785</v>
      </c>
      <c r="I25" s="99">
        <f>(I17+I18+I19+I20+I21+I22+I23)/7</f>
        <v>3.4609661410063444</v>
      </c>
      <c r="J25" s="105">
        <f>SUM(J17:J23)</f>
        <v>46105824.370000005</v>
      </c>
      <c r="K25" s="105" t="s">
        <v>55</v>
      </c>
      <c r="L25" s="105"/>
      <c r="P25" s="130">
        <f ca="1">SUM(P23:P24)</f>
        <v>3128477.6299999952</v>
      </c>
    </row>
    <row r="26" spans="1:20" x14ac:dyDescent="0.2">
      <c r="A26" s="115"/>
      <c r="B26" s="116"/>
      <c r="C26" s="127" t="s">
        <v>55</v>
      </c>
      <c r="D26" s="118"/>
      <c r="E26" s="116"/>
      <c r="F26" s="117"/>
      <c r="G26" s="118"/>
      <c r="H26" s="116"/>
      <c r="I26" s="118"/>
      <c r="J26" s="119"/>
      <c r="K26" s="119"/>
      <c r="L26" s="119"/>
    </row>
    <row r="27" spans="1:20" x14ac:dyDescent="0.2">
      <c r="A27" s="115" t="s">
        <v>48</v>
      </c>
      <c r="B27" s="116"/>
      <c r="C27" s="117"/>
      <c r="D27" s="118"/>
      <c r="E27" s="116"/>
      <c r="F27" s="117"/>
      <c r="G27" s="118"/>
      <c r="H27" s="116"/>
      <c r="I27" s="118"/>
      <c r="J27" s="119"/>
      <c r="K27" s="119"/>
      <c r="L27" s="119"/>
    </row>
    <row r="28" spans="1:20" x14ac:dyDescent="0.2">
      <c r="A28" s="115" t="s">
        <v>8</v>
      </c>
      <c r="B28" s="116" t="s">
        <v>30</v>
      </c>
      <c r="C28" s="117" t="s">
        <v>31</v>
      </c>
      <c r="D28" s="118" t="s">
        <v>32</v>
      </c>
      <c r="E28" s="116" t="s">
        <v>33</v>
      </c>
      <c r="F28" s="117" t="s">
        <v>34</v>
      </c>
      <c r="G28" s="118" t="s">
        <v>35</v>
      </c>
      <c r="H28" s="116" t="s">
        <v>36</v>
      </c>
      <c r="I28" s="118" t="s">
        <v>37</v>
      </c>
      <c r="J28" s="119"/>
      <c r="K28" s="119"/>
      <c r="L28" s="119"/>
    </row>
    <row r="29" spans="1:20" x14ac:dyDescent="0.2">
      <c r="A29" s="120" t="s">
        <v>38</v>
      </c>
      <c r="B29" s="116">
        <f t="shared" ref="B29:C35" si="13">+B5-B17</f>
        <v>-88285</v>
      </c>
      <c r="C29" s="117">
        <f t="shared" si="13"/>
        <v>-423397.78999999911</v>
      </c>
      <c r="D29" s="121"/>
      <c r="E29" s="116">
        <f t="shared" ref="E29:F35" si="14">+E5-E17</f>
        <v>0</v>
      </c>
      <c r="F29" s="117">
        <f t="shared" si="14"/>
        <v>13976.589999999851</v>
      </c>
      <c r="G29" s="121"/>
      <c r="H29" s="116">
        <f t="shared" ref="H29:H35" si="15">+H5-H17</f>
        <v>-88285</v>
      </c>
      <c r="I29" s="118"/>
      <c r="J29" s="122">
        <f t="shared" ref="J29:J35" si="16">+J5-J17</f>
        <v>-437374.37999999896</v>
      </c>
      <c r="K29" s="122">
        <v>4.8600000000000003</v>
      </c>
      <c r="L29" s="122">
        <f>(G17-K29)*H29</f>
        <v>-21016.859057904763</v>
      </c>
    </row>
    <row r="30" spans="1:20" x14ac:dyDescent="0.2">
      <c r="A30" s="120" t="s">
        <v>39</v>
      </c>
      <c r="B30" s="116">
        <f t="shared" si="13"/>
        <v>0</v>
      </c>
      <c r="C30" s="117">
        <f t="shared" si="13"/>
        <v>126232.72000000067</v>
      </c>
      <c r="D30" s="121"/>
      <c r="E30" s="116">
        <f t="shared" si="14"/>
        <v>1632</v>
      </c>
      <c r="F30" s="117">
        <f t="shared" si="14"/>
        <v>-12320.340000000317</v>
      </c>
      <c r="G30" s="121"/>
      <c r="H30" s="116">
        <f t="shared" si="15"/>
        <v>-1632</v>
      </c>
      <c r="I30" s="118"/>
      <c r="J30" s="122">
        <f t="shared" si="16"/>
        <v>138553.06000000052</v>
      </c>
      <c r="K30" s="122">
        <v>5.27</v>
      </c>
      <c r="L30" s="122">
        <f t="shared" ref="L30:L35" si="17">(G18-K30)*H30</f>
        <v>244.71219001103449</v>
      </c>
    </row>
    <row r="31" spans="1:20" x14ac:dyDescent="0.2">
      <c r="A31" s="120" t="s">
        <v>40</v>
      </c>
      <c r="B31" s="116">
        <f t="shared" si="13"/>
        <v>0</v>
      </c>
      <c r="C31" s="117">
        <f t="shared" si="13"/>
        <v>160531.98000000045</v>
      </c>
      <c r="D31" s="121"/>
      <c r="E31" s="116">
        <f t="shared" si="14"/>
        <v>0</v>
      </c>
      <c r="F31" s="117">
        <f t="shared" si="14"/>
        <v>-28381.010000000009</v>
      </c>
      <c r="G31" s="121"/>
      <c r="H31" s="116">
        <f t="shared" si="15"/>
        <v>0</v>
      </c>
      <c r="I31" s="118"/>
      <c r="J31" s="122">
        <f t="shared" si="16"/>
        <v>188912.99000000022</v>
      </c>
      <c r="K31" s="122"/>
      <c r="L31" s="122">
        <f t="shared" si="17"/>
        <v>0</v>
      </c>
    </row>
    <row r="32" spans="1:20" x14ac:dyDescent="0.2">
      <c r="A32" s="120" t="s">
        <v>41</v>
      </c>
      <c r="B32" s="116">
        <f t="shared" si="13"/>
        <v>0</v>
      </c>
      <c r="C32" s="117">
        <f t="shared" si="13"/>
        <v>-7246.4900000002235</v>
      </c>
      <c r="D32" s="121"/>
      <c r="E32" s="116">
        <f t="shared" si="14"/>
        <v>0</v>
      </c>
      <c r="F32" s="117">
        <f t="shared" si="14"/>
        <v>-342869.79999999981</v>
      </c>
      <c r="G32" s="121"/>
      <c r="H32" s="116">
        <f t="shared" si="15"/>
        <v>0</v>
      </c>
      <c r="I32" s="118"/>
      <c r="J32" s="122">
        <f t="shared" si="16"/>
        <v>335623.31000000052</v>
      </c>
      <c r="K32" s="122"/>
      <c r="L32" s="122">
        <f t="shared" si="17"/>
        <v>0</v>
      </c>
    </row>
    <row r="33" spans="1:12" x14ac:dyDescent="0.2">
      <c r="A33" s="120" t="s">
        <v>42</v>
      </c>
      <c r="B33" s="116">
        <f t="shared" si="13"/>
        <v>-759</v>
      </c>
      <c r="C33" s="117">
        <f t="shared" si="13"/>
        <v>86072.669999999925</v>
      </c>
      <c r="D33" s="121"/>
      <c r="E33" s="116">
        <f t="shared" si="14"/>
        <v>-10759</v>
      </c>
      <c r="F33" s="117">
        <f t="shared" si="14"/>
        <v>-1027878.81</v>
      </c>
      <c r="G33" s="121"/>
      <c r="H33" s="116">
        <f t="shared" si="15"/>
        <v>10000</v>
      </c>
      <c r="I33" s="118"/>
      <c r="J33" s="122">
        <f t="shared" si="16"/>
        <v>1113951.4799999995</v>
      </c>
      <c r="K33" s="122">
        <v>2.0099999999999998</v>
      </c>
      <c r="L33" s="122">
        <f t="shared" si="17"/>
        <v>20232.501732430057</v>
      </c>
    </row>
    <row r="34" spans="1:12" x14ac:dyDescent="0.2">
      <c r="A34" s="120" t="s">
        <v>43</v>
      </c>
      <c r="B34" s="116">
        <f t="shared" si="13"/>
        <v>108549</v>
      </c>
      <c r="C34" s="117">
        <f t="shared" si="13"/>
        <v>348384.40000000037</v>
      </c>
      <c r="D34" s="121"/>
      <c r="E34" s="116">
        <f t="shared" si="14"/>
        <v>118372</v>
      </c>
      <c r="F34" s="117">
        <f t="shared" si="14"/>
        <v>-121148.49999999977</v>
      </c>
      <c r="G34" s="121"/>
      <c r="H34" s="116">
        <f t="shared" si="15"/>
        <v>-9823</v>
      </c>
      <c r="I34" s="118"/>
      <c r="J34" s="122">
        <f t="shared" si="16"/>
        <v>469532.90000000037</v>
      </c>
      <c r="K34" s="122">
        <v>3.05</v>
      </c>
      <c r="L34" s="122">
        <f t="shared" si="17"/>
        <v>-8236.8458405494548</v>
      </c>
    </row>
    <row r="35" spans="1:12" x14ac:dyDescent="0.2">
      <c r="A35" s="120" t="s">
        <v>44</v>
      </c>
      <c r="B35" s="116">
        <f t="shared" si="13"/>
        <v>101291</v>
      </c>
      <c r="C35" s="117">
        <f t="shared" si="13"/>
        <v>264288.56999999937</v>
      </c>
      <c r="D35" s="121"/>
      <c r="E35" s="116">
        <f t="shared" si="14"/>
        <v>100957</v>
      </c>
      <c r="F35" s="117">
        <f t="shared" si="14"/>
        <v>-851129.70000000019</v>
      </c>
      <c r="G35" s="121"/>
      <c r="H35" s="116">
        <f t="shared" si="15"/>
        <v>334</v>
      </c>
      <c r="I35" s="118"/>
      <c r="J35" s="122">
        <f t="shared" si="16"/>
        <v>1115418.2699999996</v>
      </c>
      <c r="K35" s="122">
        <v>2.2400000000000002</v>
      </c>
      <c r="L35" s="122">
        <f t="shared" si="17"/>
        <v>477.40310243948841</v>
      </c>
    </row>
    <row r="36" spans="1:12" x14ac:dyDescent="0.2">
      <c r="A36" s="115"/>
      <c r="B36" s="116"/>
      <c r="C36" s="117"/>
      <c r="D36" s="118"/>
      <c r="E36" s="116"/>
      <c r="F36" s="117"/>
      <c r="G36" s="118"/>
      <c r="H36" s="116"/>
      <c r="I36" s="118"/>
      <c r="J36" s="119"/>
      <c r="K36" s="119"/>
      <c r="L36" s="122" t="s">
        <v>55</v>
      </c>
    </row>
    <row r="37" spans="1:12" x14ac:dyDescent="0.2">
      <c r="A37" s="115" t="s">
        <v>45</v>
      </c>
      <c r="B37" s="116">
        <f>SUM(B29:B36)</f>
        <v>120796</v>
      </c>
      <c r="C37" s="117">
        <f>SUM(C29:C36)</f>
        <v>554866.06000000145</v>
      </c>
      <c r="D37" s="118">
        <f>(D29+D30+D31+D32+D33+D34+D35)/7</f>
        <v>0</v>
      </c>
      <c r="E37" s="116">
        <f>SUM(E29:E35)</f>
        <v>210202</v>
      </c>
      <c r="F37" s="117">
        <f>SUM(F29:F35)</f>
        <v>-2369751.5700000003</v>
      </c>
      <c r="G37" s="118">
        <f>(G29+G30+G31+G32+G33+G34+G35)/7</f>
        <v>0</v>
      </c>
      <c r="H37" s="116">
        <f>SUM(H29:H35)</f>
        <v>-89406</v>
      </c>
      <c r="I37" s="118">
        <f>(I29+I30+I31+I32+I33+I34+I35)/7</f>
        <v>0</v>
      </c>
      <c r="J37" s="122">
        <f>SUM(J29:J35)</f>
        <v>2924617.6300000018</v>
      </c>
      <c r="K37" s="122"/>
      <c r="L37" s="12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"/>
  <sheetViews>
    <sheetView topLeftCell="R1" workbookViewId="0">
      <selection activeCell="X18" sqref="X18"/>
    </sheetView>
  </sheetViews>
  <sheetFormatPr defaultRowHeight="15.75" x14ac:dyDescent="0.25"/>
  <cols>
    <col min="1" max="1" width="16" style="145" customWidth="1"/>
    <col min="2" max="2" width="13.7109375" style="133" customWidth="1"/>
    <col min="3" max="3" width="30" style="133" customWidth="1"/>
    <col min="4" max="4" width="31.5703125" style="133" customWidth="1"/>
    <col min="5" max="5" width="17.7109375" style="134" bestFit="1" customWidth="1"/>
    <col min="6" max="6" width="29.42578125" style="134" customWidth="1"/>
    <col min="7" max="7" width="26.140625" style="135" customWidth="1"/>
    <col min="8" max="8" width="17.42578125" style="136" customWidth="1"/>
    <col min="9" max="9" width="17.42578125" style="133" customWidth="1"/>
    <col min="10" max="10" width="12.85546875" style="137" bestFit="1" customWidth="1"/>
    <col min="11" max="11" width="19" style="141" customWidth="1"/>
    <col min="12" max="12" width="15.140625" style="141" customWidth="1"/>
    <col min="13" max="13" width="19.7109375" style="140" customWidth="1"/>
    <col min="14" max="14" width="18.42578125" style="140" customWidth="1"/>
    <col min="15" max="15" width="17" style="141" bestFit="1" customWidth="1"/>
    <col min="16" max="16" width="23" style="141" bestFit="1" customWidth="1"/>
    <col min="17" max="17" width="22.42578125" style="141" bestFit="1" customWidth="1"/>
    <col min="18" max="18" width="19.140625" style="141" bestFit="1" customWidth="1"/>
    <col min="19" max="19" width="18.140625" style="141" customWidth="1"/>
    <col min="20" max="20" width="14.140625" style="141" customWidth="1"/>
    <col min="21" max="21" width="9.85546875" style="142" customWidth="1"/>
    <col min="22" max="22" width="23.140625" style="141" bestFit="1" customWidth="1"/>
    <col min="23" max="23" width="9.42578125" style="141" customWidth="1"/>
    <col min="24" max="24" width="14" style="141" bestFit="1" customWidth="1"/>
    <col min="25" max="16384" width="9.140625" style="141"/>
  </cols>
  <sheetData>
    <row r="1" spans="1:27" x14ac:dyDescent="0.25">
      <c r="A1" s="132" t="s">
        <v>58</v>
      </c>
      <c r="K1" s="138">
        <v>1.7000000000000001E-2</v>
      </c>
      <c r="L1" s="138"/>
      <c r="M1" s="138"/>
      <c r="N1" s="139">
        <v>0.98299999999999998</v>
      </c>
      <c r="O1" s="140"/>
      <c r="P1" s="140"/>
      <c r="U1" s="141"/>
      <c r="W1" s="142"/>
    </row>
    <row r="2" spans="1:27" x14ac:dyDescent="0.25">
      <c r="A2" s="132"/>
      <c r="M2" s="141"/>
      <c r="N2" s="141"/>
      <c r="O2" s="140"/>
      <c r="P2" s="140"/>
      <c r="S2" s="143"/>
      <c r="U2" s="141"/>
      <c r="W2" s="142"/>
    </row>
    <row r="3" spans="1:27" x14ac:dyDescent="0.25">
      <c r="A3" s="132" t="s">
        <v>59</v>
      </c>
      <c r="B3" s="144"/>
      <c r="C3" s="133" t="s">
        <v>60</v>
      </c>
      <c r="F3" s="134" t="s">
        <v>61</v>
      </c>
      <c r="G3" s="135" t="s">
        <v>62</v>
      </c>
      <c r="I3" s="133" t="s">
        <v>63</v>
      </c>
      <c r="J3" s="137" t="s">
        <v>64</v>
      </c>
      <c r="K3" s="141" t="s">
        <v>65</v>
      </c>
      <c r="L3" s="141" t="s">
        <v>66</v>
      </c>
      <c r="M3" s="141" t="s">
        <v>66</v>
      </c>
      <c r="N3" s="141" t="s">
        <v>67</v>
      </c>
      <c r="O3" s="140" t="s">
        <v>65</v>
      </c>
      <c r="P3" s="140" t="s">
        <v>68</v>
      </c>
      <c r="Q3" s="141" t="s">
        <v>69</v>
      </c>
      <c r="R3" s="141" t="s">
        <v>70</v>
      </c>
      <c r="U3" s="141"/>
      <c r="W3" s="142"/>
      <c r="X3" s="141" t="s">
        <v>6</v>
      </c>
    </row>
    <row r="4" spans="1:27" x14ac:dyDescent="0.25">
      <c r="A4" s="145" t="s">
        <v>8</v>
      </c>
      <c r="B4" s="133" t="s">
        <v>71</v>
      </c>
      <c r="C4" s="133" t="s">
        <v>72</v>
      </c>
      <c r="F4" s="134" t="s">
        <v>9</v>
      </c>
      <c r="G4" s="135" t="s">
        <v>9</v>
      </c>
      <c r="I4" s="133" t="s">
        <v>73</v>
      </c>
      <c r="J4" s="137" t="s">
        <v>74</v>
      </c>
      <c r="K4" s="141" t="s">
        <v>9</v>
      </c>
      <c r="L4" s="141" t="s">
        <v>9</v>
      </c>
      <c r="M4" s="141" t="s">
        <v>27</v>
      </c>
      <c r="N4" s="141" t="s">
        <v>9</v>
      </c>
      <c r="O4" s="140" t="s">
        <v>75</v>
      </c>
      <c r="P4" s="140" t="s">
        <v>76</v>
      </c>
      <c r="Q4" s="141" t="s">
        <v>65</v>
      </c>
      <c r="R4" s="141" t="s">
        <v>77</v>
      </c>
      <c r="S4" s="141" t="s">
        <v>78</v>
      </c>
      <c r="T4" s="141" t="s">
        <v>79</v>
      </c>
      <c r="U4" s="141" t="s">
        <v>80</v>
      </c>
      <c r="V4" s="141" t="s">
        <v>81</v>
      </c>
      <c r="W4" s="142" t="s">
        <v>82</v>
      </c>
      <c r="X4" s="141" t="s">
        <v>13</v>
      </c>
    </row>
    <row r="5" spans="1:27" x14ac:dyDescent="0.25">
      <c r="A5" s="146">
        <v>36951</v>
      </c>
      <c r="B5" s="147" t="s">
        <v>83</v>
      </c>
      <c r="C5" s="147" t="s">
        <v>84</v>
      </c>
      <c r="D5" s="147"/>
      <c r="E5" s="148"/>
      <c r="F5" s="149"/>
      <c r="G5" s="150">
        <v>-2391039</v>
      </c>
      <c r="H5" s="151"/>
      <c r="I5" s="151">
        <v>12189653</v>
      </c>
      <c r="J5" s="152">
        <f ca="1">+I5/G5</f>
        <v>-5.0980569534834022</v>
      </c>
      <c r="K5" s="153"/>
      <c r="L5" s="153"/>
      <c r="M5" s="153">
        <f ca="1">+L5*J5</f>
        <v>0</v>
      </c>
      <c r="N5" s="153">
        <f ca="1">+G5-K5-L5</f>
        <v>-2391039</v>
      </c>
      <c r="O5" s="154">
        <f ca="1">K5*J5</f>
        <v>0</v>
      </c>
      <c r="P5" s="154">
        <f ca="1">+N5*J5</f>
        <v>12189653</v>
      </c>
      <c r="Q5" s="155">
        <f ca="1">+O5</f>
        <v>0</v>
      </c>
      <c r="R5" s="140">
        <f ca="1">+P5</f>
        <v>12189653</v>
      </c>
      <c r="S5" s="156">
        <f ca="1">+R5</f>
        <v>12189653</v>
      </c>
      <c r="T5" s="157">
        <f ca="1">+N5</f>
        <v>-2391039</v>
      </c>
      <c r="U5" s="142">
        <f t="shared" ref="U5:U30" ca="1" si="0">+S5/T5</f>
        <v>-5.0980569534834022</v>
      </c>
      <c r="V5" s="143"/>
      <c r="W5" s="142"/>
    </row>
    <row r="6" spans="1:27" x14ac:dyDescent="0.25">
      <c r="A6" s="146">
        <v>36951</v>
      </c>
      <c r="B6" s="147" t="s">
        <v>83</v>
      </c>
      <c r="C6" s="147" t="s">
        <v>85</v>
      </c>
      <c r="D6" s="147"/>
      <c r="E6" s="148"/>
      <c r="F6" s="149"/>
      <c r="G6" s="150">
        <v>229584</v>
      </c>
      <c r="H6" s="151"/>
      <c r="I6" s="151"/>
      <c r="J6" s="149"/>
      <c r="K6" s="149"/>
      <c r="L6" s="149"/>
      <c r="M6" s="153"/>
      <c r="N6" s="153">
        <f ca="1">+G6</f>
        <v>229584</v>
      </c>
      <c r="O6" s="155"/>
      <c r="P6" s="155"/>
      <c r="Q6" s="155"/>
      <c r="R6" s="155">
        <f ca="1">+N6*U5</f>
        <v>-1170432.3076085334</v>
      </c>
      <c r="S6" s="156">
        <f t="shared" ref="S6:S30" ca="1" si="1">+S5+R6</f>
        <v>11019220.692391466</v>
      </c>
      <c r="T6" s="157">
        <f t="shared" ref="T6:T30" ca="1" si="2">+T5+N6</f>
        <v>-2161455</v>
      </c>
      <c r="U6" s="142">
        <f t="shared" ca="1" si="0"/>
        <v>-5.0980569534834022</v>
      </c>
      <c r="V6" s="143">
        <f ca="1">+S6+Q5</f>
        <v>11019220.692391466</v>
      </c>
      <c r="W6" s="142">
        <v>8.5000000000000006E-2</v>
      </c>
      <c r="X6" s="140">
        <f ca="1">+V6*(W6/12)</f>
        <v>78052.813237772891</v>
      </c>
    </row>
    <row r="7" spans="1:27" x14ac:dyDescent="0.25">
      <c r="A7" s="146">
        <v>36982</v>
      </c>
      <c r="B7" s="147" t="s">
        <v>83</v>
      </c>
      <c r="C7" s="147" t="s">
        <v>84</v>
      </c>
      <c r="D7" s="147"/>
      <c r="E7" s="148"/>
      <c r="F7" s="149"/>
      <c r="G7" s="150">
        <v>-1739663</v>
      </c>
      <c r="H7" s="151"/>
      <c r="I7" s="151">
        <v>8955326.4100000001</v>
      </c>
      <c r="J7" s="152">
        <f ca="1">+I7/G7</f>
        <v>-5.1477363201953485</v>
      </c>
      <c r="K7" s="153">
        <v>-21984</v>
      </c>
      <c r="L7" s="153">
        <v>-160</v>
      </c>
      <c r="M7" s="153">
        <f ca="1">+L7*J7</f>
        <v>823.6378112312558</v>
      </c>
      <c r="N7" s="153">
        <f ca="1">+G7-K7-L7</f>
        <v>-1717519</v>
      </c>
      <c r="O7" s="154">
        <f ca="1">K7*J7</f>
        <v>113167.83526317454</v>
      </c>
      <c r="P7" s="154">
        <f ca="1">+N7*J7</f>
        <v>8841334.9369255956</v>
      </c>
      <c r="Q7" s="155">
        <f ca="1">+Q5+O7</f>
        <v>113167.83526317454</v>
      </c>
      <c r="R7" s="140">
        <f ca="1">+P7</f>
        <v>8841334.9369255956</v>
      </c>
      <c r="S7" s="156">
        <f t="shared" ca="1" si="1"/>
        <v>19860555.62931706</v>
      </c>
      <c r="T7" s="157">
        <f t="shared" ca="1" si="2"/>
        <v>-3878974</v>
      </c>
      <c r="U7" s="142">
        <f t="shared" ca="1" si="0"/>
        <v>-5.1200538156009969</v>
      </c>
      <c r="W7" s="142"/>
      <c r="X7" s="140"/>
    </row>
    <row r="8" spans="1:27" x14ac:dyDescent="0.25">
      <c r="A8" s="146">
        <v>36982</v>
      </c>
      <c r="B8" s="147" t="s">
        <v>83</v>
      </c>
      <c r="C8" s="147" t="s">
        <v>85</v>
      </c>
      <c r="D8" s="147"/>
      <c r="E8" s="148"/>
      <c r="F8" s="149"/>
      <c r="G8" s="150">
        <v>451258</v>
      </c>
      <c r="H8" s="151"/>
      <c r="I8" s="151"/>
      <c r="J8" s="149"/>
      <c r="K8" s="149"/>
      <c r="L8" s="149"/>
      <c r="M8" s="153"/>
      <c r="N8" s="153">
        <f ca="1">+G8</f>
        <v>451258</v>
      </c>
      <c r="O8" s="155"/>
      <c r="P8" s="155"/>
      <c r="Q8" s="155"/>
      <c r="R8" s="155">
        <f ca="1">+N8*U7</f>
        <v>-2310465.2447204748</v>
      </c>
      <c r="S8" s="156">
        <f t="shared" ca="1" si="1"/>
        <v>17550090.384596586</v>
      </c>
      <c r="T8" s="157">
        <f t="shared" ca="1" si="2"/>
        <v>-3427716</v>
      </c>
      <c r="U8" s="142">
        <f t="shared" ca="1" si="0"/>
        <v>-5.1200538156009969</v>
      </c>
      <c r="V8" s="143">
        <f ca="1">+S8+Q7</f>
        <v>17663258.21985976</v>
      </c>
      <c r="W8" s="142">
        <v>0.08</v>
      </c>
      <c r="X8" s="140">
        <f ca="1">+V8*(W8/12)</f>
        <v>117755.05479906508</v>
      </c>
      <c r="AA8" s="158" t="s">
        <v>86</v>
      </c>
    </row>
    <row r="9" spans="1:27" x14ac:dyDescent="0.25">
      <c r="A9" s="146">
        <v>37012</v>
      </c>
      <c r="B9" s="147" t="s">
        <v>83</v>
      </c>
      <c r="C9" s="147" t="s">
        <v>84</v>
      </c>
      <c r="D9" s="147"/>
      <c r="E9" s="148"/>
      <c r="F9" s="149"/>
      <c r="G9" s="150">
        <v>-2112464</v>
      </c>
      <c r="H9" s="151"/>
      <c r="I9" s="151">
        <v>9531531.9299999997</v>
      </c>
      <c r="J9" s="152">
        <f ca="1">+I9/G9</f>
        <v>-4.5120446691635925</v>
      </c>
      <c r="K9" s="153">
        <v>-35106</v>
      </c>
      <c r="L9" s="153">
        <v>-1011</v>
      </c>
      <c r="M9" s="153">
        <f ca="1">+L9*J9</f>
        <v>4561.6771605243921</v>
      </c>
      <c r="N9" s="153">
        <f ca="1">+G9-K9-L9</f>
        <v>-2076347</v>
      </c>
      <c r="O9" s="154">
        <f ca="1">K9*J9</f>
        <v>158399.84015565709</v>
      </c>
      <c r="P9" s="154">
        <f ca="1">+N9*J9</f>
        <v>9368570.4126838185</v>
      </c>
      <c r="Q9" s="155">
        <f ca="1">+Q7+O9</f>
        <v>271567.67541883164</v>
      </c>
      <c r="R9" s="140">
        <f ca="1">+P9</f>
        <v>9368570.4126838185</v>
      </c>
      <c r="S9" s="156">
        <f t="shared" ca="1" si="1"/>
        <v>26918660.797280405</v>
      </c>
      <c r="T9" s="157">
        <f t="shared" ca="1" si="2"/>
        <v>-5504063</v>
      </c>
      <c r="U9" s="142">
        <f t="shared" ca="1" si="0"/>
        <v>-4.8906890777377372</v>
      </c>
      <c r="W9" s="142"/>
      <c r="X9" s="140"/>
    </row>
    <row r="10" spans="1:27" x14ac:dyDescent="0.25">
      <c r="A10" s="146">
        <v>37012</v>
      </c>
      <c r="B10" s="147" t="s">
        <v>83</v>
      </c>
      <c r="C10" s="133" t="s">
        <v>85</v>
      </c>
      <c r="F10" s="159"/>
      <c r="G10" s="160">
        <v>45000</v>
      </c>
      <c r="H10" s="161"/>
      <c r="I10" s="161"/>
      <c r="J10" s="149"/>
      <c r="K10" s="153"/>
      <c r="L10" s="153"/>
      <c r="M10" s="153"/>
      <c r="N10" s="153">
        <f ca="1">+G10</f>
        <v>45000</v>
      </c>
      <c r="O10" s="154"/>
      <c r="P10" s="154"/>
      <c r="Q10" s="155"/>
      <c r="R10" s="155">
        <f ca="1">+N10*U9</f>
        <v>-220081.00849819818</v>
      </c>
      <c r="S10" s="156">
        <f t="shared" ca="1" si="1"/>
        <v>26698579.788782205</v>
      </c>
      <c r="T10" s="157">
        <f t="shared" ca="1" si="2"/>
        <v>-5459063</v>
      </c>
      <c r="U10" s="142">
        <f t="shared" ca="1" si="0"/>
        <v>-4.8906890777377372</v>
      </c>
      <c r="V10" s="143">
        <f ca="1">+S10+Q9</f>
        <v>26970147.464201037</v>
      </c>
      <c r="W10" s="142">
        <v>7.4999999999999997E-2</v>
      </c>
      <c r="X10" s="140">
        <f ca="1">+V10*(W10/12)</f>
        <v>168563.42165125647</v>
      </c>
      <c r="AA10" s="158" t="s">
        <v>87</v>
      </c>
    </row>
    <row r="11" spans="1:27" x14ac:dyDescent="0.25">
      <c r="A11" s="146">
        <v>37043</v>
      </c>
      <c r="B11" s="147" t="s">
        <v>83</v>
      </c>
      <c r="C11" s="133" t="s">
        <v>84</v>
      </c>
      <c r="F11" s="159"/>
      <c r="G11" s="160">
        <v>-3428938</v>
      </c>
      <c r="H11" s="161"/>
      <c r="I11" s="161">
        <v>12542646</v>
      </c>
      <c r="J11" s="152">
        <f ca="1">+I11/G11</f>
        <v>-3.6578806615925981</v>
      </c>
      <c r="K11" s="162">
        <v>-43218</v>
      </c>
      <c r="L11" s="162">
        <v>-1956</v>
      </c>
      <c r="M11" s="153">
        <f ca="1">+L11*J11</f>
        <v>7154.8145740751215</v>
      </c>
      <c r="N11" s="153">
        <f ca="1">+G11-K11-L11</f>
        <v>-3383764</v>
      </c>
      <c r="O11" s="154">
        <f ca="1">K11*J11</f>
        <v>158086.2864327089</v>
      </c>
      <c r="P11" s="154">
        <f ca="1">+N11*J11</f>
        <v>12377404.898993216</v>
      </c>
      <c r="Q11" s="155">
        <f ca="1">+Q9+O11</f>
        <v>429653.96185154055</v>
      </c>
      <c r="R11" s="140">
        <f ca="1">+P11</f>
        <v>12377404.898993216</v>
      </c>
      <c r="S11" s="156">
        <f t="shared" ca="1" si="1"/>
        <v>39075984.687775418</v>
      </c>
      <c r="T11" s="157">
        <f t="shared" ca="1" si="2"/>
        <v>-8842827</v>
      </c>
      <c r="U11" s="142">
        <f t="shared" ca="1" si="0"/>
        <v>-4.4189470955131673</v>
      </c>
      <c r="W11" s="142"/>
      <c r="X11" s="140"/>
    </row>
    <row r="12" spans="1:27" x14ac:dyDescent="0.25">
      <c r="A12" s="146">
        <v>37043</v>
      </c>
      <c r="B12" s="147" t="s">
        <v>83</v>
      </c>
      <c r="C12" s="147" t="s">
        <v>85</v>
      </c>
      <c r="D12" s="147"/>
      <c r="E12" s="148"/>
      <c r="F12" s="149"/>
      <c r="G12" s="150">
        <v>561758</v>
      </c>
      <c r="H12" s="151"/>
      <c r="I12" s="151"/>
      <c r="J12" s="149"/>
      <c r="K12" s="162" t="s">
        <v>88</v>
      </c>
      <c r="L12" s="162"/>
      <c r="M12" s="153"/>
      <c r="N12" s="153">
        <f ca="1">+G12</f>
        <v>561758</v>
      </c>
      <c r="O12" s="155"/>
      <c r="P12" s="155"/>
      <c r="Q12" s="155"/>
      <c r="R12" s="155">
        <f ca="1">+N12*U11</f>
        <v>-2482378.8824812858</v>
      </c>
      <c r="S12" s="156">
        <f t="shared" ca="1" si="1"/>
        <v>36593605.805294134</v>
      </c>
      <c r="T12" s="157">
        <f t="shared" ca="1" si="2"/>
        <v>-8281069</v>
      </c>
      <c r="U12" s="142">
        <f t="shared" ca="1" si="0"/>
        <v>-4.4189470955131682</v>
      </c>
      <c r="V12" s="163">
        <f ca="1">+S12+Q11</f>
        <v>37023259.767145671</v>
      </c>
      <c r="W12" s="142">
        <v>7.0000000000000007E-2</v>
      </c>
      <c r="X12" s="140">
        <f ca="1">+V12*(W12/12)</f>
        <v>215969.01530834974</v>
      </c>
      <c r="AA12" s="158" t="s">
        <v>89</v>
      </c>
    </row>
    <row r="13" spans="1:27" x14ac:dyDescent="0.25">
      <c r="A13" s="146">
        <v>37073</v>
      </c>
      <c r="B13" s="147" t="s">
        <v>83</v>
      </c>
      <c r="C13" s="133" t="s">
        <v>84</v>
      </c>
      <c r="F13" s="159"/>
      <c r="G13" s="160">
        <v>-3179514</v>
      </c>
      <c r="H13" s="161"/>
      <c r="I13" s="161">
        <v>9596147</v>
      </c>
      <c r="J13" s="152">
        <f ca="1">+I13/G13</f>
        <v>-3.0181175487826128</v>
      </c>
      <c r="K13" s="162">
        <v>-33144</v>
      </c>
      <c r="L13" s="162">
        <v>0</v>
      </c>
      <c r="M13" s="153">
        <f ca="1">+L13*J13</f>
        <v>0</v>
      </c>
      <c r="N13" s="153">
        <f ca="1">+G13-K13-L13</f>
        <v>-3146370</v>
      </c>
      <c r="O13" s="154">
        <f ca="1">K13*J13</f>
        <v>100032.48803685092</v>
      </c>
      <c r="P13" s="154">
        <f ca="1">+N13*J13</f>
        <v>9496114.5119631495</v>
      </c>
      <c r="Q13" s="155">
        <f ca="1">+Q11+O13</f>
        <v>529686.44988839142</v>
      </c>
      <c r="R13" s="140">
        <f ca="1">+P13</f>
        <v>9496114.5119631495</v>
      </c>
      <c r="S13" s="156">
        <f t="shared" ca="1" si="1"/>
        <v>46089720.317257285</v>
      </c>
      <c r="T13" s="157">
        <f t="shared" ca="1" si="2"/>
        <v>-11427439</v>
      </c>
      <c r="U13" s="142">
        <f t="shared" ca="1" si="0"/>
        <v>-4.0332501724364738</v>
      </c>
      <c r="W13" s="142"/>
      <c r="X13" s="140"/>
    </row>
    <row r="14" spans="1:27" x14ac:dyDescent="0.25">
      <c r="A14" s="146">
        <v>37073</v>
      </c>
      <c r="B14" s="147" t="s">
        <v>83</v>
      </c>
      <c r="C14" s="133" t="s">
        <v>85</v>
      </c>
      <c r="F14" s="159"/>
      <c r="G14" s="160">
        <v>966850</v>
      </c>
      <c r="H14" s="161"/>
      <c r="I14" s="161"/>
      <c r="J14" s="149"/>
      <c r="K14" s="162" t="s">
        <v>90</v>
      </c>
      <c r="L14" s="162"/>
      <c r="M14" s="153"/>
      <c r="N14" s="153">
        <f ca="1">+G14</f>
        <v>966850</v>
      </c>
      <c r="O14" s="154"/>
      <c r="P14" s="154"/>
      <c r="Q14" s="155"/>
      <c r="R14" s="155">
        <f ca="1">+N14*U13</f>
        <v>-3899547.9292202047</v>
      </c>
      <c r="S14" s="156">
        <f t="shared" ca="1" si="1"/>
        <v>42190172.388037078</v>
      </c>
      <c r="T14" s="157">
        <f t="shared" ca="1" si="2"/>
        <v>-10460589</v>
      </c>
      <c r="U14" s="142">
        <f t="shared" ca="1" si="0"/>
        <v>-4.0332501724364738</v>
      </c>
      <c r="V14" s="143">
        <f ca="1">+S14+Q13</f>
        <v>42719858.837925471</v>
      </c>
      <c r="W14" s="142">
        <v>6.7500000000000004E-2</v>
      </c>
      <c r="X14" s="140">
        <f ca="1">+V14*(W14/12)</f>
        <v>240299.20596333081</v>
      </c>
      <c r="AA14" s="158" t="s">
        <v>91</v>
      </c>
    </row>
    <row r="15" spans="1:27" x14ac:dyDescent="0.25">
      <c r="A15" s="146">
        <v>37104</v>
      </c>
      <c r="B15" s="147" t="s">
        <v>83</v>
      </c>
      <c r="C15" s="133" t="s">
        <v>84</v>
      </c>
      <c r="F15" s="159"/>
      <c r="G15" s="160">
        <v>-1622482</v>
      </c>
      <c r="H15" s="161"/>
      <c r="I15" s="161">
        <v>4784268.6900000004</v>
      </c>
      <c r="J15" s="152">
        <f ca="1">+I15/G15</f>
        <v>-2.9487345252520525</v>
      </c>
      <c r="K15" s="153">
        <v>-11600</v>
      </c>
      <c r="L15" s="153">
        <v>0</v>
      </c>
      <c r="M15" s="153">
        <f ca="1">+L15*J15</f>
        <v>0</v>
      </c>
      <c r="N15" s="153">
        <f ca="1">+G15-K15-L15</f>
        <v>-1610882</v>
      </c>
      <c r="O15" s="154">
        <f ca="1">K15*J15</f>
        <v>34205.320492923805</v>
      </c>
      <c r="P15" s="154">
        <f ca="1">+N15*J15</f>
        <v>4750063.3695070772</v>
      </c>
      <c r="Q15" s="155">
        <f ca="1">+Q13+O15</f>
        <v>563891.77038131526</v>
      </c>
      <c r="R15" s="140">
        <f ca="1">+P15</f>
        <v>4750063.3695070772</v>
      </c>
      <c r="S15" s="156">
        <f t="shared" ca="1" si="1"/>
        <v>46940235.757544152</v>
      </c>
      <c r="T15" s="157">
        <f t="shared" ca="1" si="2"/>
        <v>-12071471</v>
      </c>
      <c r="U15" s="142">
        <f t="shared" ca="1" si="0"/>
        <v>-3.8885265729043423</v>
      </c>
      <c r="W15" s="142"/>
      <c r="X15" s="140"/>
    </row>
    <row r="16" spans="1:27" x14ac:dyDescent="0.25">
      <c r="A16" s="146">
        <v>37104</v>
      </c>
      <c r="B16" s="147" t="s">
        <v>83</v>
      </c>
      <c r="C16" s="133" t="s">
        <v>85</v>
      </c>
      <c r="F16" s="159"/>
      <c r="G16" s="160">
        <v>539879</v>
      </c>
      <c r="H16" s="161"/>
      <c r="I16" s="161"/>
      <c r="J16" s="152"/>
      <c r="K16" s="153"/>
      <c r="L16" s="153"/>
      <c r="M16" s="153"/>
      <c r="N16" s="153">
        <f ca="1">+G16</f>
        <v>539879</v>
      </c>
      <c r="O16" s="154"/>
      <c r="P16" s="154"/>
      <c r="Q16" s="155"/>
      <c r="R16" s="155">
        <f ca="1">+N16*U15</f>
        <v>-2099333.8376530237</v>
      </c>
      <c r="S16" s="156">
        <f t="shared" ca="1" si="1"/>
        <v>44840901.919891126</v>
      </c>
      <c r="T16" s="157">
        <f t="shared" ca="1" si="2"/>
        <v>-11531592</v>
      </c>
      <c r="U16" s="142">
        <f t="shared" ca="1" si="0"/>
        <v>-3.8885265729043419</v>
      </c>
      <c r="V16" s="143">
        <f ca="1">+S16+Q15</f>
        <v>45404793.690272443</v>
      </c>
      <c r="W16" s="142">
        <v>6.7500000000000004E-2</v>
      </c>
      <c r="X16" s="140">
        <f ca="1">+V16*(W16/12)</f>
        <v>255401.96450778251</v>
      </c>
      <c r="AA16" s="158" t="s">
        <v>92</v>
      </c>
    </row>
    <row r="17" spans="1:27" x14ac:dyDescent="0.25">
      <c r="A17" s="146">
        <v>37135</v>
      </c>
      <c r="B17" s="147" t="s">
        <v>83</v>
      </c>
      <c r="C17" s="133" t="s">
        <v>84</v>
      </c>
      <c r="F17" s="159"/>
      <c r="G17" s="160">
        <v>-1679679</v>
      </c>
      <c r="H17" s="161"/>
      <c r="I17" s="161">
        <v>3612371</v>
      </c>
      <c r="J17" s="152">
        <f ca="1">+I17/G17</f>
        <v>-2.1506317576155922</v>
      </c>
      <c r="K17" s="153">
        <v>-15492</v>
      </c>
      <c r="L17" s="153">
        <v>0</v>
      </c>
      <c r="M17" s="153">
        <f ca="1">+L17*J17</f>
        <v>0</v>
      </c>
      <c r="N17" s="153">
        <f ca="1">+G17-K17-L17</f>
        <v>-1664187</v>
      </c>
      <c r="O17" s="154">
        <f ca="1">+K17*J17</f>
        <v>33317.587188980753</v>
      </c>
      <c r="P17" s="154">
        <f ca="1">+N17*J17</f>
        <v>3579053.4128110195</v>
      </c>
      <c r="Q17" s="155">
        <f ca="1">+Q15+O17</f>
        <v>597209.35757029604</v>
      </c>
      <c r="R17" s="140">
        <f ca="1">+P17</f>
        <v>3579053.4128110195</v>
      </c>
      <c r="S17" s="156">
        <f t="shared" ca="1" si="1"/>
        <v>48419955.332702145</v>
      </c>
      <c r="T17" s="157">
        <f t="shared" ca="1" si="2"/>
        <v>-13195779</v>
      </c>
      <c r="U17" s="142">
        <f t="shared" ca="1" si="0"/>
        <v>-3.669351792925764</v>
      </c>
      <c r="W17" s="142"/>
      <c r="X17" s="140"/>
    </row>
    <row r="18" spans="1:27" x14ac:dyDescent="0.25">
      <c r="A18" s="146">
        <v>37135</v>
      </c>
      <c r="B18" s="147" t="s">
        <v>83</v>
      </c>
      <c r="C18" s="133" t="s">
        <v>85</v>
      </c>
      <c r="F18" s="159"/>
      <c r="G18" s="160">
        <v>630665</v>
      </c>
      <c r="H18" s="161"/>
      <c r="I18" s="161"/>
      <c r="J18" s="152"/>
      <c r="K18" s="153"/>
      <c r="L18" s="153"/>
      <c r="M18" s="153"/>
      <c r="N18" s="153">
        <f ca="1">+G18</f>
        <v>630665</v>
      </c>
      <c r="O18" s="154"/>
      <c r="P18" s="154"/>
      <c r="Q18" s="155"/>
      <c r="R18" s="155">
        <f ca="1">+N18*U17</f>
        <v>-2314131.748485527</v>
      </c>
      <c r="S18" s="156">
        <f t="shared" ca="1" si="1"/>
        <v>46105823.584216617</v>
      </c>
      <c r="T18" s="157">
        <f t="shared" ca="1" si="2"/>
        <v>-12565114</v>
      </c>
      <c r="U18" s="142">
        <f t="shared" ca="1" si="0"/>
        <v>-3.669351792925764</v>
      </c>
      <c r="V18" s="143">
        <f ca="1">+S18+Q17</f>
        <v>46703032.941786915</v>
      </c>
      <c r="W18" s="142">
        <v>6.5000000000000002E-2</v>
      </c>
      <c r="X18" s="140">
        <f ca="1">+V18*(W18/12)</f>
        <v>252974.76176801245</v>
      </c>
      <c r="AA18" s="158" t="s">
        <v>93</v>
      </c>
    </row>
    <row r="19" spans="1:27" x14ac:dyDescent="0.25">
      <c r="A19" s="146">
        <v>37165</v>
      </c>
      <c r="B19" s="147" t="s">
        <v>83</v>
      </c>
      <c r="C19" s="133" t="s">
        <v>84</v>
      </c>
      <c r="F19" s="159"/>
      <c r="G19" s="160"/>
      <c r="H19" s="161"/>
      <c r="I19" s="161"/>
      <c r="J19" s="152" t="e">
        <f ca="1">+I19/G19</f>
        <v>#DIV/0!</v>
      </c>
      <c r="K19" s="153"/>
      <c r="L19" s="153"/>
      <c r="M19" s="153" t="e">
        <f ca="1">+L19*J19</f>
        <v>#DIV/0!</v>
      </c>
      <c r="N19" s="153">
        <f ca="1">+G19-K19-L19</f>
        <v>0</v>
      </c>
      <c r="O19" s="154" t="e">
        <f ca="1">+K19*J19</f>
        <v>#DIV/0!</v>
      </c>
      <c r="P19" s="154" t="e">
        <f ca="1">+N19*J19</f>
        <v>#DIV/0!</v>
      </c>
      <c r="Q19" s="155" t="e">
        <f ca="1">+Q17+O19</f>
        <v>#DIV/0!</v>
      </c>
      <c r="R19" s="140" t="e">
        <f ca="1">+P19</f>
        <v>#DIV/0!</v>
      </c>
      <c r="S19" s="156" t="e">
        <f t="shared" ca="1" si="1"/>
        <v>#DIV/0!</v>
      </c>
      <c r="T19" s="157">
        <f t="shared" ca="1" si="2"/>
        <v>-12565114</v>
      </c>
      <c r="U19" s="142" t="e">
        <f t="shared" ca="1" si="0"/>
        <v>#DIV/0!</v>
      </c>
      <c r="V19" s="143"/>
      <c r="W19" s="142"/>
      <c r="X19" s="140"/>
    </row>
    <row r="20" spans="1:27" x14ac:dyDescent="0.25">
      <c r="A20" s="146">
        <v>37165</v>
      </c>
      <c r="B20" s="147" t="s">
        <v>83</v>
      </c>
      <c r="C20" s="133" t="s">
        <v>85</v>
      </c>
      <c r="F20" s="159"/>
      <c r="G20" s="160"/>
      <c r="H20" s="161"/>
      <c r="I20" s="161"/>
      <c r="J20" s="152"/>
      <c r="K20" s="153"/>
      <c r="L20" s="153"/>
      <c r="M20" s="153"/>
      <c r="N20" s="153">
        <f ca="1">+G20</f>
        <v>0</v>
      </c>
      <c r="O20" s="154"/>
      <c r="P20" s="154"/>
      <c r="Q20" s="155"/>
      <c r="R20" s="155" t="e">
        <f ca="1">+N20*U19</f>
        <v>#DIV/0!</v>
      </c>
      <c r="S20" s="156" t="e">
        <f t="shared" ca="1" si="1"/>
        <v>#DIV/0!</v>
      </c>
      <c r="T20" s="157">
        <f t="shared" ca="1" si="2"/>
        <v>-12565114</v>
      </c>
      <c r="U20" s="142" t="e">
        <f t="shared" ca="1" si="0"/>
        <v>#DIV/0!</v>
      </c>
      <c r="V20" s="143" t="e">
        <f ca="1">+S20+Q19</f>
        <v>#DIV/0!</v>
      </c>
      <c r="W20" s="142"/>
      <c r="X20" s="140" t="e">
        <f ca="1">+V20*(W20/12)</f>
        <v>#DIV/0!</v>
      </c>
    </row>
    <row r="21" spans="1:27" x14ac:dyDescent="0.25">
      <c r="A21" s="146">
        <v>37196</v>
      </c>
      <c r="B21" s="147" t="s">
        <v>83</v>
      </c>
      <c r="C21" s="133" t="s">
        <v>84</v>
      </c>
      <c r="F21" s="159"/>
      <c r="G21" s="160"/>
      <c r="H21" s="161"/>
      <c r="I21" s="161"/>
      <c r="J21" s="152" t="e">
        <f ca="1">+I21/G21</f>
        <v>#DIV/0!</v>
      </c>
      <c r="K21" s="153"/>
      <c r="L21" s="153"/>
      <c r="M21" s="153" t="e">
        <f ca="1">+L21*J21</f>
        <v>#DIV/0!</v>
      </c>
      <c r="N21" s="153">
        <f ca="1">+G21-K21-L21</f>
        <v>0</v>
      </c>
      <c r="O21" s="154" t="e">
        <f ca="1">+K21*J21</f>
        <v>#DIV/0!</v>
      </c>
      <c r="P21" s="154" t="e">
        <f ca="1">+N21*J21</f>
        <v>#DIV/0!</v>
      </c>
      <c r="Q21" s="155" t="e">
        <f ca="1">+Q19+O21</f>
        <v>#DIV/0!</v>
      </c>
      <c r="R21" s="140" t="e">
        <f ca="1">+P21</f>
        <v>#DIV/0!</v>
      </c>
      <c r="S21" s="156" t="e">
        <f t="shared" ca="1" si="1"/>
        <v>#DIV/0!</v>
      </c>
      <c r="T21" s="157">
        <f t="shared" ca="1" si="2"/>
        <v>-12565114</v>
      </c>
      <c r="U21" s="142" t="e">
        <f t="shared" ca="1" si="0"/>
        <v>#DIV/0!</v>
      </c>
      <c r="V21" s="143"/>
      <c r="W21" s="142"/>
      <c r="X21" s="140"/>
      <c r="AA21" s="158"/>
    </row>
    <row r="22" spans="1:27" x14ac:dyDescent="0.25">
      <c r="A22" s="146">
        <v>37196</v>
      </c>
      <c r="B22" s="147" t="s">
        <v>83</v>
      </c>
      <c r="C22" s="133" t="s">
        <v>85</v>
      </c>
      <c r="F22" s="159"/>
      <c r="G22" s="160"/>
      <c r="H22" s="161"/>
      <c r="I22" s="161"/>
      <c r="J22" s="152"/>
      <c r="K22" s="153"/>
      <c r="L22" s="153"/>
      <c r="M22" s="153"/>
      <c r="N22" s="153">
        <f ca="1">+G22</f>
        <v>0</v>
      </c>
      <c r="O22" s="154"/>
      <c r="P22" s="154"/>
      <c r="Q22" s="155"/>
      <c r="R22" s="155" t="e">
        <f ca="1">+N22*U21</f>
        <v>#DIV/0!</v>
      </c>
      <c r="S22" s="156" t="e">
        <f t="shared" ca="1" si="1"/>
        <v>#DIV/0!</v>
      </c>
      <c r="T22" s="157">
        <f t="shared" ca="1" si="2"/>
        <v>-12565114</v>
      </c>
      <c r="U22" s="142" t="e">
        <f t="shared" ca="1" si="0"/>
        <v>#DIV/0!</v>
      </c>
      <c r="V22" s="143" t="e">
        <f ca="1">+S22+Q21</f>
        <v>#DIV/0!</v>
      </c>
      <c r="W22" s="142"/>
      <c r="X22" s="140" t="e">
        <f ca="1">+V22*(W22/12)</f>
        <v>#DIV/0!</v>
      </c>
      <c r="AA22" s="164"/>
    </row>
    <row r="23" spans="1:27" x14ac:dyDescent="0.25">
      <c r="A23" s="146">
        <v>37226</v>
      </c>
      <c r="B23" s="147" t="s">
        <v>83</v>
      </c>
      <c r="C23" s="133" t="s">
        <v>84</v>
      </c>
      <c r="F23" s="159"/>
      <c r="G23" s="160"/>
      <c r="H23" s="161"/>
      <c r="I23" s="161"/>
      <c r="J23" s="152" t="e">
        <f ca="1">+I23/G23</f>
        <v>#DIV/0!</v>
      </c>
      <c r="K23" s="153"/>
      <c r="L23" s="153"/>
      <c r="M23" s="153" t="e">
        <f ca="1">+L23*J23</f>
        <v>#DIV/0!</v>
      </c>
      <c r="N23" s="153">
        <f ca="1">+G23-K23-L23</f>
        <v>0</v>
      </c>
      <c r="O23" s="154" t="e">
        <f ca="1">+K23*J23</f>
        <v>#DIV/0!</v>
      </c>
      <c r="P23" s="154" t="e">
        <f ca="1">+N23*J23</f>
        <v>#DIV/0!</v>
      </c>
      <c r="Q23" s="155" t="e">
        <f ca="1">+Q21+O23</f>
        <v>#DIV/0!</v>
      </c>
      <c r="R23" s="140" t="e">
        <f ca="1">+P23</f>
        <v>#DIV/0!</v>
      </c>
      <c r="S23" s="156" t="e">
        <f t="shared" ca="1" si="1"/>
        <v>#DIV/0!</v>
      </c>
      <c r="T23" s="157">
        <f t="shared" ca="1" si="2"/>
        <v>-12565114</v>
      </c>
      <c r="U23" s="142" t="e">
        <f t="shared" ca="1" si="0"/>
        <v>#DIV/0!</v>
      </c>
      <c r="V23" s="143"/>
      <c r="W23" s="142"/>
      <c r="X23" s="140"/>
    </row>
    <row r="24" spans="1:27" x14ac:dyDescent="0.25">
      <c r="A24" s="146">
        <v>37226</v>
      </c>
      <c r="B24" s="147" t="s">
        <v>83</v>
      </c>
      <c r="C24" s="133" t="s">
        <v>85</v>
      </c>
      <c r="F24" s="159"/>
      <c r="G24" s="160"/>
      <c r="H24" s="161"/>
      <c r="I24" s="161"/>
      <c r="J24" s="152"/>
      <c r="K24" s="153"/>
      <c r="L24" s="153"/>
      <c r="M24" s="153"/>
      <c r="N24" s="153">
        <f ca="1">+G24</f>
        <v>0</v>
      </c>
      <c r="O24" s="154"/>
      <c r="P24" s="154"/>
      <c r="Q24" s="155"/>
      <c r="R24" s="155" t="e">
        <f ca="1">+N24*U23</f>
        <v>#DIV/0!</v>
      </c>
      <c r="S24" s="156" t="e">
        <f t="shared" ca="1" si="1"/>
        <v>#DIV/0!</v>
      </c>
      <c r="T24" s="157">
        <f t="shared" ca="1" si="2"/>
        <v>-12565114</v>
      </c>
      <c r="U24" s="142" t="e">
        <f t="shared" ca="1" si="0"/>
        <v>#DIV/0!</v>
      </c>
      <c r="V24" s="143" t="e">
        <f ca="1">+S24+Q23</f>
        <v>#DIV/0!</v>
      </c>
      <c r="W24" s="142"/>
      <c r="X24" s="140" t="e">
        <f ca="1">+V24*(W24/12)</f>
        <v>#DIV/0!</v>
      </c>
    </row>
    <row r="25" spans="1:27" x14ac:dyDescent="0.25">
      <c r="A25" s="146">
        <v>37257</v>
      </c>
      <c r="B25" s="147" t="s">
        <v>83</v>
      </c>
      <c r="C25" s="133" t="s">
        <v>84</v>
      </c>
      <c r="F25" s="159"/>
      <c r="G25" s="160"/>
      <c r="H25" s="161"/>
      <c r="I25" s="161"/>
      <c r="J25" s="152" t="e">
        <f ca="1">+I25/G25</f>
        <v>#DIV/0!</v>
      </c>
      <c r="K25" s="153"/>
      <c r="L25" s="153"/>
      <c r="M25" s="153" t="e">
        <f ca="1">+L25*J25</f>
        <v>#DIV/0!</v>
      </c>
      <c r="N25" s="153">
        <f ca="1">+G25-K25-L25</f>
        <v>0</v>
      </c>
      <c r="O25" s="154" t="e">
        <f ca="1">+K25*J25</f>
        <v>#DIV/0!</v>
      </c>
      <c r="P25" s="154" t="e">
        <f ca="1">+N25*J25</f>
        <v>#DIV/0!</v>
      </c>
      <c r="Q25" s="155" t="e">
        <f ca="1">+Q23+O25</f>
        <v>#DIV/0!</v>
      </c>
      <c r="R25" s="140" t="e">
        <f ca="1">+P25</f>
        <v>#DIV/0!</v>
      </c>
      <c r="S25" s="156" t="e">
        <f t="shared" ca="1" si="1"/>
        <v>#DIV/0!</v>
      </c>
      <c r="T25" s="157">
        <f t="shared" ca="1" si="2"/>
        <v>-12565114</v>
      </c>
      <c r="U25" s="142" t="e">
        <f t="shared" ca="1" si="0"/>
        <v>#DIV/0!</v>
      </c>
      <c r="V25" s="143"/>
      <c r="W25" s="142"/>
      <c r="X25" s="140"/>
    </row>
    <row r="26" spans="1:27" x14ac:dyDescent="0.25">
      <c r="A26" s="146">
        <v>37257</v>
      </c>
      <c r="B26" s="147" t="s">
        <v>83</v>
      </c>
      <c r="C26" s="133" t="s">
        <v>85</v>
      </c>
      <c r="F26" s="159"/>
      <c r="G26" s="160"/>
      <c r="H26" s="161"/>
      <c r="I26" s="161"/>
      <c r="J26" s="152"/>
      <c r="K26" s="153"/>
      <c r="L26" s="153"/>
      <c r="M26" s="153"/>
      <c r="N26" s="153">
        <f ca="1">+G26</f>
        <v>0</v>
      </c>
      <c r="O26" s="154"/>
      <c r="P26" s="154"/>
      <c r="Q26" s="155"/>
      <c r="R26" s="155" t="e">
        <f ca="1">+N26*U25</f>
        <v>#DIV/0!</v>
      </c>
      <c r="S26" s="156" t="e">
        <f t="shared" ca="1" si="1"/>
        <v>#DIV/0!</v>
      </c>
      <c r="T26" s="157">
        <f t="shared" ca="1" si="2"/>
        <v>-12565114</v>
      </c>
      <c r="U26" s="142" t="e">
        <f t="shared" ca="1" si="0"/>
        <v>#DIV/0!</v>
      </c>
      <c r="V26" s="143" t="e">
        <f ca="1">+S26+Q25</f>
        <v>#DIV/0!</v>
      </c>
      <c r="W26" s="142"/>
      <c r="X26" s="140" t="e">
        <f ca="1">+V26*(W26/12)</f>
        <v>#DIV/0!</v>
      </c>
    </row>
    <row r="27" spans="1:27" x14ac:dyDescent="0.25">
      <c r="A27" s="146">
        <v>37288</v>
      </c>
      <c r="B27" s="147" t="s">
        <v>83</v>
      </c>
      <c r="C27" s="133" t="s">
        <v>84</v>
      </c>
      <c r="F27" s="159"/>
      <c r="G27" s="160"/>
      <c r="H27" s="161"/>
      <c r="I27" s="161"/>
      <c r="J27" s="152" t="e">
        <f ca="1">+I27/G27</f>
        <v>#DIV/0!</v>
      </c>
      <c r="K27" s="153"/>
      <c r="L27" s="153"/>
      <c r="M27" s="153" t="e">
        <f ca="1">+L27*J27</f>
        <v>#DIV/0!</v>
      </c>
      <c r="N27" s="153">
        <f ca="1">+G27-K27-L27</f>
        <v>0</v>
      </c>
      <c r="O27" s="154" t="e">
        <f ca="1">+K27*J27</f>
        <v>#DIV/0!</v>
      </c>
      <c r="P27" s="154" t="e">
        <f ca="1">+N27*J27</f>
        <v>#DIV/0!</v>
      </c>
      <c r="Q27" s="155" t="e">
        <f ca="1">+Q25+O27</f>
        <v>#DIV/0!</v>
      </c>
      <c r="R27" s="140" t="e">
        <f ca="1">+P27</f>
        <v>#DIV/0!</v>
      </c>
      <c r="S27" s="156" t="e">
        <f t="shared" ca="1" si="1"/>
        <v>#DIV/0!</v>
      </c>
      <c r="T27" s="157">
        <f t="shared" ca="1" si="2"/>
        <v>-12565114</v>
      </c>
      <c r="U27" s="142" t="e">
        <f t="shared" ca="1" si="0"/>
        <v>#DIV/0!</v>
      </c>
      <c r="V27" s="143"/>
      <c r="W27" s="142"/>
      <c r="X27" s="140"/>
    </row>
    <row r="28" spans="1:27" x14ac:dyDescent="0.25">
      <c r="A28" s="146">
        <v>37288</v>
      </c>
      <c r="B28" s="147" t="s">
        <v>83</v>
      </c>
      <c r="C28" s="133" t="s">
        <v>85</v>
      </c>
      <c r="F28" s="159"/>
      <c r="G28" s="160"/>
      <c r="H28" s="161"/>
      <c r="I28" s="161"/>
      <c r="J28" s="152"/>
      <c r="K28" s="153"/>
      <c r="L28" s="153"/>
      <c r="M28" s="153"/>
      <c r="N28" s="153">
        <f ca="1">+G28</f>
        <v>0</v>
      </c>
      <c r="O28" s="154"/>
      <c r="P28" s="154"/>
      <c r="Q28" s="155"/>
      <c r="R28" s="155" t="e">
        <f ca="1">+N28*U27</f>
        <v>#DIV/0!</v>
      </c>
      <c r="S28" s="156" t="e">
        <f t="shared" ca="1" si="1"/>
        <v>#DIV/0!</v>
      </c>
      <c r="T28" s="157">
        <f t="shared" ca="1" si="2"/>
        <v>-12565114</v>
      </c>
      <c r="U28" s="142" t="e">
        <f t="shared" ca="1" si="0"/>
        <v>#DIV/0!</v>
      </c>
      <c r="V28" s="143" t="e">
        <f ca="1">+S28+Q27</f>
        <v>#DIV/0!</v>
      </c>
      <c r="W28" s="142"/>
      <c r="X28" s="140" t="e">
        <f ca="1">+V28*(W28/12)</f>
        <v>#DIV/0!</v>
      </c>
    </row>
    <row r="29" spans="1:27" x14ac:dyDescent="0.25">
      <c r="A29" s="146">
        <v>37316</v>
      </c>
      <c r="B29" s="147" t="s">
        <v>83</v>
      </c>
      <c r="C29" s="133" t="s">
        <v>84</v>
      </c>
      <c r="F29" s="159"/>
      <c r="G29" s="160"/>
      <c r="H29" s="161"/>
      <c r="I29" s="161"/>
      <c r="J29" s="152" t="e">
        <f ca="1">+I29/G29</f>
        <v>#DIV/0!</v>
      </c>
      <c r="K29" s="153"/>
      <c r="L29" s="153"/>
      <c r="M29" s="153" t="e">
        <f ca="1">+L29*J29</f>
        <v>#DIV/0!</v>
      </c>
      <c r="N29" s="153">
        <f ca="1">+G29-K29-L29</f>
        <v>0</v>
      </c>
      <c r="O29" s="154" t="e">
        <f ca="1">+K29*J29</f>
        <v>#DIV/0!</v>
      </c>
      <c r="P29" s="154" t="e">
        <f ca="1">+N29*J29</f>
        <v>#DIV/0!</v>
      </c>
      <c r="Q29" s="155" t="e">
        <f ca="1">+Q27+O29</f>
        <v>#DIV/0!</v>
      </c>
      <c r="R29" s="140" t="e">
        <f ca="1">+P29</f>
        <v>#DIV/0!</v>
      </c>
      <c r="S29" s="156" t="e">
        <f t="shared" ca="1" si="1"/>
        <v>#DIV/0!</v>
      </c>
      <c r="T29" s="157">
        <f t="shared" ca="1" si="2"/>
        <v>-12565114</v>
      </c>
      <c r="U29" s="142" t="e">
        <f t="shared" ca="1" si="0"/>
        <v>#DIV/0!</v>
      </c>
      <c r="V29" s="143"/>
      <c r="W29" s="142"/>
      <c r="X29" s="140"/>
    </row>
    <row r="30" spans="1:27" x14ac:dyDescent="0.25">
      <c r="A30" s="146">
        <v>37316</v>
      </c>
      <c r="B30" s="147" t="s">
        <v>83</v>
      </c>
      <c r="C30" s="133" t="s">
        <v>85</v>
      </c>
      <c r="F30" s="159"/>
      <c r="G30" s="160"/>
      <c r="H30" s="161"/>
      <c r="I30" s="161"/>
      <c r="J30" s="152"/>
      <c r="K30" s="153"/>
      <c r="L30" s="153"/>
      <c r="M30" s="153"/>
      <c r="N30" s="153">
        <f ca="1">+G30</f>
        <v>0</v>
      </c>
      <c r="O30" s="154"/>
      <c r="P30" s="154"/>
      <c r="Q30" s="155"/>
      <c r="R30" s="155" t="e">
        <f ca="1">+N30*U29</f>
        <v>#DIV/0!</v>
      </c>
      <c r="S30" s="156" t="e">
        <f t="shared" ca="1" si="1"/>
        <v>#DIV/0!</v>
      </c>
      <c r="T30" s="157">
        <f t="shared" ca="1" si="2"/>
        <v>-12565114</v>
      </c>
      <c r="U30" s="142" t="e">
        <f t="shared" ca="1" si="0"/>
        <v>#DIV/0!</v>
      </c>
      <c r="V30" s="143" t="e">
        <f ca="1">+S30+Q29</f>
        <v>#DIV/0!</v>
      </c>
      <c r="W30" s="142"/>
      <c r="X30" s="140" t="e">
        <f ca="1">+V30*(W30/12)</f>
        <v>#DIV/0!</v>
      </c>
    </row>
    <row r="31" spans="1:27" x14ac:dyDescent="0.25">
      <c r="A31" s="146"/>
      <c r="B31" s="147"/>
      <c r="F31" s="159"/>
      <c r="G31" s="165"/>
      <c r="H31" s="166"/>
      <c r="I31" s="166"/>
      <c r="J31" s="167"/>
      <c r="K31" s="159"/>
      <c r="L31" s="159"/>
      <c r="M31" s="159"/>
      <c r="N31" s="159"/>
      <c r="O31" s="140"/>
      <c r="P31" s="140"/>
      <c r="Q31" s="155"/>
      <c r="R31" s="155"/>
      <c r="S31" s="156"/>
      <c r="T31" s="157"/>
      <c r="V31" s="143"/>
      <c r="W31" s="142"/>
      <c r="X31" s="140"/>
    </row>
    <row r="32" spans="1:27" x14ac:dyDescent="0.25">
      <c r="A32" s="146"/>
      <c r="B32" s="147"/>
      <c r="F32" s="159"/>
      <c r="G32" s="165"/>
      <c r="H32" s="166"/>
      <c r="I32" s="166"/>
      <c r="J32" s="167"/>
      <c r="K32" s="159"/>
      <c r="L32" s="159"/>
      <c r="M32" s="159"/>
      <c r="N32" s="159"/>
      <c r="O32" s="140"/>
      <c r="P32" s="140"/>
      <c r="Q32" s="155"/>
      <c r="R32" s="155"/>
      <c r="S32" s="156"/>
      <c r="T32" s="157"/>
      <c r="V32" s="143"/>
      <c r="W32" s="142"/>
      <c r="X32" s="140"/>
    </row>
    <row r="33" spans="1:24" x14ac:dyDescent="0.25">
      <c r="A33" s="146"/>
      <c r="B33" s="147"/>
      <c r="F33" s="159"/>
      <c r="G33" s="165"/>
      <c r="H33" s="166"/>
      <c r="I33" s="166"/>
      <c r="J33" s="167"/>
      <c r="K33" s="159"/>
      <c r="L33" s="159"/>
      <c r="M33" s="159"/>
      <c r="N33" s="159"/>
      <c r="O33" s="140"/>
      <c r="P33" s="140"/>
      <c r="Q33" s="155"/>
      <c r="R33" s="155"/>
      <c r="S33" s="156"/>
      <c r="T33" s="157"/>
      <c r="V33" s="143"/>
      <c r="W33" s="142"/>
      <c r="X33" s="140"/>
    </row>
    <row r="34" spans="1:24" x14ac:dyDescent="0.25">
      <c r="A34" s="146" t="s">
        <v>94</v>
      </c>
      <c r="B34" s="168" t="s">
        <v>95</v>
      </c>
      <c r="F34" s="169" t="s">
        <v>96</v>
      </c>
      <c r="G34" s="165"/>
      <c r="I34" s="170" t="s">
        <v>97</v>
      </c>
      <c r="L34" s="171"/>
      <c r="P34" s="155"/>
      <c r="Q34" s="172"/>
      <c r="R34" s="157"/>
      <c r="S34" s="142"/>
    </row>
    <row r="35" spans="1:24" x14ac:dyDescent="0.25">
      <c r="A35" s="146"/>
      <c r="B35" s="147" t="s">
        <v>98</v>
      </c>
      <c r="G35" s="165"/>
      <c r="L35" s="171"/>
      <c r="P35" s="155"/>
      <c r="Q35" s="156"/>
      <c r="R35" s="157"/>
      <c r="S35" s="142"/>
    </row>
    <row r="36" spans="1:24" x14ac:dyDescent="0.25">
      <c r="B36" s="173">
        <v>36951</v>
      </c>
      <c r="C36" s="133" t="s">
        <v>99</v>
      </c>
      <c r="D36" s="135">
        <f ca="1">-D37-E38-E39</f>
        <v>11019220.692391466</v>
      </c>
    </row>
    <row r="37" spans="1:24" x14ac:dyDescent="0.25">
      <c r="B37" s="141"/>
      <c r="C37" s="133" t="s">
        <v>100</v>
      </c>
      <c r="D37" s="174">
        <f ca="1">-R6</f>
        <v>1170432.3076085334</v>
      </c>
      <c r="F37" s="134" t="s">
        <v>101</v>
      </c>
      <c r="G37" s="135">
        <f ca="1">-H38</f>
        <v>11019220.692391466</v>
      </c>
      <c r="I37" s="212" t="s">
        <v>102</v>
      </c>
      <c r="J37" s="212"/>
      <c r="K37" s="143">
        <f ca="1">+D36</f>
        <v>11019220.692391466</v>
      </c>
      <c r="L37" s="157"/>
    </row>
    <row r="38" spans="1:24" x14ac:dyDescent="0.25">
      <c r="B38" s="141"/>
      <c r="D38" s="174" t="s">
        <v>103</v>
      </c>
      <c r="E38" s="175">
        <f ca="1">-O5</f>
        <v>0</v>
      </c>
      <c r="G38" s="135" t="s">
        <v>104</v>
      </c>
      <c r="H38" s="176">
        <f ca="1">+E39+D37</f>
        <v>-11019220.692391466</v>
      </c>
      <c r="J38" s="141" t="s">
        <v>105</v>
      </c>
      <c r="M38" s="140">
        <f ca="1">-K37</f>
        <v>-11019220.692391466</v>
      </c>
    </row>
    <row r="39" spans="1:24" x14ac:dyDescent="0.25">
      <c r="D39" s="133" t="s">
        <v>106</v>
      </c>
      <c r="E39" s="175">
        <f ca="1">-R5</f>
        <v>-12189653</v>
      </c>
      <c r="H39" s="176"/>
    </row>
    <row r="40" spans="1:24" x14ac:dyDescent="0.25">
      <c r="B40" s="173">
        <v>36982</v>
      </c>
      <c r="C40" s="133" t="s">
        <v>99</v>
      </c>
      <c r="D40" s="135">
        <f ca="1">-D41-E42-E43</f>
        <v>6644037.5274682958</v>
      </c>
      <c r="E40" s="177"/>
    </row>
    <row r="41" spans="1:24" x14ac:dyDescent="0.25">
      <c r="C41" s="133" t="s">
        <v>100</v>
      </c>
      <c r="D41" s="174">
        <f ca="1">-R8</f>
        <v>2310465.2447204748</v>
      </c>
      <c r="E41" s="177"/>
      <c r="F41" s="134" t="s">
        <v>101</v>
      </c>
      <c r="G41" s="135">
        <f ca="1">-H42</f>
        <v>6530869.6922051208</v>
      </c>
      <c r="I41" s="212" t="s">
        <v>102</v>
      </c>
      <c r="J41" s="212"/>
      <c r="K41" s="143">
        <f ca="1">+D40</f>
        <v>6644037.5274682958</v>
      </c>
      <c r="L41" s="157"/>
    </row>
    <row r="42" spans="1:24" x14ac:dyDescent="0.25">
      <c r="D42" s="174" t="s">
        <v>103</v>
      </c>
      <c r="E42" s="175">
        <f ca="1">-O7</f>
        <v>-113167.83526317454</v>
      </c>
      <c r="G42" s="135" t="s">
        <v>104</v>
      </c>
      <c r="H42" s="176">
        <f ca="1">+E43+D41</f>
        <v>-6530869.6922051208</v>
      </c>
      <c r="J42" s="141" t="s">
        <v>105</v>
      </c>
      <c r="M42" s="140">
        <f ca="1">+M38-K41</f>
        <v>-17663258.219859764</v>
      </c>
    </row>
    <row r="43" spans="1:24" x14ac:dyDescent="0.25">
      <c r="D43" s="133" t="s">
        <v>106</v>
      </c>
      <c r="E43" s="175">
        <f ca="1">-R7</f>
        <v>-8841334.9369255956</v>
      </c>
      <c r="H43" s="176"/>
    </row>
    <row r="44" spans="1:24" x14ac:dyDescent="0.25">
      <c r="B44" s="173">
        <v>37012</v>
      </c>
      <c r="C44" s="133" t="s">
        <v>99</v>
      </c>
      <c r="D44" s="135">
        <f ca="1">-D45-E46-E47</f>
        <v>9306889.2443412766</v>
      </c>
      <c r="E44" s="177"/>
    </row>
    <row r="45" spans="1:24" x14ac:dyDescent="0.25">
      <c r="B45" s="141"/>
      <c r="C45" s="133" t="s">
        <v>100</v>
      </c>
      <c r="D45" s="174">
        <f ca="1">-R10</f>
        <v>220081.00849819818</v>
      </c>
      <c r="E45" s="177"/>
      <c r="F45" s="134" t="s">
        <v>101</v>
      </c>
      <c r="G45" s="135">
        <f ca="1">-H46</f>
        <v>9148489.4041856211</v>
      </c>
      <c r="I45" s="212" t="s">
        <v>102</v>
      </c>
      <c r="J45" s="212"/>
      <c r="K45" s="143">
        <f ca="1">+D44</f>
        <v>9306889.2443412766</v>
      </c>
      <c r="L45" s="157"/>
    </row>
    <row r="46" spans="1:24" x14ac:dyDescent="0.25">
      <c r="B46" s="141"/>
      <c r="D46" s="174" t="s">
        <v>103</v>
      </c>
      <c r="E46" s="175">
        <f ca="1">-O9</f>
        <v>-158399.84015565709</v>
      </c>
      <c r="G46" s="135" t="s">
        <v>104</v>
      </c>
      <c r="H46" s="176">
        <f ca="1">+E47+D45</f>
        <v>-9148489.4041856211</v>
      </c>
      <c r="J46" s="141" t="s">
        <v>105</v>
      </c>
      <c r="M46" s="140">
        <f ca="1">+M42-K45</f>
        <v>-26970147.464201041</v>
      </c>
    </row>
    <row r="47" spans="1:24" x14ac:dyDescent="0.25">
      <c r="D47" s="133" t="s">
        <v>106</v>
      </c>
      <c r="E47" s="175">
        <f ca="1">-R9</f>
        <v>-9368570.4126838185</v>
      </c>
      <c r="H47" s="176"/>
    </row>
    <row r="48" spans="1:24" x14ac:dyDescent="0.25">
      <c r="B48" s="173">
        <v>37043</v>
      </c>
      <c r="C48" s="133" t="s">
        <v>99</v>
      </c>
      <c r="D48" s="135">
        <f ca="1">-D49-E50-E51</f>
        <v>10053112.30294464</v>
      </c>
      <c r="E48" s="177"/>
    </row>
    <row r="49" spans="2:13" x14ac:dyDescent="0.25">
      <c r="C49" s="133" t="s">
        <v>100</v>
      </c>
      <c r="D49" s="174">
        <f ca="1">-R12</f>
        <v>2482378.8824812858</v>
      </c>
      <c r="E49" s="177"/>
      <c r="F49" s="134" t="s">
        <v>101</v>
      </c>
      <c r="G49" s="135">
        <f ca="1">-H50</f>
        <v>9895026.0165119302</v>
      </c>
      <c r="I49" s="212" t="s">
        <v>102</v>
      </c>
      <c r="J49" s="212"/>
      <c r="K49" s="143">
        <f ca="1">+D48</f>
        <v>10053112.30294464</v>
      </c>
      <c r="L49" s="157"/>
    </row>
    <row r="50" spans="2:13" x14ac:dyDescent="0.25">
      <c r="D50" s="174" t="s">
        <v>103</v>
      </c>
      <c r="E50" s="177">
        <f ca="1">-O11</f>
        <v>-158086.2864327089</v>
      </c>
      <c r="G50" s="135" t="s">
        <v>104</v>
      </c>
      <c r="H50" s="176">
        <f ca="1">+E51+D49</f>
        <v>-9895026.0165119302</v>
      </c>
      <c r="J50" s="141" t="s">
        <v>105</v>
      </c>
      <c r="M50" s="178">
        <f ca="1">+M46-K49</f>
        <v>-37023259.767145678</v>
      </c>
    </row>
    <row r="51" spans="2:13" x14ac:dyDescent="0.25">
      <c r="D51" s="133" t="s">
        <v>106</v>
      </c>
      <c r="E51" s="177">
        <f ca="1">-P11</f>
        <v>-12377404.898993216</v>
      </c>
      <c r="H51" s="176"/>
    </row>
    <row r="52" spans="2:13" x14ac:dyDescent="0.25">
      <c r="B52" s="173">
        <v>37073</v>
      </c>
      <c r="C52" s="133" t="s">
        <v>99</v>
      </c>
      <c r="D52" s="135">
        <f ca="1">-D53-E54-E55</f>
        <v>5696599.0707797958</v>
      </c>
      <c r="E52" s="177"/>
    </row>
    <row r="53" spans="2:13" x14ac:dyDescent="0.25">
      <c r="B53" s="141"/>
      <c r="C53" s="133" t="s">
        <v>100</v>
      </c>
      <c r="D53" s="174">
        <f ca="1">-R14</f>
        <v>3899547.9292202047</v>
      </c>
      <c r="E53" s="177"/>
      <c r="F53" s="134" t="s">
        <v>101</v>
      </c>
      <c r="G53" s="135">
        <f ca="1">-H54</f>
        <v>5596566.5827429444</v>
      </c>
      <c r="I53" s="212" t="s">
        <v>102</v>
      </c>
      <c r="J53" s="212"/>
      <c r="K53" s="143">
        <f ca="1">+D52</f>
        <v>5696599.0707797958</v>
      </c>
      <c r="L53" s="157"/>
    </row>
    <row r="54" spans="2:13" x14ac:dyDescent="0.25">
      <c r="B54" s="141"/>
      <c r="D54" s="174" t="s">
        <v>103</v>
      </c>
      <c r="E54" s="177">
        <f ca="1">-O13</f>
        <v>-100032.48803685092</v>
      </c>
      <c r="G54" s="135" t="s">
        <v>104</v>
      </c>
      <c r="H54" s="176">
        <f ca="1">+E55+D53</f>
        <v>-5596566.5827429444</v>
      </c>
      <c r="J54" s="141" t="s">
        <v>105</v>
      </c>
      <c r="M54" s="140">
        <f ca="1">+M50-K53</f>
        <v>-42719858.837925471</v>
      </c>
    </row>
    <row r="55" spans="2:13" x14ac:dyDescent="0.25">
      <c r="D55" s="133" t="s">
        <v>106</v>
      </c>
      <c r="E55" s="177">
        <f ca="1">-P13</f>
        <v>-9496114.5119631495</v>
      </c>
    </row>
    <row r="56" spans="2:13" x14ac:dyDescent="0.25">
      <c r="B56" s="173">
        <v>37104</v>
      </c>
      <c r="C56" s="133" t="s">
        <v>99</v>
      </c>
      <c r="D56" s="135">
        <f ca="1">-D57-E58-E59</f>
        <v>2684934.8523469772</v>
      </c>
      <c r="E56" s="177"/>
      <c r="F56" s="135"/>
      <c r="H56" s="135"/>
      <c r="I56" s="174"/>
    </row>
    <row r="57" spans="2:13" x14ac:dyDescent="0.25">
      <c r="C57" s="133" t="s">
        <v>100</v>
      </c>
      <c r="D57" s="174">
        <f ca="1">-R16</f>
        <v>2099333.8376530237</v>
      </c>
      <c r="E57" s="177"/>
      <c r="F57" s="134" t="s">
        <v>101</v>
      </c>
      <c r="G57" s="135">
        <f ca="1">-H58</f>
        <v>2650729.5318540535</v>
      </c>
      <c r="I57" s="212" t="s">
        <v>102</v>
      </c>
      <c r="J57" s="212"/>
      <c r="K57" s="143">
        <f ca="1">+D56</f>
        <v>2684934.8523469772</v>
      </c>
      <c r="L57" s="157"/>
    </row>
    <row r="58" spans="2:13" x14ac:dyDescent="0.25">
      <c r="D58" s="174" t="s">
        <v>103</v>
      </c>
      <c r="E58" s="177">
        <f ca="1">-O15</f>
        <v>-34205.320492923805</v>
      </c>
      <c r="G58" s="135" t="s">
        <v>104</v>
      </c>
      <c r="H58" s="176">
        <f ca="1">+E59+D57</f>
        <v>-2650729.5318540535</v>
      </c>
      <c r="J58" s="141" t="s">
        <v>105</v>
      </c>
      <c r="M58" s="140">
        <f ca="1">+M54-K57</f>
        <v>-45404793.69027245</v>
      </c>
    </row>
    <row r="59" spans="2:13" x14ac:dyDescent="0.25">
      <c r="D59" s="133" t="s">
        <v>106</v>
      </c>
      <c r="E59" s="177">
        <f ca="1">-P15</f>
        <v>-4750063.3695070772</v>
      </c>
    </row>
    <row r="60" spans="2:13" x14ac:dyDescent="0.25">
      <c r="B60" s="173">
        <v>37135</v>
      </c>
      <c r="C60" s="133" t="s">
        <v>99</v>
      </c>
      <c r="D60" s="135">
        <f ca="1">-D61-E62-E63</f>
        <v>1298239.251514473</v>
      </c>
      <c r="E60" s="177"/>
      <c r="F60" s="135"/>
      <c r="H60" s="135"/>
      <c r="I60" s="174"/>
    </row>
    <row r="61" spans="2:13" x14ac:dyDescent="0.25">
      <c r="B61" s="141"/>
      <c r="C61" s="133" t="s">
        <v>100</v>
      </c>
      <c r="D61" s="174">
        <f ca="1">-R18</f>
        <v>2314131.748485527</v>
      </c>
      <c r="E61" s="177"/>
      <c r="F61" s="134" t="s">
        <v>101</v>
      </c>
      <c r="G61" s="135">
        <f ca="1">-H62</f>
        <v>1264921.6643254925</v>
      </c>
      <c r="I61" s="212" t="s">
        <v>102</v>
      </c>
      <c r="J61" s="212"/>
      <c r="K61" s="143">
        <f ca="1">+D60</f>
        <v>1298239.251514473</v>
      </c>
    </row>
    <row r="62" spans="2:13" x14ac:dyDescent="0.25">
      <c r="B62" s="141"/>
      <c r="D62" s="174" t="s">
        <v>103</v>
      </c>
      <c r="E62" s="177">
        <f ca="1">-O17</f>
        <v>-33317.587188980753</v>
      </c>
      <c r="G62" s="135" t="s">
        <v>104</v>
      </c>
      <c r="H62" s="176">
        <f ca="1">+E63+D61</f>
        <v>-1264921.6643254925</v>
      </c>
      <c r="J62" s="141" t="s">
        <v>105</v>
      </c>
      <c r="M62" s="140">
        <f ca="1">+M58-K61</f>
        <v>-46703032.941786923</v>
      </c>
    </row>
    <row r="63" spans="2:13" x14ac:dyDescent="0.25">
      <c r="D63" s="133" t="s">
        <v>106</v>
      </c>
      <c r="E63" s="177">
        <f ca="1">-P17</f>
        <v>-3579053.4128110195</v>
      </c>
    </row>
    <row r="64" spans="2:13" x14ac:dyDescent="0.25">
      <c r="B64" s="173">
        <v>37165</v>
      </c>
      <c r="C64" s="133" t="s">
        <v>99</v>
      </c>
      <c r="D64" s="135" t="e">
        <f ca="1">-D65-E66-E67</f>
        <v>#DIV/0!</v>
      </c>
      <c r="F64" s="135"/>
      <c r="H64" s="135"/>
      <c r="I64" s="174"/>
    </row>
    <row r="65" spans="2:13" x14ac:dyDescent="0.25">
      <c r="C65" s="133" t="s">
        <v>100</v>
      </c>
      <c r="D65" s="174" t="e">
        <f ca="1">-R20</f>
        <v>#DIV/0!</v>
      </c>
      <c r="F65" s="134" t="s">
        <v>101</v>
      </c>
      <c r="G65" s="135" t="e">
        <f ca="1">-H66</f>
        <v>#DIV/0!</v>
      </c>
      <c r="I65" s="212" t="s">
        <v>102</v>
      </c>
      <c r="J65" s="212"/>
      <c r="K65" s="143" t="e">
        <f ca="1">+D64</f>
        <v>#DIV/0!</v>
      </c>
    </row>
    <row r="66" spans="2:13" x14ac:dyDescent="0.25">
      <c r="D66" s="174" t="s">
        <v>103</v>
      </c>
      <c r="E66" s="177" t="e">
        <f ca="1">-O19</f>
        <v>#DIV/0!</v>
      </c>
      <c r="G66" s="135" t="s">
        <v>104</v>
      </c>
      <c r="H66" s="176" t="e">
        <f ca="1">+E67+D65</f>
        <v>#DIV/0!</v>
      </c>
      <c r="J66" s="141" t="s">
        <v>105</v>
      </c>
      <c r="M66" s="140" t="e">
        <f ca="1">+M62-K65</f>
        <v>#DIV/0!</v>
      </c>
    </row>
    <row r="67" spans="2:13" x14ac:dyDescent="0.25">
      <c r="D67" s="133" t="s">
        <v>106</v>
      </c>
      <c r="E67" s="177" t="e">
        <f ca="1">-P19</f>
        <v>#DIV/0!</v>
      </c>
    </row>
    <row r="68" spans="2:13" x14ac:dyDescent="0.25">
      <c r="B68" s="173">
        <v>37196</v>
      </c>
      <c r="C68" s="133" t="s">
        <v>99</v>
      </c>
      <c r="D68" s="135" t="e">
        <f ca="1">-D69-E70-E71</f>
        <v>#DIV/0!</v>
      </c>
      <c r="F68" s="135"/>
      <c r="H68" s="135"/>
      <c r="I68" s="174"/>
    </row>
    <row r="69" spans="2:13" x14ac:dyDescent="0.25">
      <c r="B69" s="141"/>
      <c r="C69" s="133" t="s">
        <v>100</v>
      </c>
      <c r="D69" s="174" t="e">
        <f ca="1">-R22</f>
        <v>#DIV/0!</v>
      </c>
      <c r="F69" s="134" t="s">
        <v>101</v>
      </c>
      <c r="G69" s="135" t="e">
        <f ca="1">-H70</f>
        <v>#DIV/0!</v>
      </c>
      <c r="I69" s="212" t="s">
        <v>102</v>
      </c>
      <c r="J69" s="212"/>
      <c r="K69" s="143" t="e">
        <f ca="1">+D68</f>
        <v>#DIV/0!</v>
      </c>
    </row>
    <row r="70" spans="2:13" x14ac:dyDescent="0.25">
      <c r="B70" s="141"/>
      <c r="D70" s="174" t="s">
        <v>103</v>
      </c>
      <c r="E70" s="177" t="e">
        <f ca="1">-O21</f>
        <v>#DIV/0!</v>
      </c>
      <c r="G70" s="135" t="s">
        <v>104</v>
      </c>
      <c r="H70" s="176" t="e">
        <f ca="1">+E71+D69</f>
        <v>#DIV/0!</v>
      </c>
      <c r="J70" s="141" t="s">
        <v>105</v>
      </c>
      <c r="M70" s="140" t="e">
        <f ca="1">+M66-K69</f>
        <v>#DIV/0!</v>
      </c>
    </row>
    <row r="71" spans="2:13" x14ac:dyDescent="0.25">
      <c r="D71" s="133" t="s">
        <v>106</v>
      </c>
      <c r="E71" s="177" t="e">
        <f ca="1">-P21</f>
        <v>#DIV/0!</v>
      </c>
    </row>
    <row r="72" spans="2:13" x14ac:dyDescent="0.25">
      <c r="B72" s="173">
        <v>37226</v>
      </c>
      <c r="C72" s="133" t="s">
        <v>99</v>
      </c>
      <c r="D72" s="135" t="e">
        <f ca="1">-D73-E74-E75</f>
        <v>#DIV/0!</v>
      </c>
      <c r="F72" s="135"/>
      <c r="H72" s="135"/>
      <c r="I72" s="174"/>
    </row>
    <row r="73" spans="2:13" x14ac:dyDescent="0.25">
      <c r="C73" s="133" t="s">
        <v>100</v>
      </c>
      <c r="D73" s="174" t="e">
        <f ca="1">-R24</f>
        <v>#DIV/0!</v>
      </c>
      <c r="F73" s="134" t="s">
        <v>101</v>
      </c>
      <c r="G73" s="135" t="e">
        <f ca="1">-H74</f>
        <v>#DIV/0!</v>
      </c>
      <c r="I73" s="212" t="s">
        <v>102</v>
      </c>
      <c r="J73" s="212"/>
      <c r="K73" s="143" t="e">
        <f ca="1">+D72</f>
        <v>#DIV/0!</v>
      </c>
    </row>
    <row r="74" spans="2:13" x14ac:dyDescent="0.25">
      <c r="D74" s="174" t="s">
        <v>103</v>
      </c>
      <c r="E74" s="177" t="e">
        <f ca="1">-O23</f>
        <v>#DIV/0!</v>
      </c>
      <c r="G74" s="135" t="s">
        <v>104</v>
      </c>
      <c r="H74" s="176" t="e">
        <f ca="1">+E75+D73</f>
        <v>#DIV/0!</v>
      </c>
      <c r="J74" s="141" t="s">
        <v>105</v>
      </c>
      <c r="M74" s="140" t="e">
        <f ca="1">+M70-K73</f>
        <v>#DIV/0!</v>
      </c>
    </row>
    <row r="75" spans="2:13" x14ac:dyDescent="0.25">
      <c r="D75" s="133" t="s">
        <v>106</v>
      </c>
      <c r="E75" s="177" t="e">
        <f ca="1">-P23</f>
        <v>#DIV/0!</v>
      </c>
    </row>
    <row r="76" spans="2:13" x14ac:dyDescent="0.25">
      <c r="B76" s="173">
        <v>37257</v>
      </c>
      <c r="C76" s="133" t="s">
        <v>99</v>
      </c>
      <c r="D76" s="135" t="e">
        <f ca="1">-D77-E78-E79</f>
        <v>#DIV/0!</v>
      </c>
      <c r="F76" s="135"/>
      <c r="H76" s="135"/>
      <c r="I76" s="174"/>
    </row>
    <row r="77" spans="2:13" x14ac:dyDescent="0.25">
      <c r="B77" s="141"/>
      <c r="C77" s="133" t="s">
        <v>100</v>
      </c>
      <c r="D77" s="174" t="e">
        <f ca="1">-R26</f>
        <v>#DIV/0!</v>
      </c>
      <c r="F77" s="134" t="s">
        <v>101</v>
      </c>
      <c r="G77" s="135" t="e">
        <f ca="1">-H78</f>
        <v>#DIV/0!</v>
      </c>
      <c r="I77" s="212" t="s">
        <v>102</v>
      </c>
      <c r="J77" s="212"/>
      <c r="K77" s="143" t="e">
        <f ca="1">+D76</f>
        <v>#DIV/0!</v>
      </c>
    </row>
    <row r="78" spans="2:13" x14ac:dyDescent="0.25">
      <c r="B78" s="141"/>
      <c r="D78" s="174" t="s">
        <v>103</v>
      </c>
      <c r="E78" s="177" t="e">
        <f ca="1">-O25</f>
        <v>#DIV/0!</v>
      </c>
      <c r="G78" s="135" t="s">
        <v>104</v>
      </c>
      <c r="H78" s="176" t="e">
        <f ca="1">+E79+D77</f>
        <v>#DIV/0!</v>
      </c>
      <c r="J78" s="141" t="s">
        <v>105</v>
      </c>
      <c r="M78" s="140" t="e">
        <f ca="1">+M74-K77</f>
        <v>#DIV/0!</v>
      </c>
    </row>
    <row r="79" spans="2:13" x14ac:dyDescent="0.25">
      <c r="D79" s="133" t="s">
        <v>106</v>
      </c>
      <c r="E79" s="177" t="e">
        <f ca="1">-P25</f>
        <v>#DIV/0!</v>
      </c>
    </row>
    <row r="80" spans="2:13" x14ac:dyDescent="0.25">
      <c r="B80" s="173">
        <v>37288</v>
      </c>
      <c r="C80" s="133" t="s">
        <v>99</v>
      </c>
      <c r="D80" s="135" t="e">
        <f ca="1">-D81-E82-E83</f>
        <v>#DIV/0!</v>
      </c>
      <c r="F80" s="135"/>
      <c r="H80" s="135"/>
      <c r="I80" s="174"/>
    </row>
    <row r="81" spans="1:14" x14ac:dyDescent="0.25">
      <c r="C81" s="133" t="s">
        <v>100</v>
      </c>
      <c r="D81" s="174" t="e">
        <f ca="1">-R28</f>
        <v>#DIV/0!</v>
      </c>
      <c r="F81" s="134" t="s">
        <v>101</v>
      </c>
      <c r="G81" s="135" t="e">
        <f ca="1">-H82</f>
        <v>#DIV/0!</v>
      </c>
      <c r="I81" s="212" t="s">
        <v>102</v>
      </c>
      <c r="J81" s="212"/>
      <c r="K81" s="143" t="e">
        <f ca="1">+D80</f>
        <v>#DIV/0!</v>
      </c>
    </row>
    <row r="82" spans="1:14" x14ac:dyDescent="0.25">
      <c r="D82" s="174" t="s">
        <v>103</v>
      </c>
      <c r="E82" s="177" t="e">
        <f ca="1">-O27</f>
        <v>#DIV/0!</v>
      </c>
      <c r="G82" s="135" t="s">
        <v>104</v>
      </c>
      <c r="H82" s="176" t="e">
        <f ca="1">+E83+D81</f>
        <v>#DIV/0!</v>
      </c>
      <c r="J82" s="141" t="s">
        <v>105</v>
      </c>
      <c r="M82" s="140" t="e">
        <f ca="1">+M78-K81</f>
        <v>#DIV/0!</v>
      </c>
    </row>
    <row r="83" spans="1:14" x14ac:dyDescent="0.25">
      <c r="D83" s="133" t="s">
        <v>106</v>
      </c>
      <c r="E83" s="177" t="e">
        <f ca="1">-P27</f>
        <v>#DIV/0!</v>
      </c>
    </row>
    <row r="84" spans="1:14" x14ac:dyDescent="0.25">
      <c r="B84" s="173">
        <v>37316</v>
      </c>
      <c r="C84" s="133" t="s">
        <v>99</v>
      </c>
      <c r="D84" s="135" t="e">
        <f ca="1">-D85-E86-E87</f>
        <v>#DIV/0!</v>
      </c>
      <c r="F84" s="135"/>
      <c r="H84" s="135"/>
      <c r="I84" s="174"/>
    </row>
    <row r="85" spans="1:14" x14ac:dyDescent="0.25">
      <c r="C85" s="133" t="s">
        <v>100</v>
      </c>
      <c r="D85" s="174" t="e">
        <f ca="1">-R30</f>
        <v>#DIV/0!</v>
      </c>
      <c r="F85" s="134" t="s">
        <v>101</v>
      </c>
      <c r="G85" s="135" t="e">
        <f ca="1">-H86</f>
        <v>#DIV/0!</v>
      </c>
      <c r="I85" s="212" t="s">
        <v>102</v>
      </c>
      <c r="J85" s="212"/>
      <c r="K85" s="143" t="e">
        <f ca="1">+D84</f>
        <v>#DIV/0!</v>
      </c>
    </row>
    <row r="86" spans="1:14" x14ac:dyDescent="0.25">
      <c r="D86" s="174" t="s">
        <v>103</v>
      </c>
      <c r="E86" s="177" t="e">
        <f ca="1">-O29</f>
        <v>#DIV/0!</v>
      </c>
      <c r="G86" s="135" t="s">
        <v>104</v>
      </c>
      <c r="H86" s="176" t="e">
        <f ca="1">+E87+D85</f>
        <v>#DIV/0!</v>
      </c>
      <c r="J86" s="141" t="s">
        <v>105</v>
      </c>
      <c r="M86" s="140" t="e">
        <f ca="1">+M82-K85</f>
        <v>#DIV/0!</v>
      </c>
    </row>
    <row r="87" spans="1:14" x14ac:dyDescent="0.25">
      <c r="D87" s="133" t="s">
        <v>106</v>
      </c>
      <c r="E87" s="177" t="e">
        <f ca="1">-P29</f>
        <v>#DIV/0!</v>
      </c>
    </row>
    <row r="88" spans="1:14" ht="16.5" thickBot="1" x14ac:dyDescent="0.3"/>
    <row r="89" spans="1:14" x14ac:dyDescent="0.25">
      <c r="A89" s="179"/>
      <c r="B89" s="180"/>
      <c r="C89" s="180"/>
      <c r="D89" s="180"/>
      <c r="E89" s="181"/>
      <c r="F89" s="181"/>
      <c r="G89" s="182"/>
      <c r="H89" s="183"/>
      <c r="I89" s="180"/>
      <c r="J89" s="184"/>
      <c r="K89" s="185"/>
      <c r="L89" s="185"/>
      <c r="M89" s="186"/>
      <c r="N89" s="187"/>
    </row>
    <row r="90" spans="1:14" x14ac:dyDescent="0.25">
      <c r="A90" s="188"/>
      <c r="B90" s="189" t="s">
        <v>107</v>
      </c>
      <c r="C90" s="190"/>
      <c r="D90" s="190"/>
      <c r="E90" s="191"/>
      <c r="F90" s="191"/>
      <c r="G90" s="192"/>
      <c r="H90" s="193"/>
      <c r="I90" s="190"/>
      <c r="J90" s="194"/>
      <c r="K90" s="195"/>
      <c r="L90" s="195"/>
      <c r="M90" s="196"/>
      <c r="N90" s="197"/>
    </row>
    <row r="91" spans="1:14" x14ac:dyDescent="0.25">
      <c r="A91" s="188"/>
      <c r="B91" s="190" t="s">
        <v>108</v>
      </c>
      <c r="C91" s="190" t="s">
        <v>99</v>
      </c>
      <c r="D91" s="198">
        <f ca="1">+D36-'[1]Entries_May 2001'!D36</f>
        <v>0</v>
      </c>
      <c r="E91" s="191"/>
      <c r="F91" s="191"/>
      <c r="G91" s="192"/>
      <c r="H91" s="193"/>
      <c r="I91" s="190"/>
      <c r="J91" s="194"/>
      <c r="K91" s="195"/>
      <c r="L91" s="195"/>
      <c r="M91" s="196"/>
      <c r="N91" s="197"/>
    </row>
    <row r="92" spans="1:14" x14ac:dyDescent="0.25">
      <c r="A92" s="188"/>
      <c r="B92" s="195"/>
      <c r="C92" s="190" t="s">
        <v>100</v>
      </c>
      <c r="D92" s="198">
        <f ca="1">+D37-'[1]Entries_May 2001'!D37</f>
        <v>0</v>
      </c>
      <c r="E92" s="191"/>
      <c r="F92" s="191" t="s">
        <v>101</v>
      </c>
      <c r="G92" s="198">
        <f ca="1">+G37-'[1]Entries_May 2001'!G37</f>
        <v>0</v>
      </c>
      <c r="H92" s="193"/>
      <c r="I92" s="211" t="s">
        <v>102</v>
      </c>
      <c r="J92" s="211"/>
      <c r="K92" s="198">
        <f ca="1">+K37-'[1]Entries_May 2001'!K37</f>
        <v>0</v>
      </c>
      <c r="L92" s="199"/>
      <c r="M92" s="196"/>
      <c r="N92" s="197"/>
    </row>
    <row r="93" spans="1:14" x14ac:dyDescent="0.25">
      <c r="A93" s="188"/>
      <c r="B93" s="195"/>
      <c r="C93" s="190"/>
      <c r="D93" s="200" t="s">
        <v>103</v>
      </c>
      <c r="E93" s="198">
        <f ca="1">+E38-'[1]Entries_May 2001'!E38</f>
        <v>0</v>
      </c>
      <c r="F93" s="191"/>
      <c r="G93" s="192" t="s">
        <v>104</v>
      </c>
      <c r="H93" s="198">
        <f ca="1">+H38-'[1]Entries_May 2001'!H38</f>
        <v>0</v>
      </c>
      <c r="I93" s="190"/>
      <c r="J93" s="141" t="s">
        <v>105</v>
      </c>
      <c r="K93" s="195"/>
      <c r="L93" s="198"/>
      <c r="M93" s="198">
        <f ca="1">+M38-'[1]Entries_May 2001'!M38</f>
        <v>0</v>
      </c>
      <c r="N93" s="197"/>
    </row>
    <row r="94" spans="1:14" x14ac:dyDescent="0.25">
      <c r="A94" s="188"/>
      <c r="B94" s="190"/>
      <c r="C94" s="190"/>
      <c r="D94" s="190" t="s">
        <v>106</v>
      </c>
      <c r="E94" s="198">
        <f ca="1">+E39-'[1]Entries_May 2001'!E39</f>
        <v>0</v>
      </c>
      <c r="F94" s="191"/>
      <c r="G94" s="192"/>
      <c r="H94" s="201"/>
      <c r="I94" s="190"/>
      <c r="J94" s="194"/>
      <c r="K94" s="195"/>
      <c r="L94" s="195"/>
      <c r="M94" s="196"/>
      <c r="N94" s="197"/>
    </row>
    <row r="95" spans="1:14" x14ac:dyDescent="0.25">
      <c r="A95" s="188"/>
      <c r="B95" s="190" t="s">
        <v>109</v>
      </c>
      <c r="C95" s="190" t="s">
        <v>99</v>
      </c>
      <c r="D95" s="198">
        <f ca="1">+D40-'[1]Entries_May 2001'!D40</f>
        <v>0</v>
      </c>
      <c r="E95" s="191"/>
      <c r="F95" s="191"/>
      <c r="G95" s="192"/>
      <c r="H95" s="193"/>
      <c r="I95" s="190"/>
      <c r="J95" s="194"/>
      <c r="K95" s="195"/>
      <c r="L95" s="195"/>
      <c r="M95" s="196"/>
      <c r="N95" s="197"/>
    </row>
    <row r="96" spans="1:14" x14ac:dyDescent="0.25">
      <c r="A96" s="188"/>
      <c r="B96" s="190"/>
      <c r="C96" s="190" t="s">
        <v>100</v>
      </c>
      <c r="D96" s="198">
        <f ca="1">+D41-'[1]Entries_May 2001'!D41</f>
        <v>0</v>
      </c>
      <c r="E96" s="191"/>
      <c r="F96" s="191" t="s">
        <v>101</v>
      </c>
      <c r="G96" s="198">
        <f ca="1">+G41-'[1]Entries_May 2001'!G41</f>
        <v>0</v>
      </c>
      <c r="H96" s="193"/>
      <c r="I96" s="211" t="s">
        <v>102</v>
      </c>
      <c r="J96" s="211"/>
      <c r="K96" s="198">
        <f ca="1">+K41-'[1]Entries_May 2001'!K41</f>
        <v>0</v>
      </c>
      <c r="L96" s="199"/>
      <c r="M96" s="196"/>
      <c r="N96" s="197"/>
    </row>
    <row r="97" spans="1:14" x14ac:dyDescent="0.25">
      <c r="A97" s="188"/>
      <c r="B97" s="190"/>
      <c r="C97" s="190"/>
      <c r="D97" s="200" t="s">
        <v>103</v>
      </c>
      <c r="E97" s="198">
        <f ca="1">+E42-'[1]Entries_May 2001'!E42</f>
        <v>0</v>
      </c>
      <c r="F97" s="191"/>
      <c r="G97" s="192" t="s">
        <v>104</v>
      </c>
      <c r="H97" s="198">
        <f ca="1">+H42-'[1]Entries_May 2001'!H42</f>
        <v>0</v>
      </c>
      <c r="I97" s="190"/>
      <c r="J97" s="141" t="s">
        <v>105</v>
      </c>
      <c r="K97" s="195"/>
      <c r="L97" s="198"/>
      <c r="M97" s="198">
        <f ca="1">+M42-'[1]Entries_May 2001'!M42</f>
        <v>0</v>
      </c>
      <c r="N97" s="197"/>
    </row>
    <row r="98" spans="1:14" x14ac:dyDescent="0.25">
      <c r="A98" s="188"/>
      <c r="B98" s="190"/>
      <c r="C98" s="190"/>
      <c r="D98" s="190" t="s">
        <v>106</v>
      </c>
      <c r="E98" s="198">
        <f ca="1">+E43-'[1]Entries_May 2001'!E43</f>
        <v>0</v>
      </c>
      <c r="F98" s="191"/>
      <c r="G98" s="192"/>
      <c r="H98" s="201"/>
      <c r="I98" s="190"/>
      <c r="J98" s="194"/>
      <c r="K98" s="195"/>
      <c r="L98" s="195"/>
      <c r="M98" s="196"/>
      <c r="N98" s="197"/>
    </row>
    <row r="99" spans="1:14" x14ac:dyDescent="0.25">
      <c r="A99" s="188"/>
      <c r="B99" s="190" t="s">
        <v>110</v>
      </c>
      <c r="C99" s="190" t="s">
        <v>99</v>
      </c>
      <c r="D99" s="198">
        <f ca="1">+D44-'[1]Entries_May 2001'!D44</f>
        <v>0</v>
      </c>
      <c r="E99" s="191"/>
      <c r="F99" s="191"/>
      <c r="G99" s="192"/>
      <c r="H99" s="193"/>
      <c r="I99" s="190"/>
      <c r="J99" s="194"/>
      <c r="K99" s="195"/>
      <c r="L99" s="195"/>
      <c r="M99" s="196"/>
      <c r="N99" s="197"/>
    </row>
    <row r="100" spans="1:14" x14ac:dyDescent="0.25">
      <c r="A100" s="188"/>
      <c r="B100" s="190"/>
      <c r="C100" s="190" t="s">
        <v>100</v>
      </c>
      <c r="D100" s="198">
        <f ca="1">+D45-'[1]Entries_May 2001'!D45</f>
        <v>0</v>
      </c>
      <c r="E100" s="191"/>
      <c r="F100" s="191" t="s">
        <v>101</v>
      </c>
      <c r="G100" s="198">
        <f ca="1">+G45-'[1]Entries_May 2001'!G45</f>
        <v>0</v>
      </c>
      <c r="H100" s="193"/>
      <c r="I100" s="211" t="s">
        <v>102</v>
      </c>
      <c r="J100" s="211"/>
      <c r="K100" s="198">
        <f ca="1">+K45-'[1]Entries_May 2001'!K45</f>
        <v>0</v>
      </c>
      <c r="L100" s="199"/>
      <c r="M100" s="196"/>
      <c r="N100" s="197"/>
    </row>
    <row r="101" spans="1:14" x14ac:dyDescent="0.25">
      <c r="A101" s="188"/>
      <c r="B101" s="190"/>
      <c r="C101" s="190"/>
      <c r="D101" s="200" t="s">
        <v>103</v>
      </c>
      <c r="E101" s="198">
        <f ca="1">+E46-'[1]Entries_May 2001'!E46</f>
        <v>0</v>
      </c>
      <c r="F101" s="191"/>
      <c r="G101" s="192" t="s">
        <v>104</v>
      </c>
      <c r="H101" s="198">
        <f ca="1">+H46-'[1]Entries_May 2001'!H46</f>
        <v>0</v>
      </c>
      <c r="I101" s="190"/>
      <c r="J101" s="141" t="s">
        <v>105</v>
      </c>
      <c r="K101" s="195"/>
      <c r="L101" s="198"/>
      <c r="M101" s="198">
        <f ca="1">+M46-'[1]Entries_May 2001'!M46</f>
        <v>0</v>
      </c>
      <c r="N101" s="197"/>
    </row>
    <row r="102" spans="1:14" x14ac:dyDescent="0.25">
      <c r="A102" s="188"/>
      <c r="B102" s="190"/>
      <c r="C102" s="190"/>
      <c r="D102" s="190" t="s">
        <v>106</v>
      </c>
      <c r="E102" s="198">
        <f ca="1">+E47-'[1]Entries_May 2001'!E47</f>
        <v>0</v>
      </c>
      <c r="F102" s="191"/>
      <c r="G102" s="192"/>
      <c r="H102" s="201"/>
      <c r="I102" s="190"/>
      <c r="J102" s="194"/>
      <c r="K102" s="195"/>
      <c r="L102" s="195"/>
      <c r="M102" s="196"/>
      <c r="N102" s="197"/>
    </row>
    <row r="103" spans="1:14" x14ac:dyDescent="0.25">
      <c r="A103" s="188"/>
      <c r="B103" s="190" t="s">
        <v>111</v>
      </c>
      <c r="C103" s="190" t="s">
        <v>99</v>
      </c>
      <c r="D103" s="198">
        <f ca="1">+D48-'[1]Entries_june 2001'!D48</f>
        <v>13302.740205645561</v>
      </c>
      <c r="E103" s="191"/>
      <c r="F103" s="191"/>
      <c r="G103" s="192"/>
      <c r="H103" s="193"/>
      <c r="I103" s="190"/>
      <c r="J103" s="194"/>
      <c r="K103" s="195"/>
      <c r="L103" s="195"/>
      <c r="M103" s="196"/>
      <c r="N103" s="197"/>
    </row>
    <row r="104" spans="1:14" x14ac:dyDescent="0.25">
      <c r="A104" s="188"/>
      <c r="B104" s="190"/>
      <c r="C104" s="190" t="s">
        <v>100</v>
      </c>
      <c r="D104" s="198">
        <f ca="1">+D49-'[1]Entries_june 2001'!D49</f>
        <v>-302.63233434362337</v>
      </c>
      <c r="E104" s="191"/>
      <c r="F104" s="191" t="s">
        <v>101</v>
      </c>
      <c r="G104" s="198">
        <f ca="1">+G49-'[1]Entries_june 2001'!G49</f>
        <v>23182.675872607157</v>
      </c>
      <c r="H104" s="193"/>
      <c r="I104" s="211" t="s">
        <v>102</v>
      </c>
      <c r="J104" s="211"/>
      <c r="K104" s="198">
        <f ca="1">+K49-'[1]Entries_june 2001'!K49</f>
        <v>13302.740205645561</v>
      </c>
      <c r="L104" s="199"/>
      <c r="M104" s="196"/>
      <c r="N104" s="197"/>
    </row>
    <row r="105" spans="1:14" x14ac:dyDescent="0.25">
      <c r="A105" s="188"/>
      <c r="B105" s="190"/>
      <c r="C105" s="190"/>
      <c r="D105" s="200" t="s">
        <v>103</v>
      </c>
      <c r="E105" s="198">
        <f ca="1">+E50-'[1]Entries_june 2001'!E50</f>
        <v>9879.9356669615954</v>
      </c>
      <c r="F105" s="191"/>
      <c r="G105" s="192" t="s">
        <v>104</v>
      </c>
      <c r="H105" s="198">
        <f ca="1">+H50-'[1]Entries_june 2001'!H50</f>
        <v>-23182.675872607157</v>
      </c>
      <c r="I105" s="190"/>
      <c r="J105" s="141" t="s">
        <v>105</v>
      </c>
      <c r="K105" s="195"/>
      <c r="L105" s="198"/>
      <c r="M105" s="198">
        <f ca="1">+M50-'[1]Entries_june 2001'!M50</f>
        <v>-13302.740205645561</v>
      </c>
      <c r="N105" s="197"/>
    </row>
    <row r="106" spans="1:14" x14ac:dyDescent="0.25">
      <c r="A106" s="188"/>
      <c r="B106" s="190"/>
      <c r="C106" s="190"/>
      <c r="D106" s="190" t="s">
        <v>106</v>
      </c>
      <c r="E106" s="198">
        <f ca="1">+E51-'[1]Entries_june 2001'!E51</f>
        <v>-22880.043538263068</v>
      </c>
      <c r="F106" s="191"/>
      <c r="G106" s="192"/>
      <c r="H106" s="201"/>
      <c r="I106" s="190"/>
      <c r="J106" s="194"/>
      <c r="K106" s="195"/>
      <c r="L106" s="195"/>
      <c r="M106" s="196"/>
      <c r="N106" s="197"/>
    </row>
    <row r="107" spans="1:14" x14ac:dyDescent="0.25">
      <c r="A107" s="188"/>
      <c r="B107" s="190" t="s">
        <v>112</v>
      </c>
      <c r="C107" s="190" t="s">
        <v>99</v>
      </c>
      <c r="D107" s="192" t="e">
        <f ca="1">+D52-#REF!</f>
        <v>#REF!</v>
      </c>
      <c r="E107" s="191"/>
      <c r="F107" s="191"/>
      <c r="G107" s="192"/>
      <c r="H107" s="193"/>
      <c r="I107" s="190"/>
      <c r="J107" s="194"/>
      <c r="K107" s="195"/>
      <c r="L107" s="195"/>
      <c r="M107" s="196"/>
      <c r="N107" s="197"/>
    </row>
    <row r="108" spans="1:14" x14ac:dyDescent="0.25">
      <c r="A108" s="188"/>
      <c r="B108" s="190"/>
      <c r="C108" s="190" t="s">
        <v>100</v>
      </c>
      <c r="D108" s="192" t="e">
        <f ca="1">+D53-#REF!</f>
        <v>#REF!</v>
      </c>
      <c r="E108" s="191"/>
      <c r="F108" s="191" t="s">
        <v>101</v>
      </c>
      <c r="G108" s="192" t="e">
        <f ca="1">+G53-#REF!</f>
        <v>#REF!</v>
      </c>
      <c r="H108" s="193"/>
      <c r="I108" s="211" t="s">
        <v>102</v>
      </c>
      <c r="J108" s="211"/>
      <c r="K108" s="192" t="e">
        <f ca="1">+K53-#REF!</f>
        <v>#REF!</v>
      </c>
      <c r="L108" s="199"/>
      <c r="M108" s="196"/>
      <c r="N108" s="197"/>
    </row>
    <row r="109" spans="1:14" x14ac:dyDescent="0.25">
      <c r="A109" s="188"/>
      <c r="B109" s="190"/>
      <c r="C109" s="190"/>
      <c r="D109" s="200" t="s">
        <v>103</v>
      </c>
      <c r="E109" s="192" t="e">
        <f ca="1">+E54-#REF!</f>
        <v>#REF!</v>
      </c>
      <c r="F109" s="191"/>
      <c r="G109" s="192" t="s">
        <v>104</v>
      </c>
      <c r="H109" s="192" t="e">
        <f ca="1">+H54-#REF!</f>
        <v>#REF!</v>
      </c>
      <c r="I109" s="190"/>
      <c r="J109" s="195"/>
      <c r="K109" s="195"/>
      <c r="L109" s="195"/>
      <c r="M109" s="196"/>
      <c r="N109" s="197"/>
    </row>
    <row r="110" spans="1:14" x14ac:dyDescent="0.25">
      <c r="A110" s="188"/>
      <c r="B110" s="190"/>
      <c r="C110" s="190"/>
      <c r="D110" s="190" t="s">
        <v>106</v>
      </c>
      <c r="E110" s="192" t="e">
        <f ca="1">+E55-#REF!</f>
        <v>#REF!</v>
      </c>
      <c r="F110" s="191"/>
      <c r="G110" s="192"/>
      <c r="H110" s="201"/>
      <c r="I110" s="190"/>
      <c r="J110" s="194"/>
      <c r="K110" s="195"/>
      <c r="L110" s="195"/>
      <c r="M110" s="196"/>
      <c r="N110" s="197"/>
    </row>
    <row r="111" spans="1:14" x14ac:dyDescent="0.25">
      <c r="A111" s="188"/>
      <c r="B111" s="190" t="s">
        <v>113</v>
      </c>
      <c r="C111" s="190" t="s">
        <v>99</v>
      </c>
      <c r="D111" s="198">
        <f ca="1">+D56-'[1]Entries_Aug 2001'!D56</f>
        <v>382583.46005926328</v>
      </c>
      <c r="E111" s="191"/>
      <c r="F111" s="191"/>
      <c r="G111" s="192"/>
      <c r="H111" s="193"/>
      <c r="I111" s="190"/>
      <c r="J111" s="194"/>
      <c r="K111" s="195"/>
      <c r="L111" s="195"/>
      <c r="M111" s="196"/>
      <c r="N111" s="197"/>
    </row>
    <row r="112" spans="1:14" x14ac:dyDescent="0.25">
      <c r="A112" s="188"/>
      <c r="B112" s="190"/>
      <c r="C112" s="190" t="s">
        <v>100</v>
      </c>
      <c r="D112" s="198">
        <f ca="1">+D57-'[1]Entries_Aug 2001'!D57</f>
        <v>-382583.46005926281</v>
      </c>
      <c r="E112" s="191"/>
      <c r="F112" s="191" t="s">
        <v>101</v>
      </c>
      <c r="G112" s="198">
        <f ca="1">+G57-'[1]Entries_Aug 2001'!G57</f>
        <v>384465.59395197313</v>
      </c>
      <c r="H112" s="193"/>
      <c r="I112" s="211" t="s">
        <v>102</v>
      </c>
      <c r="J112" s="211"/>
      <c r="K112" s="198">
        <f ca="1">+K57-'[1]Entries_Aug 2001'!K57</f>
        <v>382583.46005926328</v>
      </c>
      <c r="L112" s="199"/>
      <c r="M112" s="196"/>
      <c r="N112" s="197"/>
    </row>
    <row r="113" spans="1:14" x14ac:dyDescent="0.25">
      <c r="A113" s="188"/>
      <c r="B113" s="190"/>
      <c r="C113" s="190"/>
      <c r="D113" s="200" t="s">
        <v>103</v>
      </c>
      <c r="E113" s="198">
        <f ca="1">+E58-'[1]Entries_Aug 2001'!E58</f>
        <v>1882.1338927099569</v>
      </c>
      <c r="F113" s="191"/>
      <c r="G113" s="192" t="s">
        <v>104</v>
      </c>
      <c r="H113" s="198">
        <f ca="1">+H58-'[1]Entries_Aug 2001'!H58</f>
        <v>-384465.59395197313</v>
      </c>
      <c r="I113" s="190"/>
      <c r="J113" s="141" t="s">
        <v>105</v>
      </c>
      <c r="K113" s="195"/>
      <c r="L113" s="198"/>
      <c r="M113" s="198">
        <f ca="1">+M58-'[1]Entries_Aug 2001'!M58</f>
        <v>-382583.46005926281</v>
      </c>
      <c r="N113" s="197"/>
    </row>
    <row r="114" spans="1:14" x14ac:dyDescent="0.25">
      <c r="A114" s="188"/>
      <c r="B114" s="190"/>
      <c r="C114" s="190"/>
      <c r="D114" s="190" t="s">
        <v>106</v>
      </c>
      <c r="E114" s="198">
        <f ca="1">+E59-'[1]Entries_Aug 2001'!E59</f>
        <v>-1882.1338927103207</v>
      </c>
      <c r="F114" s="191"/>
      <c r="G114" s="192"/>
      <c r="H114" s="201"/>
      <c r="I114" s="190"/>
      <c r="J114" s="194"/>
      <c r="K114" s="195"/>
      <c r="L114" s="195"/>
      <c r="M114" s="196"/>
      <c r="N114" s="197"/>
    </row>
    <row r="115" spans="1:14" x14ac:dyDescent="0.25">
      <c r="A115" s="188"/>
      <c r="B115" s="190" t="s">
        <v>114</v>
      </c>
      <c r="C115" s="190" t="s">
        <v>99</v>
      </c>
      <c r="D115" s="192" t="e">
        <f ca="1">+D60-#REF!</f>
        <v>#REF!</v>
      </c>
      <c r="E115" s="191"/>
      <c r="F115" s="191"/>
      <c r="G115" s="192"/>
      <c r="H115" s="193"/>
      <c r="I115" s="190"/>
      <c r="J115" s="194"/>
      <c r="K115" s="195"/>
      <c r="L115" s="195"/>
      <c r="M115" s="196"/>
      <c r="N115" s="197"/>
    </row>
    <row r="116" spans="1:14" x14ac:dyDescent="0.25">
      <c r="A116" s="188"/>
      <c r="B116" s="190"/>
      <c r="C116" s="190" t="s">
        <v>100</v>
      </c>
      <c r="D116" s="192" t="e">
        <f ca="1">+D61-#REF!</f>
        <v>#REF!</v>
      </c>
      <c r="E116" s="191"/>
      <c r="F116" s="191" t="s">
        <v>101</v>
      </c>
      <c r="G116" s="192" t="e">
        <f ca="1">+G61-#REF!</f>
        <v>#REF!</v>
      </c>
      <c r="H116" s="193"/>
      <c r="I116" s="211" t="s">
        <v>102</v>
      </c>
      <c r="J116" s="211"/>
      <c r="K116" s="192" t="e">
        <f ca="1">+K61-#REF!</f>
        <v>#REF!</v>
      </c>
      <c r="L116" s="195"/>
      <c r="M116" s="196"/>
      <c r="N116" s="197"/>
    </row>
    <row r="117" spans="1:14" x14ac:dyDescent="0.25">
      <c r="A117" s="188"/>
      <c r="B117" s="190"/>
      <c r="C117" s="190"/>
      <c r="D117" s="200" t="s">
        <v>103</v>
      </c>
      <c r="E117" s="192" t="e">
        <f ca="1">+E62-#REF!</f>
        <v>#REF!</v>
      </c>
      <c r="F117" s="191"/>
      <c r="G117" s="192" t="s">
        <v>104</v>
      </c>
      <c r="H117" s="192" t="e">
        <f ca="1">+H62-#REF!</f>
        <v>#REF!</v>
      </c>
      <c r="I117" s="190"/>
      <c r="J117" s="195"/>
      <c r="K117" s="195"/>
      <c r="L117" s="195"/>
      <c r="M117" s="196"/>
      <c r="N117" s="197"/>
    </row>
    <row r="118" spans="1:14" x14ac:dyDescent="0.25">
      <c r="A118" s="188"/>
      <c r="B118" s="190"/>
      <c r="C118" s="190"/>
      <c r="D118" s="190" t="s">
        <v>106</v>
      </c>
      <c r="E118" s="192" t="e">
        <f ca="1">+E63-#REF!</f>
        <v>#REF!</v>
      </c>
      <c r="F118" s="191"/>
      <c r="G118" s="192"/>
      <c r="H118" s="201"/>
      <c r="I118" s="190"/>
      <c r="J118" s="194"/>
      <c r="K118" s="195"/>
      <c r="L118" s="195"/>
      <c r="M118" s="196"/>
      <c r="N118" s="197"/>
    </row>
    <row r="119" spans="1:14" x14ac:dyDescent="0.25">
      <c r="A119" s="188"/>
      <c r="B119" s="190" t="s">
        <v>115</v>
      </c>
      <c r="C119" s="190" t="s">
        <v>99</v>
      </c>
      <c r="D119" s="192" t="e">
        <f ca="1">+D64-#REF!</f>
        <v>#DIV/0!</v>
      </c>
      <c r="E119" s="191"/>
      <c r="F119" s="191"/>
      <c r="G119" s="192"/>
      <c r="H119" s="193"/>
      <c r="I119" s="190"/>
      <c r="J119" s="194"/>
      <c r="K119" s="195"/>
      <c r="L119" s="195"/>
      <c r="M119" s="196"/>
      <c r="N119" s="197"/>
    </row>
    <row r="120" spans="1:14" x14ac:dyDescent="0.25">
      <c r="A120" s="188"/>
      <c r="B120" s="190"/>
      <c r="C120" s="190" t="s">
        <v>100</v>
      </c>
      <c r="D120" s="192" t="e">
        <f ca="1">+D65-#REF!</f>
        <v>#DIV/0!</v>
      </c>
      <c r="E120" s="191"/>
      <c r="F120" s="191" t="s">
        <v>101</v>
      </c>
      <c r="G120" s="192" t="e">
        <f ca="1">+G65-#REF!</f>
        <v>#DIV/0!</v>
      </c>
      <c r="H120" s="193"/>
      <c r="I120" s="211" t="s">
        <v>102</v>
      </c>
      <c r="J120" s="211"/>
      <c r="K120" s="192" t="e">
        <f ca="1">+K65-#REF!</f>
        <v>#DIV/0!</v>
      </c>
      <c r="L120" s="195"/>
      <c r="M120" s="196"/>
      <c r="N120" s="197"/>
    </row>
    <row r="121" spans="1:14" x14ac:dyDescent="0.25">
      <c r="A121" s="188"/>
      <c r="B121" s="190"/>
      <c r="C121" s="190"/>
      <c r="D121" s="200" t="s">
        <v>103</v>
      </c>
      <c r="E121" s="192" t="e">
        <f ca="1">+E66-#REF!</f>
        <v>#DIV/0!</v>
      </c>
      <c r="F121" s="191"/>
      <c r="G121" s="192" t="s">
        <v>104</v>
      </c>
      <c r="H121" s="192" t="e">
        <f ca="1">+H66-#REF!</f>
        <v>#DIV/0!</v>
      </c>
      <c r="I121" s="190"/>
      <c r="J121" s="195"/>
      <c r="K121" s="195"/>
      <c r="L121" s="195"/>
      <c r="M121" s="192"/>
      <c r="N121" s="197"/>
    </row>
    <row r="122" spans="1:14" x14ac:dyDescent="0.25">
      <c r="A122" s="188"/>
      <c r="B122" s="190"/>
      <c r="C122" s="190"/>
      <c r="D122" s="190" t="s">
        <v>106</v>
      </c>
      <c r="E122" s="192" t="e">
        <f ca="1">+E67-#REF!</f>
        <v>#DIV/0!</v>
      </c>
      <c r="F122" s="191"/>
      <c r="G122" s="192"/>
      <c r="H122" s="201"/>
      <c r="I122" s="190"/>
      <c r="J122" s="194"/>
      <c r="K122" s="195"/>
      <c r="L122" s="195"/>
      <c r="M122" s="196"/>
      <c r="N122" s="197"/>
    </row>
    <row r="123" spans="1:14" x14ac:dyDescent="0.25">
      <c r="A123" s="188"/>
      <c r="B123" s="190" t="s">
        <v>116</v>
      </c>
      <c r="C123" s="190" t="s">
        <v>99</v>
      </c>
      <c r="D123" s="192" t="e">
        <f ca="1">+D68-#REF!</f>
        <v>#DIV/0!</v>
      </c>
      <c r="E123" s="191"/>
      <c r="F123" s="191"/>
      <c r="G123" s="192"/>
      <c r="H123" s="193"/>
      <c r="I123" s="190"/>
      <c r="J123" s="194"/>
      <c r="K123" s="195"/>
      <c r="L123" s="195"/>
      <c r="M123" s="196"/>
      <c r="N123" s="197"/>
    </row>
    <row r="124" spans="1:14" x14ac:dyDescent="0.25">
      <c r="A124" s="188"/>
      <c r="B124" s="190"/>
      <c r="C124" s="190" t="s">
        <v>100</v>
      </c>
      <c r="D124" s="192" t="e">
        <f ca="1">+D69-#REF!</f>
        <v>#DIV/0!</v>
      </c>
      <c r="E124" s="191"/>
      <c r="F124" s="191" t="s">
        <v>101</v>
      </c>
      <c r="G124" s="192" t="e">
        <f ca="1">+G69-#REF!</f>
        <v>#DIV/0!</v>
      </c>
      <c r="H124" s="193"/>
      <c r="I124" s="211" t="s">
        <v>102</v>
      </c>
      <c r="J124" s="211"/>
      <c r="K124" s="192" t="e">
        <f ca="1">+K69-#REF!</f>
        <v>#DIV/0!</v>
      </c>
      <c r="L124" s="195"/>
      <c r="M124" s="196"/>
      <c r="N124" s="197"/>
    </row>
    <row r="125" spans="1:14" x14ac:dyDescent="0.25">
      <c r="A125" s="188"/>
      <c r="B125" s="190"/>
      <c r="C125" s="190"/>
      <c r="D125" s="200" t="s">
        <v>103</v>
      </c>
      <c r="E125" s="192" t="e">
        <f ca="1">+E70-#REF!</f>
        <v>#DIV/0!</v>
      </c>
      <c r="F125" s="191"/>
      <c r="G125" s="192" t="s">
        <v>104</v>
      </c>
      <c r="H125" s="192" t="e">
        <f ca="1">+H70-#REF!</f>
        <v>#DIV/0!</v>
      </c>
      <c r="I125" s="190"/>
      <c r="J125" s="195" t="s">
        <v>105</v>
      </c>
      <c r="K125" s="195"/>
      <c r="L125" s="195"/>
      <c r="M125" s="192"/>
      <c r="N125" s="197"/>
    </row>
    <row r="126" spans="1:14" x14ac:dyDescent="0.25">
      <c r="A126" s="188"/>
      <c r="B126" s="190"/>
      <c r="C126" s="190"/>
      <c r="D126" s="190" t="s">
        <v>106</v>
      </c>
      <c r="E126" s="192" t="e">
        <f ca="1">+E71-#REF!</f>
        <v>#DIV/0!</v>
      </c>
      <c r="F126" s="191"/>
      <c r="G126" s="192"/>
      <c r="H126" s="201"/>
      <c r="I126" s="190"/>
      <c r="J126" s="194"/>
      <c r="K126" s="195"/>
      <c r="L126" s="195"/>
      <c r="M126" s="196"/>
      <c r="N126" s="197"/>
    </row>
    <row r="127" spans="1:14" x14ac:dyDescent="0.25">
      <c r="A127" s="188"/>
      <c r="B127" s="190" t="s">
        <v>117</v>
      </c>
      <c r="C127" s="190" t="s">
        <v>99</v>
      </c>
      <c r="D127" s="192" t="e">
        <f ca="1">+D68-#REF!</f>
        <v>#DIV/0!</v>
      </c>
      <c r="E127" s="191"/>
      <c r="F127" s="191"/>
      <c r="G127" s="192"/>
      <c r="H127" s="193"/>
      <c r="I127" s="190"/>
      <c r="J127" s="194"/>
      <c r="K127" s="195"/>
      <c r="L127" s="195"/>
      <c r="M127" s="196"/>
      <c r="N127" s="197"/>
    </row>
    <row r="128" spans="1:14" x14ac:dyDescent="0.25">
      <c r="A128" s="188"/>
      <c r="B128" s="190"/>
      <c r="C128" s="190" t="s">
        <v>100</v>
      </c>
      <c r="D128" s="192" t="e">
        <f ca="1">+D69-#REF!</f>
        <v>#DIV/0!</v>
      </c>
      <c r="E128" s="191"/>
      <c r="F128" s="191" t="s">
        <v>101</v>
      </c>
      <c r="G128" s="192" t="e">
        <f ca="1">+G69-#REF!</f>
        <v>#DIV/0!</v>
      </c>
      <c r="H128" s="193"/>
      <c r="I128" s="211" t="s">
        <v>102</v>
      </c>
      <c r="J128" s="211"/>
      <c r="K128" s="192" t="e">
        <f ca="1">+K69-#REF!</f>
        <v>#DIV/0!</v>
      </c>
      <c r="L128" s="195"/>
      <c r="M128" s="196"/>
      <c r="N128" s="197"/>
    </row>
    <row r="129" spans="1:14" x14ac:dyDescent="0.25">
      <c r="A129" s="188"/>
      <c r="B129" s="190"/>
      <c r="C129" s="190"/>
      <c r="D129" s="200" t="s">
        <v>103</v>
      </c>
      <c r="E129" s="192" t="e">
        <f ca="1">+E70-#REF!</f>
        <v>#DIV/0!</v>
      </c>
      <c r="F129" s="191"/>
      <c r="G129" s="192" t="s">
        <v>104</v>
      </c>
      <c r="H129" s="192" t="e">
        <f ca="1">+H70-#REF!</f>
        <v>#DIV/0!</v>
      </c>
      <c r="I129" s="190"/>
      <c r="J129" s="195" t="s">
        <v>105</v>
      </c>
      <c r="K129" s="195"/>
      <c r="L129" s="195"/>
      <c r="M129" s="192" t="e">
        <f ca="1">+M70-#REF!</f>
        <v>#DIV/0!</v>
      </c>
      <c r="N129" s="197"/>
    </row>
    <row r="130" spans="1:14" x14ac:dyDescent="0.25">
      <c r="A130" s="188"/>
      <c r="B130" s="190"/>
      <c r="C130" s="190"/>
      <c r="D130" s="190" t="s">
        <v>106</v>
      </c>
      <c r="E130" s="192" t="e">
        <f ca="1">+E71-#REF!</f>
        <v>#DIV/0!</v>
      </c>
      <c r="F130" s="191"/>
      <c r="G130" s="192"/>
      <c r="H130" s="201"/>
      <c r="I130" s="190"/>
      <c r="J130" s="194"/>
      <c r="K130" s="195"/>
      <c r="L130" s="195"/>
      <c r="M130" s="196"/>
      <c r="N130" s="197"/>
    </row>
    <row r="131" spans="1:14" x14ac:dyDescent="0.25">
      <c r="A131" s="188"/>
      <c r="B131" s="190" t="s">
        <v>118</v>
      </c>
      <c r="C131" s="190" t="s">
        <v>99</v>
      </c>
      <c r="D131" s="192" t="e">
        <f ca="1">+D72-#REF!</f>
        <v>#DIV/0!</v>
      </c>
      <c r="E131" s="191"/>
      <c r="F131" s="191"/>
      <c r="G131" s="192"/>
      <c r="H131" s="193"/>
      <c r="I131" s="190"/>
      <c r="J131" s="194"/>
      <c r="K131" s="195"/>
      <c r="L131" s="195"/>
      <c r="M131" s="196"/>
      <c r="N131" s="197"/>
    </row>
    <row r="132" spans="1:14" x14ac:dyDescent="0.25">
      <c r="A132" s="188"/>
      <c r="B132" s="190"/>
      <c r="C132" s="190" t="s">
        <v>100</v>
      </c>
      <c r="D132" s="192" t="e">
        <f ca="1">+D73-#REF!</f>
        <v>#DIV/0!</v>
      </c>
      <c r="E132" s="191"/>
      <c r="F132" s="191" t="s">
        <v>101</v>
      </c>
      <c r="G132" s="192" t="e">
        <f ca="1">+G73-#REF!</f>
        <v>#DIV/0!</v>
      </c>
      <c r="H132" s="193"/>
      <c r="I132" s="211" t="s">
        <v>102</v>
      </c>
      <c r="J132" s="211"/>
      <c r="K132" s="192" t="e">
        <f ca="1">+K73-#REF!</f>
        <v>#DIV/0!</v>
      </c>
      <c r="L132" s="195"/>
      <c r="M132" s="196"/>
      <c r="N132" s="197"/>
    </row>
    <row r="133" spans="1:14" x14ac:dyDescent="0.25">
      <c r="A133" s="188"/>
      <c r="B133" s="190"/>
      <c r="C133" s="190"/>
      <c r="D133" s="200" t="s">
        <v>103</v>
      </c>
      <c r="E133" s="192" t="e">
        <f ca="1">+E74-#REF!</f>
        <v>#DIV/0!</v>
      </c>
      <c r="F133" s="191"/>
      <c r="G133" s="192" t="s">
        <v>104</v>
      </c>
      <c r="H133" s="192" t="e">
        <f ca="1">+H74-#REF!</f>
        <v>#DIV/0!</v>
      </c>
      <c r="I133" s="190"/>
      <c r="J133" s="195" t="s">
        <v>105</v>
      </c>
      <c r="K133" s="195"/>
      <c r="L133" s="195"/>
      <c r="M133" s="192" t="e">
        <f ca="1">+M74-#REF!</f>
        <v>#DIV/0!</v>
      </c>
      <c r="N133" s="197"/>
    </row>
    <row r="134" spans="1:14" x14ac:dyDescent="0.25">
      <c r="A134" s="188"/>
      <c r="B134" s="190"/>
      <c r="C134" s="190"/>
      <c r="D134" s="190" t="s">
        <v>106</v>
      </c>
      <c r="E134" s="192" t="e">
        <f ca="1">+E75-#REF!</f>
        <v>#DIV/0!</v>
      </c>
      <c r="F134" s="191"/>
      <c r="G134" s="192"/>
      <c r="H134" s="201"/>
      <c r="I134" s="190"/>
      <c r="J134" s="194"/>
      <c r="K134" s="195"/>
      <c r="L134" s="195"/>
      <c r="M134" s="196"/>
      <c r="N134" s="197"/>
    </row>
    <row r="135" spans="1:14" x14ac:dyDescent="0.25">
      <c r="A135" s="188"/>
      <c r="B135" s="190" t="s">
        <v>119</v>
      </c>
      <c r="C135" s="190" t="s">
        <v>99</v>
      </c>
      <c r="D135" s="192" t="e">
        <f ca="1">+D76-#REF!</f>
        <v>#DIV/0!</v>
      </c>
      <c r="E135" s="191"/>
      <c r="F135" s="191"/>
      <c r="G135" s="192"/>
      <c r="H135" s="193"/>
      <c r="I135" s="190"/>
      <c r="J135" s="194"/>
      <c r="K135" s="195"/>
      <c r="L135" s="195"/>
      <c r="M135" s="196"/>
      <c r="N135" s="197"/>
    </row>
    <row r="136" spans="1:14" x14ac:dyDescent="0.25">
      <c r="A136" s="188"/>
      <c r="B136" s="190"/>
      <c r="C136" s="190" t="s">
        <v>100</v>
      </c>
      <c r="D136" s="192" t="e">
        <f ca="1">+D77-#REF!</f>
        <v>#DIV/0!</v>
      </c>
      <c r="E136" s="191"/>
      <c r="F136" s="191" t="s">
        <v>101</v>
      </c>
      <c r="G136" s="192" t="e">
        <f ca="1">+G77-#REF!</f>
        <v>#DIV/0!</v>
      </c>
      <c r="H136" s="193"/>
      <c r="I136" s="211" t="s">
        <v>102</v>
      </c>
      <c r="J136" s="211"/>
      <c r="K136" s="192" t="e">
        <f ca="1">+K77-#REF!</f>
        <v>#DIV/0!</v>
      </c>
      <c r="L136" s="195"/>
      <c r="M136" s="196"/>
      <c r="N136" s="197"/>
    </row>
    <row r="137" spans="1:14" x14ac:dyDescent="0.25">
      <c r="A137" s="188"/>
      <c r="B137" s="190"/>
      <c r="C137" s="190"/>
      <c r="D137" s="200" t="s">
        <v>103</v>
      </c>
      <c r="E137" s="192" t="e">
        <f ca="1">+E78-#REF!</f>
        <v>#DIV/0!</v>
      </c>
      <c r="F137" s="191"/>
      <c r="G137" s="192" t="s">
        <v>104</v>
      </c>
      <c r="H137" s="192" t="e">
        <f ca="1">+H78-#REF!</f>
        <v>#DIV/0!</v>
      </c>
      <c r="I137" s="190"/>
      <c r="J137" s="195" t="s">
        <v>105</v>
      </c>
      <c r="K137" s="195"/>
      <c r="L137" s="195"/>
      <c r="M137" s="192" t="e">
        <f ca="1">+M78-#REF!</f>
        <v>#DIV/0!</v>
      </c>
      <c r="N137" s="197"/>
    </row>
    <row r="138" spans="1:14" ht="16.5" thickBot="1" x14ac:dyDescent="0.3">
      <c r="A138" s="202"/>
      <c r="B138" s="203"/>
      <c r="C138" s="203"/>
      <c r="D138" s="203" t="s">
        <v>106</v>
      </c>
      <c r="E138" s="204" t="e">
        <f ca="1">+E79-#REF!</f>
        <v>#DIV/0!</v>
      </c>
      <c r="F138" s="205"/>
      <c r="G138" s="204"/>
      <c r="H138" s="206"/>
      <c r="I138" s="203"/>
      <c r="J138" s="207"/>
      <c r="K138" s="208"/>
      <c r="L138" s="208"/>
      <c r="M138" s="209"/>
      <c r="N138" s="210"/>
    </row>
  </sheetData>
  <mergeCells count="25">
    <mergeCell ref="I53:J53"/>
    <mergeCell ref="I57:J57"/>
    <mergeCell ref="I61:J61"/>
    <mergeCell ref="I65:J65"/>
    <mergeCell ref="I37:J37"/>
    <mergeCell ref="I41:J41"/>
    <mergeCell ref="I45:J45"/>
    <mergeCell ref="I49:J49"/>
    <mergeCell ref="I85:J85"/>
    <mergeCell ref="I92:J92"/>
    <mergeCell ref="I96:J96"/>
    <mergeCell ref="I100:J100"/>
    <mergeCell ref="I69:J69"/>
    <mergeCell ref="I73:J73"/>
    <mergeCell ref="I77:J77"/>
    <mergeCell ref="I81:J81"/>
    <mergeCell ref="I136:J136"/>
    <mergeCell ref="I120:J120"/>
    <mergeCell ref="I124:J124"/>
    <mergeCell ref="I128:J128"/>
    <mergeCell ref="I132:J132"/>
    <mergeCell ref="I104:J104"/>
    <mergeCell ref="I108:J108"/>
    <mergeCell ref="I112:J112"/>
    <mergeCell ref="I116:J116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Sheet1 (3)</vt:lpstr>
      <vt:lpstr>Sheet1 (2)</vt:lpstr>
      <vt:lpstr>Sheet2</vt:lpstr>
      <vt:lpstr>Sheet1!Print_Area</vt:lpstr>
      <vt:lpstr>'Sheet1 (3)'!Print_Area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lfascett</dc:creator>
  <cp:lastModifiedBy>Felienne</cp:lastModifiedBy>
  <cp:lastPrinted>2001-10-01T20:37:42Z</cp:lastPrinted>
  <dcterms:created xsi:type="dcterms:W3CDTF">2001-09-19T16:38:09Z</dcterms:created>
  <dcterms:modified xsi:type="dcterms:W3CDTF">2014-09-04T16:25:46Z</dcterms:modified>
</cp:coreProperties>
</file>