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" i="1" l="1"/>
  <c r="F5" i="1"/>
  <c r="F6" i="1" s="1"/>
  <c r="F7" i="1" s="1"/>
  <c r="F8" i="1" s="1"/>
  <c r="F9" i="1" s="1"/>
  <c r="H5" i="1"/>
  <c r="K5" i="1"/>
  <c r="H6" i="1"/>
  <c r="K6" i="1"/>
  <c r="H7" i="1"/>
  <c r="K7" i="1"/>
  <c r="K11" i="1" s="1"/>
  <c r="H8" i="1"/>
  <c r="K8" i="1"/>
  <c r="H9" i="1"/>
  <c r="K9" i="1"/>
  <c r="G11" i="1"/>
  <c r="L5" i="1" s="1"/>
  <c r="I11" i="1"/>
  <c r="B13" i="1"/>
  <c r="F13" i="1"/>
  <c r="H13" i="1"/>
  <c r="K13" i="1"/>
  <c r="H14" i="1"/>
  <c r="K14" i="1"/>
  <c r="K16" i="1" s="1"/>
  <c r="G16" i="1"/>
  <c r="I16" i="1"/>
  <c r="B18" i="1"/>
  <c r="F18" i="1"/>
  <c r="G18" i="1"/>
  <c r="H18" i="1"/>
  <c r="I18" i="1"/>
  <c r="I24" i="1" s="1"/>
  <c r="K18" i="1"/>
  <c r="F19" i="1"/>
  <c r="G19" i="1"/>
  <c r="I19" i="1" s="1"/>
  <c r="K19" i="1" s="1"/>
  <c r="H19" i="1"/>
  <c r="F20" i="1"/>
  <c r="G20" i="1"/>
  <c r="I20" i="1" s="1"/>
  <c r="K20" i="1" s="1"/>
  <c r="H20" i="1"/>
  <c r="F21" i="1"/>
  <c r="G21" i="1"/>
  <c r="H21" i="1"/>
  <c r="I21" i="1"/>
  <c r="K21" i="1"/>
  <c r="F22" i="1"/>
  <c r="G22" i="1"/>
  <c r="H22" i="1"/>
  <c r="K22" i="1"/>
  <c r="B26" i="1"/>
  <c r="F26" i="1"/>
  <c r="H26" i="1"/>
  <c r="K26" i="1"/>
  <c r="B29" i="1"/>
  <c r="F29" i="1"/>
  <c r="G29" i="1"/>
  <c r="G34" i="1" s="1"/>
  <c r="H29" i="1"/>
  <c r="I29" i="1"/>
  <c r="K29" i="1" s="1"/>
  <c r="F30" i="1"/>
  <c r="G30" i="1"/>
  <c r="I30" i="1" s="1"/>
  <c r="K30" i="1" s="1"/>
  <c r="H30" i="1"/>
  <c r="F31" i="1"/>
  <c r="G31" i="1"/>
  <c r="I31" i="1" s="1"/>
  <c r="K31" i="1" s="1"/>
  <c r="H31" i="1"/>
  <c r="F32" i="1"/>
  <c r="G32" i="1"/>
  <c r="H32" i="1"/>
  <c r="I32" i="1"/>
  <c r="K32" i="1"/>
  <c r="B36" i="1"/>
  <c r="F36" i="1"/>
  <c r="H36" i="1"/>
  <c r="K36" i="1"/>
  <c r="B39" i="1"/>
  <c r="F39" i="1"/>
  <c r="H39" i="1"/>
  <c r="K39" i="1"/>
  <c r="B42" i="1"/>
  <c r="F42" i="1"/>
  <c r="G42" i="1"/>
  <c r="H42" i="1"/>
  <c r="K42" i="1"/>
  <c r="K47" i="1" s="1"/>
  <c r="F43" i="1"/>
  <c r="G43" i="1"/>
  <c r="H43" i="1"/>
  <c r="K43" i="1"/>
  <c r="F44" i="1"/>
  <c r="G44" i="1"/>
  <c r="G47" i="1" s="1"/>
  <c r="H44" i="1"/>
  <c r="K44" i="1"/>
  <c r="F45" i="1"/>
  <c r="I47" i="1"/>
  <c r="L42" i="1" s="1"/>
  <c r="B49" i="1"/>
  <c r="F49" i="1"/>
  <c r="G49" i="1"/>
  <c r="G54" i="1" s="1"/>
  <c r="H49" i="1"/>
  <c r="K49" i="1"/>
  <c r="K54" i="1" s="1"/>
  <c r="F50" i="1"/>
  <c r="G50" i="1"/>
  <c r="H50" i="1"/>
  <c r="K50" i="1"/>
  <c r="F51" i="1"/>
  <c r="G51" i="1"/>
  <c r="F52" i="1"/>
  <c r="I54" i="1"/>
  <c r="L49" i="1" s="1"/>
  <c r="B57" i="1"/>
  <c r="F57" i="1"/>
  <c r="G57" i="1"/>
  <c r="H57" i="1"/>
  <c r="K57" i="1"/>
  <c r="L57" i="1"/>
  <c r="F58" i="1"/>
  <c r="G58" i="1"/>
  <c r="H58" i="1"/>
  <c r="K58" i="1"/>
  <c r="K63" i="1" s="1"/>
  <c r="F59" i="1"/>
  <c r="G59" i="1"/>
  <c r="H59" i="1"/>
  <c r="K59" i="1"/>
  <c r="F60" i="1"/>
  <c r="G60" i="1"/>
  <c r="F61" i="1"/>
  <c r="G61" i="1"/>
  <c r="G63" i="1"/>
  <c r="I63" i="1"/>
  <c r="B66" i="1"/>
  <c r="F66" i="1"/>
  <c r="G66" i="1"/>
  <c r="H66" i="1"/>
  <c r="K66" i="1"/>
  <c r="K72" i="1" s="1"/>
  <c r="F67" i="1"/>
  <c r="H67" i="1"/>
  <c r="K67" i="1"/>
  <c r="F68" i="1"/>
  <c r="F69" i="1"/>
  <c r="F70" i="1"/>
  <c r="G72" i="1"/>
  <c r="I72" i="1"/>
  <c r="L66" i="1" s="1"/>
  <c r="B75" i="1"/>
  <c r="F75" i="1"/>
  <c r="H75" i="1"/>
  <c r="K75" i="1"/>
  <c r="F76" i="1"/>
  <c r="F77" i="1"/>
  <c r="F78" i="1"/>
  <c r="F79" i="1"/>
  <c r="G81" i="1"/>
  <c r="I81" i="1"/>
  <c r="L75" i="1" s="1"/>
  <c r="K81" i="1"/>
  <c r="B84" i="1"/>
  <c r="F84" i="1"/>
  <c r="G84" i="1"/>
  <c r="H84" i="1"/>
  <c r="K84" i="1"/>
  <c r="K89" i="1" s="1"/>
  <c r="L84" i="1"/>
  <c r="F85" i="1"/>
  <c r="G85" i="1"/>
  <c r="H85" i="1"/>
  <c r="K85" i="1"/>
  <c r="F86" i="1"/>
  <c r="G86" i="1"/>
  <c r="F87" i="1"/>
  <c r="G87" i="1"/>
  <c r="G89" i="1"/>
  <c r="I89" i="1"/>
  <c r="B92" i="1"/>
  <c r="F92" i="1"/>
  <c r="H92" i="1"/>
  <c r="K92" i="1"/>
  <c r="K97" i="1" s="1"/>
  <c r="F93" i="1"/>
  <c r="F94" i="1"/>
  <c r="F95" i="1"/>
  <c r="G97" i="1"/>
  <c r="I97" i="1"/>
  <c r="L92" i="1" s="1"/>
  <c r="B100" i="1"/>
  <c r="F100" i="1"/>
  <c r="L100" i="1"/>
  <c r="F101" i="1"/>
  <c r="F102" i="1"/>
  <c r="F103" i="1"/>
  <c r="F104" i="1"/>
  <c r="G106" i="1"/>
  <c r="I106" i="1"/>
  <c r="K106" i="1"/>
  <c r="B109" i="1"/>
  <c r="F109" i="1"/>
  <c r="F110" i="1"/>
  <c r="F111" i="1"/>
  <c r="F112" i="1"/>
  <c r="F113" i="1"/>
  <c r="F114" i="1"/>
  <c r="F115" i="1"/>
  <c r="G118" i="1"/>
  <c r="I118" i="1"/>
  <c r="L109" i="1" s="1"/>
  <c r="K118" i="1"/>
  <c r="B121" i="1"/>
  <c r="F121" i="1"/>
  <c r="F122" i="1"/>
  <c r="F123" i="1"/>
  <c r="F124" i="1"/>
  <c r="F125" i="1"/>
  <c r="F126" i="1"/>
  <c r="F127" i="1"/>
  <c r="G129" i="1"/>
  <c r="I129" i="1"/>
  <c r="L121" i="1" s="1"/>
  <c r="K129" i="1"/>
  <c r="D133" i="1"/>
  <c r="D166" i="1" s="1"/>
  <c r="B138" i="1"/>
  <c r="H138" i="1"/>
  <c r="K138" i="1"/>
  <c r="L138" i="1"/>
  <c r="B140" i="1"/>
  <c r="F140" i="1"/>
  <c r="H140" i="1"/>
  <c r="K140" i="1"/>
  <c r="K143" i="1" s="1"/>
  <c r="F141" i="1"/>
  <c r="H141" i="1"/>
  <c r="K141" i="1"/>
  <c r="G143" i="1"/>
  <c r="I143" i="1"/>
  <c r="L140" i="1" s="1"/>
  <c r="B145" i="1"/>
  <c r="F145" i="1"/>
  <c r="H145" i="1"/>
  <c r="K145" i="1"/>
  <c r="L145" i="1"/>
  <c r="B147" i="1"/>
  <c r="F147" i="1"/>
  <c r="H147" i="1"/>
  <c r="K147" i="1"/>
  <c r="K151" i="1" s="1"/>
  <c r="F148" i="1"/>
  <c r="H148" i="1"/>
  <c r="K148" i="1"/>
  <c r="F149" i="1"/>
  <c r="H149" i="1"/>
  <c r="K149" i="1"/>
  <c r="G151" i="1"/>
  <c r="G164" i="1" s="1"/>
  <c r="I151" i="1"/>
  <c r="L147" i="1" s="1"/>
  <c r="B153" i="1"/>
  <c r="F153" i="1"/>
  <c r="H153" i="1"/>
  <c r="K153" i="1"/>
  <c r="B155" i="1"/>
  <c r="F155" i="1"/>
  <c r="L155" i="1"/>
  <c r="B157" i="1"/>
  <c r="F157" i="1"/>
  <c r="L157" i="1"/>
  <c r="F158" i="1"/>
  <c r="F159" i="1"/>
  <c r="G161" i="1"/>
  <c r="I161" i="1"/>
  <c r="K161" i="1"/>
  <c r="D164" i="1"/>
  <c r="I164" i="1"/>
  <c r="L164" i="1" l="1"/>
  <c r="L133" i="1"/>
  <c r="K164" i="1"/>
  <c r="K34" i="1"/>
  <c r="K24" i="1"/>
  <c r="K133" i="1" s="1"/>
  <c r="K166" i="1" s="1"/>
  <c r="G133" i="1"/>
  <c r="G24" i="1"/>
  <c r="L18" i="1" s="1"/>
  <c r="I34" i="1"/>
  <c r="I133" i="1" s="1"/>
</calcChain>
</file>

<file path=xl/sharedStrings.xml><?xml version="1.0" encoding="utf-8"?>
<sst xmlns="http://schemas.openxmlformats.org/spreadsheetml/2006/main" count="67" uniqueCount="37">
  <si>
    <t>Grant ID</t>
  </si>
  <si>
    <t>Grant Date</t>
  </si>
  <si>
    <t>Description</t>
  </si>
  <si>
    <t>Strike</t>
  </si>
  <si>
    <t>Price</t>
  </si>
  <si>
    <t xml:space="preserve">Vest </t>
  </si>
  <si>
    <t>Date</t>
  </si>
  <si>
    <t xml:space="preserve">Exercise </t>
  </si>
  <si>
    <t>Value</t>
  </si>
  <si>
    <t>Number</t>
  </si>
  <si>
    <t>Granted</t>
  </si>
  <si>
    <t>AESOP</t>
  </si>
  <si>
    <t xml:space="preserve">Number </t>
  </si>
  <si>
    <t>Vested</t>
  </si>
  <si>
    <t>Exercise</t>
  </si>
  <si>
    <t>Totals</t>
  </si>
  <si>
    <t>Options</t>
  </si>
  <si>
    <t>Remaining</t>
  </si>
  <si>
    <t>Bonus</t>
  </si>
  <si>
    <t>Exercised</t>
  </si>
  <si>
    <t>Exec Comp</t>
  </si>
  <si>
    <t>Program</t>
  </si>
  <si>
    <t>ECT Plan</t>
  </si>
  <si>
    <t>ECTLT5AA</t>
  </si>
  <si>
    <t>Contract??</t>
  </si>
  <si>
    <t>Contract?</t>
  </si>
  <si>
    <t>LTIP</t>
  </si>
  <si>
    <t>ENE50</t>
  </si>
  <si>
    <t>AEGrant</t>
  </si>
  <si>
    <t>???</t>
  </si>
  <si>
    <t>Contract</t>
  </si>
  <si>
    <t>Total Options</t>
  </si>
  <si>
    <t>Stock</t>
  </si>
  <si>
    <t>ECT LT</t>
  </si>
  <si>
    <t>ECT LT II</t>
  </si>
  <si>
    <t>Total Stock</t>
  </si>
  <si>
    <t>Total Options and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</si>
</sst>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workbookViewId="0">
      <pane ySplit="765" activePane="bottomLeft"/>
      <selection pane="bottomLeft" activeCell="D1" sqref="D1"/>
    </sheetView>
  </sheetViews>
  <sheetFormatPr defaultRowHeight="12.75" x14ac:dyDescent="0.2"/>
  <cols>
    <col min="2" max="2" width="9.7109375" customWidth="1"/>
    <col min="3" max="3" width="10.42578125" customWidth="1"/>
    <col min="4" max="4" width="10.28515625" bestFit="1" customWidth="1"/>
    <col min="7" max="7" width="9.28515625" bestFit="1" customWidth="1"/>
    <col min="9" max="9" width="9.28515625" bestFit="1" customWidth="1"/>
    <col min="11" max="11" width="11.28515625" bestFit="1" customWidth="1"/>
    <col min="12" max="12" width="10.28515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5</v>
      </c>
      <c r="G1" t="s">
        <v>12</v>
      </c>
      <c r="H1" t="s">
        <v>7</v>
      </c>
      <c r="I1" t="s">
        <v>9</v>
      </c>
      <c r="J1" t="s">
        <v>7</v>
      </c>
      <c r="K1" t="s">
        <v>14</v>
      </c>
      <c r="L1" t="s">
        <v>16</v>
      </c>
    </row>
    <row r="2" spans="1:12" x14ac:dyDescent="0.2">
      <c r="D2" t="s">
        <v>10</v>
      </c>
      <c r="E2" t="s">
        <v>4</v>
      </c>
      <c r="F2" t="s">
        <v>6</v>
      </c>
      <c r="G2" t="s">
        <v>13</v>
      </c>
      <c r="H2" t="s">
        <v>6</v>
      </c>
      <c r="I2" t="s">
        <v>19</v>
      </c>
      <c r="J2" t="s">
        <v>4</v>
      </c>
      <c r="K2" t="s">
        <v>8</v>
      </c>
      <c r="L2" t="s">
        <v>17</v>
      </c>
    </row>
    <row r="5" spans="1:12" x14ac:dyDescent="0.2">
      <c r="A5">
        <v>9511</v>
      </c>
      <c r="B5" s="1">
        <f>DATE(1994,12,30)</f>
        <v>34698</v>
      </c>
      <c r="C5" t="s">
        <v>11</v>
      </c>
      <c r="D5" s="2">
        <v>8000</v>
      </c>
      <c r="E5">
        <v>15.25</v>
      </c>
      <c r="F5" s="1">
        <f>DATE(1995,6,30)</f>
        <v>34880</v>
      </c>
      <c r="G5" s="2">
        <v>1600</v>
      </c>
      <c r="H5" s="1">
        <f>DATE(1999,3,11)</f>
        <v>36230</v>
      </c>
      <c r="I5" s="2">
        <v>1600</v>
      </c>
      <c r="J5">
        <v>35.002299999999998</v>
      </c>
      <c r="K5" s="2">
        <f>I5*(J5-E$5)</f>
        <v>31603.679999999997</v>
      </c>
      <c r="L5" s="3">
        <f>D5-G11</f>
        <v>0</v>
      </c>
    </row>
    <row r="6" spans="1:12" x14ac:dyDescent="0.2">
      <c r="D6" s="2"/>
      <c r="F6" s="1">
        <f>F5+366</f>
        <v>35246</v>
      </c>
      <c r="G6" s="2">
        <v>1600</v>
      </c>
      <c r="H6" s="1">
        <f>DATE(1999,3,11)</f>
        <v>36230</v>
      </c>
      <c r="I6" s="2">
        <v>1600</v>
      </c>
      <c r="J6">
        <v>35.002299999999998</v>
      </c>
      <c r="K6" s="2">
        <f>I6*(J6-E$5)</f>
        <v>31603.679999999997</v>
      </c>
    </row>
    <row r="7" spans="1:12" x14ac:dyDescent="0.2">
      <c r="D7" s="2"/>
      <c r="F7" s="1">
        <f>F6+365</f>
        <v>35611</v>
      </c>
      <c r="G7" s="2">
        <v>1600</v>
      </c>
      <c r="H7" s="1">
        <f>DATE(1999,3,11)</f>
        <v>36230</v>
      </c>
      <c r="I7" s="2">
        <v>1600</v>
      </c>
      <c r="J7">
        <v>35.002299999999998</v>
      </c>
      <c r="K7" s="2">
        <f>I7*(J7-E$5)</f>
        <v>31603.679999999997</v>
      </c>
    </row>
    <row r="8" spans="1:12" x14ac:dyDescent="0.2">
      <c r="D8" s="2"/>
      <c r="F8" s="1">
        <f>F7+365</f>
        <v>35976</v>
      </c>
      <c r="G8" s="2">
        <v>1600</v>
      </c>
      <c r="H8" s="1">
        <f>DATE(1999,3,11)</f>
        <v>36230</v>
      </c>
      <c r="I8" s="2">
        <v>1600</v>
      </c>
      <c r="J8">
        <v>35.002299999999998</v>
      </c>
      <c r="K8" s="2">
        <f>I8*(J8-E$5)</f>
        <v>31603.679999999997</v>
      </c>
    </row>
    <row r="9" spans="1:12" x14ac:dyDescent="0.2">
      <c r="D9" s="2"/>
      <c r="F9" s="1">
        <f>F8+365</f>
        <v>36341</v>
      </c>
      <c r="G9" s="2">
        <v>1600</v>
      </c>
      <c r="H9" s="1">
        <f>DATE(2000,5,1)</f>
        <v>36647</v>
      </c>
      <c r="I9" s="2">
        <v>1600</v>
      </c>
      <c r="J9">
        <v>73.472399999999993</v>
      </c>
      <c r="K9" s="2">
        <f>I9*(J9-E$5)</f>
        <v>93155.839999999997</v>
      </c>
    </row>
    <row r="10" spans="1:12" x14ac:dyDescent="0.2">
      <c r="D10" s="2"/>
      <c r="G10" s="2"/>
    </row>
    <row r="11" spans="1:12" x14ac:dyDescent="0.2">
      <c r="D11" s="2"/>
      <c r="F11" t="s">
        <v>15</v>
      </c>
      <c r="G11" s="2">
        <f>SUM(G5:G9)</f>
        <v>8000</v>
      </c>
      <c r="H11" s="2"/>
      <c r="I11" s="2">
        <f>SUM(I5:I9)</f>
        <v>8000</v>
      </c>
      <c r="K11" s="4">
        <f>SUM(K5:K9)</f>
        <v>219570.56</v>
      </c>
    </row>
    <row r="12" spans="1:12" x14ac:dyDescent="0.2">
      <c r="D12" s="2"/>
      <c r="G12" s="2"/>
    </row>
    <row r="13" spans="1:12" x14ac:dyDescent="0.2">
      <c r="A13">
        <v>100921</v>
      </c>
      <c r="B13" s="1">
        <f>DATE(1995,1,25)</f>
        <v>34724</v>
      </c>
      <c r="C13" t="s">
        <v>18</v>
      </c>
      <c r="D13" s="2">
        <v>3700</v>
      </c>
      <c r="E13">
        <v>14.75</v>
      </c>
      <c r="F13" s="1">
        <f>DATE(1995,1,25)</f>
        <v>34724</v>
      </c>
      <c r="G13" s="2">
        <v>3700</v>
      </c>
      <c r="H13" s="1">
        <f>DATE(1995,5,24)</f>
        <v>34843</v>
      </c>
      <c r="I13" s="2">
        <v>2000</v>
      </c>
      <c r="J13">
        <v>18.3125</v>
      </c>
      <c r="K13" s="2">
        <f>I13*(J13-E$13)</f>
        <v>7125</v>
      </c>
    </row>
    <row r="14" spans="1:12" x14ac:dyDescent="0.2">
      <c r="D14" s="2"/>
      <c r="G14" s="2"/>
      <c r="H14" s="1">
        <f>DATE(1998,4,15)</f>
        <v>35900</v>
      </c>
      <c r="I14" s="2">
        <v>1700</v>
      </c>
      <c r="J14">
        <v>25.281300000000002</v>
      </c>
      <c r="K14" s="2">
        <f>I14*(J14-E$13)</f>
        <v>17903.210000000003</v>
      </c>
    </row>
    <row r="15" spans="1:12" x14ac:dyDescent="0.2">
      <c r="D15" s="2"/>
      <c r="G15" s="2"/>
      <c r="I15" s="2"/>
      <c r="K15" s="2"/>
    </row>
    <row r="16" spans="1:12" x14ac:dyDescent="0.2">
      <c r="D16" s="2"/>
      <c r="F16" t="s">
        <v>15</v>
      </c>
      <c r="G16" s="2">
        <f>G13</f>
        <v>3700</v>
      </c>
      <c r="I16" s="2">
        <f>SUM(I13:I14)</f>
        <v>3700</v>
      </c>
      <c r="K16" s="5">
        <f>SUM(K13:K14)</f>
        <v>25028.210000000003</v>
      </c>
    </row>
    <row r="17" spans="1:12" x14ac:dyDescent="0.2">
      <c r="D17" s="2"/>
      <c r="G17" s="2"/>
      <c r="I17" s="2"/>
    </row>
    <row r="18" spans="1:12" x14ac:dyDescent="0.2">
      <c r="A18">
        <v>101533</v>
      </c>
      <c r="B18" s="1">
        <f>DATE(1995,12,21)</f>
        <v>35054</v>
      </c>
      <c r="C18" t="s">
        <v>20</v>
      </c>
      <c r="D18" s="2">
        <v>6260</v>
      </c>
      <c r="E18">
        <v>19.0625</v>
      </c>
      <c r="F18" s="1">
        <f>DATE(1995,12,29)</f>
        <v>35062</v>
      </c>
      <c r="G18" s="2">
        <f>D$18*0.2</f>
        <v>1252</v>
      </c>
      <c r="H18" s="1">
        <f>DATE(1999,3,11)</f>
        <v>36230</v>
      </c>
      <c r="I18" s="2">
        <f>G18</f>
        <v>1252</v>
      </c>
      <c r="J18">
        <v>35.002299999999998</v>
      </c>
      <c r="K18" s="2">
        <f>I18*(J18-E$18)</f>
        <v>19956.629599999997</v>
      </c>
      <c r="L18" s="3">
        <f>G24-I24</f>
        <v>0</v>
      </c>
    </row>
    <row r="19" spans="1:12" x14ac:dyDescent="0.2">
      <c r="C19" t="s">
        <v>21</v>
      </c>
      <c r="D19" s="2"/>
      <c r="F19" s="1">
        <f>DATE(1996,12,29)</f>
        <v>35428</v>
      </c>
      <c r="G19" s="2">
        <f>D$18*0.2</f>
        <v>1252</v>
      </c>
      <c r="H19" s="1">
        <f>DATE(1999,3,11)</f>
        <v>36230</v>
      </c>
      <c r="I19" s="2">
        <f>G19</f>
        <v>1252</v>
      </c>
      <c r="J19">
        <v>35.002299999999998</v>
      </c>
      <c r="K19" s="2">
        <f>I19*(J19-E$18)</f>
        <v>19956.629599999997</v>
      </c>
    </row>
    <row r="20" spans="1:12" x14ac:dyDescent="0.2">
      <c r="D20" s="2"/>
      <c r="F20" s="1">
        <f>DATE(1997,12,29)</f>
        <v>35793</v>
      </c>
      <c r="G20" s="2">
        <f>D$18*0.2</f>
        <v>1252</v>
      </c>
      <c r="H20" s="1">
        <f>DATE(1999,3,11)</f>
        <v>36230</v>
      </c>
      <c r="I20" s="2">
        <f>G20</f>
        <v>1252</v>
      </c>
      <c r="J20">
        <v>35.002299999999998</v>
      </c>
      <c r="K20" s="2">
        <f>I20*(J20-E$18)</f>
        <v>19956.629599999997</v>
      </c>
    </row>
    <row r="21" spans="1:12" x14ac:dyDescent="0.2">
      <c r="D21" s="2"/>
      <c r="F21" s="1">
        <f>DATE(1998,12,29)</f>
        <v>36158</v>
      </c>
      <c r="G21" s="2">
        <f>D$18*0.2</f>
        <v>1252</v>
      </c>
      <c r="H21" s="1">
        <f>DATE(1999,3,11)</f>
        <v>36230</v>
      </c>
      <c r="I21" s="2">
        <f>G21</f>
        <v>1252</v>
      </c>
      <c r="J21">
        <v>35.002299999999998</v>
      </c>
      <c r="K21" s="2">
        <f>I21*(J21-E$18)</f>
        <v>19956.629599999997</v>
      </c>
    </row>
    <row r="22" spans="1:12" x14ac:dyDescent="0.2">
      <c r="D22" s="2"/>
      <c r="F22" s="1">
        <f>DATE(1999,12,29)</f>
        <v>36523</v>
      </c>
      <c r="G22" s="2">
        <f>D$18*0.2</f>
        <v>1252</v>
      </c>
      <c r="H22" s="1">
        <f>DATE(2000,5,1)</f>
        <v>36647</v>
      </c>
      <c r="I22" s="2">
        <v>1252</v>
      </c>
      <c r="J22">
        <v>73.472399999999993</v>
      </c>
      <c r="K22" s="2">
        <f>I22*(J22-E$18)</f>
        <v>68121.194799999997</v>
      </c>
    </row>
    <row r="23" spans="1:12" x14ac:dyDescent="0.2">
      <c r="D23" s="2"/>
      <c r="F23" s="1"/>
      <c r="G23" s="2"/>
      <c r="I23" s="2"/>
      <c r="K23" s="2"/>
    </row>
    <row r="24" spans="1:12" x14ac:dyDescent="0.2">
      <c r="D24" s="2"/>
      <c r="F24" t="s">
        <v>15</v>
      </c>
      <c r="G24" s="2">
        <f>SUM(G18:G22)</f>
        <v>6260</v>
      </c>
      <c r="I24" s="2">
        <f>SUM(I18:I22)</f>
        <v>6260</v>
      </c>
      <c r="K24" s="4">
        <f>SUM(K18:K22)</f>
        <v>147947.7132</v>
      </c>
    </row>
    <row r="25" spans="1:12" x14ac:dyDescent="0.2">
      <c r="D25" s="2"/>
      <c r="G25" s="2"/>
      <c r="I25" s="2"/>
      <c r="K25" s="2"/>
    </row>
    <row r="26" spans="1:12" x14ac:dyDescent="0.2">
      <c r="A26">
        <v>102311</v>
      </c>
      <c r="B26" s="1">
        <f>DATE(1996,1,23)</f>
        <v>35087</v>
      </c>
      <c r="C26" t="s">
        <v>18</v>
      </c>
      <c r="D26" s="2">
        <v>6160</v>
      </c>
      <c r="E26">
        <v>18.375</v>
      </c>
      <c r="F26" s="1">
        <f>DATE(1996,1,23)</f>
        <v>35087</v>
      </c>
      <c r="G26" s="2">
        <v>6160</v>
      </c>
      <c r="H26" s="1">
        <f>DATE(1998,4,15)</f>
        <v>35900</v>
      </c>
      <c r="I26" s="2">
        <v>6160</v>
      </c>
      <c r="J26">
        <v>25.281300000000002</v>
      </c>
      <c r="K26" s="4">
        <f>I26*(J26-E26)</f>
        <v>42542.808000000012</v>
      </c>
    </row>
    <row r="27" spans="1:12" x14ac:dyDescent="0.2">
      <c r="D27" s="2"/>
      <c r="G27" s="2"/>
      <c r="I27" s="2"/>
      <c r="K27" s="2"/>
    </row>
    <row r="28" spans="1:12" x14ac:dyDescent="0.2">
      <c r="D28" s="2"/>
      <c r="G28" s="2"/>
      <c r="I28" s="2"/>
      <c r="K28" s="2"/>
    </row>
    <row r="29" spans="1:12" x14ac:dyDescent="0.2">
      <c r="A29">
        <v>103459</v>
      </c>
      <c r="B29" s="1">
        <f>DATE(1996,12,31)</f>
        <v>35430</v>
      </c>
      <c r="C29" t="s">
        <v>20</v>
      </c>
      <c r="D29" s="2">
        <v>8730</v>
      </c>
      <c r="E29">
        <v>21.5625</v>
      </c>
      <c r="F29" s="1">
        <f>DATE(1996,12,31)</f>
        <v>35430</v>
      </c>
      <c r="G29" s="2">
        <f>D$29*0.25</f>
        <v>2182.5</v>
      </c>
      <c r="H29" s="1">
        <f>DATE(1999,3,11)</f>
        <v>36230</v>
      </c>
      <c r="I29" s="2">
        <f>G29</f>
        <v>2182.5</v>
      </c>
      <c r="J29">
        <v>35.002299999999998</v>
      </c>
      <c r="K29" s="2">
        <f>I29*(J29-E$29)</f>
        <v>29332.363499999996</v>
      </c>
    </row>
    <row r="30" spans="1:12" x14ac:dyDescent="0.2">
      <c r="C30" t="s">
        <v>21</v>
      </c>
      <c r="D30" s="2"/>
      <c r="F30" s="1">
        <f>DATE(1997,12,31)</f>
        <v>35795</v>
      </c>
      <c r="G30" s="2">
        <f>D$29*0.25</f>
        <v>2182.5</v>
      </c>
      <c r="H30" s="1">
        <f>DATE(1999,3,11)</f>
        <v>36230</v>
      </c>
      <c r="I30" s="2">
        <f>G30</f>
        <v>2182.5</v>
      </c>
      <c r="J30">
        <v>35.002299999999998</v>
      </c>
      <c r="K30" s="2">
        <f>I30*(J30-E$29)</f>
        <v>29332.363499999996</v>
      </c>
    </row>
    <row r="31" spans="1:12" x14ac:dyDescent="0.2">
      <c r="D31" s="2"/>
      <c r="F31" s="1">
        <f>DATE(1998,12,31)</f>
        <v>36160</v>
      </c>
      <c r="G31" s="2">
        <f>D$29*0.25</f>
        <v>2182.5</v>
      </c>
      <c r="H31" s="1">
        <f>DATE(1999,3,11)</f>
        <v>36230</v>
      </c>
      <c r="I31" s="2">
        <f>G31</f>
        <v>2182.5</v>
      </c>
      <c r="J31">
        <v>35.002299999999998</v>
      </c>
      <c r="K31" s="2">
        <f>I31*(J31-E$29)</f>
        <v>29332.363499999996</v>
      </c>
    </row>
    <row r="32" spans="1:12" x14ac:dyDescent="0.2">
      <c r="D32" s="2"/>
      <c r="F32" s="1">
        <f>DATE(1999,12,31)</f>
        <v>36525</v>
      </c>
      <c r="G32" s="2">
        <f>D$29*0.25</f>
        <v>2182.5</v>
      </c>
      <c r="H32" s="1">
        <f>DATE(2000,5,1)</f>
        <v>36647</v>
      </c>
      <c r="I32" s="2">
        <f>G32</f>
        <v>2182.5</v>
      </c>
      <c r="J32">
        <v>73.472399999999993</v>
      </c>
      <c r="K32" s="2">
        <f>I32*(J32-E$29)</f>
        <v>113293.35674999999</v>
      </c>
    </row>
    <row r="33" spans="1:12" x14ac:dyDescent="0.2">
      <c r="D33" s="2"/>
      <c r="G33" s="2"/>
      <c r="I33" s="2"/>
      <c r="K33" s="2"/>
    </row>
    <row r="34" spans="1:12" x14ac:dyDescent="0.2">
      <c r="D34" s="2"/>
      <c r="F34" t="s">
        <v>15</v>
      </c>
      <c r="G34" s="2">
        <f>SUM(G29:G32)</f>
        <v>8730</v>
      </c>
      <c r="I34" s="2">
        <f>SUM(I29:I32)</f>
        <v>8730</v>
      </c>
      <c r="K34" s="4">
        <f>SUM(K29:K32)</f>
        <v>201290.44724999997</v>
      </c>
    </row>
    <row r="35" spans="1:12" x14ac:dyDescent="0.2">
      <c r="D35" s="2"/>
      <c r="G35" s="2"/>
      <c r="I35" s="2"/>
      <c r="K35" s="2"/>
    </row>
    <row r="36" spans="1:12" x14ac:dyDescent="0.2">
      <c r="A36">
        <v>104766</v>
      </c>
      <c r="B36" s="1">
        <f>DATE(1997,1,21)</f>
        <v>35451</v>
      </c>
      <c r="C36" t="s">
        <v>22</v>
      </c>
      <c r="D36" s="2">
        <v>5154</v>
      </c>
      <c r="E36">
        <v>22.25</v>
      </c>
      <c r="F36" s="1">
        <f>DATE(2000,1,21)</f>
        <v>36546</v>
      </c>
      <c r="G36" s="2">
        <v>5154</v>
      </c>
      <c r="H36" s="1">
        <f>DATE(2000,5,1)</f>
        <v>36647</v>
      </c>
      <c r="I36" s="2">
        <v>5154</v>
      </c>
      <c r="J36">
        <v>73.472399999999993</v>
      </c>
      <c r="K36" s="4">
        <f>I36*(J36-E36)</f>
        <v>264000.24959999998</v>
      </c>
    </row>
    <row r="37" spans="1:12" x14ac:dyDescent="0.2">
      <c r="D37" s="2"/>
      <c r="G37" s="2"/>
      <c r="I37" s="2"/>
      <c r="K37" s="2"/>
    </row>
    <row r="38" spans="1:12" x14ac:dyDescent="0.2">
      <c r="D38" s="2"/>
      <c r="G38" s="2"/>
      <c r="I38" s="2"/>
      <c r="K38" s="2"/>
    </row>
    <row r="39" spans="1:12" x14ac:dyDescent="0.2">
      <c r="A39">
        <v>105293</v>
      </c>
      <c r="B39" s="1">
        <f>DATE(1997,1,21)</f>
        <v>35451</v>
      </c>
      <c r="C39" t="s">
        <v>18</v>
      </c>
      <c r="D39" s="2">
        <v>8310</v>
      </c>
      <c r="E39">
        <v>22.25</v>
      </c>
      <c r="F39" s="1">
        <f>DATE(1997,1,21)</f>
        <v>35451</v>
      </c>
      <c r="G39" s="2">
        <v>8310</v>
      </c>
      <c r="H39" s="1">
        <f>DATE(1999,3,11)</f>
        <v>36230</v>
      </c>
      <c r="I39" s="2">
        <v>8310</v>
      </c>
      <c r="J39">
        <v>35.002299999999998</v>
      </c>
      <c r="K39" s="4">
        <f>I39*(J39-E39)</f>
        <v>105971.61299999998</v>
      </c>
    </row>
    <row r="40" spans="1:12" x14ac:dyDescent="0.2">
      <c r="D40" s="2"/>
      <c r="G40" s="2"/>
      <c r="I40" s="2"/>
      <c r="K40" s="2"/>
    </row>
    <row r="41" spans="1:12" x14ac:dyDescent="0.2">
      <c r="D41" s="2"/>
      <c r="G41" s="2"/>
      <c r="I41" s="2"/>
      <c r="K41" s="2"/>
    </row>
    <row r="42" spans="1:12" x14ac:dyDescent="0.2">
      <c r="A42">
        <v>106903</v>
      </c>
      <c r="B42" s="1">
        <f>DATE(1997,8,11)</f>
        <v>35653</v>
      </c>
      <c r="C42" t="s">
        <v>23</v>
      </c>
      <c r="D42" s="2">
        <v>76400</v>
      </c>
      <c r="E42">
        <v>18.375</v>
      </c>
      <c r="F42" s="1">
        <f>DATE(1998,12,31)</f>
        <v>36160</v>
      </c>
      <c r="G42" s="2">
        <f>D42*0.4</f>
        <v>30560</v>
      </c>
      <c r="H42" s="1">
        <f>DATE(1999,3,11)</f>
        <v>36230</v>
      </c>
      <c r="I42" s="2">
        <v>30560</v>
      </c>
      <c r="J42">
        <v>35.002299999999998</v>
      </c>
      <c r="K42" s="2">
        <f>I42*(J42-E42)</f>
        <v>508130.28799999994</v>
      </c>
      <c r="L42" s="3">
        <f>D42-I47</f>
        <v>15280</v>
      </c>
    </row>
    <row r="43" spans="1:12" x14ac:dyDescent="0.2">
      <c r="D43" s="2"/>
      <c r="F43" s="1">
        <f>DATE(1999,12,31)</f>
        <v>36525</v>
      </c>
      <c r="G43" s="2">
        <f>D42*0.2</f>
        <v>15280</v>
      </c>
      <c r="H43" s="1">
        <f>DATE(2000,5,1)</f>
        <v>36647</v>
      </c>
      <c r="I43" s="2">
        <v>15280</v>
      </c>
      <c r="J43">
        <v>73.472399999999993</v>
      </c>
      <c r="K43" s="2">
        <f>I43*(J43-E42)</f>
        <v>841888.27199999988</v>
      </c>
    </row>
    <row r="44" spans="1:12" x14ac:dyDescent="0.2">
      <c r="D44" s="2"/>
      <c r="F44" s="1">
        <f>DATE(2000,12,31)</f>
        <v>36891</v>
      </c>
      <c r="G44" s="2">
        <f>D42*0.2</f>
        <v>15280</v>
      </c>
      <c r="H44" s="1">
        <f>DATE(2001,1,2)</f>
        <v>36893</v>
      </c>
      <c r="I44" s="2">
        <v>15280</v>
      </c>
      <c r="J44">
        <v>81.902900000000002</v>
      </c>
      <c r="K44" s="2">
        <f>I44*(J44-E42)</f>
        <v>970706.31200000003</v>
      </c>
    </row>
    <row r="45" spans="1:12" x14ac:dyDescent="0.2">
      <c r="D45" s="2"/>
      <c r="F45" s="1">
        <f>DATE(2001,12,31)</f>
        <v>37256</v>
      </c>
      <c r="G45" s="2">
        <v>15280</v>
      </c>
      <c r="H45" s="1"/>
      <c r="I45" s="2"/>
      <c r="K45" s="2"/>
    </row>
    <row r="46" spans="1:12" x14ac:dyDescent="0.2">
      <c r="D46" s="2"/>
      <c r="G46" s="2"/>
      <c r="I46" s="2"/>
      <c r="K46" s="2"/>
    </row>
    <row r="47" spans="1:12" x14ac:dyDescent="0.2">
      <c r="D47" s="2"/>
      <c r="F47" t="s">
        <v>15</v>
      </c>
      <c r="G47" s="2">
        <f>SUM(G42:G45)</f>
        <v>76400</v>
      </c>
      <c r="I47" s="2">
        <f>SUM(I42:I45)</f>
        <v>61120</v>
      </c>
      <c r="K47" s="4">
        <f>SUM(K42:K45)</f>
        <v>2320724.872</v>
      </c>
    </row>
    <row r="48" spans="1:12" x14ac:dyDescent="0.2">
      <c r="D48" s="2"/>
      <c r="G48" s="2"/>
      <c r="I48" s="2"/>
      <c r="K48" s="2"/>
    </row>
    <row r="49" spans="1:12" x14ac:dyDescent="0.2">
      <c r="A49">
        <v>111184</v>
      </c>
      <c r="B49" s="1">
        <f>DATE(1998,1,16)</f>
        <v>35811</v>
      </c>
      <c r="C49" t="s">
        <v>23</v>
      </c>
      <c r="D49" s="2">
        <v>11190</v>
      </c>
      <c r="E49">
        <v>20.0625</v>
      </c>
      <c r="F49" s="1">
        <f>DATE(1999,12,31)</f>
        <v>36525</v>
      </c>
      <c r="G49" s="2">
        <f>D49*0.4</f>
        <v>4476</v>
      </c>
      <c r="H49" s="1">
        <f>DATE(2000,5,1)</f>
        <v>36647</v>
      </c>
      <c r="I49" s="2">
        <v>4476</v>
      </c>
      <c r="J49">
        <v>73.472399999999993</v>
      </c>
      <c r="K49" s="2">
        <f>I49*(J49-E49)</f>
        <v>239062.71239999996</v>
      </c>
      <c r="L49" s="3">
        <f>D49-I54</f>
        <v>4476</v>
      </c>
    </row>
    <row r="50" spans="1:12" x14ac:dyDescent="0.2">
      <c r="D50" s="2"/>
      <c r="F50" s="1">
        <f>DATE(2000,12,31)</f>
        <v>36891</v>
      </c>
      <c r="G50" s="2">
        <f>D49*0.2</f>
        <v>2238</v>
      </c>
      <c r="H50" s="1">
        <f>DATE(2001,1,2)</f>
        <v>36893</v>
      </c>
      <c r="I50" s="2">
        <v>2238</v>
      </c>
      <c r="J50">
        <v>81.902900000000002</v>
      </c>
      <c r="K50" s="2">
        <f>I50*(J50-E49)</f>
        <v>138398.81520000001</v>
      </c>
    </row>
    <row r="51" spans="1:12" x14ac:dyDescent="0.2">
      <c r="D51" s="2"/>
      <c r="F51" s="1">
        <f>DATE(2001,12,31)</f>
        <v>37256</v>
      </c>
      <c r="G51" s="2">
        <f>D49*0.2</f>
        <v>2238</v>
      </c>
      <c r="H51" s="1"/>
      <c r="I51" s="2"/>
      <c r="K51" s="2"/>
    </row>
    <row r="52" spans="1:12" x14ac:dyDescent="0.2">
      <c r="D52" s="2"/>
      <c r="F52" s="1">
        <f>DATE(2002,12,31)</f>
        <v>37621</v>
      </c>
      <c r="G52" s="2">
        <v>2238</v>
      </c>
      <c r="H52" s="1"/>
      <c r="I52" s="2"/>
      <c r="K52" s="2"/>
    </row>
    <row r="53" spans="1:12" x14ac:dyDescent="0.2">
      <c r="D53" s="2"/>
      <c r="G53" s="2"/>
      <c r="I53" s="2"/>
      <c r="K53" s="2"/>
    </row>
    <row r="54" spans="1:12" x14ac:dyDescent="0.2">
      <c r="D54" s="2"/>
      <c r="F54" t="s">
        <v>15</v>
      </c>
      <c r="G54" s="2">
        <f>SUM(G49:G52)</f>
        <v>11190</v>
      </c>
      <c r="I54" s="2">
        <f>SUM(I49:I52)</f>
        <v>6714</v>
      </c>
      <c r="K54" s="4">
        <f>SUM(K49:K52)</f>
        <v>377461.52759999997</v>
      </c>
    </row>
    <row r="55" spans="1:12" x14ac:dyDescent="0.2">
      <c r="D55" s="2"/>
      <c r="G55" s="2"/>
      <c r="I55" s="2"/>
      <c r="K55" s="2"/>
    </row>
    <row r="56" spans="1:12" x14ac:dyDescent="0.2">
      <c r="D56" s="2"/>
      <c r="G56" s="2"/>
      <c r="I56" s="2"/>
      <c r="K56" s="2"/>
    </row>
    <row r="57" spans="1:12" x14ac:dyDescent="0.2">
      <c r="A57">
        <v>113356</v>
      </c>
      <c r="B57" s="1">
        <f>DATE(1998,8,10)</f>
        <v>36017</v>
      </c>
      <c r="C57" t="s">
        <v>24</v>
      </c>
      <c r="D57" s="2">
        <v>28300</v>
      </c>
      <c r="E57">
        <v>24.625</v>
      </c>
      <c r="F57" s="1">
        <f>DATE(1998,12,31)</f>
        <v>36160</v>
      </c>
      <c r="G57" s="2">
        <f>D$57*0.2</f>
        <v>5660</v>
      </c>
      <c r="H57" s="1">
        <f>DATE(1999,3,11)</f>
        <v>36230</v>
      </c>
      <c r="I57" s="2">
        <v>5660</v>
      </c>
      <c r="J57">
        <v>35.002299999999998</v>
      </c>
      <c r="K57" s="2">
        <f>I57*(J57-E57)</f>
        <v>58735.517999999989</v>
      </c>
      <c r="L57" s="3">
        <f>D57-I63</f>
        <v>11320</v>
      </c>
    </row>
    <row r="58" spans="1:12" x14ac:dyDescent="0.2">
      <c r="D58" s="2"/>
      <c r="F58" s="1">
        <f>DATE(1999,12,31)</f>
        <v>36525</v>
      </c>
      <c r="G58" s="2">
        <f>D$57*0.2</f>
        <v>5660</v>
      </c>
      <c r="H58" s="1">
        <f>DATE(2000,5,1)</f>
        <v>36647</v>
      </c>
      <c r="I58" s="2">
        <v>5660</v>
      </c>
      <c r="J58">
        <v>73.472399999999993</v>
      </c>
      <c r="K58" s="2">
        <f>I58*(J58-E57)</f>
        <v>276476.28399999999</v>
      </c>
    </row>
    <row r="59" spans="1:12" x14ac:dyDescent="0.2">
      <c r="D59" s="2"/>
      <c r="F59" s="1">
        <f>DATE(2000,12,31)</f>
        <v>36891</v>
      </c>
      <c r="G59" s="2">
        <f>D$57*0.2</f>
        <v>5660</v>
      </c>
      <c r="H59" s="1">
        <f>DATE(2001,1,2)</f>
        <v>36893</v>
      </c>
      <c r="I59" s="2">
        <v>5660</v>
      </c>
      <c r="J59">
        <v>81.902900000000002</v>
      </c>
      <c r="K59" s="2">
        <f>I59*(J59-E57)</f>
        <v>324192.91399999999</v>
      </c>
    </row>
    <row r="60" spans="1:12" x14ac:dyDescent="0.2">
      <c r="D60" s="2"/>
      <c r="F60" s="1">
        <f>DATE(2001,12,31)</f>
        <v>37256</v>
      </c>
      <c r="G60" s="2">
        <f>D$57*0.2</f>
        <v>5660</v>
      </c>
      <c r="I60" s="2"/>
      <c r="K60" s="2"/>
    </row>
    <row r="61" spans="1:12" x14ac:dyDescent="0.2">
      <c r="D61" s="2"/>
      <c r="F61" s="1">
        <f>DATE(2002,12,31)</f>
        <v>37621</v>
      </c>
      <c r="G61" s="2">
        <f>D$57*0.2</f>
        <v>5660</v>
      </c>
      <c r="I61" s="2"/>
      <c r="K61" s="2"/>
    </row>
    <row r="62" spans="1:12" x14ac:dyDescent="0.2">
      <c r="D62" s="2"/>
      <c r="G62" s="2"/>
      <c r="I62" s="2"/>
      <c r="K62" s="2"/>
    </row>
    <row r="63" spans="1:12" x14ac:dyDescent="0.2">
      <c r="D63" s="2"/>
      <c r="F63" t="s">
        <v>15</v>
      </c>
      <c r="G63" s="2">
        <f>SUM(G57:G61)</f>
        <v>28300</v>
      </c>
      <c r="I63" s="2">
        <f>SUM(I57:I61)</f>
        <v>16980</v>
      </c>
      <c r="K63" s="4">
        <f>SUM(K57:K61)</f>
        <v>659404.71600000001</v>
      </c>
    </row>
    <row r="64" spans="1:12" x14ac:dyDescent="0.2">
      <c r="D64" s="2"/>
      <c r="G64" s="2"/>
      <c r="I64" s="2"/>
      <c r="K64" s="2"/>
    </row>
    <row r="65" spans="1:12" x14ac:dyDescent="0.2">
      <c r="D65" s="2"/>
      <c r="G65" s="2"/>
      <c r="I65" s="2"/>
      <c r="K65" s="2"/>
    </row>
    <row r="66" spans="1:12" x14ac:dyDescent="0.2">
      <c r="A66">
        <v>113498</v>
      </c>
      <c r="B66" s="1">
        <f>DATE(1998,12,31)</f>
        <v>36160</v>
      </c>
      <c r="C66" t="s">
        <v>25</v>
      </c>
      <c r="D66" s="2">
        <v>56600</v>
      </c>
      <c r="E66">
        <v>28.531300000000002</v>
      </c>
      <c r="F66" s="1">
        <f>DATE(1999,12,31)</f>
        <v>36525</v>
      </c>
      <c r="G66" s="2">
        <f>D66*0.2</f>
        <v>11320</v>
      </c>
      <c r="H66" s="1">
        <f>DATE(2000,5,1)</f>
        <v>36647</v>
      </c>
      <c r="I66" s="2">
        <v>11320</v>
      </c>
      <c r="J66">
        <v>73.472399999999993</v>
      </c>
      <c r="K66" s="2">
        <f>I66*(J66-E66)</f>
        <v>508733.25199999992</v>
      </c>
      <c r="L66" s="3">
        <f>D66-I72</f>
        <v>33960</v>
      </c>
    </row>
    <row r="67" spans="1:12" x14ac:dyDescent="0.2">
      <c r="D67" s="2"/>
      <c r="F67" s="1">
        <f>DATE(2000,12,31)</f>
        <v>36891</v>
      </c>
      <c r="G67" s="2">
        <v>11320</v>
      </c>
      <c r="H67" s="1">
        <f>DATE(2001,1,2)</f>
        <v>36893</v>
      </c>
      <c r="I67" s="2">
        <v>11320</v>
      </c>
      <c r="J67">
        <v>81.902900000000002</v>
      </c>
      <c r="K67" s="2">
        <f>I67*(J67-E66)</f>
        <v>604166.51199999999</v>
      </c>
    </row>
    <row r="68" spans="1:12" x14ac:dyDescent="0.2">
      <c r="D68" s="2"/>
      <c r="F68" s="1">
        <f>DATE(2001,12,31)</f>
        <v>37256</v>
      </c>
      <c r="G68" s="2">
        <v>11320</v>
      </c>
      <c r="I68" s="2"/>
      <c r="K68" s="2"/>
    </row>
    <row r="69" spans="1:12" x14ac:dyDescent="0.2">
      <c r="D69" s="2"/>
      <c r="F69" s="1">
        <f>DATE(2002,12,31)</f>
        <v>37621</v>
      </c>
      <c r="G69" s="2">
        <v>11320</v>
      </c>
      <c r="I69" s="2"/>
      <c r="K69" s="2"/>
    </row>
    <row r="70" spans="1:12" x14ac:dyDescent="0.2">
      <c r="D70" s="2"/>
      <c r="F70" s="1">
        <f>DATE(2003,12,31)</f>
        <v>37986</v>
      </c>
      <c r="G70" s="2">
        <v>11320</v>
      </c>
      <c r="I70" s="2"/>
      <c r="K70" s="2"/>
    </row>
    <row r="71" spans="1:12" x14ac:dyDescent="0.2">
      <c r="D71" s="2"/>
      <c r="G71" s="2"/>
      <c r="I71" s="2"/>
      <c r="K71" s="2"/>
    </row>
    <row r="72" spans="1:12" x14ac:dyDescent="0.2">
      <c r="D72" s="2"/>
      <c r="F72" t="s">
        <v>15</v>
      </c>
      <c r="G72" s="2">
        <f>SUM(G66:G70)</f>
        <v>56600</v>
      </c>
      <c r="I72" s="2">
        <f>SUM(I66:I70)</f>
        <v>22640</v>
      </c>
      <c r="K72" s="4">
        <f>SUM(K66:K70)</f>
        <v>1112899.764</v>
      </c>
    </row>
    <row r="73" spans="1:12" x14ac:dyDescent="0.2">
      <c r="D73" s="2"/>
      <c r="G73" s="2"/>
      <c r="I73" s="2"/>
      <c r="K73" s="2"/>
    </row>
    <row r="74" spans="1:12" x14ac:dyDescent="0.2">
      <c r="D74" s="2"/>
      <c r="G74" s="2"/>
      <c r="I74" s="2"/>
      <c r="K74" s="2"/>
    </row>
    <row r="75" spans="1:12" x14ac:dyDescent="0.2">
      <c r="A75">
        <v>121948</v>
      </c>
      <c r="B75" s="1">
        <f>DATE(1999,12,31)</f>
        <v>36525</v>
      </c>
      <c r="C75" t="s">
        <v>30</v>
      </c>
      <c r="D75" s="2">
        <v>28575</v>
      </c>
      <c r="E75">
        <v>44.375</v>
      </c>
      <c r="F75" s="1">
        <f>DATE(2000,12,31)</f>
        <v>36891</v>
      </c>
      <c r="G75" s="2">
        <v>5715</v>
      </c>
      <c r="H75" s="1">
        <f>DATE(2001,1,2)</f>
        <v>36893</v>
      </c>
      <c r="I75" s="2">
        <v>5715</v>
      </c>
      <c r="J75">
        <v>81.902900000000002</v>
      </c>
      <c r="K75" s="2">
        <f>I75*(J75-E75)</f>
        <v>214471.94850000003</v>
      </c>
      <c r="L75" s="3">
        <f>D75-I81</f>
        <v>22860</v>
      </c>
    </row>
    <row r="76" spans="1:12" x14ac:dyDescent="0.2">
      <c r="D76" s="2"/>
      <c r="F76" s="1">
        <f>DATE(2001,12,31)</f>
        <v>37256</v>
      </c>
      <c r="G76" s="2">
        <v>5715</v>
      </c>
      <c r="I76" s="2"/>
      <c r="K76" s="2"/>
    </row>
    <row r="77" spans="1:12" x14ac:dyDescent="0.2">
      <c r="D77" s="2"/>
      <c r="F77" s="1">
        <f>DATE(2002,12,31)</f>
        <v>37621</v>
      </c>
      <c r="G77" s="2">
        <v>5715</v>
      </c>
      <c r="I77" s="2"/>
      <c r="K77" s="2"/>
    </row>
    <row r="78" spans="1:12" x14ac:dyDescent="0.2">
      <c r="D78" s="2"/>
      <c r="F78" s="1">
        <f>DATE(2003,12,31)</f>
        <v>37986</v>
      </c>
      <c r="G78" s="2">
        <v>5715</v>
      </c>
      <c r="I78" s="2"/>
      <c r="K78" s="2"/>
    </row>
    <row r="79" spans="1:12" x14ac:dyDescent="0.2">
      <c r="D79" s="2"/>
      <c r="F79" s="1">
        <f>DATE(2004,12,31)</f>
        <v>38352</v>
      </c>
      <c r="G79" s="2">
        <v>5715</v>
      </c>
      <c r="I79" s="2"/>
      <c r="K79" s="2"/>
    </row>
    <row r="80" spans="1:12" x14ac:dyDescent="0.2">
      <c r="D80" s="2"/>
      <c r="G80" s="2"/>
      <c r="I80" s="2"/>
      <c r="K80" s="2"/>
    </row>
    <row r="81" spans="1:12" x14ac:dyDescent="0.2">
      <c r="D81" s="2"/>
      <c r="F81" t="s">
        <v>15</v>
      </c>
      <c r="G81" s="2">
        <f>SUM(G75:G79)</f>
        <v>28575</v>
      </c>
      <c r="I81" s="2">
        <f>SUM(I75:I79)</f>
        <v>5715</v>
      </c>
      <c r="K81" s="4">
        <f>SUM(K75:K79)</f>
        <v>214471.94850000003</v>
      </c>
    </row>
    <row r="82" spans="1:12" x14ac:dyDescent="0.2">
      <c r="D82" s="2"/>
      <c r="G82" s="2"/>
      <c r="I82" s="2"/>
      <c r="K82" s="2"/>
    </row>
    <row r="83" spans="1:12" x14ac:dyDescent="0.2">
      <c r="D83" s="2"/>
      <c r="G83" s="2"/>
      <c r="I83" s="2"/>
      <c r="K83" s="2"/>
    </row>
    <row r="84" spans="1:12" x14ac:dyDescent="0.2">
      <c r="A84">
        <v>122000</v>
      </c>
      <c r="B84" s="1">
        <f>DATE(2000,1,10)</f>
        <v>36535</v>
      </c>
      <c r="C84" t="s">
        <v>26</v>
      </c>
      <c r="D84" s="2">
        <v>51285</v>
      </c>
      <c r="E84">
        <v>47.3125</v>
      </c>
      <c r="F84" s="1">
        <f>DATE(2000,1,10)</f>
        <v>36535</v>
      </c>
      <c r="G84" s="2">
        <f>D$84*0.25</f>
        <v>12821.25</v>
      </c>
      <c r="H84" s="1">
        <f>DATE(2000,5,1)</f>
        <v>36647</v>
      </c>
      <c r="I84" s="2">
        <v>12821</v>
      </c>
      <c r="J84">
        <v>73.472399999999993</v>
      </c>
      <c r="K84" s="2">
        <f>I84*(J84-E84)</f>
        <v>335396.07789999992</v>
      </c>
      <c r="L84" s="3">
        <f>D84-I89</f>
        <v>25643</v>
      </c>
    </row>
    <row r="85" spans="1:12" x14ac:dyDescent="0.2">
      <c r="D85" s="2"/>
      <c r="F85" s="1">
        <f>DATE(2001,1,10)</f>
        <v>36901</v>
      </c>
      <c r="G85" s="2">
        <f>D$84*0.25</f>
        <v>12821.25</v>
      </c>
      <c r="H85" s="1">
        <f>DATE(2001,3,5)</f>
        <v>36955</v>
      </c>
      <c r="I85" s="2">
        <v>12821</v>
      </c>
      <c r="J85">
        <v>70</v>
      </c>
      <c r="K85" s="2">
        <f>I85*(J85-E84)</f>
        <v>290876.4375</v>
      </c>
    </row>
    <row r="86" spans="1:12" x14ac:dyDescent="0.2">
      <c r="D86" s="2"/>
      <c r="F86" s="1">
        <f>DATE(2002,1,10)</f>
        <v>37266</v>
      </c>
      <c r="G86" s="2">
        <f>D$84*0.25</f>
        <v>12821.25</v>
      </c>
      <c r="I86" s="2"/>
      <c r="K86" s="2"/>
    </row>
    <row r="87" spans="1:12" x14ac:dyDescent="0.2">
      <c r="D87" s="2"/>
      <c r="F87" s="1">
        <f>DATE(2003,1,10)</f>
        <v>37631</v>
      </c>
      <c r="G87" s="2">
        <f>D$84*0.25</f>
        <v>12821.25</v>
      </c>
      <c r="I87" s="2"/>
      <c r="K87" s="2"/>
    </row>
    <row r="88" spans="1:12" x14ac:dyDescent="0.2">
      <c r="D88" s="2"/>
      <c r="G88" s="2"/>
      <c r="I88" s="2"/>
      <c r="K88" s="2"/>
    </row>
    <row r="89" spans="1:12" x14ac:dyDescent="0.2">
      <c r="D89" s="2"/>
      <c r="F89" t="s">
        <v>15</v>
      </c>
      <c r="G89" s="2">
        <f>SUM(G84:G87)</f>
        <v>51285</v>
      </c>
      <c r="I89" s="2">
        <f>SUM(I84:I87)</f>
        <v>25642</v>
      </c>
      <c r="K89" s="4">
        <f>SUM(K84:K87)</f>
        <v>626272.51539999992</v>
      </c>
    </row>
    <row r="90" spans="1:12" x14ac:dyDescent="0.2">
      <c r="D90" s="2"/>
      <c r="G90" s="2"/>
      <c r="I90" s="2"/>
      <c r="K90" s="2"/>
    </row>
    <row r="91" spans="1:12" x14ac:dyDescent="0.2">
      <c r="D91" s="2"/>
      <c r="G91" s="2"/>
      <c r="I91" s="2"/>
      <c r="K91" s="2"/>
    </row>
    <row r="92" spans="1:12" x14ac:dyDescent="0.2">
      <c r="A92">
        <v>124369</v>
      </c>
      <c r="B92" s="1">
        <f>DATE(2000,2,7)</f>
        <v>36563</v>
      </c>
      <c r="C92" t="s">
        <v>27</v>
      </c>
      <c r="D92" s="2">
        <v>50</v>
      </c>
      <c r="E92">
        <v>62.5</v>
      </c>
      <c r="F92" s="1">
        <f>DATE(2000,2,28)</f>
        <v>36584</v>
      </c>
      <c r="G92" s="2">
        <v>13</v>
      </c>
      <c r="H92" s="1">
        <f>DATE(2000,5,1)</f>
        <v>36647</v>
      </c>
      <c r="I92" s="2">
        <v>13</v>
      </c>
      <c r="J92">
        <v>73.472399999999993</v>
      </c>
      <c r="K92" s="2">
        <f>I92*(J92-E92)</f>
        <v>142.64119999999991</v>
      </c>
      <c r="L92" s="3">
        <f>D92-I97</f>
        <v>37</v>
      </c>
    </row>
    <row r="93" spans="1:12" x14ac:dyDescent="0.2">
      <c r="D93" s="2"/>
      <c r="F93" s="1">
        <f>DATE(2001,1,18)</f>
        <v>36909</v>
      </c>
      <c r="G93" s="2">
        <v>13</v>
      </c>
      <c r="I93" s="2"/>
      <c r="K93" s="2"/>
    </row>
    <row r="94" spans="1:12" x14ac:dyDescent="0.2">
      <c r="D94" s="2"/>
      <c r="F94" s="1">
        <f>DATE(2002,1,18)</f>
        <v>37274</v>
      </c>
      <c r="G94" s="2">
        <v>12</v>
      </c>
      <c r="I94" s="2"/>
      <c r="K94" s="2"/>
    </row>
    <row r="95" spans="1:12" x14ac:dyDescent="0.2">
      <c r="D95" s="2"/>
      <c r="F95" s="1">
        <f>DATE(2003,1,18)</f>
        <v>37639</v>
      </c>
      <c r="G95" s="2">
        <v>12</v>
      </c>
      <c r="I95" s="2"/>
      <c r="K95" s="2"/>
    </row>
    <row r="96" spans="1:12" x14ac:dyDescent="0.2">
      <c r="D96" s="2"/>
      <c r="G96" s="2"/>
      <c r="I96" s="2"/>
      <c r="K96" s="2"/>
    </row>
    <row r="97" spans="1:12" x14ac:dyDescent="0.2">
      <c r="D97" s="2"/>
      <c r="F97" t="s">
        <v>15</v>
      </c>
      <c r="G97" s="2">
        <f>SUM(G92:G95)</f>
        <v>50</v>
      </c>
      <c r="I97" s="2">
        <f>SUM(I92:I95)</f>
        <v>13</v>
      </c>
      <c r="K97" s="4">
        <f>SUM(K92:K95)</f>
        <v>142.64119999999991</v>
      </c>
    </row>
    <row r="98" spans="1:12" x14ac:dyDescent="0.2">
      <c r="D98" s="2"/>
      <c r="G98" s="2"/>
      <c r="I98" s="2"/>
      <c r="K98" s="2"/>
    </row>
    <row r="99" spans="1:12" x14ac:dyDescent="0.2">
      <c r="D99" s="2"/>
      <c r="G99" s="2"/>
      <c r="I99" s="2"/>
      <c r="K99" s="2"/>
    </row>
    <row r="100" spans="1:12" x14ac:dyDescent="0.2">
      <c r="A100">
        <v>150903</v>
      </c>
      <c r="B100" s="1">
        <f>DATE(2000,12,29)</f>
        <v>36889</v>
      </c>
      <c r="C100" t="s">
        <v>28</v>
      </c>
      <c r="D100" s="2">
        <v>2815</v>
      </c>
      <c r="E100">
        <v>83.125</v>
      </c>
      <c r="F100" s="1">
        <f>DATE(2001,6,30)</f>
        <v>37072</v>
      </c>
      <c r="G100" s="2">
        <v>563</v>
      </c>
      <c r="I100" s="2"/>
      <c r="K100" s="2"/>
      <c r="L100" s="3">
        <f>D100-I106</f>
        <v>2815</v>
      </c>
    </row>
    <row r="101" spans="1:12" x14ac:dyDescent="0.2">
      <c r="B101" s="1"/>
      <c r="D101" s="2"/>
      <c r="F101" s="1">
        <f>DATE(2002,6,30)</f>
        <v>37437</v>
      </c>
      <c r="G101" s="2">
        <v>563</v>
      </c>
      <c r="I101" s="2"/>
      <c r="K101" s="2"/>
      <c r="L101" s="3"/>
    </row>
    <row r="102" spans="1:12" x14ac:dyDescent="0.2">
      <c r="D102" s="2"/>
      <c r="F102" s="1">
        <f>DATE(2003,6,30)</f>
        <v>37802</v>
      </c>
      <c r="G102" s="2">
        <v>563</v>
      </c>
      <c r="I102" s="2"/>
      <c r="K102" s="2"/>
    </row>
    <row r="103" spans="1:12" x14ac:dyDescent="0.2">
      <c r="D103" s="2"/>
      <c r="F103" s="1">
        <f>DATE(2004,6,30)</f>
        <v>38168</v>
      </c>
      <c r="G103" s="2">
        <v>563</v>
      </c>
      <c r="I103" s="2"/>
      <c r="K103" s="2"/>
    </row>
    <row r="104" spans="1:12" x14ac:dyDescent="0.2">
      <c r="D104" s="2"/>
      <c r="F104" s="1">
        <f>DATE(2005,6,30)</f>
        <v>38533</v>
      </c>
      <c r="G104" s="2">
        <v>563</v>
      </c>
      <c r="I104" s="2"/>
      <c r="K104" s="2"/>
    </row>
    <row r="105" spans="1:12" x14ac:dyDescent="0.2">
      <c r="D105" s="2"/>
      <c r="F105" s="1"/>
      <c r="G105" s="2"/>
      <c r="I105" s="2"/>
      <c r="K105" s="2"/>
    </row>
    <row r="106" spans="1:12" x14ac:dyDescent="0.2">
      <c r="D106" s="2"/>
      <c r="F106" s="1" t="s">
        <v>15</v>
      </c>
      <c r="G106" s="2">
        <f>SUM(G100:G104)</f>
        <v>2815</v>
      </c>
      <c r="I106" s="2">
        <f>SUM(I100:I104)</f>
        <v>0</v>
      </c>
      <c r="K106" s="2">
        <f>SUM(K100:K104)</f>
        <v>0</v>
      </c>
    </row>
    <row r="107" spans="1:12" x14ac:dyDescent="0.2">
      <c r="D107" s="2"/>
      <c r="G107" s="2"/>
      <c r="I107" s="2"/>
      <c r="K107" s="2"/>
    </row>
    <row r="108" spans="1:12" x14ac:dyDescent="0.2">
      <c r="D108" s="2"/>
      <c r="G108" s="2"/>
      <c r="I108" s="2"/>
      <c r="K108" s="2"/>
    </row>
    <row r="109" spans="1:12" x14ac:dyDescent="0.2">
      <c r="A109">
        <v>150927</v>
      </c>
      <c r="B109" s="1">
        <f>DATE(2001,1,22)</f>
        <v>36913</v>
      </c>
      <c r="C109" t="s">
        <v>26</v>
      </c>
      <c r="D109" s="2">
        <v>21740</v>
      </c>
      <c r="E109">
        <v>75.0625</v>
      </c>
      <c r="F109" s="1">
        <f>DATE(2001,1,22)</f>
        <v>36913</v>
      </c>
      <c r="G109" s="2">
        <v>3261</v>
      </c>
      <c r="I109" s="2"/>
      <c r="K109" s="2"/>
      <c r="L109" s="3">
        <f>D109-I118</f>
        <v>21740</v>
      </c>
    </row>
    <row r="110" spans="1:12" x14ac:dyDescent="0.2">
      <c r="D110" s="2"/>
      <c r="F110" s="1">
        <f>DATE(2001,7,31)</f>
        <v>37103</v>
      </c>
      <c r="G110" s="2">
        <v>3261</v>
      </c>
      <c r="I110" s="2"/>
      <c r="K110" s="2"/>
    </row>
    <row r="111" spans="1:12" x14ac:dyDescent="0.2">
      <c r="D111" s="2"/>
      <c r="F111" s="1">
        <f>DATE(2002,1,31)</f>
        <v>37287</v>
      </c>
      <c r="G111" s="2">
        <v>3261</v>
      </c>
      <c r="I111" s="2"/>
      <c r="K111" s="2"/>
    </row>
    <row r="112" spans="1:12" x14ac:dyDescent="0.2">
      <c r="D112" s="2"/>
      <c r="F112" s="1">
        <f>DATE(2002,7,31)</f>
        <v>37468</v>
      </c>
      <c r="G112" s="2">
        <v>3261</v>
      </c>
      <c r="I112" s="2"/>
      <c r="K112" s="2"/>
    </row>
    <row r="113" spans="1:12" x14ac:dyDescent="0.2">
      <c r="D113" s="2"/>
      <c r="F113" s="1">
        <f>DATE(2003,1,31)</f>
        <v>37652</v>
      </c>
      <c r="G113" s="2">
        <v>3261</v>
      </c>
      <c r="I113" s="2"/>
      <c r="K113" s="2"/>
    </row>
    <row r="114" spans="1:12" x14ac:dyDescent="0.2">
      <c r="D114" s="2"/>
      <c r="F114" s="1">
        <f>DATE(2003,1,31)</f>
        <v>37652</v>
      </c>
      <c r="G114" s="2">
        <v>3261</v>
      </c>
      <c r="I114" s="2"/>
      <c r="K114" s="2"/>
    </row>
    <row r="115" spans="1:12" x14ac:dyDescent="0.2">
      <c r="D115" s="2"/>
      <c r="F115" s="1">
        <f>DATE(2004,1,31)</f>
        <v>38017</v>
      </c>
      <c r="G115" s="2">
        <v>2174</v>
      </c>
      <c r="I115" s="2"/>
      <c r="K115" s="2"/>
    </row>
    <row r="116" spans="1:12" x14ac:dyDescent="0.2">
      <c r="D116" s="2"/>
      <c r="F116" s="1"/>
      <c r="G116" s="2"/>
      <c r="I116" s="2"/>
      <c r="K116" s="2"/>
    </row>
    <row r="117" spans="1:12" x14ac:dyDescent="0.2">
      <c r="D117" s="2"/>
      <c r="G117" s="2"/>
      <c r="I117" s="2"/>
      <c r="K117" s="2"/>
    </row>
    <row r="118" spans="1:12" x14ac:dyDescent="0.2">
      <c r="D118" s="2"/>
      <c r="F118" t="s">
        <v>15</v>
      </c>
      <c r="G118" s="2">
        <f>SUM(G109:G116)</f>
        <v>21740</v>
      </c>
      <c r="I118" s="2">
        <f>SUM(I109:I116)</f>
        <v>0</v>
      </c>
      <c r="K118" s="2">
        <f>SUM(K109:K116)</f>
        <v>0</v>
      </c>
    </row>
    <row r="119" spans="1:12" x14ac:dyDescent="0.2">
      <c r="D119" s="2"/>
      <c r="G119" s="2"/>
      <c r="I119" s="2"/>
      <c r="K119" s="2"/>
    </row>
    <row r="120" spans="1:12" x14ac:dyDescent="0.2">
      <c r="D120" s="2"/>
      <c r="G120" s="2"/>
      <c r="I120" s="2"/>
      <c r="K120" s="2"/>
    </row>
    <row r="121" spans="1:12" x14ac:dyDescent="0.2">
      <c r="A121">
        <v>186880</v>
      </c>
      <c r="B121" s="1">
        <f>DATE(2001,10,1)</f>
        <v>37165</v>
      </c>
      <c r="C121" t="s">
        <v>30</v>
      </c>
      <c r="D121" s="2">
        <v>45455</v>
      </c>
      <c r="E121">
        <v>29.15</v>
      </c>
      <c r="F121" s="1">
        <f>DATE(2001,10,1)</f>
        <v>37165</v>
      </c>
      <c r="G121" s="2">
        <v>6818</v>
      </c>
      <c r="I121" s="2"/>
      <c r="K121" s="2"/>
      <c r="L121" s="3">
        <f>D121-I129</f>
        <v>45455</v>
      </c>
    </row>
    <row r="122" spans="1:12" x14ac:dyDescent="0.2">
      <c r="D122" s="2"/>
      <c r="F122" s="1">
        <f>DATE(2002,4,1)</f>
        <v>37347</v>
      </c>
      <c r="G122" s="2">
        <v>6818</v>
      </c>
      <c r="I122" s="2"/>
      <c r="K122" s="2"/>
    </row>
    <row r="123" spans="1:12" x14ac:dyDescent="0.2">
      <c r="D123" s="2"/>
      <c r="F123" s="1">
        <f>DATE(2002,10,1)</f>
        <v>37530</v>
      </c>
      <c r="G123" s="2">
        <v>6818</v>
      </c>
      <c r="I123" s="2"/>
      <c r="K123" s="2"/>
    </row>
    <row r="124" spans="1:12" x14ac:dyDescent="0.2">
      <c r="D124" s="2"/>
      <c r="F124" s="1">
        <f>DATE(2003,4,1)</f>
        <v>37712</v>
      </c>
      <c r="G124" s="2">
        <v>6819</v>
      </c>
      <c r="I124" s="2"/>
      <c r="K124" s="2"/>
    </row>
    <row r="125" spans="1:12" x14ac:dyDescent="0.2">
      <c r="D125" s="2"/>
      <c r="F125" s="1">
        <f>DATE(2003,10,1)</f>
        <v>37895</v>
      </c>
      <c r="G125" s="2">
        <v>6818</v>
      </c>
      <c r="I125" s="2"/>
      <c r="K125" s="2"/>
    </row>
    <row r="126" spans="1:12" x14ac:dyDescent="0.2">
      <c r="D126" s="2"/>
      <c r="F126" s="1">
        <f>DATE(2004,4,1)</f>
        <v>38078</v>
      </c>
      <c r="G126" s="2">
        <v>6818</v>
      </c>
      <c r="I126" s="2"/>
      <c r="K126" s="2"/>
    </row>
    <row r="127" spans="1:12" x14ac:dyDescent="0.2">
      <c r="D127" s="2"/>
      <c r="F127" s="1">
        <f>DATE(2004,10,1)</f>
        <v>38261</v>
      </c>
      <c r="G127" s="2">
        <v>4546</v>
      </c>
      <c r="I127" s="2"/>
      <c r="K127" s="2"/>
    </row>
    <row r="128" spans="1:12" x14ac:dyDescent="0.2">
      <c r="D128" s="2"/>
      <c r="F128" s="1"/>
      <c r="G128" s="2"/>
      <c r="I128" s="2"/>
      <c r="K128" s="2"/>
    </row>
    <row r="129" spans="1:14" x14ac:dyDescent="0.2">
      <c r="D129" s="2"/>
      <c r="F129" s="1" t="s">
        <v>15</v>
      </c>
      <c r="G129" s="2">
        <f>SUM(G121:G127)</f>
        <v>45455</v>
      </c>
      <c r="I129" s="2">
        <f>SUM(I121:I127)</f>
        <v>0</v>
      </c>
      <c r="K129" s="2">
        <f>SUM(K121:K127)</f>
        <v>0</v>
      </c>
    </row>
    <row r="130" spans="1:14" x14ac:dyDescent="0.2">
      <c r="D130" s="2"/>
      <c r="F130" s="1"/>
      <c r="G130" s="2"/>
      <c r="I130" s="2"/>
      <c r="K130" s="2"/>
    </row>
    <row r="131" spans="1:14" x14ac:dyDescent="0.2">
      <c r="D131" s="2"/>
      <c r="G131" s="2"/>
      <c r="I131" s="2"/>
      <c r="K131" s="2"/>
    </row>
    <row r="132" spans="1:14" x14ac:dyDescent="0.2">
      <c r="D132" s="2"/>
      <c r="G132" s="2"/>
      <c r="I132" s="2"/>
      <c r="K132" s="2"/>
    </row>
    <row r="133" spans="1:14" x14ac:dyDescent="0.2">
      <c r="A133" s="6" t="s">
        <v>31</v>
      </c>
      <c r="D133" s="2">
        <f>SUM(D5:D132)</f>
        <v>368724</v>
      </c>
      <c r="G133" s="2">
        <f>G11+G16+G24+G26+G34+G36+G39+G47+G54+G63+G72+G81+G89+G97+G106+G118+G129</f>
        <v>368724</v>
      </c>
      <c r="I133" s="2">
        <f>I11+I16+I24+I26+I34+I36+I39+I47+I54+I63+I72+I81+I89+I97+I106+I118+I129</f>
        <v>185138</v>
      </c>
      <c r="K133" s="4">
        <f>K11+K16+K24+K26+K34+K36+K39+K47+K54+K63+K72+K81+K89+K97+K106+K118+K129</f>
        <v>6317729.5857500006</v>
      </c>
      <c r="L133" s="3">
        <f>SUM(L5:L132)</f>
        <v>183586</v>
      </c>
      <c r="N133" s="3"/>
    </row>
    <row r="134" spans="1:14" x14ac:dyDescent="0.2">
      <c r="D134" s="2"/>
      <c r="G134" s="2"/>
      <c r="I134" s="2"/>
      <c r="K134" s="2"/>
    </row>
    <row r="135" spans="1:14" x14ac:dyDescent="0.2">
      <c r="G135" s="2"/>
      <c r="I135" s="2"/>
      <c r="K135" s="2"/>
    </row>
    <row r="136" spans="1:14" x14ac:dyDescent="0.2">
      <c r="A136" t="s">
        <v>32</v>
      </c>
      <c r="G136" s="2"/>
      <c r="I136" s="2"/>
      <c r="K136" s="2"/>
    </row>
    <row r="137" spans="1:14" x14ac:dyDescent="0.2">
      <c r="G137" s="2"/>
      <c r="I137" s="2"/>
      <c r="K137" s="2"/>
    </row>
    <row r="138" spans="1:14" x14ac:dyDescent="0.2">
      <c r="A138">
        <v>104941</v>
      </c>
      <c r="B138" s="1">
        <f>DATE(1997,1,2)</f>
        <v>35432</v>
      </c>
      <c r="D138" s="2">
        <v>1758</v>
      </c>
      <c r="E138">
        <v>0</v>
      </c>
      <c r="F138" s="1" t="s">
        <v>29</v>
      </c>
      <c r="G138" s="2">
        <v>1758</v>
      </c>
      <c r="H138" s="1">
        <f>DATE(2000,1,21)</f>
        <v>36546</v>
      </c>
      <c r="I138" s="2">
        <v>1758</v>
      </c>
      <c r="J138">
        <v>71.625</v>
      </c>
      <c r="K138" s="4">
        <f>I138*J138</f>
        <v>125916.75</v>
      </c>
      <c r="L138" s="3">
        <f>D138-I138</f>
        <v>0</v>
      </c>
    </row>
    <row r="139" spans="1:14" x14ac:dyDescent="0.2">
      <c r="G139" s="2"/>
      <c r="I139" s="2"/>
      <c r="K139" s="2"/>
    </row>
    <row r="140" spans="1:14" x14ac:dyDescent="0.2">
      <c r="A140">
        <v>106985</v>
      </c>
      <c r="B140" s="1">
        <f>DATE(1997,8,11)</f>
        <v>35653</v>
      </c>
      <c r="C140" t="s">
        <v>33</v>
      </c>
      <c r="D140" s="2">
        <v>28960</v>
      </c>
      <c r="E140">
        <v>0</v>
      </c>
      <c r="F140" s="1">
        <f>DATE(2000,1,24)</f>
        <v>36549</v>
      </c>
      <c r="G140" s="2">
        <v>17376</v>
      </c>
      <c r="H140" s="1">
        <f>DATE(2000,1,24)</f>
        <v>36549</v>
      </c>
      <c r="I140" s="2">
        <v>17376</v>
      </c>
      <c r="J140">
        <v>65</v>
      </c>
      <c r="K140" s="2">
        <f>I140*J140</f>
        <v>1129440</v>
      </c>
      <c r="L140" s="3">
        <f>D140-I143</f>
        <v>5792</v>
      </c>
    </row>
    <row r="141" spans="1:14" x14ac:dyDescent="0.2">
      <c r="F141" s="1">
        <f>DATE(2001,1,24)</f>
        <v>36915</v>
      </c>
      <c r="G141" s="2">
        <v>5792</v>
      </c>
      <c r="H141" s="1">
        <f>DATE(2001,1,24)</f>
        <v>36915</v>
      </c>
      <c r="I141" s="2">
        <v>5792</v>
      </c>
      <c r="J141">
        <v>79.75</v>
      </c>
      <c r="K141" s="2">
        <f>I141*J141</f>
        <v>461912</v>
      </c>
    </row>
    <row r="142" spans="1:14" x14ac:dyDescent="0.2">
      <c r="G142" s="2"/>
      <c r="I142" s="2"/>
      <c r="K142" s="2"/>
    </row>
    <row r="143" spans="1:14" x14ac:dyDescent="0.2">
      <c r="F143" t="s">
        <v>15</v>
      </c>
      <c r="G143" s="2">
        <f>SUM(G140:G141)</f>
        <v>23168</v>
      </c>
      <c r="I143" s="2">
        <f>SUM(I140:I141)</f>
        <v>23168</v>
      </c>
      <c r="K143" s="4">
        <f>SUM(K140:K141)</f>
        <v>1591352</v>
      </c>
    </row>
    <row r="144" spans="1:14" x14ac:dyDescent="0.2">
      <c r="G144" s="2"/>
      <c r="I144" s="2"/>
      <c r="K144" s="2"/>
    </row>
    <row r="145" spans="1:12" x14ac:dyDescent="0.2">
      <c r="A145">
        <v>111213</v>
      </c>
      <c r="B145" s="1">
        <f>DATE(1998,1,16)</f>
        <v>35811</v>
      </c>
      <c r="C145" t="s">
        <v>34</v>
      </c>
      <c r="D145" s="2">
        <v>4868</v>
      </c>
      <c r="E145">
        <v>0</v>
      </c>
      <c r="F145" s="1">
        <f>DATE(2001,1,24)</f>
        <v>36915</v>
      </c>
      <c r="G145" s="2">
        <v>2921</v>
      </c>
      <c r="H145" s="1">
        <f>DATE(2001,1,24)</f>
        <v>36915</v>
      </c>
      <c r="I145" s="2">
        <v>2921</v>
      </c>
      <c r="J145">
        <v>79.75</v>
      </c>
      <c r="K145" s="4">
        <f>I145*J145</f>
        <v>232949.75</v>
      </c>
      <c r="L145" s="3">
        <f>D145-I145</f>
        <v>1947</v>
      </c>
    </row>
    <row r="146" spans="1:12" x14ac:dyDescent="0.2">
      <c r="D146" s="2"/>
      <c r="I146" s="2"/>
      <c r="K146" s="2"/>
    </row>
    <row r="147" spans="1:12" x14ac:dyDescent="0.2">
      <c r="A147">
        <v>113357</v>
      </c>
      <c r="B147" s="1">
        <f>DATE(1998,8,10)</f>
        <v>36017</v>
      </c>
      <c r="C147" t="s">
        <v>30</v>
      </c>
      <c r="D147" s="2">
        <v>6000</v>
      </c>
      <c r="E147">
        <v>0</v>
      </c>
      <c r="F147" s="1">
        <f>DATE(1999,1,31)</f>
        <v>36191</v>
      </c>
      <c r="G147" s="2">
        <v>2000</v>
      </c>
      <c r="H147" s="1">
        <f>DATE(1999,1,31)</f>
        <v>36191</v>
      </c>
      <c r="I147" s="2">
        <v>2000</v>
      </c>
      <c r="J147">
        <v>33</v>
      </c>
      <c r="K147" s="2">
        <f>I147*J147</f>
        <v>66000</v>
      </c>
      <c r="L147" s="3">
        <f>D147-I151</f>
        <v>0</v>
      </c>
    </row>
    <row r="148" spans="1:12" x14ac:dyDescent="0.2">
      <c r="F148" s="1">
        <f>DATE(2000,1,31)</f>
        <v>36556</v>
      </c>
      <c r="G148" s="2">
        <v>2000</v>
      </c>
      <c r="H148" s="1">
        <f>DATE(2000,1,31)</f>
        <v>36556</v>
      </c>
      <c r="I148" s="2">
        <v>2000</v>
      </c>
      <c r="J148">
        <v>67.875</v>
      </c>
      <c r="K148" s="2">
        <f>I148*J148</f>
        <v>135750</v>
      </c>
    </row>
    <row r="149" spans="1:12" x14ac:dyDescent="0.2">
      <c r="F149" s="1">
        <f>DATE(2001,1,31)</f>
        <v>36922</v>
      </c>
      <c r="G149" s="2">
        <v>2000</v>
      </c>
      <c r="H149" s="1">
        <f>DATE(2001,1,31)</f>
        <v>36922</v>
      </c>
      <c r="I149" s="2">
        <v>2000</v>
      </c>
      <c r="J149">
        <v>80</v>
      </c>
      <c r="K149" s="2">
        <f>I149*J149</f>
        <v>160000</v>
      </c>
    </row>
    <row r="150" spans="1:12" x14ac:dyDescent="0.2">
      <c r="G150" s="2"/>
      <c r="I150" s="2"/>
      <c r="K150" s="2"/>
    </row>
    <row r="151" spans="1:12" x14ac:dyDescent="0.2">
      <c r="G151" s="2">
        <f>SUM(G147:G149)</f>
        <v>6000</v>
      </c>
      <c r="I151" s="2">
        <f>SUM(I147:I149)</f>
        <v>6000</v>
      </c>
      <c r="K151" s="4">
        <f>SUM(K147:K149)</f>
        <v>361750</v>
      </c>
    </row>
    <row r="152" spans="1:12" x14ac:dyDescent="0.2">
      <c r="G152" s="2"/>
      <c r="I152" s="2"/>
      <c r="K152" s="2"/>
    </row>
    <row r="153" spans="1:12" x14ac:dyDescent="0.2">
      <c r="A153">
        <v>122012</v>
      </c>
      <c r="B153" s="1">
        <f>DATE(2000,1,10)</f>
        <v>36535</v>
      </c>
      <c r="C153" t="s">
        <v>26</v>
      </c>
      <c r="D153" s="2">
        <v>10569</v>
      </c>
      <c r="E153">
        <v>0</v>
      </c>
      <c r="F153" s="1">
        <f>DATE(2001,1,11)</f>
        <v>36902</v>
      </c>
      <c r="G153" s="2">
        <v>10569</v>
      </c>
      <c r="H153" s="1">
        <f>DATE(2001,1,11)</f>
        <v>36902</v>
      </c>
      <c r="I153" s="2">
        <v>10569</v>
      </c>
      <c r="J153">
        <v>69.4375</v>
      </c>
      <c r="K153" s="4">
        <f>I153*J153</f>
        <v>733884.9375</v>
      </c>
    </row>
    <row r="154" spans="1:12" x14ac:dyDescent="0.2">
      <c r="G154" s="2"/>
      <c r="I154" s="2"/>
      <c r="K154" s="2"/>
    </row>
    <row r="155" spans="1:12" x14ac:dyDescent="0.2">
      <c r="A155">
        <v>150942</v>
      </c>
      <c r="B155" s="1">
        <f>DATE(2001,1,22)</f>
        <v>36913</v>
      </c>
      <c r="C155" t="s">
        <v>26</v>
      </c>
      <c r="D155" s="2">
        <v>6662</v>
      </c>
      <c r="E155">
        <v>0</v>
      </c>
      <c r="F155" s="1">
        <f>DATE(2005,1,22)</f>
        <v>38374</v>
      </c>
      <c r="G155" s="2">
        <v>6662</v>
      </c>
      <c r="I155" s="2"/>
      <c r="K155" s="2"/>
      <c r="L155" s="3">
        <f>D155-I155</f>
        <v>6662</v>
      </c>
    </row>
    <row r="156" spans="1:12" x14ac:dyDescent="0.2">
      <c r="G156" s="2"/>
      <c r="I156" s="2"/>
      <c r="K156" s="2"/>
    </row>
    <row r="157" spans="1:12" x14ac:dyDescent="0.2">
      <c r="A157">
        <v>186881</v>
      </c>
      <c r="B157" s="1">
        <f>DATE(2001,10,1)</f>
        <v>37165</v>
      </c>
      <c r="C157" t="s">
        <v>30</v>
      </c>
      <c r="D157" s="2">
        <v>17155</v>
      </c>
      <c r="E157">
        <v>0</v>
      </c>
      <c r="F157" s="1">
        <f>DATE(2002,10,1)</f>
        <v>37530</v>
      </c>
      <c r="G157" s="2">
        <v>5719</v>
      </c>
      <c r="I157" s="2"/>
      <c r="K157" s="2"/>
      <c r="L157" s="3">
        <f>D157-I161</f>
        <v>17155</v>
      </c>
    </row>
    <row r="158" spans="1:12" x14ac:dyDescent="0.2">
      <c r="F158" s="1">
        <f>DATE(2003,10,1)</f>
        <v>37895</v>
      </c>
      <c r="G158" s="2">
        <v>5718</v>
      </c>
      <c r="I158" s="2"/>
    </row>
    <row r="159" spans="1:12" x14ac:dyDescent="0.2">
      <c r="F159" s="1">
        <f>DATE(2004,10,1)</f>
        <v>38261</v>
      </c>
      <c r="G159" s="2">
        <v>5718</v>
      </c>
      <c r="I159" s="2"/>
    </row>
    <row r="160" spans="1:12" x14ac:dyDescent="0.2">
      <c r="G160" s="2"/>
      <c r="I160" s="2"/>
    </row>
    <row r="161" spans="1:12" x14ac:dyDescent="0.2">
      <c r="F161" t="s">
        <v>15</v>
      </c>
      <c r="G161" s="2">
        <f>SUM(G157:G159)</f>
        <v>17155</v>
      </c>
      <c r="I161" s="2">
        <f>SUM(I157:I159)</f>
        <v>0</v>
      </c>
      <c r="K161" s="2">
        <f>SUM(K157:K159)</f>
        <v>0</v>
      </c>
    </row>
    <row r="162" spans="1:12" x14ac:dyDescent="0.2">
      <c r="G162" s="2"/>
      <c r="I162" s="2"/>
    </row>
    <row r="163" spans="1:12" x14ac:dyDescent="0.2">
      <c r="G163" s="2"/>
      <c r="I163" s="2"/>
    </row>
    <row r="164" spans="1:12" x14ac:dyDescent="0.2">
      <c r="A164" t="s">
        <v>35</v>
      </c>
      <c r="D164" s="3">
        <f>SUM(D138:D163)</f>
        <v>75972</v>
      </c>
      <c r="G164" s="2">
        <f>+G138+G143+G145+G151+G153+G155+G161</f>
        <v>68233</v>
      </c>
      <c r="I164" s="2">
        <f>+I138+I143+I145+I151+I153+I155+I161</f>
        <v>44416</v>
      </c>
      <c r="K164" s="4">
        <f>+K138+K143+K145+K151+K153+K155+K161</f>
        <v>3045853.4375</v>
      </c>
      <c r="L164" s="2">
        <f>SUM(L138:L163)</f>
        <v>31556</v>
      </c>
    </row>
    <row r="165" spans="1:12" x14ac:dyDescent="0.2">
      <c r="G165" s="2"/>
      <c r="I165" s="2"/>
    </row>
    <row r="166" spans="1:12" x14ac:dyDescent="0.2">
      <c r="A166" t="s">
        <v>36</v>
      </c>
      <c r="D166" s="3">
        <f>D133+D164</f>
        <v>444696</v>
      </c>
      <c r="G166" s="2"/>
      <c r="I166" s="2"/>
      <c r="K166" s="5">
        <f>K133+K164</f>
        <v>9363583.0232500006</v>
      </c>
    </row>
    <row r="167" spans="1:12" x14ac:dyDescent="0.2">
      <c r="G167" s="2"/>
      <c r="I167" s="2"/>
    </row>
    <row r="168" spans="1:12" x14ac:dyDescent="0.2">
      <c r="G168" s="2"/>
      <c r="I168" s="2"/>
    </row>
    <row r="169" spans="1:12" x14ac:dyDescent="0.2">
      <c r="G169" s="2"/>
      <c r="I169" s="2"/>
    </row>
    <row r="170" spans="1:12" x14ac:dyDescent="0.2">
      <c r="G170" s="2"/>
      <c r="I170" s="2"/>
    </row>
    <row r="171" spans="1:12" x14ac:dyDescent="0.2">
      <c r="G171" s="2"/>
      <c r="I171" s="2"/>
    </row>
    <row r="172" spans="1:12" x14ac:dyDescent="0.2">
      <c r="G172" s="2"/>
      <c r="I172" s="2"/>
    </row>
    <row r="173" spans="1:12" x14ac:dyDescent="0.2">
      <c r="G173" s="2"/>
      <c r="I173" s="2"/>
    </row>
    <row r="174" spans="1:12" x14ac:dyDescent="0.2">
      <c r="G174" s="2"/>
      <c r="I174" s="2"/>
    </row>
    <row r="175" spans="1:12" x14ac:dyDescent="0.2">
      <c r="G175" s="2"/>
      <c r="I175" s="2"/>
    </row>
    <row r="176" spans="1:12" x14ac:dyDescent="0.2">
      <c r="G176" s="2"/>
      <c r="I176" s="2"/>
    </row>
    <row r="177" spans="7:9" x14ac:dyDescent="0.2">
      <c r="G177" s="2"/>
      <c r="I177" s="2"/>
    </row>
    <row r="178" spans="7:9" x14ac:dyDescent="0.2">
      <c r="G178" s="2"/>
      <c r="I178" s="2"/>
    </row>
    <row r="179" spans="7:9" x14ac:dyDescent="0.2">
      <c r="G179" s="2"/>
      <c r="I179" s="2"/>
    </row>
    <row r="180" spans="7:9" x14ac:dyDescent="0.2">
      <c r="G180" s="2"/>
      <c r="I180" s="2"/>
    </row>
    <row r="181" spans="7:9" x14ac:dyDescent="0.2">
      <c r="G181" s="2"/>
      <c r="I181" s="2"/>
    </row>
    <row r="182" spans="7:9" x14ac:dyDescent="0.2">
      <c r="G182" s="2"/>
      <c r="I182" s="2"/>
    </row>
    <row r="183" spans="7:9" x14ac:dyDescent="0.2">
      <c r="G183" s="2"/>
      <c r="I183" s="2"/>
    </row>
    <row r="184" spans="7:9" x14ac:dyDescent="0.2">
      <c r="G184" s="2"/>
      <c r="I184" s="2"/>
    </row>
    <row r="185" spans="7:9" x14ac:dyDescent="0.2">
      <c r="G185" s="2"/>
      <c r="I185" s="2"/>
    </row>
    <row r="186" spans="7:9" x14ac:dyDescent="0.2">
      <c r="G186" s="2"/>
    </row>
    <row r="187" spans="7:9" x14ac:dyDescent="0.2">
      <c r="G187" s="2"/>
    </row>
    <row r="188" spans="7:9" x14ac:dyDescent="0.2">
      <c r="G188" s="2"/>
    </row>
    <row r="189" spans="7:9" x14ac:dyDescent="0.2">
      <c r="G189" s="2"/>
    </row>
    <row r="190" spans="7:9" x14ac:dyDescent="0.2">
      <c r="G190" s="2"/>
    </row>
    <row r="191" spans="7:9" x14ac:dyDescent="0.2">
      <c r="G191" s="2"/>
    </row>
    <row r="192" spans="7:9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rbuy</dc:creator>
  <cp:lastModifiedBy>Felienne</cp:lastModifiedBy>
  <dcterms:created xsi:type="dcterms:W3CDTF">2001-11-27T01:03:55Z</dcterms:created>
  <dcterms:modified xsi:type="dcterms:W3CDTF">2014-09-04T08:30:37Z</dcterms:modified>
</cp:coreProperties>
</file>