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25" windowHeight="7935" activeTab="1"/>
  </bookViews>
  <sheets>
    <sheet name="Recon to Houston" sheetId="5" r:id="rId1"/>
    <sheet name="SUM-USD" sheetId="4" r:id="rId2"/>
    <sheet name="SUM - C$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2511" calcMode="manual"/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I4" i="5"/>
  <c r="J4" i="5"/>
  <c r="K4" i="5"/>
  <c r="L4" i="5"/>
  <c r="E8" i="5"/>
  <c r="F8" i="5"/>
  <c r="Q5" i="1"/>
  <c r="B7" i="1"/>
  <c r="Q7" i="1"/>
  <c r="V7" i="1" s="1"/>
  <c r="R7" i="1"/>
  <c r="S7" i="1"/>
  <c r="T7" i="1"/>
  <c r="T17" i="1" s="1"/>
  <c r="B8" i="1"/>
  <c r="B30" i="1" s="1"/>
  <c r="Q8" i="1"/>
  <c r="V8" i="1" s="1"/>
  <c r="R8" i="1"/>
  <c r="S8" i="1"/>
  <c r="T8" i="1"/>
  <c r="B9" i="1"/>
  <c r="Q9" i="1" s="1"/>
  <c r="R9" i="1"/>
  <c r="S9" i="1"/>
  <c r="T9" i="1"/>
  <c r="B10" i="1"/>
  <c r="Q10" i="1"/>
  <c r="R10" i="1"/>
  <c r="S10" i="1"/>
  <c r="T10" i="1"/>
  <c r="V10" i="1" s="1"/>
  <c r="Q11" i="1"/>
  <c r="R11" i="1"/>
  <c r="S11" i="1"/>
  <c r="T11" i="1"/>
  <c r="B12" i="1"/>
  <c r="Q12" i="1" s="1"/>
  <c r="R12" i="1"/>
  <c r="S12" i="1"/>
  <c r="T12" i="1"/>
  <c r="B13" i="1"/>
  <c r="Q13" i="1"/>
  <c r="R13" i="1"/>
  <c r="S13" i="1"/>
  <c r="T13" i="1"/>
  <c r="V13" i="1" s="1"/>
  <c r="B14" i="1"/>
  <c r="Q14" i="1"/>
  <c r="V14" i="1" s="1"/>
  <c r="R14" i="1"/>
  <c r="S14" i="1"/>
  <c r="T14" i="1"/>
  <c r="B15" i="1"/>
  <c r="Q15" i="1" s="1"/>
  <c r="R15" i="1"/>
  <c r="S15" i="1"/>
  <c r="T15" i="1"/>
  <c r="B16" i="1"/>
  <c r="Q16" i="1" s="1"/>
  <c r="R16" i="1"/>
  <c r="S16" i="1"/>
  <c r="T16" i="1"/>
  <c r="C17" i="1"/>
  <c r="D17" i="1"/>
  <c r="E17" i="1"/>
  <c r="F17" i="1"/>
  <c r="G17" i="1"/>
  <c r="H17" i="1"/>
  <c r="I17" i="1"/>
  <c r="I35" i="1" s="1"/>
  <c r="J17" i="1"/>
  <c r="K17" i="1"/>
  <c r="L17" i="1"/>
  <c r="M17" i="1"/>
  <c r="O17" i="1"/>
  <c r="B21" i="1"/>
  <c r="Q21" i="1" s="1"/>
  <c r="R21" i="1"/>
  <c r="S21" i="1"/>
  <c r="T21" i="1"/>
  <c r="C22" i="1"/>
  <c r="D22" i="1"/>
  <c r="E22" i="1"/>
  <c r="F22" i="1"/>
  <c r="G22" i="1"/>
  <c r="H22" i="1"/>
  <c r="I22" i="1"/>
  <c r="J22" i="1"/>
  <c r="K22" i="1"/>
  <c r="L22" i="1"/>
  <c r="T22" i="1" s="1"/>
  <c r="M22" i="1"/>
  <c r="S22" i="1"/>
  <c r="B23" i="1"/>
  <c r="Q23" i="1" s="1"/>
  <c r="R23" i="1"/>
  <c r="S23" i="1"/>
  <c r="T23" i="1"/>
  <c r="T25" i="1" s="1"/>
  <c r="C24" i="1"/>
  <c r="D24" i="1"/>
  <c r="E24" i="1"/>
  <c r="F24" i="1"/>
  <c r="G24" i="1"/>
  <c r="H24" i="1"/>
  <c r="I24" i="1"/>
  <c r="J24" i="1"/>
  <c r="K24" i="1"/>
  <c r="L24" i="1"/>
  <c r="M24" i="1"/>
  <c r="O24" i="1"/>
  <c r="U24" i="1"/>
  <c r="C25" i="1"/>
  <c r="D25" i="1"/>
  <c r="E25" i="1"/>
  <c r="F25" i="1"/>
  <c r="G25" i="1"/>
  <c r="H25" i="1"/>
  <c r="I25" i="1"/>
  <c r="J25" i="1"/>
  <c r="K25" i="1"/>
  <c r="L25" i="1"/>
  <c r="M25" i="1"/>
  <c r="O25" i="1"/>
  <c r="Q28" i="1"/>
  <c r="R29" i="1"/>
  <c r="S29" i="1"/>
  <c r="S34" i="1" s="1"/>
  <c r="T29" i="1"/>
  <c r="R30" i="1"/>
  <c r="S30" i="1"/>
  <c r="T30" i="1"/>
  <c r="T34" i="1" s="1"/>
  <c r="T35" i="1" s="1"/>
  <c r="B31" i="1"/>
  <c r="R31" i="1"/>
  <c r="S31" i="1"/>
  <c r="T31" i="1"/>
  <c r="R32" i="1"/>
  <c r="S32" i="1"/>
  <c r="T32" i="1"/>
  <c r="B33" i="1"/>
  <c r="O33" i="1" s="1"/>
  <c r="Q33" i="1"/>
  <c r="V33" i="1" s="1"/>
  <c r="R33" i="1"/>
  <c r="R34" i="1" s="1"/>
  <c r="S33" i="1"/>
  <c r="T33" i="1"/>
  <c r="C34" i="1"/>
  <c r="D34" i="1"/>
  <c r="E34" i="1"/>
  <c r="E35" i="1" s="1"/>
  <c r="F34" i="1"/>
  <c r="F35" i="1" s="1"/>
  <c r="G34" i="1"/>
  <c r="H34" i="1"/>
  <c r="H35" i="1" s="1"/>
  <c r="I34" i="1"/>
  <c r="J34" i="1"/>
  <c r="K34" i="1"/>
  <c r="L34" i="1"/>
  <c r="M34" i="1"/>
  <c r="M35" i="1" s="1"/>
  <c r="C35" i="1"/>
  <c r="D35" i="1"/>
  <c r="J35" i="1"/>
  <c r="K35" i="1"/>
  <c r="L35" i="1"/>
  <c r="B3" i="4"/>
  <c r="C3" i="4"/>
  <c r="D3" i="4"/>
  <c r="D14" i="4" s="1"/>
  <c r="E3" i="4"/>
  <c r="E9" i="4" s="1"/>
  <c r="F3" i="4"/>
  <c r="G3" i="4"/>
  <c r="G11" i="4" s="1"/>
  <c r="H3" i="4"/>
  <c r="H12" i="4" s="1"/>
  <c r="I3" i="4"/>
  <c r="I17" i="4" s="1"/>
  <c r="J3" i="4"/>
  <c r="J11" i="4" s="1"/>
  <c r="S11" i="4" s="1"/>
  <c r="K3" i="4"/>
  <c r="L3" i="4"/>
  <c r="L14" i="4" s="1"/>
  <c r="M3" i="4"/>
  <c r="M9" i="4" s="1"/>
  <c r="B6" i="4"/>
  <c r="C6" i="4"/>
  <c r="D6" i="4"/>
  <c r="E6" i="4"/>
  <c r="F6" i="4"/>
  <c r="G6" i="4"/>
  <c r="H6" i="4"/>
  <c r="I6" i="4"/>
  <c r="J6" i="4"/>
  <c r="K6" i="4"/>
  <c r="L6" i="4"/>
  <c r="M6" i="4"/>
  <c r="Q7" i="4"/>
  <c r="A9" i="4"/>
  <c r="F9" i="4"/>
  <c r="G9" i="4"/>
  <c r="H9" i="4"/>
  <c r="R9" i="4"/>
  <c r="A10" i="4"/>
  <c r="D10" i="4"/>
  <c r="E10" i="4"/>
  <c r="F10" i="4"/>
  <c r="I10" i="4"/>
  <c r="L10" i="4"/>
  <c r="M10" i="4"/>
  <c r="A11" i="4"/>
  <c r="B11" i="4"/>
  <c r="D11" i="4"/>
  <c r="F11" i="4"/>
  <c r="H11" i="4"/>
  <c r="I11" i="4"/>
  <c r="L11" i="4"/>
  <c r="A12" i="4"/>
  <c r="C12" i="4"/>
  <c r="D12" i="4"/>
  <c r="E12" i="4"/>
  <c r="F12" i="4"/>
  <c r="F19" i="4" s="1"/>
  <c r="G12" i="4"/>
  <c r="K12" i="4"/>
  <c r="T12" i="4" s="1"/>
  <c r="L12" i="4"/>
  <c r="M12" i="4"/>
  <c r="Q13" i="4"/>
  <c r="R13" i="4"/>
  <c r="S13" i="4"/>
  <c r="T13" i="4"/>
  <c r="E14" i="4"/>
  <c r="F14" i="4"/>
  <c r="H14" i="4"/>
  <c r="I14" i="4"/>
  <c r="M14" i="4"/>
  <c r="M26" i="4" s="1"/>
  <c r="C15" i="4"/>
  <c r="D15" i="4"/>
  <c r="E15" i="4"/>
  <c r="F15" i="4"/>
  <c r="G15" i="4"/>
  <c r="K15" i="4"/>
  <c r="T15" i="4" s="1"/>
  <c r="L15" i="4"/>
  <c r="M15" i="4"/>
  <c r="D16" i="4"/>
  <c r="E16" i="4"/>
  <c r="F16" i="4"/>
  <c r="G16" i="4"/>
  <c r="I16" i="4"/>
  <c r="L16" i="4"/>
  <c r="M16" i="4"/>
  <c r="C17" i="4"/>
  <c r="D17" i="4"/>
  <c r="E17" i="4"/>
  <c r="R17" i="4" s="1"/>
  <c r="F17" i="4"/>
  <c r="G17" i="4"/>
  <c r="H17" i="4"/>
  <c r="K17" i="4"/>
  <c r="T17" i="4" s="1"/>
  <c r="L17" i="4"/>
  <c r="M17" i="4"/>
  <c r="C18" i="4"/>
  <c r="E18" i="4"/>
  <c r="F18" i="4"/>
  <c r="G18" i="4"/>
  <c r="R18" i="4" s="1"/>
  <c r="H18" i="4"/>
  <c r="I18" i="4"/>
  <c r="K18" i="4"/>
  <c r="M18" i="4"/>
  <c r="C23" i="4"/>
  <c r="C7" i="5" s="1"/>
  <c r="D23" i="4"/>
  <c r="E23" i="4"/>
  <c r="F23" i="4"/>
  <c r="F24" i="4" s="1"/>
  <c r="G23" i="4"/>
  <c r="G7" i="5" s="1"/>
  <c r="I23" i="4"/>
  <c r="K23" i="4"/>
  <c r="L23" i="4"/>
  <c r="M23" i="4"/>
  <c r="C25" i="4"/>
  <c r="C8" i="5" s="1"/>
  <c r="E25" i="4"/>
  <c r="F25" i="4"/>
  <c r="G25" i="4"/>
  <c r="R25" i="4" s="1"/>
  <c r="H25" i="4"/>
  <c r="I25" i="4"/>
  <c r="K25" i="4"/>
  <c r="M25" i="4"/>
  <c r="M27" i="4" s="1"/>
  <c r="E26" i="4"/>
  <c r="F26" i="4"/>
  <c r="U26" i="4"/>
  <c r="C27" i="4"/>
  <c r="F27" i="4"/>
  <c r="K27" i="4"/>
  <c r="Q30" i="4"/>
  <c r="C31" i="4"/>
  <c r="C36" i="4" s="1"/>
  <c r="E31" i="4"/>
  <c r="E36" i="4" s="1"/>
  <c r="F31" i="4"/>
  <c r="G31" i="4"/>
  <c r="H31" i="4"/>
  <c r="I31" i="4"/>
  <c r="K31" i="4"/>
  <c r="M31" i="4"/>
  <c r="C32" i="4"/>
  <c r="D32" i="4"/>
  <c r="E32" i="4"/>
  <c r="F32" i="4"/>
  <c r="F36" i="4" s="1"/>
  <c r="G32" i="4"/>
  <c r="G36" i="4" s="1"/>
  <c r="H32" i="4"/>
  <c r="I32" i="4"/>
  <c r="K32" i="4"/>
  <c r="T32" i="4" s="1"/>
  <c r="L32" i="4"/>
  <c r="M32" i="4"/>
  <c r="C33" i="4"/>
  <c r="D33" i="4"/>
  <c r="E33" i="4"/>
  <c r="F33" i="4"/>
  <c r="G33" i="4"/>
  <c r="I33" i="4"/>
  <c r="I36" i="4" s="1"/>
  <c r="K33" i="4"/>
  <c r="L33" i="4"/>
  <c r="M33" i="4"/>
  <c r="C34" i="4"/>
  <c r="D34" i="4"/>
  <c r="E34" i="4"/>
  <c r="R34" i="4" s="1"/>
  <c r="F34" i="4"/>
  <c r="G34" i="4"/>
  <c r="H34" i="4"/>
  <c r="I34" i="4"/>
  <c r="K34" i="4"/>
  <c r="T34" i="4" s="1"/>
  <c r="L34" i="4"/>
  <c r="M34" i="4"/>
  <c r="M36" i="4" s="1"/>
  <c r="C35" i="4"/>
  <c r="E35" i="4"/>
  <c r="R35" i="4" s="1"/>
  <c r="F35" i="4"/>
  <c r="G35" i="4"/>
  <c r="H35" i="4"/>
  <c r="I35" i="4"/>
  <c r="K35" i="4"/>
  <c r="M35" i="4"/>
  <c r="V15" i="1" l="1"/>
  <c r="Q24" i="1"/>
  <c r="O30" i="1"/>
  <c r="Q30" i="1"/>
  <c r="V30" i="1" s="1"/>
  <c r="B32" i="4"/>
  <c r="I24" i="4"/>
  <c r="R27" i="4"/>
  <c r="F37" i="4"/>
  <c r="I27" i="4"/>
  <c r="I8" i="5"/>
  <c r="J17" i="4"/>
  <c r="S17" i="4" s="1"/>
  <c r="S17" i="1"/>
  <c r="S35" i="1" s="1"/>
  <c r="E27" i="4"/>
  <c r="D7" i="5"/>
  <c r="R17" i="1"/>
  <c r="R35" i="1" s="1"/>
  <c r="B16" i="4"/>
  <c r="B23" i="4"/>
  <c r="B18" i="4"/>
  <c r="B25" i="4"/>
  <c r="B35" i="4"/>
  <c r="B9" i="4"/>
  <c r="B12" i="4"/>
  <c r="B15" i="4"/>
  <c r="T33" i="4"/>
  <c r="H8" i="5"/>
  <c r="G8" i="5"/>
  <c r="G9" i="5" s="1"/>
  <c r="G12" i="5" s="1"/>
  <c r="G27" i="4"/>
  <c r="Q17" i="1"/>
  <c r="V16" i="1"/>
  <c r="I7" i="5"/>
  <c r="I9" i="5" s="1"/>
  <c r="I12" i="5" s="1"/>
  <c r="R33" i="4"/>
  <c r="C9" i="5"/>
  <c r="C12" i="5" s="1"/>
  <c r="R15" i="4"/>
  <c r="G35" i="1"/>
  <c r="V9" i="1"/>
  <c r="V17" i="1" s="1"/>
  <c r="R31" i="4"/>
  <c r="J10" i="4"/>
  <c r="J16" i="4"/>
  <c r="J23" i="4"/>
  <c r="J33" i="4"/>
  <c r="J14" i="4"/>
  <c r="S14" i="4" s="1"/>
  <c r="J18" i="4"/>
  <c r="S18" i="4" s="1"/>
  <c r="J25" i="4"/>
  <c r="J31" i="4"/>
  <c r="J35" i="4"/>
  <c r="S35" i="4" s="1"/>
  <c r="J9" i="4"/>
  <c r="J12" i="4"/>
  <c r="J15" i="4"/>
  <c r="J32" i="4"/>
  <c r="S32" i="4" s="1"/>
  <c r="B33" i="4"/>
  <c r="Q31" i="1"/>
  <c r="V31" i="1" s="1"/>
  <c r="V23" i="1"/>
  <c r="Q25" i="1"/>
  <c r="H27" i="4"/>
  <c r="R16" i="4"/>
  <c r="V21" i="1"/>
  <c r="J34" i="4"/>
  <c r="S34" i="4" s="1"/>
  <c r="E7" i="5"/>
  <c r="E9" i="5" s="1"/>
  <c r="E12" i="5" s="1"/>
  <c r="R23" i="4"/>
  <c r="R22" i="1"/>
  <c r="L24" i="4"/>
  <c r="L7" i="5"/>
  <c r="S25" i="1"/>
  <c r="S24" i="1"/>
  <c r="K36" i="4"/>
  <c r="B17" i="4"/>
  <c r="B10" i="4"/>
  <c r="R32" i="4"/>
  <c r="S25" i="4"/>
  <c r="R12" i="4"/>
  <c r="K8" i="5"/>
  <c r="T25" i="4"/>
  <c r="E24" i="4"/>
  <c r="T23" i="4"/>
  <c r="K7" i="5"/>
  <c r="K9" i="5" s="1"/>
  <c r="K12" i="5" s="1"/>
  <c r="K10" i="4"/>
  <c r="T10" i="4" s="1"/>
  <c r="K16" i="4"/>
  <c r="T16" i="4" s="1"/>
  <c r="K11" i="4"/>
  <c r="K14" i="4"/>
  <c r="T14" i="4" s="1"/>
  <c r="K9" i="4"/>
  <c r="C10" i="4"/>
  <c r="C16" i="4"/>
  <c r="C11" i="4"/>
  <c r="O11" i="4" s="1"/>
  <c r="C14" i="4"/>
  <c r="C9" i="4"/>
  <c r="O31" i="1"/>
  <c r="R24" i="1"/>
  <c r="R25" i="1"/>
  <c r="V12" i="1"/>
  <c r="B17" i="1"/>
  <c r="F7" i="5"/>
  <c r="F9" i="5" s="1"/>
  <c r="F12" i="5" s="1"/>
  <c r="L9" i="4"/>
  <c r="D9" i="4"/>
  <c r="L35" i="4"/>
  <c r="T35" i="4" s="1"/>
  <c r="D35" i="4"/>
  <c r="H33" i="4"/>
  <c r="S33" i="4" s="1"/>
  <c r="L31" i="4"/>
  <c r="L36" i="4" s="1"/>
  <c r="D31" i="4"/>
  <c r="L25" i="4"/>
  <c r="D25" i="4"/>
  <c r="H23" i="4"/>
  <c r="L18" i="4"/>
  <c r="T18" i="4" s="1"/>
  <c r="D18" i="4"/>
  <c r="H16" i="4"/>
  <c r="S16" i="4" s="1"/>
  <c r="M11" i="4"/>
  <c r="E11" i="4"/>
  <c r="H10" i="4"/>
  <c r="S10" i="4" s="1"/>
  <c r="T24" i="1"/>
  <c r="B24" i="1"/>
  <c r="B22" i="1"/>
  <c r="I15" i="4"/>
  <c r="I26" i="4" s="1"/>
  <c r="I12" i="4"/>
  <c r="S12" i="4" s="1"/>
  <c r="G10" i="4"/>
  <c r="G19" i="4" s="1"/>
  <c r="G37" i="4" s="1"/>
  <c r="H15" i="4"/>
  <c r="B14" i="4"/>
  <c r="I9" i="4"/>
  <c r="S9" i="4" s="1"/>
  <c r="B29" i="1"/>
  <c r="B32" i="1"/>
  <c r="B25" i="1"/>
  <c r="G14" i="4"/>
  <c r="R14" i="4" s="1"/>
  <c r="R26" i="4" s="1"/>
  <c r="O16" i="4" l="1"/>
  <c r="Q16" i="4"/>
  <c r="V16" i="4" s="1"/>
  <c r="G24" i="4"/>
  <c r="O15" i="4"/>
  <c r="Q15" i="4"/>
  <c r="V15" i="4" s="1"/>
  <c r="R24" i="4"/>
  <c r="O12" i="4"/>
  <c r="Q12" i="4"/>
  <c r="V12" i="4" s="1"/>
  <c r="J7" i="5"/>
  <c r="J24" i="4"/>
  <c r="O9" i="4"/>
  <c r="B19" i="4"/>
  <c r="Q9" i="4"/>
  <c r="O10" i="4"/>
  <c r="Q10" i="4"/>
  <c r="T9" i="4"/>
  <c r="K19" i="4"/>
  <c r="K24" i="4"/>
  <c r="T26" i="4"/>
  <c r="T27" i="4"/>
  <c r="H24" i="4"/>
  <c r="S24" i="4" s="1"/>
  <c r="H7" i="5"/>
  <c r="H9" i="5" s="1"/>
  <c r="H12" i="5" s="1"/>
  <c r="S23" i="4"/>
  <c r="D19" i="4"/>
  <c r="T11" i="4"/>
  <c r="J19" i="4"/>
  <c r="O35" i="4"/>
  <c r="Q35" i="4"/>
  <c r="V35" i="4" s="1"/>
  <c r="H19" i="4"/>
  <c r="G26" i="4"/>
  <c r="O32" i="1"/>
  <c r="B34" i="4"/>
  <c r="Q32" i="1"/>
  <c r="V32" i="1" s="1"/>
  <c r="L19" i="4"/>
  <c r="L37" i="4" s="1"/>
  <c r="H36" i="4"/>
  <c r="O25" i="4"/>
  <c r="B26" i="4"/>
  <c r="B8" i="5"/>
  <c r="B27" i="4"/>
  <c r="Q25" i="4"/>
  <c r="I19" i="4"/>
  <c r="I37" i="4" s="1"/>
  <c r="O14" i="4"/>
  <c r="Q14" i="4"/>
  <c r="V14" i="4" s="1"/>
  <c r="L26" i="4"/>
  <c r="L8" i="5"/>
  <c r="L27" i="4"/>
  <c r="T31" i="4"/>
  <c r="T36" i="4" s="1"/>
  <c r="V24" i="1"/>
  <c r="V25" i="1"/>
  <c r="J36" i="4"/>
  <c r="J37" i="4" s="1"/>
  <c r="S31" i="4"/>
  <c r="S36" i="4" s="1"/>
  <c r="Q11" i="4"/>
  <c r="V11" i="4" s="1"/>
  <c r="O18" i="4"/>
  <c r="Q18" i="4"/>
  <c r="V18" i="4" s="1"/>
  <c r="K26" i="4"/>
  <c r="M19" i="4"/>
  <c r="M37" i="4" s="1"/>
  <c r="M24" i="4"/>
  <c r="O33" i="4"/>
  <c r="Q33" i="4"/>
  <c r="V33" i="4" s="1"/>
  <c r="O17" i="4"/>
  <c r="Q17" i="4"/>
  <c r="V17" i="4" s="1"/>
  <c r="Q32" i="4"/>
  <c r="V32" i="4" s="1"/>
  <c r="O32" i="4"/>
  <c r="K37" i="4"/>
  <c r="Q22" i="1"/>
  <c r="O22" i="1"/>
  <c r="V22" i="1" s="1"/>
  <c r="B31" i="4"/>
  <c r="O29" i="1"/>
  <c r="O34" i="1" s="1"/>
  <c r="O36" i="1" s="1"/>
  <c r="Q29" i="1"/>
  <c r="B34" i="1"/>
  <c r="B35" i="1" s="1"/>
  <c r="D26" i="4"/>
  <c r="D8" i="5"/>
  <c r="D9" i="5" s="1"/>
  <c r="D12" i="5" s="1"/>
  <c r="D27" i="4"/>
  <c r="C19" i="4"/>
  <c r="C37" i="4" s="1"/>
  <c r="C24" i="4"/>
  <c r="C26" i="4"/>
  <c r="S27" i="4"/>
  <c r="S15" i="4"/>
  <c r="S19" i="4" s="1"/>
  <c r="R11" i="4"/>
  <c r="E19" i="4"/>
  <c r="E37" i="4" s="1"/>
  <c r="D36" i="4"/>
  <c r="D37" i="4" s="1"/>
  <c r="R10" i="4"/>
  <c r="R19" i="4" s="1"/>
  <c r="L9" i="5"/>
  <c r="L12" i="5" s="1"/>
  <c r="J26" i="4"/>
  <c r="J8" i="5"/>
  <c r="J27" i="4"/>
  <c r="R36" i="4"/>
  <c r="H26" i="4"/>
  <c r="O23" i="4"/>
  <c r="B24" i="4"/>
  <c r="B7" i="5"/>
  <c r="Q23" i="4"/>
  <c r="V23" i="4" s="1"/>
  <c r="D24" i="4"/>
  <c r="V24" i="4" l="1"/>
  <c r="V9" i="4"/>
  <c r="Q19" i="4"/>
  <c r="H37" i="4"/>
  <c r="O19" i="4"/>
  <c r="O4" i="4" s="1"/>
  <c r="O24" i="4"/>
  <c r="Q24" i="4"/>
  <c r="S37" i="4"/>
  <c r="Q27" i="4"/>
  <c r="V25" i="4"/>
  <c r="Q26" i="4"/>
  <c r="O34" i="4"/>
  <c r="Q34" i="4"/>
  <c r="V34" i="4" s="1"/>
  <c r="T19" i="4"/>
  <c r="J9" i="5"/>
  <c r="J12" i="5" s="1"/>
  <c r="O31" i="4"/>
  <c r="O36" i="4" s="1"/>
  <c r="B36" i="4"/>
  <c r="B37" i="4" s="1"/>
  <c r="Q31" i="4"/>
  <c r="O27" i="4"/>
  <c r="R37" i="4"/>
  <c r="S26" i="4"/>
  <c r="T37" i="4"/>
  <c r="N7" i="5"/>
  <c r="N9" i="5" s="1"/>
  <c r="N12" i="5" s="1"/>
  <c r="B9" i="5"/>
  <c r="B12" i="5" s="1"/>
  <c r="T24" i="4"/>
  <c r="Q34" i="1"/>
  <c r="Q35" i="1" s="1"/>
  <c r="V29" i="1"/>
  <c r="V34" i="1" s="1"/>
  <c r="N8" i="5"/>
  <c r="V10" i="4"/>
  <c r="O26" i="4" l="1"/>
  <c r="Q36" i="4"/>
  <c r="Q37" i="4" s="1"/>
  <c r="V31" i="4"/>
  <c r="V36" i="4" s="1"/>
  <c r="V26" i="4"/>
  <c r="V27" i="4"/>
  <c r="V19" i="4"/>
</calcChain>
</file>

<file path=xl/sharedStrings.xml><?xml version="1.0" encoding="utf-8"?>
<sst xmlns="http://schemas.openxmlformats.org/spreadsheetml/2006/main" count="77" uniqueCount="36">
  <si>
    <t>Alberta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</si>
  <si>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</si>
  <si>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</si>
  <si>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</si>
  <si>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</si>
  <si>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</si>
  <si>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</si>
  <si>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</si>
  <si>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</si>
  <si>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</si>
  <si>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</si>
  <si>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Options - GD</t>
  </si>
  <si>
    <t>Alberta Term - GD</t>
  </si>
  <si>
    <t>Total Cash</t>
  </si>
  <si>
    <t>TOTAL CANADA</t>
  </si>
  <si>
    <t>BY BOOK:</t>
  </si>
  <si>
    <t>BY RISK TYPE:</t>
  </si>
  <si>
    <t>SUMMARY OF CANADA'S TRADING INCOME BY DESK - IN C$</t>
  </si>
  <si>
    <t>Q1</t>
  </si>
  <si>
    <t>Q2</t>
  </si>
  <si>
    <t>Q3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</si>
  <si>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</si>
  <si>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</si>
  <si>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</si>
  <si>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</si>
  <si>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</si>
  <si>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</si>
  <si>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West Term - </t>
    </r>
    <r>
      <rPr>
        <b/>
        <sz val="10"/>
        <rFont val="Arial"/>
        <family val="2"/>
      </rPr>
      <t>Mckay</t>
    </r>
  </si>
  <si>
    <t>FX - AVG OF MNTH</t>
  </si>
  <si>
    <t>SUMMARY OF CANADA'S TRADING INCOME BY TRADER - IN US$</t>
  </si>
  <si>
    <t>Difference</t>
  </si>
  <si>
    <t>RECONCILATION TO HOUSTON REPORTED P&amp;L</t>
  </si>
  <si>
    <t>Pipe Book - Term</t>
  </si>
  <si>
    <r>
      <t>BC Term -</t>
    </r>
    <r>
      <rPr>
        <b/>
        <sz val="10"/>
        <rFont val="Arial"/>
        <family val="2"/>
      </rPr>
      <t xml:space="preserve"> Lambie</t>
    </r>
  </si>
  <si>
    <t>As reported by Houston</t>
  </si>
  <si>
    <t>BY AREA - TRADER: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</si>
</sst>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mmm\-yyyy"/>
    <numFmt numFmtId="167" formatCode="0.0000"/>
  </numFmts>
  <fonts count="9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17" fontId="7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41" fontId="3" fillId="2" borderId="0" xfId="0" applyNumberFormat="1" applyFont="1" applyFill="1" applyBorder="1"/>
    <xf numFmtId="41" fontId="3" fillId="5" borderId="0" xfId="0" applyNumberFormat="1" applyFont="1" applyFill="1" applyBorder="1"/>
    <xf numFmtId="41" fontId="3" fillId="6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2" xfId="0" applyFont="1" applyBorder="1"/>
    <xf numFmtId="167" fontId="8" fillId="0" borderId="13" xfId="0" applyNumberFormat="1" applyFont="1" applyBorder="1"/>
    <xf numFmtId="167" fontId="8" fillId="0" borderId="14" xfId="0" applyNumberFormat="1" applyFont="1" applyBorder="1"/>
    <xf numFmtId="41" fontId="3" fillId="0" borderId="0" xfId="0" applyNumberFormat="1" applyFont="1" applyFill="1" applyBorder="1"/>
    <xf numFmtId="41" fontId="3" fillId="7" borderId="0" xfId="0" applyNumberFormat="1" applyFont="1" applyFill="1" applyBorder="1"/>
    <xf numFmtId="41" fontId="3" fillId="0" borderId="15" xfId="0" applyNumberFormat="1" applyFont="1" applyFill="1" applyBorder="1"/>
    <xf numFmtId="0" fontId="5" fillId="0" borderId="0" xfId="0" applyFont="1"/>
    <xf numFmtId="43" fontId="8" fillId="6" borderId="16" xfId="0" applyNumberFormat="1" applyFont="1" applyFill="1" applyBorder="1" applyAlignment="1"/>
    <xf numFmtId="5" fontId="3" fillId="0" borderId="0" xfId="0" applyNumberFormat="1" applyFont="1" applyFill="1" applyBorder="1"/>
    <xf numFmtId="41" fontId="3" fillId="0" borderId="7" xfId="0" applyNumberFormat="1" applyFont="1" applyFill="1" applyBorder="1"/>
    <xf numFmtId="41" fontId="3" fillId="0" borderId="0" xfId="0" applyNumberFormat="1" applyFont="1" applyFill="1"/>
    <xf numFmtId="41" fontId="3" fillId="0" borderId="2" xfId="0" applyNumberFormat="1" applyFont="1" applyFill="1" applyBorder="1"/>
    <xf numFmtId="41" fontId="4" fillId="0" borderId="0" xfId="0" applyNumberFormat="1" applyFont="1" applyFill="1" applyBorder="1"/>
    <xf numFmtId="41" fontId="0" fillId="0" borderId="2" xfId="0" applyNumberFormat="1" applyFill="1" applyBorder="1"/>
    <xf numFmtId="5" fontId="3" fillId="4" borderId="0" xfId="0" applyNumberFormat="1" applyFont="1" applyFill="1" applyBorder="1"/>
    <xf numFmtId="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1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2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1/Jan%2001/01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1_rolls/CAN$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1.5429099999999993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1.5237310344827593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Origination"/>
      <sheetName val="Cand P&amp;L"/>
      <sheetName val="West Recon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8">
          <cell r="I18">
            <v>2563905.4379205047</v>
          </cell>
        </row>
        <row r="31">
          <cell r="P31">
            <v>4248324.0684209801</v>
          </cell>
        </row>
        <row r="38">
          <cell r="I38">
            <v>4976317.0999999996</v>
          </cell>
        </row>
        <row r="50">
          <cell r="I50">
            <v>-1226698.5999999996</v>
          </cell>
        </row>
        <row r="54">
          <cell r="I54">
            <v>367</v>
          </cell>
        </row>
        <row r="56">
          <cell r="I56">
            <v>72660</v>
          </cell>
        </row>
        <row r="63">
          <cell r="I63">
            <v>6386550.9379205052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ipeBook"/>
      <sheetName val="PipeBookIndex"/>
      <sheetName val="PriceBC"/>
      <sheetName val="BC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810557.72000000067</v>
          </cell>
          <cell r="M56">
            <v>3582468</v>
          </cell>
          <cell r="S56">
            <v>5706304</v>
          </cell>
          <cell r="AA56">
            <v>-440421</v>
          </cell>
          <cell r="AC56">
            <v>9658908.7199999988</v>
          </cell>
          <cell r="AE56">
            <v>6425091.5382533865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1.5033106785317021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15" sqref="A15"/>
    </sheetView>
  </sheetViews>
  <sheetFormatPr defaultRowHeight="12.75" x14ac:dyDescent="0.2"/>
  <cols>
    <col min="1" max="1" width="21.7109375" customWidth="1"/>
    <col min="2" max="2" width="9.5703125" bestFit="1" customWidth="1"/>
    <col min="6" max="6" width="10.42578125" customWidth="1"/>
    <col min="7" max="7" width="10.140625" customWidth="1"/>
    <col min="8" max="8" width="10.28515625" customWidth="1"/>
    <col min="10" max="10" width="10" customWidth="1"/>
    <col min="11" max="11" width="10.140625" customWidth="1"/>
    <col min="12" max="12" width="10.5703125" customWidth="1"/>
    <col min="13" max="13" width="2.140625" customWidth="1"/>
    <col min="14" max="14" width="11.28515625" customWidth="1"/>
    <col min="15" max="15" width="11.7109375" customWidth="1"/>
  </cols>
  <sheetData>
    <row r="1" spans="1:15" ht="15.75" x14ac:dyDescent="0.25">
      <c r="A1" s="2" t="s">
        <v>31</v>
      </c>
      <c r="M1" s="6"/>
    </row>
    <row r="2" spans="1:15" ht="16.5" thickBot="1" x14ac:dyDescent="0.3">
      <c r="A2" s="2"/>
      <c r="M2" s="6"/>
    </row>
    <row r="3" spans="1:15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8"/>
      <c r="N3" s="40"/>
    </row>
    <row r="4" spans="1:15" ht="13.5" thickBot="1" x14ac:dyDescent="0.25">
      <c r="B4" s="60">
        <f>+'SUM - C$'!B4</f>
        <v>36892</v>
      </c>
      <c r="C4" s="54">
        <f>+'SUM - C$'!C4</f>
        <v>36923</v>
      </c>
      <c r="D4" s="54">
        <f>+'SUM - C$'!D4</f>
        <v>36951</v>
      </c>
      <c r="E4" s="54">
        <f>+'SUM - C$'!E4</f>
        <v>36982</v>
      </c>
      <c r="F4" s="54">
        <f>+'SUM - C$'!F4</f>
        <v>37012</v>
      </c>
      <c r="G4" s="54">
        <f>+'SUM - C$'!G4</f>
        <v>37043</v>
      </c>
      <c r="H4" s="54">
        <f>+'SUM - C$'!H4</f>
        <v>37073</v>
      </c>
      <c r="I4" s="54">
        <f>+'SUM - C$'!I4</f>
        <v>37104</v>
      </c>
      <c r="J4" s="54">
        <f>+'SUM - C$'!J4</f>
        <v>37135</v>
      </c>
      <c r="K4" s="54">
        <f>+'SUM - C$'!K4</f>
        <v>37165</v>
      </c>
      <c r="L4" s="54">
        <f>+'SUM - C$'!L4</f>
        <v>37196</v>
      </c>
      <c r="M4" s="43"/>
      <c r="N4" s="44" t="s">
        <v>5</v>
      </c>
    </row>
    <row r="5" spans="1:15" ht="13.5" thickBo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8"/>
      <c r="N5" s="3"/>
    </row>
    <row r="6" spans="1:15" x14ac:dyDescent="0.2">
      <c r="A6" s="10" t="s">
        <v>16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0"/>
    </row>
    <row r="7" spans="1:15" x14ac:dyDescent="0.2">
      <c r="A7" s="17" t="s">
        <v>2</v>
      </c>
      <c r="B7" s="64">
        <f>+'SUM-USD'!B23</f>
        <v>6425091.5382533884</v>
      </c>
      <c r="C7" s="64">
        <f>+'SUM-USD'!C23</f>
        <v>0</v>
      </c>
      <c r="D7" s="64">
        <f>+'SUM-USD'!D23</f>
        <v>0</v>
      </c>
      <c r="E7" s="64">
        <f>+'SUM-USD'!E23</f>
        <v>0</v>
      </c>
      <c r="F7" s="64">
        <f>+'SUM-USD'!F23</f>
        <v>0</v>
      </c>
      <c r="G7" s="64">
        <f>+'SUM-USD'!G23</f>
        <v>0</v>
      </c>
      <c r="H7" s="64">
        <f>+'SUM-USD'!H23</f>
        <v>0</v>
      </c>
      <c r="I7" s="64">
        <f>+'SUM-USD'!I23</f>
        <v>0</v>
      </c>
      <c r="J7" s="64">
        <f>+'SUM-USD'!J23</f>
        <v>0</v>
      </c>
      <c r="K7" s="64">
        <f>+'SUM-USD'!K23</f>
        <v>0</v>
      </c>
      <c r="L7" s="64">
        <f>+'SUM-USD'!L23</f>
        <v>0</v>
      </c>
      <c r="M7" s="8"/>
      <c r="N7" s="18">
        <f>SUM(B7:M7)</f>
        <v>6425091.5382533884</v>
      </c>
    </row>
    <row r="8" spans="1:15" x14ac:dyDescent="0.2">
      <c r="A8" s="17" t="s">
        <v>13</v>
      </c>
      <c r="B8" s="64">
        <f>+'SUM-USD'!B25</f>
        <v>4248324.0684209801</v>
      </c>
      <c r="C8" s="64">
        <f>+'SUM-USD'!C25</f>
        <v>0</v>
      </c>
      <c r="D8" s="64">
        <f>+'SUM-USD'!D25</f>
        <v>0</v>
      </c>
      <c r="E8" s="64">
        <f>+'SUM-USD'!E25</f>
        <v>0</v>
      </c>
      <c r="F8" s="64">
        <f>+'SUM-USD'!F25</f>
        <v>0</v>
      </c>
      <c r="G8" s="64">
        <f>+'SUM-USD'!G25</f>
        <v>0</v>
      </c>
      <c r="H8" s="64">
        <f>+'SUM-USD'!H25</f>
        <v>0</v>
      </c>
      <c r="I8" s="64">
        <f>+'SUM-USD'!I25</f>
        <v>0</v>
      </c>
      <c r="J8" s="64">
        <f>+'SUM-USD'!J25</f>
        <v>0</v>
      </c>
      <c r="K8" s="64">
        <f>+'SUM-USD'!K25</f>
        <v>0</v>
      </c>
      <c r="L8" s="64">
        <f>+'SUM-USD'!L25</f>
        <v>0</v>
      </c>
      <c r="M8" s="8"/>
      <c r="N8" s="18">
        <f>SUM(B8:M8)</f>
        <v>4248324.0684209801</v>
      </c>
    </row>
    <row r="9" spans="1:15" ht="13.5" thickBot="1" x14ac:dyDescent="0.25">
      <c r="A9" s="20" t="s">
        <v>14</v>
      </c>
      <c r="B9" s="21">
        <f>SUM(B7:B8)</f>
        <v>10673415.606674369</v>
      </c>
      <c r="C9" s="21">
        <f t="shared" ref="C9:L9" si="0">SUM(C7:C8)</f>
        <v>0</v>
      </c>
      <c r="D9" s="21">
        <f t="shared" si="0"/>
        <v>0</v>
      </c>
      <c r="E9" s="21">
        <f t="shared" si="0"/>
        <v>0</v>
      </c>
      <c r="F9" s="21">
        <f t="shared" si="0"/>
        <v>0</v>
      </c>
      <c r="G9" s="21">
        <f t="shared" si="0"/>
        <v>0</v>
      </c>
      <c r="H9" s="21">
        <f t="shared" si="0"/>
        <v>0</v>
      </c>
      <c r="I9" s="21">
        <f t="shared" si="0"/>
        <v>0</v>
      </c>
      <c r="J9" s="21">
        <f t="shared" si="0"/>
        <v>0</v>
      </c>
      <c r="K9" s="21">
        <f t="shared" si="0"/>
        <v>0</v>
      </c>
      <c r="L9" s="21">
        <f t="shared" si="0"/>
        <v>0</v>
      </c>
      <c r="M9" s="22"/>
      <c r="N9" s="23">
        <f>SUM(N7:N8)</f>
        <v>10673415.606674369</v>
      </c>
      <c r="O9" s="1"/>
    </row>
    <row r="11" spans="1:15" x14ac:dyDescent="0.2">
      <c r="A11" t="s">
        <v>34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N11" s="64"/>
      <c r="O11" s="1"/>
    </row>
    <row r="12" spans="1:15" x14ac:dyDescent="0.2">
      <c r="A12" t="s">
        <v>30</v>
      </c>
      <c r="B12" s="66">
        <f t="shared" ref="B12:L12" si="1">+B9-B11</f>
        <v>10673415.606674369</v>
      </c>
      <c r="C12" s="66">
        <f t="shared" si="1"/>
        <v>0</v>
      </c>
      <c r="D12" s="66">
        <f t="shared" si="1"/>
        <v>0</v>
      </c>
      <c r="E12" s="66">
        <f t="shared" si="1"/>
        <v>0</v>
      </c>
      <c r="F12" s="66">
        <f t="shared" si="1"/>
        <v>0</v>
      </c>
      <c r="G12" s="66">
        <f t="shared" si="1"/>
        <v>0</v>
      </c>
      <c r="H12" s="66">
        <f t="shared" si="1"/>
        <v>0</v>
      </c>
      <c r="I12" s="66">
        <f t="shared" si="1"/>
        <v>0</v>
      </c>
      <c r="J12" s="66">
        <f t="shared" si="1"/>
        <v>0</v>
      </c>
      <c r="K12" s="66">
        <f t="shared" si="1"/>
        <v>0</v>
      </c>
      <c r="L12" s="66">
        <f t="shared" si="1"/>
        <v>0</v>
      </c>
      <c r="N12" s="66">
        <f>+N9-N11</f>
        <v>10673415.606674369</v>
      </c>
      <c r="O12" s="1"/>
    </row>
    <row r="13" spans="1:15" x14ac:dyDescent="0.2">
      <c r="F13" s="67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13" workbookViewId="0">
      <selection activeCell="C13" sqref="C13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3" width="10.140625" customWidth="1"/>
    <col min="14" max="14" width="1" style="6" customWidth="1"/>
    <col min="15" max="15" width="10.7109375" customWidth="1"/>
    <col min="16" max="16" width="1.7109375" customWidth="1"/>
    <col min="17" max="17" width="9.85546875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9.85546875" customWidth="1"/>
  </cols>
  <sheetData>
    <row r="1" spans="1:22" ht="15.75" x14ac:dyDescent="0.25">
      <c r="A1" s="2" t="s">
        <v>29</v>
      </c>
    </row>
    <row r="2" spans="1:22" ht="16.5" thickBot="1" x14ac:dyDescent="0.3">
      <c r="A2" s="2"/>
    </row>
    <row r="3" spans="1:22" ht="16.5" thickBot="1" x14ac:dyDescent="0.3">
      <c r="A3" s="61" t="s">
        <v>28</v>
      </c>
      <c r="B3" s="62">
        <f>+[13]SpotRates!$F$36</f>
        <v>1.5033106785317021</v>
      </c>
      <c r="C3" s="62">
        <f>+'[1]Spot Rates'!$F$36</f>
        <v>1.4493068965517246</v>
      </c>
      <c r="D3" s="62">
        <f>+'[2]Spot Rates'!$F$36</f>
        <v>1.4606806451612904</v>
      </c>
      <c r="E3" s="62">
        <f>+[3]SpotRates!$F$36</f>
        <v>1.4677486175115206</v>
      </c>
      <c r="F3" s="62">
        <f>+[4]SpotRates!$F$36</f>
        <v>1.4943193548387099</v>
      </c>
      <c r="G3" s="62">
        <f>+[5]SpotRates!$F$36</f>
        <v>1.4760866666666663</v>
      </c>
      <c r="H3" s="62">
        <f>+[6]SpotRates!$F$36</f>
        <v>1.4778161290322582</v>
      </c>
      <c r="I3" s="62">
        <f>+[7]SpotRates!$F$36</f>
        <v>1.4822467741935481</v>
      </c>
      <c r="J3" s="62">
        <f>+[8]SpotRates!$F$36</f>
        <v>1.4833206896551727</v>
      </c>
      <c r="K3" s="62">
        <f>+[9]SpotRates!$F$36</f>
        <v>1.5107942157953278</v>
      </c>
      <c r="L3" s="62">
        <f>+[10]SpotRates!$F$36</f>
        <v>1.5429099999999993</v>
      </c>
      <c r="M3" s="63">
        <f>+[11]SpotRates!$F$36</f>
        <v>1.5237310344827593</v>
      </c>
    </row>
    <row r="4" spans="1:22" ht="13.5" thickBot="1" x14ac:dyDescent="0.25">
      <c r="L4" s="55"/>
      <c r="M4" s="55"/>
      <c r="O4" s="68">
        <f>+'SUM - C$'!O17/'SUM-USD'!O19</f>
        <v>0</v>
      </c>
    </row>
    <row r="5" spans="1:22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/>
      <c r="M5" s="39"/>
      <c r="N5" s="38"/>
      <c r="O5" s="40"/>
      <c r="Q5" s="45"/>
      <c r="R5" s="46"/>
      <c r="S5" s="46"/>
      <c r="T5" s="47" t="s">
        <v>21</v>
      </c>
      <c r="U5" s="46"/>
      <c r="V5" s="48"/>
    </row>
    <row r="6" spans="1:22" ht="13.5" thickBot="1" x14ac:dyDescent="0.25">
      <c r="B6" s="60">
        <f>+'SUM - C$'!B4</f>
        <v>36892</v>
      </c>
      <c r="C6" s="54">
        <f>+'SUM - C$'!C4</f>
        <v>36923</v>
      </c>
      <c r="D6" s="54">
        <f>+'SUM - C$'!D4</f>
        <v>36951</v>
      </c>
      <c r="E6" s="54">
        <f>+'SUM - C$'!E4</f>
        <v>36982</v>
      </c>
      <c r="F6" s="54">
        <f>+'SUM - C$'!F4</f>
        <v>37012</v>
      </c>
      <c r="G6" s="54">
        <f>+'SUM - C$'!G4</f>
        <v>37043</v>
      </c>
      <c r="H6" s="54">
        <f>+'SUM - C$'!H4</f>
        <v>37073</v>
      </c>
      <c r="I6" s="54">
        <f>+'SUM - C$'!I4</f>
        <v>37104</v>
      </c>
      <c r="J6" s="54">
        <f>+'SUM - C$'!J4</f>
        <v>37135</v>
      </c>
      <c r="K6" s="54">
        <f>+'SUM - C$'!K4</f>
        <v>37165</v>
      </c>
      <c r="L6" s="54">
        <f>+'SUM - C$'!L4</f>
        <v>37196</v>
      </c>
      <c r="M6" s="54">
        <f>+'SUM - C$'!M4</f>
        <v>37226</v>
      </c>
      <c r="N6" s="43"/>
      <c r="O6" s="44" t="s">
        <v>5</v>
      </c>
      <c r="Q6" s="49" t="s">
        <v>18</v>
      </c>
      <c r="R6" s="50" t="s">
        <v>19</v>
      </c>
      <c r="S6" s="50" t="s">
        <v>20</v>
      </c>
      <c r="T6" s="50" t="s">
        <v>22</v>
      </c>
      <c r="U6" s="51"/>
      <c r="V6" s="52" t="s">
        <v>5</v>
      </c>
    </row>
    <row r="7" spans="1:22" x14ac:dyDescent="0.2">
      <c r="A7" s="10" t="s">
        <v>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Q7" s="24" t="str">
        <f>+A7</f>
        <v>BY BOOK:</v>
      </c>
      <c r="R7" s="25"/>
      <c r="S7" s="25"/>
      <c r="T7" s="25"/>
      <c r="U7" s="12"/>
      <c r="V7" s="13"/>
    </row>
    <row r="8" spans="1:22" x14ac:dyDescent="0.2">
      <c r="A8" s="14" t="s">
        <v>6</v>
      </c>
      <c r="B8" s="53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"/>
      <c r="O8" s="16"/>
      <c r="Q8" s="26"/>
      <c r="R8" s="15"/>
      <c r="S8" s="15"/>
      <c r="T8" s="15"/>
      <c r="U8" s="7"/>
      <c r="V8" s="16"/>
    </row>
    <row r="9" spans="1:22" x14ac:dyDescent="0.2">
      <c r="A9" s="17" t="str">
        <f>+'SUM - C$'!A7</f>
        <v>Alberta Term</v>
      </c>
      <c r="B9" s="56">
        <f>+'SUM - C$'!B7/'SUM-USD'!B$3</f>
        <v>539181.774981922</v>
      </c>
      <c r="C9" s="64">
        <f>+'SUM - C$'!C7/'SUM-USD'!C$3</f>
        <v>0</v>
      </c>
      <c r="D9" s="64">
        <f>+'SUM - C$'!D7/'SUM-USD'!D$3</f>
        <v>0</v>
      </c>
      <c r="E9" s="64">
        <f>+'SUM - C$'!E7/'SUM-USD'!E$3</f>
        <v>0</v>
      </c>
      <c r="F9" s="64">
        <f>+'SUM - C$'!F7/'SUM-USD'!F$3</f>
        <v>0</v>
      </c>
      <c r="G9" s="64">
        <f>+'SUM - C$'!G7/'SUM-USD'!G$3</f>
        <v>0</v>
      </c>
      <c r="H9" s="64">
        <f>+'SUM - C$'!H7/'SUM-USD'!H$3</f>
        <v>0</v>
      </c>
      <c r="I9" s="64">
        <f>+'SUM - C$'!I7/'SUM-USD'!I$3</f>
        <v>0</v>
      </c>
      <c r="J9" s="64">
        <f>+'SUM - C$'!J7/'SUM-USD'!J$3</f>
        <v>0</v>
      </c>
      <c r="K9" s="64">
        <f>+'SUM - C$'!K7/'SUM-USD'!K$3</f>
        <v>0</v>
      </c>
      <c r="L9" s="64">
        <f>+'SUM - C$'!L7/'SUM-USD'!L$3</f>
        <v>0</v>
      </c>
      <c r="M9" s="64">
        <f>+'SUM - C$'!M7/'SUM-USD'!M$3</f>
        <v>0</v>
      </c>
      <c r="N9" s="8"/>
      <c r="O9" s="18">
        <f>SUM(B9:N9)</f>
        <v>539181.774981922</v>
      </c>
      <c r="P9" s="1"/>
      <c r="Q9" s="27">
        <f>+SUM(B9:D9)</f>
        <v>539181.774981922</v>
      </c>
      <c r="R9" s="8">
        <f>+SUM(E9:G9)</f>
        <v>0</v>
      </c>
      <c r="S9" s="8">
        <f>+SUM(H9:J9)</f>
        <v>0</v>
      </c>
      <c r="T9" s="8">
        <f t="shared" ref="T9:T18" si="0">+SUM(K9:M9)</f>
        <v>0</v>
      </c>
      <c r="U9" s="8"/>
      <c r="V9" s="18">
        <f>SUM(Q9:U9)</f>
        <v>539181.774981922</v>
      </c>
    </row>
    <row r="10" spans="1:22" x14ac:dyDescent="0.2">
      <c r="A10" s="17" t="str">
        <f>+'SUM - C$'!A8</f>
        <v>BC Term</v>
      </c>
      <c r="B10" s="59">
        <f>+'SUM - C$'!B8/'SUM-USD'!B$3</f>
        <v>2383052.3198963976</v>
      </c>
      <c r="C10" s="64">
        <f>+'SUM - C$'!C8/'SUM-USD'!C$3</f>
        <v>0</v>
      </c>
      <c r="D10" s="64">
        <f>+'SUM - C$'!D8/'SUM-USD'!D$3</f>
        <v>0</v>
      </c>
      <c r="E10" s="64">
        <f>+'SUM - C$'!E8/'SUM-USD'!E$3</f>
        <v>0</v>
      </c>
      <c r="F10" s="64">
        <f>+'SUM - C$'!F8/'SUM-USD'!F$3</f>
        <v>0</v>
      </c>
      <c r="G10" s="64">
        <f>+'SUM - C$'!G8/'SUM-USD'!G$3</f>
        <v>0</v>
      </c>
      <c r="H10" s="64">
        <f>+'SUM - C$'!H8/'SUM-USD'!H$3</f>
        <v>0</v>
      </c>
      <c r="I10" s="64">
        <f>+'SUM - C$'!I8/'SUM-USD'!I$3</f>
        <v>0</v>
      </c>
      <c r="J10" s="64">
        <f>+'SUM - C$'!J8/'SUM-USD'!J$3</f>
        <v>0</v>
      </c>
      <c r="K10" s="64">
        <f>+'SUM - C$'!K8/'SUM-USD'!K$3</f>
        <v>0</v>
      </c>
      <c r="L10" s="69">
        <f>+'SUM - C$'!L8/'SUM-USD'!L$3</f>
        <v>0</v>
      </c>
      <c r="M10" s="69">
        <f>+'SUM - C$'!M8/'SUM-USD'!M$3</f>
        <v>0</v>
      </c>
      <c r="N10" s="8"/>
      <c r="O10" s="18">
        <f t="shared" ref="O10:O18" si="1">SUM(B10:N10)</f>
        <v>2383052.3198963976</v>
      </c>
      <c r="P10" s="1"/>
      <c r="Q10" s="27">
        <f t="shared" ref="Q10:Q18" si="2">+SUM(B10:D10)</f>
        <v>2383052.3198963976</v>
      </c>
      <c r="R10" s="8">
        <f t="shared" ref="R10:R18" si="3">+SUM(E10:G10)</f>
        <v>0</v>
      </c>
      <c r="S10" s="8">
        <f t="shared" ref="S10:S18" si="4">+SUM(H10:J10)</f>
        <v>0</v>
      </c>
      <c r="T10" s="8">
        <f t="shared" si="0"/>
        <v>0</v>
      </c>
      <c r="U10" s="8"/>
      <c r="V10" s="18">
        <f>SUM(Q10:U10)</f>
        <v>2383052.3198963976</v>
      </c>
    </row>
    <row r="11" spans="1:22" x14ac:dyDescent="0.2">
      <c r="A11" s="17" t="str">
        <f>+'SUM - C$'!A9</f>
        <v>Pipe Book - Term</v>
      </c>
      <c r="B11" s="56">
        <f>+'SUM - C$'!B9/'SUM-USD'!B$3</f>
        <v>3795824.8294846159</v>
      </c>
      <c r="C11" s="64">
        <f>+'SUM - C$'!C9/'SUM-USD'!C$3</f>
        <v>0</v>
      </c>
      <c r="D11" s="64">
        <f>+'SUM - C$'!D9/'SUM-USD'!D$3</f>
        <v>0</v>
      </c>
      <c r="E11" s="64">
        <f>+'SUM - C$'!E9/'SUM-USD'!E$3</f>
        <v>0</v>
      </c>
      <c r="F11" s="64">
        <f>+'SUM - C$'!F9/'SUM-USD'!F$3</f>
        <v>0</v>
      </c>
      <c r="G11" s="64">
        <f>+'SUM - C$'!G9/'SUM-USD'!G$3</f>
        <v>0</v>
      </c>
      <c r="H11" s="64">
        <f>+'SUM - C$'!H9/'SUM-USD'!H$3</f>
        <v>0</v>
      </c>
      <c r="I11" s="64">
        <f>+'SUM - C$'!I9/'SUM-USD'!I$3</f>
        <v>0</v>
      </c>
      <c r="J11" s="64">
        <f>+'SUM - C$'!J9/'SUM-USD'!J$3</f>
        <v>0</v>
      </c>
      <c r="K11" s="64">
        <f>+'SUM - C$'!K9/'SUM-USD'!K$3</f>
        <v>0</v>
      </c>
      <c r="L11" s="64">
        <f>+'SUM - C$'!L9/'SUM-USD'!L$3</f>
        <v>0</v>
      </c>
      <c r="M11" s="64">
        <f>+'SUM - C$'!M9/'SUM-USD'!M$3</f>
        <v>0</v>
      </c>
      <c r="N11" s="8"/>
      <c r="O11" s="18">
        <f t="shared" si="1"/>
        <v>3795824.8294846159</v>
      </c>
      <c r="P11" s="1"/>
      <c r="Q11" s="27">
        <f t="shared" si="2"/>
        <v>3795824.8294846159</v>
      </c>
      <c r="R11" s="8">
        <f t="shared" si="3"/>
        <v>0</v>
      </c>
      <c r="S11" s="8">
        <f t="shared" si="4"/>
        <v>0</v>
      </c>
      <c r="T11" s="8">
        <f t="shared" si="0"/>
        <v>0</v>
      </c>
      <c r="U11" s="8"/>
      <c r="V11" s="18">
        <f>SUM(Q11:U11)</f>
        <v>3795824.8294846159</v>
      </c>
    </row>
    <row r="12" spans="1:22" x14ac:dyDescent="0.2">
      <c r="A12" s="17" t="str">
        <f>+'SUM - C$'!A10</f>
        <v>Options</v>
      </c>
      <c r="B12" s="57">
        <f>+'SUM - C$'!B10/'SUM-USD'!B$3</f>
        <v>-292967.38610954548</v>
      </c>
      <c r="C12" s="64">
        <f>+'SUM - C$'!C10/'SUM-USD'!C$3</f>
        <v>0</v>
      </c>
      <c r="D12" s="64">
        <f>+'SUM - C$'!D10/'SUM-USD'!D$3</f>
        <v>0</v>
      </c>
      <c r="E12" s="64">
        <f>+'SUM - C$'!E10/'SUM-USD'!E$3</f>
        <v>0</v>
      </c>
      <c r="F12" s="64">
        <f>+'SUM - C$'!F10/'SUM-USD'!F$3</f>
        <v>0</v>
      </c>
      <c r="G12" s="64">
        <f>+'SUM - C$'!G10/'SUM-USD'!G$3</f>
        <v>0</v>
      </c>
      <c r="H12" s="64">
        <f>+'SUM - C$'!H10/'SUM-USD'!H$3</f>
        <v>0</v>
      </c>
      <c r="I12" s="64">
        <f>+'SUM - C$'!I10/'SUM-USD'!I$3</f>
        <v>0</v>
      </c>
      <c r="J12" s="64">
        <f>+'SUM - C$'!J10/'SUM-USD'!J$3</f>
        <v>0</v>
      </c>
      <c r="K12" s="69">
        <f>+'SUM - C$'!K10/'SUM-USD'!K$3</f>
        <v>0</v>
      </c>
      <c r="L12" s="64">
        <f>+'SUM - C$'!L10/'SUM-USD'!L$3</f>
        <v>0</v>
      </c>
      <c r="M12" s="64">
        <f>+'SUM - C$'!M10/'SUM-USD'!M$3</f>
        <v>0</v>
      </c>
      <c r="N12" s="8"/>
      <c r="O12" s="18">
        <f t="shared" si="1"/>
        <v>-292967.38610954548</v>
      </c>
      <c r="P12" s="1"/>
      <c r="Q12" s="27">
        <f t="shared" si="2"/>
        <v>-292967.38610954548</v>
      </c>
      <c r="R12" s="8">
        <f t="shared" si="3"/>
        <v>0</v>
      </c>
      <c r="S12" s="8">
        <f t="shared" si="4"/>
        <v>0</v>
      </c>
      <c r="T12" s="19">
        <f t="shared" si="0"/>
        <v>0</v>
      </c>
      <c r="U12" s="8"/>
      <c r="V12" s="18">
        <f>SUM(Q12:U12)</f>
        <v>-292967.38610954548</v>
      </c>
    </row>
    <row r="13" spans="1:22" x14ac:dyDescent="0.2">
      <c r="A13" s="14" t="s">
        <v>7</v>
      </c>
      <c r="B13" s="8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8"/>
      <c r="O13" s="18"/>
      <c r="P13" s="1"/>
      <c r="Q13" s="27">
        <f t="shared" si="2"/>
        <v>0</v>
      </c>
      <c r="R13" s="8">
        <f t="shared" si="3"/>
        <v>0</v>
      </c>
      <c r="S13" s="8">
        <f t="shared" si="4"/>
        <v>0</v>
      </c>
      <c r="T13" s="8">
        <f t="shared" si="0"/>
        <v>0</v>
      </c>
      <c r="U13" s="8"/>
      <c r="V13" s="18"/>
    </row>
    <row r="14" spans="1:22" x14ac:dyDescent="0.2">
      <c r="A14" s="17" t="s">
        <v>8</v>
      </c>
      <c r="B14" s="58">
        <f>+'SUM - C$'!B12/'SUM-USD'!B$3</f>
        <v>1705506.0371317894</v>
      </c>
      <c r="C14" s="64">
        <f>+'SUM - C$'!C12/'SUM-USD'!C$3</f>
        <v>0</v>
      </c>
      <c r="D14" s="64">
        <f>+'SUM - C$'!D12/'SUM-USD'!D$3</f>
        <v>0</v>
      </c>
      <c r="E14" s="64">
        <f>+'SUM - C$'!E12/'SUM-USD'!E$3</f>
        <v>0</v>
      </c>
      <c r="F14" s="64">
        <f>+'SUM - C$'!F12/'SUM-USD'!F$3</f>
        <v>0</v>
      </c>
      <c r="G14" s="64">
        <f>+'SUM - C$'!G12/'SUM-USD'!G$3</f>
        <v>0</v>
      </c>
      <c r="H14" s="64">
        <f>+'SUM - C$'!H12/'SUM-USD'!H$3</f>
        <v>0</v>
      </c>
      <c r="I14" s="64">
        <f>+'SUM - C$'!I12/'SUM-USD'!I$3</f>
        <v>0</v>
      </c>
      <c r="J14" s="64">
        <f>+'SUM - C$'!J12/'SUM-USD'!J$3</f>
        <v>0</v>
      </c>
      <c r="K14" s="64">
        <f>+'SUM - C$'!K12/'SUM-USD'!K$3</f>
        <v>0</v>
      </c>
      <c r="L14" s="64">
        <f>+'SUM - C$'!L12/'SUM-USD'!L$3</f>
        <v>0</v>
      </c>
      <c r="M14" s="64">
        <f>+'SUM - C$'!M12/'SUM-USD'!M$3</f>
        <v>0</v>
      </c>
      <c r="N14" s="8"/>
      <c r="O14" s="18">
        <f t="shared" si="1"/>
        <v>1705506.0371317894</v>
      </c>
      <c r="P14" s="1"/>
      <c r="Q14" s="27">
        <f t="shared" si="2"/>
        <v>1705506.0371317894</v>
      </c>
      <c r="R14" s="8">
        <f t="shared" si="3"/>
        <v>0</v>
      </c>
      <c r="S14" s="8">
        <f t="shared" si="4"/>
        <v>0</v>
      </c>
      <c r="T14" s="8">
        <f t="shared" si="0"/>
        <v>0</v>
      </c>
      <c r="U14" s="8"/>
      <c r="V14" s="18">
        <f>SUM(Q14:U14)</f>
        <v>1705506.0371317894</v>
      </c>
    </row>
    <row r="15" spans="1:22" x14ac:dyDescent="0.2">
      <c r="A15" s="17" t="s">
        <v>9</v>
      </c>
      <c r="B15" s="65">
        <f>+'SUM - C$'!B13/'SUM-USD'!B$3</f>
        <v>3310238.6426606216</v>
      </c>
      <c r="C15" s="64">
        <f>+'SUM - C$'!C13/'SUM-USD'!C$3</f>
        <v>0</v>
      </c>
      <c r="D15" s="69">
        <f>+'SUM - C$'!D13/'SUM-USD'!D$3</f>
        <v>0</v>
      </c>
      <c r="E15" s="64">
        <f>+'SUM - C$'!E13/'SUM-USD'!E$3</f>
        <v>0</v>
      </c>
      <c r="F15" s="64">
        <f>+'SUM - C$'!F13/'SUM-USD'!F$3</f>
        <v>0</v>
      </c>
      <c r="G15" s="64">
        <f>+'SUM - C$'!G13/'SUM-USD'!G$3</f>
        <v>0</v>
      </c>
      <c r="H15" s="64">
        <f>+'SUM - C$'!H13/'SUM-USD'!H$3</f>
        <v>0</v>
      </c>
      <c r="I15" s="64">
        <f>+'SUM - C$'!I13/'SUM-USD'!I$3</f>
        <v>0</v>
      </c>
      <c r="J15" s="64">
        <f>+'SUM - C$'!J13/'SUM-USD'!J$3</f>
        <v>0</v>
      </c>
      <c r="K15" s="64">
        <f>+'SUM - C$'!K13/'SUM-USD'!K$3</f>
        <v>0</v>
      </c>
      <c r="L15" s="64">
        <f>+'SUM - C$'!L13/'SUM-USD'!L$3</f>
        <v>0</v>
      </c>
      <c r="M15" s="64">
        <f>+'SUM - C$'!M13/'SUM-USD'!M$3</f>
        <v>0</v>
      </c>
      <c r="N15" s="8"/>
      <c r="O15" s="18">
        <f t="shared" si="1"/>
        <v>3310238.6426606216</v>
      </c>
      <c r="P15" s="1"/>
      <c r="Q15" s="27">
        <f t="shared" si="2"/>
        <v>3310238.6426606216</v>
      </c>
      <c r="R15" s="8">
        <f t="shared" si="3"/>
        <v>0</v>
      </c>
      <c r="S15" s="8">
        <f t="shared" si="4"/>
        <v>0</v>
      </c>
      <c r="T15" s="8">
        <f t="shared" si="0"/>
        <v>0</v>
      </c>
      <c r="U15" s="8"/>
      <c r="V15" s="18">
        <f>SUM(Q15:U15)</f>
        <v>3310238.6426606216</v>
      </c>
    </row>
    <row r="16" spans="1:22" x14ac:dyDescent="0.2">
      <c r="A16" s="17" t="s">
        <v>10</v>
      </c>
      <c r="B16" s="56">
        <f>+'SUM - C$'!B14/'SUM-USD'!B$3</f>
        <v>-815998.0618232073</v>
      </c>
      <c r="C16" s="64">
        <f>+'SUM - C$'!C14/'SUM-USD'!C$3</f>
        <v>0</v>
      </c>
      <c r="D16" s="64">
        <f>+'SUM - C$'!D14/'SUM-USD'!D$3</f>
        <v>0</v>
      </c>
      <c r="E16" s="64">
        <f>+'SUM - C$'!E14/'SUM-USD'!E$3</f>
        <v>0</v>
      </c>
      <c r="F16" s="64">
        <f>+'SUM - C$'!F14/'SUM-USD'!F$3</f>
        <v>0</v>
      </c>
      <c r="G16" s="64">
        <f>+'SUM - C$'!G14/'SUM-USD'!G$3</f>
        <v>0</v>
      </c>
      <c r="H16" s="64">
        <f>+'SUM - C$'!H14/'SUM-USD'!H$3</f>
        <v>0</v>
      </c>
      <c r="I16" s="64">
        <f>+'SUM - C$'!I14/'SUM-USD'!I$3</f>
        <v>0</v>
      </c>
      <c r="J16" s="64">
        <f>+'SUM - C$'!J14/'SUM-USD'!J$3</f>
        <v>0</v>
      </c>
      <c r="K16" s="64">
        <f>+'SUM - C$'!K14/'SUM-USD'!K$3</f>
        <v>0</v>
      </c>
      <c r="L16" s="64">
        <f>+'SUM - C$'!L14/'SUM-USD'!L$3</f>
        <v>0</v>
      </c>
      <c r="M16" s="64">
        <f>+'SUM - C$'!M14/'SUM-USD'!M$3</f>
        <v>0</v>
      </c>
      <c r="N16" s="8"/>
      <c r="O16" s="18">
        <f t="shared" si="1"/>
        <v>-815998.0618232073</v>
      </c>
      <c r="P16" s="1"/>
      <c r="Q16" s="27">
        <f t="shared" si="2"/>
        <v>-815998.0618232073</v>
      </c>
      <c r="R16" s="8">
        <f t="shared" si="3"/>
        <v>0</v>
      </c>
      <c r="S16" s="8">
        <f t="shared" si="4"/>
        <v>0</v>
      </c>
      <c r="T16" s="8">
        <f t="shared" si="0"/>
        <v>0</v>
      </c>
      <c r="U16" s="8"/>
      <c r="V16" s="18">
        <f>SUM(Q16:U16)</f>
        <v>-815998.0618232073</v>
      </c>
    </row>
    <row r="17" spans="1:22" x14ac:dyDescent="0.2">
      <c r="A17" s="17" t="s">
        <v>12</v>
      </c>
      <c r="B17" s="56">
        <f>+'SUM - C$'!B15/'SUM-USD'!B$3</f>
        <v>244.12784745096897</v>
      </c>
      <c r="C17" s="64">
        <f>+'SUM - C$'!C15/'SUM-USD'!C$3</f>
        <v>0</v>
      </c>
      <c r="D17" s="64">
        <f>+'SUM - C$'!D15/'SUM-USD'!D$3</f>
        <v>0</v>
      </c>
      <c r="E17" s="64">
        <f>+'SUM - C$'!E15/'SUM-USD'!E$3</f>
        <v>0</v>
      </c>
      <c r="F17" s="64">
        <f>+'SUM - C$'!F15/'SUM-USD'!F$3</f>
        <v>0</v>
      </c>
      <c r="G17" s="64">
        <f>+'SUM - C$'!G15/'SUM-USD'!G$3</f>
        <v>0</v>
      </c>
      <c r="H17" s="64">
        <f>+'SUM - C$'!H15/'SUM-USD'!H$3</f>
        <v>0</v>
      </c>
      <c r="I17" s="64">
        <f>+'SUM - C$'!I15/'SUM-USD'!I$3</f>
        <v>0</v>
      </c>
      <c r="J17" s="64">
        <f>+'SUM - C$'!J15/'SUM-USD'!J$3</f>
        <v>0</v>
      </c>
      <c r="K17" s="64">
        <f>+'SUM - C$'!K15/'SUM-USD'!K$3</f>
        <v>0</v>
      </c>
      <c r="L17" s="64">
        <f>+'SUM - C$'!L15/'SUM-USD'!L$3</f>
        <v>0</v>
      </c>
      <c r="M17" s="64">
        <f>+'SUM - C$'!M15/'SUM-USD'!M$3</f>
        <v>0</v>
      </c>
      <c r="N17" s="8"/>
      <c r="O17" s="18">
        <f t="shared" si="1"/>
        <v>244.12784745096897</v>
      </c>
      <c r="P17" s="1"/>
      <c r="Q17" s="27">
        <f t="shared" si="2"/>
        <v>244.12784745096897</v>
      </c>
      <c r="R17" s="8">
        <f t="shared" si="3"/>
        <v>0</v>
      </c>
      <c r="S17" s="8">
        <f t="shared" si="4"/>
        <v>0</v>
      </c>
      <c r="T17" s="8">
        <f t="shared" si="0"/>
        <v>0</v>
      </c>
      <c r="U17" s="8"/>
      <c r="V17" s="18">
        <f>SUM(Q17:U17)</f>
        <v>244.12784745096897</v>
      </c>
    </row>
    <row r="18" spans="1:22" x14ac:dyDescent="0.2">
      <c r="A18" s="17" t="s">
        <v>11</v>
      </c>
      <c r="B18" s="57">
        <f>+'SUM - C$'!B16/'SUM-USD'!B$3</f>
        <v>48333.322604325353</v>
      </c>
      <c r="C18" s="64">
        <f>+'SUM - C$'!C16/'SUM-USD'!C$3</f>
        <v>0</v>
      </c>
      <c r="D18" s="64">
        <f>+'SUM - C$'!D16/'SUM-USD'!D$3</f>
        <v>0</v>
      </c>
      <c r="E18" s="64">
        <f>+'SUM - C$'!E16/'SUM-USD'!E$3</f>
        <v>0</v>
      </c>
      <c r="F18" s="64">
        <f>+'SUM - C$'!F16/'SUM-USD'!F$3</f>
        <v>0</v>
      </c>
      <c r="G18" s="64">
        <f>+'SUM - C$'!G16/'SUM-USD'!G$3</f>
        <v>0</v>
      </c>
      <c r="H18" s="64">
        <f>+'SUM - C$'!H16/'SUM-USD'!H$3</f>
        <v>0</v>
      </c>
      <c r="I18" s="64">
        <f>+'SUM - C$'!I16/'SUM-USD'!I$3</f>
        <v>0</v>
      </c>
      <c r="J18" s="64">
        <f>+'SUM - C$'!J16/'SUM-USD'!J$3</f>
        <v>0</v>
      </c>
      <c r="K18" s="64">
        <f>+'SUM - C$'!K16/'SUM-USD'!K$3</f>
        <v>0</v>
      </c>
      <c r="L18" s="64">
        <f>+'SUM - C$'!L16/'SUM-USD'!L$3</f>
        <v>0</v>
      </c>
      <c r="M18" s="64">
        <f>+'SUM - C$'!M16/'SUM-USD'!M$3</f>
        <v>0</v>
      </c>
      <c r="N18" s="8"/>
      <c r="O18" s="18">
        <f t="shared" si="1"/>
        <v>48333.322604325353</v>
      </c>
      <c r="P18" s="1"/>
      <c r="Q18" s="27">
        <f t="shared" si="2"/>
        <v>48333.322604325353</v>
      </c>
      <c r="R18" s="8">
        <f t="shared" si="3"/>
        <v>0</v>
      </c>
      <c r="S18" s="8">
        <f t="shared" si="4"/>
        <v>0</v>
      </c>
      <c r="T18" s="8">
        <f t="shared" si="0"/>
        <v>0</v>
      </c>
      <c r="U18" s="8"/>
      <c r="V18" s="18">
        <f>SUM(Q18:U18)</f>
        <v>48333.322604325353</v>
      </c>
    </row>
    <row r="19" spans="1:22" ht="13.5" thickBot="1" x14ac:dyDescent="0.25">
      <c r="A19" s="20" t="s">
        <v>14</v>
      </c>
      <c r="B19" s="21">
        <f t="shared" ref="B19:M19" si="5">SUM(B9:B18)</f>
        <v>10673415.606674369</v>
      </c>
      <c r="C19" s="70">
        <f t="shared" si="5"/>
        <v>0</v>
      </c>
      <c r="D19" s="70">
        <f t="shared" si="5"/>
        <v>0</v>
      </c>
      <c r="E19" s="70">
        <f t="shared" si="5"/>
        <v>0</v>
      </c>
      <c r="F19" s="70">
        <f t="shared" si="5"/>
        <v>0</v>
      </c>
      <c r="G19" s="70">
        <f t="shared" si="5"/>
        <v>0</v>
      </c>
      <c r="H19" s="70">
        <f t="shared" si="5"/>
        <v>0</v>
      </c>
      <c r="I19" s="70">
        <f t="shared" si="5"/>
        <v>0</v>
      </c>
      <c r="J19" s="70">
        <f t="shared" si="5"/>
        <v>0</v>
      </c>
      <c r="K19" s="70">
        <f t="shared" si="5"/>
        <v>0</v>
      </c>
      <c r="L19" s="70">
        <f t="shared" si="5"/>
        <v>0</v>
      </c>
      <c r="M19" s="70">
        <f t="shared" si="5"/>
        <v>0</v>
      </c>
      <c r="N19" s="22"/>
      <c r="O19" s="23">
        <f>SUM(O9:O18)</f>
        <v>10673415.606674369</v>
      </c>
      <c r="P19" s="1"/>
      <c r="Q19" s="28">
        <f>SUM(Q9:Q18)</f>
        <v>10673415.606674369</v>
      </c>
      <c r="R19" s="21">
        <f>SUM(R9:R18)</f>
        <v>0</v>
      </c>
      <c r="S19" s="21">
        <f>SUM(S9:S18)</f>
        <v>0</v>
      </c>
      <c r="T19" s="21">
        <f>SUM(T9:T18)</f>
        <v>0</v>
      </c>
      <c r="U19" s="22"/>
      <c r="V19" s="23">
        <f>SUM(V9:V18)</f>
        <v>10673415.606674369</v>
      </c>
    </row>
    <row r="20" spans="1:22" x14ac:dyDescent="0.2">
      <c r="B20" s="3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8"/>
      <c r="O20" s="3"/>
      <c r="P20" s="1"/>
      <c r="Q20" s="3"/>
      <c r="R20" s="3"/>
      <c r="S20" s="3"/>
      <c r="T20" s="3"/>
      <c r="U20" s="8"/>
      <c r="V20" s="3"/>
    </row>
    <row r="21" spans="1:22" ht="13.5" thickBot="1" x14ac:dyDescent="0.25">
      <c r="B21" s="3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8"/>
      <c r="O21" s="3"/>
      <c r="P21" s="1"/>
      <c r="Q21" s="3"/>
      <c r="R21" s="3"/>
      <c r="S21" s="3"/>
      <c r="T21" s="3"/>
      <c r="U21" s="8"/>
      <c r="V21" s="3"/>
    </row>
    <row r="22" spans="1:22" x14ac:dyDescent="0.2">
      <c r="A22" s="10" t="s">
        <v>16</v>
      </c>
      <c r="B22" s="29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29"/>
      <c r="O22" s="30"/>
      <c r="P22" s="1"/>
      <c r="Q22" s="10" t="s">
        <v>16</v>
      </c>
      <c r="R22" s="29"/>
      <c r="S22" s="29"/>
      <c r="T22" s="29"/>
      <c r="U22" s="29"/>
      <c r="V22" s="30"/>
    </row>
    <row r="23" spans="1:22" x14ac:dyDescent="0.2">
      <c r="A23" s="17" t="s">
        <v>2</v>
      </c>
      <c r="B23" s="64">
        <f>+'SUM - C$'!B21/'SUM-USD'!B$3</f>
        <v>6425091.5382533884</v>
      </c>
      <c r="C23" s="64">
        <f>+'SUM - C$'!C21/'SUM-USD'!C$3</f>
        <v>0</v>
      </c>
      <c r="D23" s="64">
        <f>+'SUM - C$'!D21/'SUM-USD'!D$3</f>
        <v>0</v>
      </c>
      <c r="E23" s="64">
        <f>+'SUM - C$'!E21/'SUM-USD'!E$3</f>
        <v>0</v>
      </c>
      <c r="F23" s="64">
        <f>+'SUM - C$'!F21/'SUM-USD'!F$3</f>
        <v>0</v>
      </c>
      <c r="G23" s="64">
        <f>+'SUM - C$'!G21/'SUM-USD'!G$3</f>
        <v>0</v>
      </c>
      <c r="H23" s="64">
        <f>+'SUM - C$'!H21/'SUM-USD'!H$3</f>
        <v>0</v>
      </c>
      <c r="I23" s="64">
        <f>+'SUM - C$'!I21/'SUM-USD'!I$3</f>
        <v>0</v>
      </c>
      <c r="J23" s="64">
        <f>+'SUM - C$'!J21/'SUM-USD'!J$3</f>
        <v>0</v>
      </c>
      <c r="K23" s="64">
        <f>+'SUM - C$'!K21/'SUM-USD'!K$3</f>
        <v>0</v>
      </c>
      <c r="L23" s="64">
        <f>+'SUM - C$'!L21/'SUM-USD'!L$3</f>
        <v>0</v>
      </c>
      <c r="M23" s="64">
        <f>+'SUM - C$'!M21/'SUM-USD'!M$3</f>
        <v>0</v>
      </c>
      <c r="N23" s="8"/>
      <c r="O23" s="18">
        <f>SUM(B23:N23)</f>
        <v>6425091.5382533884</v>
      </c>
      <c r="P23" s="1"/>
      <c r="Q23" s="27">
        <f>+SUM(B23:D23)</f>
        <v>6425091.5382533884</v>
      </c>
      <c r="R23" s="8">
        <f>+SUM(E23:G23)</f>
        <v>0</v>
      </c>
      <c r="S23" s="8">
        <f>+SUM(H23:J23)</f>
        <v>0</v>
      </c>
      <c r="T23" s="8">
        <f>+SUM(K23:M23)</f>
        <v>0</v>
      </c>
      <c r="U23" s="8"/>
      <c r="V23" s="18">
        <f>SUM(Q23:U23)</f>
        <v>6425091.5382533884</v>
      </c>
    </row>
    <row r="24" spans="1:22" s="4" customFormat="1" ht="11.25" x14ac:dyDescent="0.2">
      <c r="A24" s="31" t="s">
        <v>3</v>
      </c>
      <c r="B24" s="9">
        <f>+B23-[13]Report!$AE$56</f>
        <v>0</v>
      </c>
      <c r="C24" s="73">
        <f t="shared" ref="C24:M24" si="6">+C23-SUM(C9:C12)</f>
        <v>0</v>
      </c>
      <c r="D24" s="73">
        <f t="shared" si="6"/>
        <v>0</v>
      </c>
      <c r="E24" s="73">
        <f t="shared" si="6"/>
        <v>0</v>
      </c>
      <c r="F24" s="73">
        <f t="shared" si="6"/>
        <v>0</v>
      </c>
      <c r="G24" s="73">
        <f t="shared" si="6"/>
        <v>0</v>
      </c>
      <c r="H24" s="73">
        <f t="shared" si="6"/>
        <v>0</v>
      </c>
      <c r="I24" s="73">
        <f t="shared" si="6"/>
        <v>0</v>
      </c>
      <c r="J24" s="73">
        <f t="shared" si="6"/>
        <v>0</v>
      </c>
      <c r="K24" s="73">
        <f t="shared" si="6"/>
        <v>0</v>
      </c>
      <c r="L24" s="73">
        <f t="shared" si="6"/>
        <v>0</v>
      </c>
      <c r="M24" s="73">
        <f t="shared" si="6"/>
        <v>0</v>
      </c>
      <c r="N24" s="9"/>
      <c r="O24" s="18">
        <f>SUM(B24:N24)</f>
        <v>0</v>
      </c>
      <c r="P24" s="5"/>
      <c r="Q24" s="27">
        <f>+SUM(B24:D24)</f>
        <v>0</v>
      </c>
      <c r="R24" s="8">
        <f>+SUM(E24:G24)</f>
        <v>0</v>
      </c>
      <c r="S24" s="8">
        <f>+SUM(H24:J24)</f>
        <v>0</v>
      </c>
      <c r="T24" s="8">
        <f>+SUM(K24:M24)</f>
        <v>0</v>
      </c>
      <c r="U24" s="9"/>
      <c r="V24" s="18">
        <f>SUM(I24:U24)</f>
        <v>0</v>
      </c>
    </row>
    <row r="25" spans="1:22" x14ac:dyDescent="0.2">
      <c r="A25" s="17" t="s">
        <v>13</v>
      </c>
      <c r="B25" s="64">
        <f>+'SUM - C$'!B23/'SUM-USD'!B$3</f>
        <v>4248324.0684209801</v>
      </c>
      <c r="C25" s="64">
        <f>+'SUM - C$'!C23/'SUM-USD'!C$3</f>
        <v>0</v>
      </c>
      <c r="D25" s="64">
        <f>+'SUM - C$'!D23/'SUM-USD'!D$3</f>
        <v>0</v>
      </c>
      <c r="E25" s="64">
        <f>+'SUM - C$'!E23/'SUM-USD'!E$3</f>
        <v>0</v>
      </c>
      <c r="F25" s="64">
        <f>+'SUM - C$'!F23/'SUM-USD'!F$3</f>
        <v>0</v>
      </c>
      <c r="G25" s="64">
        <f>+'SUM - C$'!G23/'SUM-USD'!G$3</f>
        <v>0</v>
      </c>
      <c r="H25" s="64">
        <f>+'SUM - C$'!H23/'SUM-USD'!H$3</f>
        <v>0</v>
      </c>
      <c r="I25" s="64">
        <f>+'SUM - C$'!I23/'SUM-USD'!I$3</f>
        <v>0</v>
      </c>
      <c r="J25" s="64">
        <f>+'SUM - C$'!J23/'SUM-USD'!J$3</f>
        <v>0</v>
      </c>
      <c r="K25" s="64">
        <f>+'SUM - C$'!K23/'SUM-USD'!K$3</f>
        <v>0</v>
      </c>
      <c r="L25" s="64">
        <f>+'SUM - C$'!L23/'SUM-USD'!L$3</f>
        <v>0</v>
      </c>
      <c r="M25" s="64">
        <f>+'SUM - C$'!M23/'SUM-USD'!M$3</f>
        <v>0</v>
      </c>
      <c r="N25" s="8"/>
      <c r="O25" s="18">
        <f>SUM(B25:N25)</f>
        <v>4248324.0684209801</v>
      </c>
      <c r="P25" s="1"/>
      <c r="Q25" s="27">
        <f>+SUM(B25:D25)</f>
        <v>4248324.0684209801</v>
      </c>
      <c r="R25" s="8">
        <f>+SUM(E25:G25)</f>
        <v>0</v>
      </c>
      <c r="S25" s="8">
        <f>+SUM(H25:J25)</f>
        <v>0</v>
      </c>
      <c r="T25" s="8">
        <f>+SUM(K25:M25)</f>
        <v>0</v>
      </c>
      <c r="U25" s="8"/>
      <c r="V25" s="18">
        <f>SUM(Q25:T25)</f>
        <v>4248324.0684209801</v>
      </c>
    </row>
    <row r="26" spans="1:22" s="4" customFormat="1" ht="9" x14ac:dyDescent="0.15">
      <c r="A26" s="31" t="s">
        <v>3</v>
      </c>
      <c r="B26" s="9">
        <f>+B25-[12]Lavo!$P$31</f>
        <v>0</v>
      </c>
      <c r="C26" s="73">
        <f t="shared" ref="C26:M26" si="7">+C25-SUM(C14:C18)</f>
        <v>0</v>
      </c>
      <c r="D26" s="73">
        <f t="shared" si="7"/>
        <v>0</v>
      </c>
      <c r="E26" s="73">
        <f t="shared" si="7"/>
        <v>0</v>
      </c>
      <c r="F26" s="73">
        <f t="shared" si="7"/>
        <v>0</v>
      </c>
      <c r="G26" s="73">
        <f t="shared" si="7"/>
        <v>0</v>
      </c>
      <c r="H26" s="73">
        <f t="shared" si="7"/>
        <v>0</v>
      </c>
      <c r="I26" s="73">
        <f t="shared" si="7"/>
        <v>0</v>
      </c>
      <c r="J26" s="73">
        <f t="shared" si="7"/>
        <v>0</v>
      </c>
      <c r="K26" s="73">
        <f t="shared" si="7"/>
        <v>0</v>
      </c>
      <c r="L26" s="73">
        <f t="shared" si="7"/>
        <v>0</v>
      </c>
      <c r="M26" s="73">
        <f t="shared" si="7"/>
        <v>0</v>
      </c>
      <c r="N26" s="9"/>
      <c r="O26" s="32">
        <f>+O25+O23-O19</f>
        <v>0</v>
      </c>
      <c r="P26" s="5"/>
      <c r="Q26" s="33">
        <f t="shared" ref="Q26:V26" si="8">+Q25-SUM(Q14:Q18)</f>
        <v>0</v>
      </c>
      <c r="R26" s="9">
        <f t="shared" si="8"/>
        <v>0</v>
      </c>
      <c r="S26" s="9">
        <f t="shared" si="8"/>
        <v>0</v>
      </c>
      <c r="T26" s="9">
        <f t="shared" si="8"/>
        <v>0</v>
      </c>
      <c r="U26" s="9">
        <f t="shared" si="8"/>
        <v>0</v>
      </c>
      <c r="V26" s="32">
        <f t="shared" si="8"/>
        <v>0</v>
      </c>
    </row>
    <row r="27" spans="1:22" ht="13.5" thickBot="1" x14ac:dyDescent="0.25">
      <c r="A27" s="20" t="s">
        <v>14</v>
      </c>
      <c r="B27" s="21">
        <f>+B25+B23</f>
        <v>10673415.606674369</v>
      </c>
      <c r="C27" s="70">
        <f t="shared" ref="C27:L27" si="9">+C25+C23</f>
        <v>0</v>
      </c>
      <c r="D27" s="70">
        <f t="shared" si="9"/>
        <v>0</v>
      </c>
      <c r="E27" s="70">
        <f t="shared" si="9"/>
        <v>0</v>
      </c>
      <c r="F27" s="70">
        <f t="shared" si="9"/>
        <v>0</v>
      </c>
      <c r="G27" s="70">
        <f t="shared" si="9"/>
        <v>0</v>
      </c>
      <c r="H27" s="70">
        <f t="shared" si="9"/>
        <v>0</v>
      </c>
      <c r="I27" s="70">
        <f t="shared" si="9"/>
        <v>0</v>
      </c>
      <c r="J27" s="70">
        <f t="shared" si="9"/>
        <v>0</v>
      </c>
      <c r="K27" s="70">
        <f t="shared" si="9"/>
        <v>0</v>
      </c>
      <c r="L27" s="70">
        <f t="shared" si="9"/>
        <v>0</v>
      </c>
      <c r="M27" s="70">
        <f>+M25+M23</f>
        <v>0</v>
      </c>
      <c r="N27" s="22"/>
      <c r="O27" s="23">
        <f>+O25+O23</f>
        <v>10673415.606674369</v>
      </c>
      <c r="P27" s="1"/>
      <c r="Q27" s="28">
        <f>+Q25+Q23</f>
        <v>10673415.606674369</v>
      </c>
      <c r="R27" s="21">
        <f>+R25+R23</f>
        <v>0</v>
      </c>
      <c r="S27" s="21">
        <f>+S25+S23</f>
        <v>0</v>
      </c>
      <c r="T27" s="21">
        <f>+T25+T23</f>
        <v>0</v>
      </c>
      <c r="U27" s="22"/>
      <c r="V27" s="23">
        <f>+V25+V23</f>
        <v>10673415.606674369</v>
      </c>
    </row>
    <row r="28" spans="1:22" x14ac:dyDescent="0.2">
      <c r="A28" s="6"/>
      <c r="B28" s="8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8"/>
      <c r="O28" s="8"/>
      <c r="P28" s="1"/>
      <c r="Q28" s="8"/>
      <c r="R28" s="8"/>
      <c r="S28" s="8"/>
      <c r="T28" s="8"/>
      <c r="U28" s="8"/>
      <c r="V28" s="8"/>
    </row>
    <row r="29" spans="1:22" ht="13.5" thickBot="1" x14ac:dyDescent="0.25">
      <c r="A29" s="6"/>
      <c r="B29" s="8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8"/>
      <c r="O29" s="8"/>
      <c r="P29" s="1"/>
      <c r="Q29" s="8"/>
      <c r="R29" s="8"/>
      <c r="S29" s="8"/>
      <c r="T29" s="8"/>
      <c r="U29" s="8"/>
      <c r="V29" s="8"/>
    </row>
    <row r="30" spans="1:22" ht="15" x14ac:dyDescent="0.35">
      <c r="A30" s="10" t="s">
        <v>35</v>
      </c>
      <c r="B30" s="3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34"/>
      <c r="O30" s="35"/>
      <c r="P30" s="1"/>
      <c r="Q30" s="36" t="str">
        <f>+A30</f>
        <v>BY AREA - TRADER:</v>
      </c>
      <c r="R30" s="34"/>
      <c r="S30" s="34"/>
      <c r="T30" s="34"/>
      <c r="U30" s="34"/>
      <c r="V30" s="35"/>
    </row>
    <row r="31" spans="1:22" x14ac:dyDescent="0.2">
      <c r="A31" s="17" t="s">
        <v>27</v>
      </c>
      <c r="B31" s="56">
        <f>+'SUM - C$'!B29/'SUM-USD'!B$3</f>
        <v>3519252.6704907813</v>
      </c>
      <c r="C31" s="64">
        <f>+'SUM - C$'!C29/'SUM-USD'!C$3</f>
        <v>0</v>
      </c>
      <c r="D31" s="64">
        <f>+'SUM - C$'!D29/'SUM-USD'!D$3</f>
        <v>0</v>
      </c>
      <c r="E31" s="64">
        <f>+'SUM - C$'!E29/'SUM-USD'!E$3</f>
        <v>0</v>
      </c>
      <c r="F31" s="64">
        <f>+'SUM - C$'!F29/'SUM-USD'!F$3</f>
        <v>0</v>
      </c>
      <c r="G31" s="64">
        <f>+'SUM - C$'!G29/'SUM-USD'!G$3</f>
        <v>0</v>
      </c>
      <c r="H31" s="64">
        <f>+'SUM - C$'!H29/'SUM-USD'!H$3</f>
        <v>0</v>
      </c>
      <c r="I31" s="64">
        <f>+'SUM - C$'!I29/'SUM-USD'!I$3</f>
        <v>0</v>
      </c>
      <c r="J31" s="64">
        <f>+'SUM - C$'!J29/'SUM-USD'!J$3</f>
        <v>0</v>
      </c>
      <c r="K31" s="64">
        <f>+'SUM - C$'!K29/'SUM-USD'!K$3</f>
        <v>0</v>
      </c>
      <c r="L31" s="64">
        <f>+'SUM - C$'!L29/'SUM-USD'!L$3</f>
        <v>0</v>
      </c>
      <c r="M31" s="64">
        <f>+'SUM - C$'!M29/'SUM-USD'!M$3</f>
        <v>0</v>
      </c>
      <c r="N31" s="8"/>
      <c r="O31" s="18">
        <f>SUM(B31:N31)</f>
        <v>3519252.6704907813</v>
      </c>
      <c r="P31" s="3"/>
      <c r="Q31" s="27">
        <f>+SUM(B31:D31)</f>
        <v>3519252.6704907813</v>
      </c>
      <c r="R31" s="8">
        <f>+SUM(E31:G31)</f>
        <v>0</v>
      </c>
      <c r="S31" s="8">
        <f>+SUM(H31:J31)</f>
        <v>0</v>
      </c>
      <c r="T31" s="8">
        <f>+SUM(K31:M31)</f>
        <v>0</v>
      </c>
      <c r="U31" s="8"/>
      <c r="V31" s="18">
        <f>SUM(Q31:U31)</f>
        <v>3519252.6704907813</v>
      </c>
    </row>
    <row r="32" spans="1:22" x14ac:dyDescent="0.2">
      <c r="A32" s="17" t="s">
        <v>33</v>
      </c>
      <c r="B32" s="59">
        <f>+'SUM - C$'!B30/'SUM-USD'!B$3</f>
        <v>2383052.3198963976</v>
      </c>
      <c r="C32" s="64">
        <f>+'SUM - C$'!C30/'SUM-USD'!C$3</f>
        <v>0</v>
      </c>
      <c r="D32" s="64">
        <f>+'SUM - C$'!D30/'SUM-USD'!D$3</f>
        <v>0</v>
      </c>
      <c r="E32" s="64">
        <f>+'SUM - C$'!E30/'SUM-USD'!E$3</f>
        <v>0</v>
      </c>
      <c r="F32" s="64">
        <f>+'SUM - C$'!F30/'SUM-USD'!F$3</f>
        <v>0</v>
      </c>
      <c r="G32" s="64">
        <f>+'SUM - C$'!G30/'SUM-USD'!G$3</f>
        <v>0</v>
      </c>
      <c r="H32" s="64">
        <f>+'SUM - C$'!H30/'SUM-USD'!H$3</f>
        <v>0</v>
      </c>
      <c r="I32" s="64">
        <f>+'SUM - C$'!I30/'SUM-USD'!I$3</f>
        <v>0</v>
      </c>
      <c r="J32" s="64">
        <f>+'SUM - C$'!J30/'SUM-USD'!J$3</f>
        <v>0</v>
      </c>
      <c r="K32" s="64">
        <f>+'SUM - C$'!K30/'SUM-USD'!K$3</f>
        <v>0</v>
      </c>
      <c r="L32" s="64">
        <f>+'SUM - C$'!L30/'SUM-USD'!L$3</f>
        <v>0</v>
      </c>
      <c r="M32" s="64">
        <f>+'SUM - C$'!M30/'SUM-USD'!M$3</f>
        <v>0</v>
      </c>
      <c r="N32" s="8"/>
      <c r="O32" s="18">
        <f>SUM(B32:N32)</f>
        <v>2383052.3198963976</v>
      </c>
      <c r="P32" s="3"/>
      <c r="Q32" s="27">
        <f>+SUM(B32:D32)</f>
        <v>2383052.3198963976</v>
      </c>
      <c r="R32" s="8">
        <f>+SUM(E32:G32)</f>
        <v>0</v>
      </c>
      <c r="S32" s="8">
        <f>+SUM(H32:J32)</f>
        <v>0</v>
      </c>
      <c r="T32" s="8">
        <f>+SUM(K32:M32)</f>
        <v>0</v>
      </c>
      <c r="U32" s="8"/>
      <c r="V32" s="18">
        <f>SUM(Q32:U32)</f>
        <v>2383052.3198963976</v>
      </c>
    </row>
    <row r="33" spans="1:22" x14ac:dyDescent="0.2">
      <c r="A33" s="17" t="s">
        <v>24</v>
      </c>
      <c r="B33" s="57">
        <f>+'SUM - C$'!B31/'SUM-USD'!B$3</f>
        <v>-244634.06350522014</v>
      </c>
      <c r="C33" s="64">
        <f>+'SUM - C$'!C31/'SUM-USD'!C$3</f>
        <v>0</v>
      </c>
      <c r="D33" s="64">
        <f>+'SUM - C$'!D31/'SUM-USD'!D$3</f>
        <v>0</v>
      </c>
      <c r="E33" s="64">
        <f>+'SUM - C$'!E31/'SUM-USD'!E$3</f>
        <v>0</v>
      </c>
      <c r="F33" s="64">
        <f>+'SUM - C$'!F31/'SUM-USD'!F$3</f>
        <v>0</v>
      </c>
      <c r="G33" s="64">
        <f>+'SUM - C$'!G31/'SUM-USD'!G$3</f>
        <v>0</v>
      </c>
      <c r="H33" s="64">
        <f>+'SUM - C$'!H31/'SUM-USD'!H$3</f>
        <v>0</v>
      </c>
      <c r="I33" s="64">
        <f>+'SUM - C$'!I31/'SUM-USD'!I$3</f>
        <v>0</v>
      </c>
      <c r="J33" s="64">
        <f>+'SUM - C$'!J31/'SUM-USD'!J$3</f>
        <v>0</v>
      </c>
      <c r="K33" s="64">
        <f>+'SUM - C$'!K31/'SUM-USD'!K$3</f>
        <v>0</v>
      </c>
      <c r="L33" s="64">
        <f>+'SUM - C$'!L31/'SUM-USD'!L$3</f>
        <v>0</v>
      </c>
      <c r="M33" s="64">
        <f>+'SUM - C$'!M31/'SUM-USD'!M$3</f>
        <v>0</v>
      </c>
      <c r="N33" s="8"/>
      <c r="O33" s="18">
        <f>SUM(B33:N33)</f>
        <v>-244634.06350522014</v>
      </c>
      <c r="P33" s="3"/>
      <c r="Q33" s="27">
        <f>+SUM(B33:D33)</f>
        <v>-244634.06350522014</v>
      </c>
      <c r="R33" s="8">
        <f>+SUM(E33:G33)</f>
        <v>0</v>
      </c>
      <c r="S33" s="8">
        <f>+SUM(H33:J33)</f>
        <v>0</v>
      </c>
      <c r="T33" s="8">
        <f>+SUM(K33:M33)</f>
        <v>0</v>
      </c>
      <c r="U33" s="8"/>
      <c r="V33" s="18">
        <f>SUM(Q33:U33)</f>
        <v>-244634.06350522014</v>
      </c>
    </row>
    <row r="34" spans="1:22" x14ac:dyDescent="0.2">
      <c r="A34" s="17" t="s">
        <v>25</v>
      </c>
      <c r="B34" s="58">
        <f>+'SUM - C$'!B32/'SUM-USD'!B$3</f>
        <v>1705506.0371317894</v>
      </c>
      <c r="C34" s="64">
        <f>+'SUM - C$'!C32/'SUM-USD'!C$3</f>
        <v>0</v>
      </c>
      <c r="D34" s="64">
        <f>+'SUM - C$'!D32/'SUM-USD'!D$3</f>
        <v>0</v>
      </c>
      <c r="E34" s="64">
        <f>+'SUM - C$'!E32/'SUM-USD'!E$3</f>
        <v>0</v>
      </c>
      <c r="F34" s="64">
        <f>+'SUM - C$'!F32/'SUM-USD'!F$3</f>
        <v>0</v>
      </c>
      <c r="G34" s="64">
        <f>+'SUM - C$'!G32/'SUM-USD'!G$3</f>
        <v>0</v>
      </c>
      <c r="H34" s="64">
        <f>+'SUM - C$'!H32/'SUM-USD'!H$3</f>
        <v>0</v>
      </c>
      <c r="I34" s="64">
        <f>+'SUM - C$'!I32/'SUM-USD'!I$3</f>
        <v>0</v>
      </c>
      <c r="J34" s="64">
        <f>+'SUM - C$'!J32/'SUM-USD'!J$3</f>
        <v>0</v>
      </c>
      <c r="K34" s="64">
        <f>+'SUM - C$'!K32/'SUM-USD'!K$3</f>
        <v>0</v>
      </c>
      <c r="L34" s="64">
        <f>+'SUM - C$'!L32/'SUM-USD'!L$3</f>
        <v>0</v>
      </c>
      <c r="M34" s="64">
        <f>+'SUM - C$'!M32/'SUM-USD'!M$3</f>
        <v>0</v>
      </c>
      <c r="N34" s="8"/>
      <c r="O34" s="18">
        <f>SUM(B34:N34)</f>
        <v>1705506.0371317894</v>
      </c>
      <c r="P34" s="3"/>
      <c r="Q34" s="27">
        <f>+SUM(B34:D34)</f>
        <v>1705506.0371317894</v>
      </c>
      <c r="R34" s="8">
        <f>+SUM(E34:G34)</f>
        <v>0</v>
      </c>
      <c r="S34" s="8">
        <f>+SUM(H34:J34)</f>
        <v>0</v>
      </c>
      <c r="T34" s="8">
        <f>+SUM(K34:M34)</f>
        <v>0</v>
      </c>
      <c r="U34" s="8"/>
      <c r="V34" s="18">
        <f>SUM(Q34:U34)</f>
        <v>1705506.0371317894</v>
      </c>
    </row>
    <row r="35" spans="1:22" x14ac:dyDescent="0.2">
      <c r="A35" s="17" t="s">
        <v>26</v>
      </c>
      <c r="B35" s="65">
        <f>+'SUM - C$'!B33/'SUM-USD'!B$3</f>
        <v>3310238.6426606216</v>
      </c>
      <c r="C35" s="64">
        <f>+'SUM - C$'!C33/'SUM-USD'!C$3</f>
        <v>0</v>
      </c>
      <c r="D35" s="64">
        <f>+'SUM - C$'!D33/'SUM-USD'!D$3</f>
        <v>0</v>
      </c>
      <c r="E35" s="64">
        <f>+'SUM - C$'!E33/'SUM-USD'!E$3</f>
        <v>0</v>
      </c>
      <c r="F35" s="64">
        <f>+'SUM - C$'!F33/'SUM-USD'!F$3</f>
        <v>0</v>
      </c>
      <c r="G35" s="64">
        <f>+'SUM - C$'!G33/'SUM-USD'!G$3</f>
        <v>0</v>
      </c>
      <c r="H35" s="64">
        <f>+'SUM - C$'!H33/'SUM-USD'!H$3</f>
        <v>0</v>
      </c>
      <c r="I35" s="64">
        <f>+'SUM - C$'!I33/'SUM-USD'!I$3</f>
        <v>0</v>
      </c>
      <c r="J35" s="64">
        <f>+'SUM - C$'!J33/'SUM-USD'!J$3</f>
        <v>0</v>
      </c>
      <c r="K35" s="64">
        <f>+'SUM - C$'!K33/'SUM-USD'!K$3</f>
        <v>0</v>
      </c>
      <c r="L35" s="64">
        <f>+'SUM - C$'!L33/'SUM-USD'!L$3</f>
        <v>0</v>
      </c>
      <c r="M35" s="64">
        <f>+'SUM - C$'!M33/'SUM-USD'!M$3</f>
        <v>0</v>
      </c>
      <c r="N35" s="8"/>
      <c r="O35" s="18">
        <f>SUM(B35:N35)</f>
        <v>3310238.6426606216</v>
      </c>
      <c r="P35" s="3"/>
      <c r="Q35" s="27">
        <f>+SUM(B35:D35)</f>
        <v>3310238.6426606216</v>
      </c>
      <c r="R35" s="8">
        <f>+SUM(E35:G35)</f>
        <v>0</v>
      </c>
      <c r="S35" s="8">
        <f>+SUM(H35:J35)</f>
        <v>0</v>
      </c>
      <c r="T35" s="8">
        <f>+SUM(K35:M35)</f>
        <v>0</v>
      </c>
      <c r="U35" s="8"/>
      <c r="V35" s="18">
        <f>SUM(Q35:U35)</f>
        <v>3310238.6426606216</v>
      </c>
    </row>
    <row r="36" spans="1:22" ht="13.5" thickBot="1" x14ac:dyDescent="0.25">
      <c r="A36" s="20" t="s">
        <v>14</v>
      </c>
      <c r="B36" s="21">
        <f t="shared" ref="B36:M36" si="10">SUM(B31:B35)</f>
        <v>10673415.606674369</v>
      </c>
      <c r="C36" s="21">
        <f t="shared" si="10"/>
        <v>0</v>
      </c>
      <c r="D36" s="21">
        <f t="shared" si="10"/>
        <v>0</v>
      </c>
      <c r="E36" s="21">
        <f t="shared" si="10"/>
        <v>0</v>
      </c>
      <c r="F36" s="21">
        <f t="shared" si="10"/>
        <v>0</v>
      </c>
      <c r="G36" s="21">
        <f t="shared" si="10"/>
        <v>0</v>
      </c>
      <c r="H36" s="21">
        <f t="shared" si="10"/>
        <v>0</v>
      </c>
      <c r="I36" s="21">
        <f t="shared" si="10"/>
        <v>0</v>
      </c>
      <c r="J36" s="21">
        <f t="shared" si="10"/>
        <v>0</v>
      </c>
      <c r="K36" s="21">
        <f t="shared" si="10"/>
        <v>0</v>
      </c>
      <c r="L36" s="21">
        <f t="shared" si="10"/>
        <v>0</v>
      </c>
      <c r="M36" s="21">
        <f t="shared" si="10"/>
        <v>0</v>
      </c>
      <c r="N36" s="22"/>
      <c r="O36" s="23">
        <f>SUM(O31:O35)</f>
        <v>10673415.606674369</v>
      </c>
      <c r="P36" s="3"/>
      <c r="Q36" s="28">
        <f>SUM(Q31:Q35)</f>
        <v>10673415.606674369</v>
      </c>
      <c r="R36" s="21">
        <f>SUM(R31:R35)</f>
        <v>0</v>
      </c>
      <c r="S36" s="21">
        <f>SUM(S31:S35)</f>
        <v>0</v>
      </c>
      <c r="T36" s="21">
        <f>SUM(T31:T35)</f>
        <v>0</v>
      </c>
      <c r="U36" s="22"/>
      <c r="V36" s="23">
        <f>SUM(V31:V35)</f>
        <v>10673415.606674369</v>
      </c>
    </row>
    <row r="37" spans="1:22" hidden="1" x14ac:dyDescent="0.2">
      <c r="A37" t="s">
        <v>3</v>
      </c>
      <c r="B37" s="3">
        <f t="shared" ref="B37:M37" si="11">+B36-B19</f>
        <v>0</v>
      </c>
      <c r="C37" s="3">
        <f t="shared" si="11"/>
        <v>0</v>
      </c>
      <c r="D37" s="3">
        <f t="shared" si="11"/>
        <v>0</v>
      </c>
      <c r="E37" s="3">
        <f t="shared" si="11"/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/>
      <c r="O37" s="3"/>
      <c r="P37" s="3"/>
      <c r="Q37" s="3">
        <f>+Q36-Q19</f>
        <v>0</v>
      </c>
      <c r="R37" s="3">
        <f>+R36-R19</f>
        <v>0</v>
      </c>
      <c r="S37" s="3">
        <f>+S36-S19</f>
        <v>0</v>
      </c>
      <c r="T37" s="3">
        <f>+T36-T19</f>
        <v>0</v>
      </c>
      <c r="U37" s="3"/>
      <c r="V37" s="3"/>
    </row>
    <row r="38" spans="1:22" x14ac:dyDescent="0.2">
      <c r="U38" s="6"/>
    </row>
    <row r="39" spans="1:22" x14ac:dyDescent="0.2">
      <c r="B39" s="76"/>
      <c r="U39" s="6"/>
    </row>
    <row r="40" spans="1:22" x14ac:dyDescent="0.2">
      <c r="U40" s="6"/>
    </row>
    <row r="41" spans="1:22" x14ac:dyDescent="0.2">
      <c r="U41" s="6"/>
    </row>
    <row r="42" spans="1:22" x14ac:dyDescent="0.2">
      <c r="U42" s="6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opLeftCell="A13" workbookViewId="0">
      <selection activeCell="B37" sqref="B37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1" width="10.140625" customWidth="1"/>
    <col min="12" max="13" width="10.5703125" customWidth="1"/>
    <col min="14" max="14" width="1" style="6" customWidth="1"/>
    <col min="15" max="15" width="10.7109375" bestFit="1" customWidth="1"/>
    <col min="16" max="16" width="1.7109375" customWidth="1"/>
    <col min="17" max="17" width="9.85546875" bestFit="1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11" customWidth="1"/>
  </cols>
  <sheetData>
    <row r="1" spans="1:22" ht="15.75" x14ac:dyDescent="0.25">
      <c r="A1" s="2" t="s">
        <v>17</v>
      </c>
    </row>
    <row r="2" spans="1:22" ht="13.5" thickBot="1" x14ac:dyDescent="0.25">
      <c r="L2" s="55"/>
      <c r="M2" s="55"/>
    </row>
    <row r="3" spans="1:22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9"/>
      <c r="N3" s="38"/>
      <c r="O3" s="40"/>
      <c r="Q3" s="45"/>
      <c r="R3" s="46"/>
      <c r="S3" s="46"/>
      <c r="T3" s="47" t="s">
        <v>21</v>
      </c>
      <c r="U3" s="46"/>
      <c r="V3" s="48"/>
    </row>
    <row r="4" spans="1:22" ht="13.5" thickBot="1" x14ac:dyDescent="0.25">
      <c r="B4" s="41">
        <v>36892</v>
      </c>
      <c r="C4" s="42">
        <v>36923</v>
      </c>
      <c r="D4" s="42">
        <v>36951</v>
      </c>
      <c r="E4" s="42">
        <v>36982</v>
      </c>
      <c r="F4" s="42">
        <v>37012</v>
      </c>
      <c r="G4" s="42">
        <v>37043</v>
      </c>
      <c r="H4" s="42">
        <v>37073</v>
      </c>
      <c r="I4" s="42">
        <v>37104</v>
      </c>
      <c r="J4" s="42">
        <v>37135</v>
      </c>
      <c r="K4" s="42">
        <v>37165</v>
      </c>
      <c r="L4" s="54">
        <v>37196</v>
      </c>
      <c r="M4" s="54">
        <v>37226</v>
      </c>
      <c r="N4" s="43"/>
      <c r="O4" s="44" t="s">
        <v>5</v>
      </c>
      <c r="Q4" s="49" t="s">
        <v>18</v>
      </c>
      <c r="R4" s="50" t="s">
        <v>19</v>
      </c>
      <c r="S4" s="50" t="s">
        <v>20</v>
      </c>
      <c r="T4" s="50" t="s">
        <v>22</v>
      </c>
      <c r="U4" s="51"/>
      <c r="V4" s="52" t="s">
        <v>5</v>
      </c>
    </row>
    <row r="5" spans="1:22" x14ac:dyDescent="0.2">
      <c r="A5" s="10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Q5" s="24" t="str">
        <f>+A5</f>
        <v>BY BOOK:</v>
      </c>
      <c r="R5" s="25"/>
      <c r="S5" s="25"/>
      <c r="T5" s="25"/>
      <c r="U5" s="12"/>
      <c r="V5" s="13"/>
    </row>
    <row r="6" spans="1:22" x14ac:dyDescent="0.2">
      <c r="A6" s="14" t="s">
        <v>6</v>
      </c>
      <c r="B6" s="53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"/>
      <c r="O6" s="16"/>
      <c r="Q6" s="26"/>
      <c r="R6" s="15"/>
      <c r="S6" s="15"/>
      <c r="T6" s="15"/>
      <c r="U6" s="7"/>
      <c r="V6" s="16"/>
    </row>
    <row r="7" spans="1:22" x14ac:dyDescent="0.2">
      <c r="A7" s="17" t="s">
        <v>0</v>
      </c>
      <c r="B7" s="56">
        <f>+[13]Report!$G$56</f>
        <v>810557.72000000067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8"/>
      <c r="O7" s="18"/>
      <c r="P7" s="1"/>
      <c r="Q7" s="27">
        <f>+SUM(B7:D7)</f>
        <v>810557.72000000067</v>
      </c>
      <c r="R7" s="8">
        <f>+SUM(E7:G7)</f>
        <v>0</v>
      </c>
      <c r="S7" s="8">
        <f>+SUM(H7:J7)</f>
        <v>0</v>
      </c>
      <c r="T7" s="8">
        <f t="shared" ref="T7:T16" si="0">+SUM(K7:M7)</f>
        <v>0</v>
      </c>
      <c r="U7" s="8"/>
      <c r="V7" s="18">
        <f>SUM(Q7:U7)</f>
        <v>810557.72000000067</v>
      </c>
    </row>
    <row r="8" spans="1:22" x14ac:dyDescent="0.2">
      <c r="A8" s="17" t="s">
        <v>4</v>
      </c>
      <c r="B8" s="59">
        <f>+[13]Report!$M$56</f>
        <v>3582468</v>
      </c>
      <c r="C8" s="64"/>
      <c r="D8" s="64"/>
      <c r="E8" s="64"/>
      <c r="F8" s="64"/>
      <c r="G8" s="64"/>
      <c r="H8" s="64"/>
      <c r="I8" s="64"/>
      <c r="J8" s="64"/>
      <c r="K8" s="64"/>
      <c r="L8" s="69"/>
      <c r="M8" s="69"/>
      <c r="N8" s="8"/>
      <c r="O8" s="18"/>
      <c r="P8" s="1"/>
      <c r="Q8" s="27">
        <f t="shared" ref="Q8:Q16" si="1">+SUM(B8:D8)</f>
        <v>3582468</v>
      </c>
      <c r="R8" s="8">
        <f t="shared" ref="R8:R16" si="2">+SUM(E8:G8)</f>
        <v>0</v>
      </c>
      <c r="S8" s="8">
        <f t="shared" ref="S8:S16" si="3">+SUM(H8:J8)</f>
        <v>0</v>
      </c>
      <c r="T8" s="8">
        <f t="shared" si="0"/>
        <v>0</v>
      </c>
      <c r="U8" s="8"/>
      <c r="V8" s="18">
        <f>SUM(Q8:U8)</f>
        <v>3582468</v>
      </c>
    </row>
    <row r="9" spans="1:22" x14ac:dyDescent="0.2">
      <c r="A9" s="17" t="s">
        <v>32</v>
      </c>
      <c r="B9" s="75">
        <f>+[13]Report!$S$56</f>
        <v>5706304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8"/>
      <c r="O9" s="18"/>
      <c r="P9" s="1"/>
      <c r="Q9" s="27">
        <f t="shared" si="1"/>
        <v>5706304</v>
      </c>
      <c r="R9" s="8">
        <f t="shared" si="2"/>
        <v>0</v>
      </c>
      <c r="S9" s="8">
        <f t="shared" si="3"/>
        <v>0</v>
      </c>
      <c r="T9" s="8">
        <f t="shared" si="0"/>
        <v>0</v>
      </c>
      <c r="U9" s="8"/>
      <c r="V9" s="18">
        <f>SUM(Q9:U9)</f>
        <v>5706304</v>
      </c>
    </row>
    <row r="10" spans="1:22" x14ac:dyDescent="0.2">
      <c r="A10" s="17" t="s">
        <v>1</v>
      </c>
      <c r="B10" s="57">
        <f>+[13]Report!$AA$56</f>
        <v>-440421</v>
      </c>
      <c r="C10" s="64"/>
      <c r="D10" s="64"/>
      <c r="E10" s="64"/>
      <c r="F10" s="64"/>
      <c r="G10" s="64"/>
      <c r="H10" s="64"/>
      <c r="I10" s="64"/>
      <c r="J10" s="64"/>
      <c r="K10" s="69"/>
      <c r="L10" s="64"/>
      <c r="M10" s="64"/>
      <c r="N10" s="8"/>
      <c r="O10" s="18"/>
      <c r="P10" s="1"/>
      <c r="Q10" s="27">
        <f t="shared" si="1"/>
        <v>-440421</v>
      </c>
      <c r="R10" s="8">
        <f t="shared" si="2"/>
        <v>0</v>
      </c>
      <c r="S10" s="8">
        <f t="shared" si="3"/>
        <v>0</v>
      </c>
      <c r="T10" s="8">
        <f t="shared" si="0"/>
        <v>0</v>
      </c>
      <c r="U10" s="8"/>
      <c r="V10" s="18">
        <f>SUM(Q10:U10)</f>
        <v>-440421</v>
      </c>
    </row>
    <row r="11" spans="1:22" x14ac:dyDescent="0.2">
      <c r="A11" s="14" t="s">
        <v>7</v>
      </c>
      <c r="B11" s="8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8"/>
      <c r="O11" s="18"/>
      <c r="P11" s="1"/>
      <c r="Q11" s="27">
        <f t="shared" si="1"/>
        <v>0</v>
      </c>
      <c r="R11" s="8">
        <f t="shared" si="2"/>
        <v>0</v>
      </c>
      <c r="S11" s="8">
        <f t="shared" si="3"/>
        <v>0</v>
      </c>
      <c r="T11" s="8">
        <f t="shared" si="0"/>
        <v>0</v>
      </c>
      <c r="U11" s="8"/>
      <c r="V11" s="18"/>
    </row>
    <row r="12" spans="1:22" x14ac:dyDescent="0.2">
      <c r="A12" s="17" t="s">
        <v>8</v>
      </c>
      <c r="B12" s="58">
        <f>+[12]Lavo!$I$18</f>
        <v>2563905.4379205047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8"/>
      <c r="O12" s="18"/>
      <c r="P12" s="1"/>
      <c r="Q12" s="27">
        <f t="shared" si="1"/>
        <v>2563905.4379205047</v>
      </c>
      <c r="R12" s="8">
        <f t="shared" si="2"/>
        <v>0</v>
      </c>
      <c r="S12" s="8">
        <f t="shared" si="3"/>
        <v>0</v>
      </c>
      <c r="T12" s="8">
        <f t="shared" si="0"/>
        <v>0</v>
      </c>
      <c r="U12" s="8"/>
      <c r="V12" s="18">
        <f>SUM(Q12:U12)</f>
        <v>2563905.4379205047</v>
      </c>
    </row>
    <row r="13" spans="1:22" x14ac:dyDescent="0.2">
      <c r="A13" s="17" t="s">
        <v>9</v>
      </c>
      <c r="B13" s="65">
        <f>+[12]Lavo!$I$38</f>
        <v>4976317.0999999996</v>
      </c>
      <c r="C13" s="64"/>
      <c r="D13" s="69"/>
      <c r="E13" s="64"/>
      <c r="F13" s="64"/>
      <c r="G13" s="64"/>
      <c r="H13" s="64"/>
      <c r="I13" s="64"/>
      <c r="J13" s="64"/>
      <c r="K13" s="64"/>
      <c r="L13" s="64"/>
      <c r="M13" s="64"/>
      <c r="N13" s="8"/>
      <c r="O13" s="18"/>
      <c r="P13" s="1"/>
      <c r="Q13" s="27">
        <f t="shared" si="1"/>
        <v>4976317.0999999996</v>
      </c>
      <c r="R13" s="8">
        <f t="shared" si="2"/>
        <v>0</v>
      </c>
      <c r="S13" s="8">
        <f t="shared" si="3"/>
        <v>0</v>
      </c>
      <c r="T13" s="8">
        <f t="shared" si="0"/>
        <v>0</v>
      </c>
      <c r="U13" s="8"/>
      <c r="V13" s="18">
        <f>SUM(Q13:U13)</f>
        <v>4976317.0999999996</v>
      </c>
    </row>
    <row r="14" spans="1:22" x14ac:dyDescent="0.2">
      <c r="A14" s="17" t="s">
        <v>10</v>
      </c>
      <c r="B14" s="56">
        <f>+[12]Lavo!$I$50</f>
        <v>-1226698.5999999996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8"/>
      <c r="O14" s="18"/>
      <c r="P14" s="1"/>
      <c r="Q14" s="27">
        <f t="shared" si="1"/>
        <v>-1226698.5999999996</v>
      </c>
      <c r="R14" s="8">
        <f t="shared" si="2"/>
        <v>0</v>
      </c>
      <c r="S14" s="8">
        <f t="shared" si="3"/>
        <v>0</v>
      </c>
      <c r="T14" s="8">
        <f t="shared" si="0"/>
        <v>0</v>
      </c>
      <c r="U14" s="8"/>
      <c r="V14" s="18">
        <f>SUM(Q14:U14)</f>
        <v>-1226698.5999999996</v>
      </c>
    </row>
    <row r="15" spans="1:22" x14ac:dyDescent="0.2">
      <c r="A15" s="17" t="s">
        <v>12</v>
      </c>
      <c r="B15" s="56">
        <f>+[12]Lavo!$I$54</f>
        <v>367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8"/>
      <c r="O15" s="18"/>
      <c r="P15" s="1"/>
      <c r="Q15" s="27">
        <f t="shared" si="1"/>
        <v>367</v>
      </c>
      <c r="R15" s="8">
        <f t="shared" si="2"/>
        <v>0</v>
      </c>
      <c r="S15" s="8">
        <f t="shared" si="3"/>
        <v>0</v>
      </c>
      <c r="T15" s="8">
        <f t="shared" si="0"/>
        <v>0</v>
      </c>
      <c r="U15" s="8"/>
      <c r="V15" s="18">
        <f>SUM(Q15:U15)</f>
        <v>367</v>
      </c>
    </row>
    <row r="16" spans="1:22" x14ac:dyDescent="0.2">
      <c r="A16" s="17" t="s">
        <v>11</v>
      </c>
      <c r="B16" s="57">
        <f>+[12]Lavo!$I$56</f>
        <v>72660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8"/>
      <c r="O16" s="18"/>
      <c r="P16" s="1"/>
      <c r="Q16" s="27">
        <f t="shared" si="1"/>
        <v>72660</v>
      </c>
      <c r="R16" s="8">
        <f t="shared" si="2"/>
        <v>0</v>
      </c>
      <c r="S16" s="8">
        <f t="shared" si="3"/>
        <v>0</v>
      </c>
      <c r="T16" s="8">
        <f t="shared" si="0"/>
        <v>0</v>
      </c>
      <c r="U16" s="8"/>
      <c r="V16" s="18">
        <f>SUM(Q16:U16)</f>
        <v>72660</v>
      </c>
    </row>
    <row r="17" spans="1:22" ht="13.5" thickBot="1" x14ac:dyDescent="0.25">
      <c r="A17" s="20" t="s">
        <v>14</v>
      </c>
      <c r="B17" s="21">
        <f t="shared" ref="B17:M17" si="4">SUM(B7:B16)</f>
        <v>16045459.657920504</v>
      </c>
      <c r="C17" s="70">
        <f t="shared" si="4"/>
        <v>0</v>
      </c>
      <c r="D17" s="70">
        <f t="shared" si="4"/>
        <v>0</v>
      </c>
      <c r="E17" s="70">
        <f t="shared" si="4"/>
        <v>0</v>
      </c>
      <c r="F17" s="70">
        <f t="shared" si="4"/>
        <v>0</v>
      </c>
      <c r="G17" s="70">
        <f t="shared" si="4"/>
        <v>0</v>
      </c>
      <c r="H17" s="70">
        <f t="shared" si="4"/>
        <v>0</v>
      </c>
      <c r="I17" s="70">
        <f t="shared" si="4"/>
        <v>0</v>
      </c>
      <c r="J17" s="70">
        <f t="shared" si="4"/>
        <v>0</v>
      </c>
      <c r="K17" s="70">
        <f t="shared" si="4"/>
        <v>0</v>
      </c>
      <c r="L17" s="70">
        <f t="shared" si="4"/>
        <v>0</v>
      </c>
      <c r="M17" s="70">
        <f t="shared" si="4"/>
        <v>0</v>
      </c>
      <c r="N17" s="22"/>
      <c r="O17" s="23">
        <f>SUM(O7:O16)</f>
        <v>0</v>
      </c>
      <c r="P17" s="1"/>
      <c r="Q17" s="28">
        <f>SUM(Q7:Q16)</f>
        <v>16045459.657920504</v>
      </c>
      <c r="R17" s="21">
        <f>SUM(R7:R16)</f>
        <v>0</v>
      </c>
      <c r="S17" s="21">
        <f>SUM(S7:S16)</f>
        <v>0</v>
      </c>
      <c r="T17" s="21">
        <f>SUM(T7:T16)</f>
        <v>0</v>
      </c>
      <c r="U17" s="22"/>
      <c r="V17" s="23">
        <f>SUM(V7:V16)</f>
        <v>16045459.657920504</v>
      </c>
    </row>
    <row r="18" spans="1:22" x14ac:dyDescent="0.2">
      <c r="B18" s="3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8"/>
      <c r="O18" s="3"/>
      <c r="P18" s="1"/>
      <c r="Q18" s="3"/>
      <c r="R18" s="3"/>
      <c r="S18" s="3"/>
      <c r="T18" s="3"/>
      <c r="U18" s="8"/>
      <c r="V18" s="3"/>
    </row>
    <row r="19" spans="1:22" ht="13.5" thickBot="1" x14ac:dyDescent="0.25">
      <c r="B19" s="3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8"/>
      <c r="O19" s="3"/>
      <c r="P19" s="1"/>
      <c r="Q19" s="3"/>
      <c r="R19" s="3"/>
      <c r="S19" s="3"/>
      <c r="T19" s="3"/>
      <c r="U19" s="8"/>
      <c r="V19" s="3"/>
    </row>
    <row r="20" spans="1:22" x14ac:dyDescent="0.2">
      <c r="A20" s="10" t="s">
        <v>16</v>
      </c>
      <c r="B20" s="29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29"/>
      <c r="O20" s="30"/>
      <c r="P20" s="1"/>
      <c r="Q20" s="10" t="s">
        <v>16</v>
      </c>
      <c r="R20" s="29"/>
      <c r="S20" s="29"/>
      <c r="T20" s="29"/>
      <c r="U20" s="29"/>
      <c r="V20" s="30"/>
    </row>
    <row r="21" spans="1:22" x14ac:dyDescent="0.2">
      <c r="A21" s="17" t="s">
        <v>2</v>
      </c>
      <c r="B21" s="8">
        <f>+[13]Report!$AC$56</f>
        <v>9658908.7199999988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8"/>
      <c r="O21" s="18"/>
      <c r="P21" s="1"/>
      <c r="Q21" s="27">
        <f>+SUM(B21:D21)</f>
        <v>9658908.7199999988</v>
      </c>
      <c r="R21" s="8">
        <f>+SUM(E21:G21)</f>
        <v>0</v>
      </c>
      <c r="S21" s="8">
        <f>+SUM(H21:J21)</f>
        <v>0</v>
      </c>
      <c r="T21" s="8">
        <f>+SUM(K21:M21)</f>
        <v>0</v>
      </c>
      <c r="U21" s="8"/>
      <c r="V21" s="18">
        <f>SUM(Q21:U21)</f>
        <v>9658908.7199999988</v>
      </c>
    </row>
    <row r="22" spans="1:22" s="4" customFormat="1" ht="11.25" x14ac:dyDescent="0.2">
      <c r="A22" s="31" t="s">
        <v>3</v>
      </c>
      <c r="B22" s="9">
        <f t="shared" ref="B22:M22" si="5">+B21-SUM(B7:B10)</f>
        <v>0</v>
      </c>
      <c r="C22" s="73">
        <f t="shared" si="5"/>
        <v>0</v>
      </c>
      <c r="D22" s="73">
        <f t="shared" si="5"/>
        <v>0</v>
      </c>
      <c r="E22" s="73">
        <f t="shared" si="5"/>
        <v>0</v>
      </c>
      <c r="F22" s="73">
        <f t="shared" si="5"/>
        <v>0</v>
      </c>
      <c r="G22" s="73">
        <f t="shared" si="5"/>
        <v>0</v>
      </c>
      <c r="H22" s="73">
        <f t="shared" si="5"/>
        <v>0</v>
      </c>
      <c r="I22" s="73">
        <f t="shared" si="5"/>
        <v>0</v>
      </c>
      <c r="J22" s="73">
        <f t="shared" si="5"/>
        <v>0</v>
      </c>
      <c r="K22" s="73">
        <f t="shared" si="5"/>
        <v>0</v>
      </c>
      <c r="L22" s="73">
        <f t="shared" si="5"/>
        <v>0</v>
      </c>
      <c r="M22" s="73">
        <f t="shared" si="5"/>
        <v>0</v>
      </c>
      <c r="N22" s="9"/>
      <c r="O22" s="18">
        <f>SUM(B22:N22)</f>
        <v>0</v>
      </c>
      <c r="P22" s="5"/>
      <c r="Q22" s="27">
        <f>+SUM(B22:D22)</f>
        <v>0</v>
      </c>
      <c r="R22" s="8">
        <f>+SUM(E22:G22)</f>
        <v>0</v>
      </c>
      <c r="S22" s="8">
        <f>+SUM(H22:J22)</f>
        <v>0</v>
      </c>
      <c r="T22" s="8">
        <f>+SUM(K22:M22)</f>
        <v>0</v>
      </c>
      <c r="U22" s="9"/>
      <c r="V22" s="18">
        <f>SUM(I22:U22)</f>
        <v>0</v>
      </c>
    </row>
    <row r="23" spans="1:22" x14ac:dyDescent="0.2">
      <c r="A23" s="17" t="s">
        <v>13</v>
      </c>
      <c r="B23" s="8">
        <f>+[12]Lavo!$I$63</f>
        <v>6386550.9379205052</v>
      </c>
      <c r="C23" s="64"/>
      <c r="D23" s="64"/>
      <c r="E23" s="64"/>
      <c r="F23" s="69"/>
      <c r="G23" s="64"/>
      <c r="H23" s="64"/>
      <c r="I23" s="64"/>
      <c r="J23" s="64"/>
      <c r="K23" s="64"/>
      <c r="L23" s="64"/>
      <c r="M23" s="64"/>
      <c r="N23" s="8"/>
      <c r="O23" s="18"/>
      <c r="P23" s="1"/>
      <c r="Q23" s="27">
        <f>+SUM(B23:D23)</f>
        <v>6386550.9379205052</v>
      </c>
      <c r="R23" s="8">
        <f>+SUM(E23:G23)</f>
        <v>0</v>
      </c>
      <c r="S23" s="8">
        <f>+SUM(H23:J23)</f>
        <v>0</v>
      </c>
      <c r="T23" s="8">
        <f>+SUM(K23:M23)</f>
        <v>0</v>
      </c>
      <c r="U23" s="8"/>
      <c r="V23" s="18">
        <f>SUM(Q23:T23)</f>
        <v>6386550.9379205052</v>
      </c>
    </row>
    <row r="24" spans="1:22" s="4" customFormat="1" ht="9" x14ac:dyDescent="0.15">
      <c r="A24" s="31" t="s">
        <v>3</v>
      </c>
      <c r="B24" s="9">
        <f t="shared" ref="B24:M24" si="6">+B23-SUM(B12:B16)</f>
        <v>0</v>
      </c>
      <c r="C24" s="73">
        <f t="shared" si="6"/>
        <v>0</v>
      </c>
      <c r="D24" s="73">
        <f t="shared" si="6"/>
        <v>0</v>
      </c>
      <c r="E24" s="73">
        <f t="shared" si="6"/>
        <v>0</v>
      </c>
      <c r="F24" s="73">
        <f t="shared" si="6"/>
        <v>0</v>
      </c>
      <c r="G24" s="73">
        <f t="shared" si="6"/>
        <v>0</v>
      </c>
      <c r="H24" s="73">
        <f t="shared" si="6"/>
        <v>0</v>
      </c>
      <c r="I24" s="73">
        <f t="shared" si="6"/>
        <v>0</v>
      </c>
      <c r="J24" s="73">
        <f t="shared" si="6"/>
        <v>0</v>
      </c>
      <c r="K24" s="73">
        <f t="shared" si="6"/>
        <v>0</v>
      </c>
      <c r="L24" s="73">
        <f t="shared" si="6"/>
        <v>0</v>
      </c>
      <c r="M24" s="73">
        <f t="shared" si="6"/>
        <v>0</v>
      </c>
      <c r="N24" s="9"/>
      <c r="O24" s="32">
        <f>+O23+O21-O17</f>
        <v>0</v>
      </c>
      <c r="P24" s="5"/>
      <c r="Q24" s="33">
        <f t="shared" ref="Q24:V24" si="7">+Q23-SUM(Q12:Q16)</f>
        <v>0</v>
      </c>
      <c r="R24" s="9">
        <f t="shared" si="7"/>
        <v>0</v>
      </c>
      <c r="S24" s="9">
        <f t="shared" si="7"/>
        <v>0</v>
      </c>
      <c r="T24" s="9">
        <f t="shared" si="7"/>
        <v>0</v>
      </c>
      <c r="U24" s="9">
        <f t="shared" si="7"/>
        <v>0</v>
      </c>
      <c r="V24" s="32">
        <f t="shared" si="7"/>
        <v>0</v>
      </c>
    </row>
    <row r="25" spans="1:22" ht="13.5" thickBot="1" x14ac:dyDescent="0.25">
      <c r="A25" s="20" t="s">
        <v>14</v>
      </c>
      <c r="B25" s="21">
        <f>+B23+B21</f>
        <v>16045459.657920504</v>
      </c>
      <c r="C25" s="70">
        <f t="shared" ref="C25:K25" si="8">+C23+C21</f>
        <v>0</v>
      </c>
      <c r="D25" s="70">
        <f t="shared" si="8"/>
        <v>0</v>
      </c>
      <c r="E25" s="70">
        <f t="shared" si="8"/>
        <v>0</v>
      </c>
      <c r="F25" s="70">
        <f t="shared" si="8"/>
        <v>0</v>
      </c>
      <c r="G25" s="70">
        <f t="shared" si="8"/>
        <v>0</v>
      </c>
      <c r="H25" s="70">
        <f t="shared" si="8"/>
        <v>0</v>
      </c>
      <c r="I25" s="70">
        <f t="shared" si="8"/>
        <v>0</v>
      </c>
      <c r="J25" s="70">
        <f t="shared" si="8"/>
        <v>0</v>
      </c>
      <c r="K25" s="70">
        <f t="shared" si="8"/>
        <v>0</v>
      </c>
      <c r="L25" s="70">
        <f>+L23+L21</f>
        <v>0</v>
      </c>
      <c r="M25" s="70">
        <f>+M23+M21</f>
        <v>0</v>
      </c>
      <c r="N25" s="22"/>
      <c r="O25" s="23">
        <f>+O23+O21</f>
        <v>0</v>
      </c>
      <c r="P25" s="1"/>
      <c r="Q25" s="28">
        <f>+Q23+Q21</f>
        <v>16045459.657920504</v>
      </c>
      <c r="R25" s="21">
        <f>+R23+R21</f>
        <v>0</v>
      </c>
      <c r="S25" s="21">
        <f>+S23+S21</f>
        <v>0</v>
      </c>
      <c r="T25" s="21">
        <f>+T23+T21</f>
        <v>0</v>
      </c>
      <c r="U25" s="22"/>
      <c r="V25" s="23">
        <f>+V23+V21</f>
        <v>16045459.657920504</v>
      </c>
    </row>
    <row r="26" spans="1:22" x14ac:dyDescent="0.2">
      <c r="A26" s="6"/>
      <c r="B26" s="8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8"/>
      <c r="O26" s="8"/>
      <c r="P26" s="1"/>
      <c r="Q26" s="8"/>
      <c r="R26" s="8"/>
      <c r="S26" s="8"/>
      <c r="T26" s="8"/>
      <c r="U26" s="8"/>
      <c r="V26" s="8"/>
    </row>
    <row r="27" spans="1:22" ht="13.5" thickBot="1" x14ac:dyDescent="0.25">
      <c r="A27" s="6"/>
      <c r="B27" s="8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8"/>
      <c r="O27" s="8"/>
      <c r="P27" s="1"/>
      <c r="Q27" s="8"/>
      <c r="R27" s="8"/>
      <c r="S27" s="8"/>
      <c r="T27" s="8"/>
      <c r="U27" s="8"/>
      <c r="V27" s="8"/>
    </row>
    <row r="28" spans="1:22" ht="15" x14ac:dyDescent="0.35">
      <c r="A28" s="10" t="s">
        <v>23</v>
      </c>
      <c r="B28" s="3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34"/>
      <c r="O28" s="35"/>
      <c r="P28" s="1"/>
      <c r="Q28" s="36" t="str">
        <f>+A28</f>
        <v>BY AREA/TRADER:</v>
      </c>
      <c r="R28" s="34"/>
      <c r="S28" s="34"/>
      <c r="T28" s="34"/>
      <c r="U28" s="34"/>
      <c r="V28" s="35"/>
    </row>
    <row r="29" spans="1:22" x14ac:dyDescent="0.2">
      <c r="A29" s="17" t="s">
        <v>27</v>
      </c>
      <c r="B29" s="56">
        <f>+B7+B9+B15+B14</f>
        <v>5290530.120000001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8"/>
      <c r="O29" s="18">
        <f>SUM(B29:N29)</f>
        <v>5290530.120000001</v>
      </c>
      <c r="P29" s="3"/>
      <c r="Q29" s="27">
        <f>+SUM(B29:D29)</f>
        <v>5290530.120000001</v>
      </c>
      <c r="R29" s="8">
        <f>+SUM(E29:G29)</f>
        <v>0</v>
      </c>
      <c r="S29" s="8">
        <f>+SUM(H29:J29)</f>
        <v>0</v>
      </c>
      <c r="T29" s="8">
        <f>+SUM(K29:M29)</f>
        <v>0</v>
      </c>
      <c r="U29" s="8"/>
      <c r="V29" s="18">
        <f>SUM(Q29:U29)</f>
        <v>5290530.120000001</v>
      </c>
    </row>
    <row r="30" spans="1:22" x14ac:dyDescent="0.2">
      <c r="A30" s="17" t="s">
        <v>33</v>
      </c>
      <c r="B30" s="59">
        <f>+B8</f>
        <v>3582468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8"/>
      <c r="O30" s="18">
        <f>SUM(B30:N30)</f>
        <v>3582468</v>
      </c>
      <c r="P30" s="3"/>
      <c r="Q30" s="27">
        <f>+SUM(B30:D30)</f>
        <v>3582468</v>
      </c>
      <c r="R30" s="8">
        <f>+SUM(E30:G30)</f>
        <v>0</v>
      </c>
      <c r="S30" s="8">
        <f>+SUM(H30:J30)</f>
        <v>0</v>
      </c>
      <c r="T30" s="8">
        <f>+SUM(K30:M30)</f>
        <v>0</v>
      </c>
      <c r="U30" s="8"/>
      <c r="V30" s="18">
        <f>SUM(Q30:U30)</f>
        <v>3582468</v>
      </c>
    </row>
    <row r="31" spans="1:22" x14ac:dyDescent="0.2">
      <c r="A31" s="17" t="s">
        <v>24</v>
      </c>
      <c r="B31" s="57">
        <f>+B10+B16</f>
        <v>-367761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8"/>
      <c r="O31" s="18">
        <f>SUM(B31:N31)</f>
        <v>-367761</v>
      </c>
      <c r="P31" s="3"/>
      <c r="Q31" s="27">
        <f>+SUM(B31:D31)</f>
        <v>-367761</v>
      </c>
      <c r="R31" s="8">
        <f>+SUM(E31:G31)</f>
        <v>0</v>
      </c>
      <c r="S31" s="8">
        <f>+SUM(H31:J31)</f>
        <v>0</v>
      </c>
      <c r="T31" s="8">
        <f>+SUM(K31:M31)</f>
        <v>0</v>
      </c>
      <c r="U31" s="8"/>
      <c r="V31" s="18">
        <f>SUM(Q31:U31)</f>
        <v>-367761</v>
      </c>
    </row>
    <row r="32" spans="1:22" x14ac:dyDescent="0.2">
      <c r="A32" s="17" t="s">
        <v>25</v>
      </c>
      <c r="B32" s="58">
        <f>+B12</f>
        <v>2563905.4379205047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8"/>
      <c r="O32" s="18">
        <f>SUM(B32:N32)</f>
        <v>2563905.4379205047</v>
      </c>
      <c r="P32" s="3"/>
      <c r="Q32" s="27">
        <f>+SUM(B32:D32)</f>
        <v>2563905.4379205047</v>
      </c>
      <c r="R32" s="8">
        <f>+SUM(E32:G32)</f>
        <v>0</v>
      </c>
      <c r="S32" s="8">
        <f>+SUM(H32:J32)</f>
        <v>0</v>
      </c>
      <c r="T32" s="8">
        <f>+SUM(K32:M32)</f>
        <v>0</v>
      </c>
      <c r="U32" s="8"/>
      <c r="V32" s="18">
        <f>SUM(Q32:U32)</f>
        <v>2563905.4379205047</v>
      </c>
    </row>
    <row r="33" spans="1:22" x14ac:dyDescent="0.2">
      <c r="A33" s="17" t="s">
        <v>26</v>
      </c>
      <c r="B33" s="65">
        <f>+B13</f>
        <v>4976317.0999999996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8"/>
      <c r="O33" s="18">
        <f>SUM(B33:N33)</f>
        <v>4976317.0999999996</v>
      </c>
      <c r="P33" s="3"/>
      <c r="Q33" s="27">
        <f>+SUM(B33:D33)</f>
        <v>4976317.0999999996</v>
      </c>
      <c r="R33" s="8">
        <f>+SUM(E33:G33)</f>
        <v>0</v>
      </c>
      <c r="S33" s="8">
        <f>+SUM(H33:J33)</f>
        <v>0</v>
      </c>
      <c r="T33" s="8">
        <f>+SUM(K33:M33)</f>
        <v>0</v>
      </c>
      <c r="U33" s="8"/>
      <c r="V33" s="18">
        <f>SUM(Q33:U33)</f>
        <v>4976317.0999999996</v>
      </c>
    </row>
    <row r="34" spans="1:22" ht="13.5" thickBot="1" x14ac:dyDescent="0.25">
      <c r="A34" s="20" t="s">
        <v>14</v>
      </c>
      <c r="B34" s="21">
        <f t="shared" ref="B34:M34" si="9">SUM(B29:B33)</f>
        <v>16045459.657920506</v>
      </c>
      <c r="C34" s="21">
        <f t="shared" si="9"/>
        <v>0</v>
      </c>
      <c r="D34" s="21">
        <f t="shared" si="9"/>
        <v>0</v>
      </c>
      <c r="E34" s="21">
        <f t="shared" si="9"/>
        <v>0</v>
      </c>
      <c r="F34" s="21">
        <f t="shared" si="9"/>
        <v>0</v>
      </c>
      <c r="G34" s="21">
        <f t="shared" si="9"/>
        <v>0</v>
      </c>
      <c r="H34" s="21">
        <f t="shared" si="9"/>
        <v>0</v>
      </c>
      <c r="I34" s="21">
        <f t="shared" si="9"/>
        <v>0</v>
      </c>
      <c r="J34" s="21">
        <f t="shared" si="9"/>
        <v>0</v>
      </c>
      <c r="K34" s="21">
        <f t="shared" si="9"/>
        <v>0</v>
      </c>
      <c r="L34" s="21">
        <f t="shared" si="9"/>
        <v>0</v>
      </c>
      <c r="M34" s="21">
        <f t="shared" si="9"/>
        <v>0</v>
      </c>
      <c r="N34" s="22"/>
      <c r="O34" s="23">
        <f>SUM(O29:O33)</f>
        <v>16045459.657920506</v>
      </c>
      <c r="P34" s="3"/>
      <c r="Q34" s="28">
        <f>SUM(Q29:Q33)</f>
        <v>16045459.657920506</v>
      </c>
      <c r="R34" s="21">
        <f>SUM(R29:R33)</f>
        <v>0</v>
      </c>
      <c r="S34" s="21">
        <f>SUM(S29:S33)</f>
        <v>0</v>
      </c>
      <c r="T34" s="21">
        <f>SUM(T29:T33)</f>
        <v>0</v>
      </c>
      <c r="U34" s="22"/>
      <c r="V34" s="23">
        <f>SUM(V29:V33)</f>
        <v>16045459.657920506</v>
      </c>
    </row>
    <row r="35" spans="1:22" hidden="1" x14ac:dyDescent="0.2">
      <c r="A35" t="s">
        <v>3</v>
      </c>
      <c r="B35" s="3">
        <f t="shared" ref="B35:M35" si="10">+B34-B17</f>
        <v>0</v>
      </c>
      <c r="C35" s="3">
        <f t="shared" si="10"/>
        <v>0</v>
      </c>
      <c r="D35" s="3">
        <f t="shared" si="10"/>
        <v>0</v>
      </c>
      <c r="E35" s="3">
        <f t="shared" si="10"/>
        <v>0</v>
      </c>
      <c r="F35" s="3">
        <f t="shared" si="10"/>
        <v>0</v>
      </c>
      <c r="G35" s="3">
        <f t="shared" si="10"/>
        <v>0</v>
      </c>
      <c r="H35" s="3">
        <f t="shared" si="10"/>
        <v>0</v>
      </c>
      <c r="I35" s="3">
        <f t="shared" si="10"/>
        <v>0</v>
      </c>
      <c r="J35" s="3">
        <f t="shared" si="10"/>
        <v>0</v>
      </c>
      <c r="K35" s="3">
        <f t="shared" si="10"/>
        <v>0</v>
      </c>
      <c r="L35" s="3">
        <f t="shared" si="10"/>
        <v>0</v>
      </c>
      <c r="M35" s="3">
        <f t="shared" si="10"/>
        <v>0</v>
      </c>
      <c r="N35" s="3"/>
      <c r="O35" s="3"/>
      <c r="P35" s="3"/>
      <c r="Q35" s="3">
        <f>+Q34-Q17</f>
        <v>0</v>
      </c>
      <c r="R35" s="3">
        <f>+R34-R17</f>
        <v>0</v>
      </c>
      <c r="S35" s="3">
        <f>+S34-S17</f>
        <v>0</v>
      </c>
      <c r="T35" s="3">
        <f>+T34-T17</f>
        <v>0</v>
      </c>
      <c r="U35" s="3"/>
      <c r="V35" s="3"/>
    </row>
    <row r="36" spans="1:22" x14ac:dyDescent="0.2">
      <c r="O36" s="1">
        <f>+O34-O25</f>
        <v>16045459.657920506</v>
      </c>
      <c r="U36" s="6"/>
    </row>
    <row r="37" spans="1:22" x14ac:dyDescent="0.2">
      <c r="U37" s="6"/>
    </row>
    <row r="38" spans="1:22" x14ac:dyDescent="0.2">
      <c r="U38" s="6"/>
    </row>
    <row r="39" spans="1:22" x14ac:dyDescent="0.2">
      <c r="U39" s="6"/>
    </row>
    <row r="40" spans="1:22" x14ac:dyDescent="0.2">
      <c r="U40" s="6"/>
    </row>
    <row r="41" spans="1:22" x14ac:dyDescent="0.2">
      <c r="U41" s="6"/>
    </row>
    <row r="42" spans="1:22" x14ac:dyDescent="0.2">
      <c r="U42" s="6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</sheetData>
  <pageMargins left="0.75" right="0.75" top="1" bottom="1" header="0.5" footer="0.5"/>
  <pageSetup paperSize="5"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 to Houston</vt:lpstr>
      <vt:lpstr>SUM-USD</vt:lpstr>
      <vt:lpstr>SUM - C$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cp:lastPrinted>2000-12-08T00:10:50Z</cp:lastPrinted>
  <dcterms:created xsi:type="dcterms:W3CDTF">2000-10-27T20:37:45Z</dcterms:created>
  <dcterms:modified xsi:type="dcterms:W3CDTF">2014-09-04T13:34:21Z</dcterms:modified>
</cp:coreProperties>
</file>