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848"/>
  </bookViews>
  <sheets>
    <sheet name="Hotlist - Identified " sheetId="21" r:id="rId1"/>
    <sheet name="Hotlist - Completed" sheetId="22" r:id="rId2"/>
  </sheets>
  <externalReferences>
    <externalReference r:id="rId3"/>
    <externalReference r:id="rId4"/>
  </externalReferences>
  <definedNames>
    <definedName name="_xlnm.Print_Area" localSheetId="1">'Hotlist - Completed'!$A$1:$M$65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2" l="1"/>
  <c r="E9" i="22"/>
  <c r="K9" i="22"/>
  <c r="C11" i="22"/>
  <c r="G11" i="22" s="1"/>
  <c r="E11" i="22"/>
  <c r="I11" i="22"/>
  <c r="K11" i="22"/>
  <c r="M11" i="22" s="1"/>
  <c r="E15" i="22"/>
  <c r="C18" i="22"/>
  <c r="E18" i="22"/>
  <c r="G18" i="22"/>
  <c r="K21" i="22"/>
  <c r="K22" i="22"/>
  <c r="E24" i="22"/>
  <c r="E26" i="22" s="1"/>
  <c r="C26" i="22"/>
  <c r="I26" i="22"/>
  <c r="M26" i="22" s="1"/>
  <c r="K26" i="22"/>
  <c r="E31" i="22"/>
  <c r="K32" i="22"/>
  <c r="C33" i="22"/>
  <c r="G33" i="22" s="1"/>
  <c r="E33" i="22"/>
  <c r="I34" i="22"/>
  <c r="M34" i="22" s="1"/>
  <c r="K34" i="22"/>
  <c r="E37" i="22"/>
  <c r="K40" i="22"/>
  <c r="C41" i="22"/>
  <c r="G41" i="22" s="1"/>
  <c r="E41" i="22"/>
  <c r="I42" i="22"/>
  <c r="M42" i="22" s="1"/>
  <c r="K42" i="22"/>
  <c r="K46" i="22"/>
  <c r="K56" i="22" s="1"/>
  <c r="I48" i="22"/>
  <c r="M48" i="22" s="1"/>
  <c r="K48" i="22"/>
  <c r="K54" i="22"/>
  <c r="E55" i="22"/>
  <c r="E57" i="22" s="1"/>
  <c r="I56" i="22"/>
  <c r="C57" i="22"/>
  <c r="G57" i="22" s="1"/>
  <c r="K60" i="22"/>
  <c r="K62" i="22" s="1"/>
  <c r="E61" i="22"/>
  <c r="E63" i="22" s="1"/>
  <c r="I62" i="22"/>
  <c r="C63" i="22"/>
  <c r="C64" i="22"/>
  <c r="C65" i="22"/>
  <c r="E6" i="21"/>
  <c r="H6" i="21"/>
  <c r="K6" i="21"/>
  <c r="N6" i="21"/>
  <c r="Q6" i="21"/>
  <c r="C30" i="21"/>
  <c r="E30" i="21" s="1"/>
  <c r="D30" i="21"/>
  <c r="G30" i="21"/>
  <c r="H30" i="21" s="1"/>
  <c r="J30" i="21"/>
  <c r="K30" i="21"/>
  <c r="M30" i="21"/>
  <c r="O30" i="21"/>
  <c r="P30" i="21"/>
  <c r="Q30" i="21" s="1"/>
  <c r="E31" i="21"/>
  <c r="H31" i="21"/>
  <c r="H181" i="21" s="1"/>
  <c r="K31" i="21"/>
  <c r="K181" i="21" s="1"/>
  <c r="N31" i="21"/>
  <c r="Q31" i="21"/>
  <c r="C42" i="21"/>
  <c r="L42" i="21" s="1"/>
  <c r="D42" i="21"/>
  <c r="E42" i="21" s="1"/>
  <c r="G42" i="21"/>
  <c r="H42" i="21"/>
  <c r="J42" i="21"/>
  <c r="K42" i="21"/>
  <c r="O42" i="21"/>
  <c r="P42" i="21"/>
  <c r="Q42" i="21"/>
  <c r="E43" i="21"/>
  <c r="E181" i="21" s="1"/>
  <c r="H43" i="21"/>
  <c r="N43" i="21" s="1"/>
  <c r="K43" i="21"/>
  <c r="Q43" i="21"/>
  <c r="D45" i="21"/>
  <c r="C56" i="21"/>
  <c r="L56" i="21" s="1"/>
  <c r="D56" i="21"/>
  <c r="M56" i="21" s="1"/>
  <c r="N56" i="21" s="1"/>
  <c r="E56" i="21"/>
  <c r="G56" i="21"/>
  <c r="H56" i="21" s="1"/>
  <c r="J56" i="21"/>
  <c r="K56" i="21"/>
  <c r="O56" i="21"/>
  <c r="P56" i="21"/>
  <c r="Q56" i="21" s="1"/>
  <c r="E57" i="21"/>
  <c r="H57" i="21"/>
  <c r="N57" i="21" s="1"/>
  <c r="K57" i="21"/>
  <c r="Q57" i="21"/>
  <c r="C66" i="21"/>
  <c r="L66" i="21" s="1"/>
  <c r="D66" i="21"/>
  <c r="M66" i="21" s="1"/>
  <c r="N66" i="21" s="1"/>
  <c r="G66" i="21"/>
  <c r="H66" i="21"/>
  <c r="J66" i="21"/>
  <c r="K66" i="21"/>
  <c r="O66" i="21"/>
  <c r="P66" i="21"/>
  <c r="Q66" i="21"/>
  <c r="E67" i="21"/>
  <c r="H67" i="21"/>
  <c r="K67" i="21"/>
  <c r="N67" i="21"/>
  <c r="Q67" i="21"/>
  <c r="Q181" i="21" s="1"/>
  <c r="C80" i="21"/>
  <c r="D80" i="21"/>
  <c r="M80" i="21" s="1"/>
  <c r="N80" i="21" s="1"/>
  <c r="E80" i="21"/>
  <c r="G80" i="21"/>
  <c r="H80" i="21"/>
  <c r="J80" i="21"/>
  <c r="K80" i="21"/>
  <c r="L80" i="21"/>
  <c r="O80" i="21"/>
  <c r="Q80" i="21" s="1"/>
  <c r="P80" i="21"/>
  <c r="E81" i="21"/>
  <c r="H81" i="21"/>
  <c r="K81" i="21"/>
  <c r="N81" i="21" s="1"/>
  <c r="Q81" i="21"/>
  <c r="C92" i="21"/>
  <c r="E92" i="21" s="1"/>
  <c r="D92" i="21"/>
  <c r="G92" i="21"/>
  <c r="M92" i="21" s="1"/>
  <c r="H92" i="21"/>
  <c r="J92" i="21"/>
  <c r="K92" i="21" s="1"/>
  <c r="O92" i="21"/>
  <c r="P92" i="21"/>
  <c r="Q92" i="21"/>
  <c r="E93" i="21"/>
  <c r="N93" i="21" s="1"/>
  <c r="H93" i="21"/>
  <c r="K93" i="21"/>
  <c r="Q93" i="21"/>
  <c r="C99" i="21"/>
  <c r="L99" i="21" s="1"/>
  <c r="D99" i="21"/>
  <c r="M99" i="21" s="1"/>
  <c r="N99" i="21" s="1"/>
  <c r="E99" i="21"/>
  <c r="G99" i="21"/>
  <c r="H99" i="21" s="1"/>
  <c r="J99" i="21"/>
  <c r="K99" i="21"/>
  <c r="O99" i="21"/>
  <c r="P99" i="21"/>
  <c r="Q99" i="21" s="1"/>
  <c r="E100" i="21"/>
  <c r="H100" i="21"/>
  <c r="N100" i="21" s="1"/>
  <c r="K100" i="21"/>
  <c r="Q100" i="21"/>
  <c r="C107" i="21"/>
  <c r="L107" i="21" s="1"/>
  <c r="D107" i="21"/>
  <c r="E107" i="21" s="1"/>
  <c r="G107" i="21"/>
  <c r="H107" i="21"/>
  <c r="J107" i="21"/>
  <c r="K107" i="21"/>
  <c r="O107" i="21"/>
  <c r="P107" i="21"/>
  <c r="Q107" i="21"/>
  <c r="N108" i="21"/>
  <c r="C131" i="21"/>
  <c r="D131" i="21"/>
  <c r="E131" i="21"/>
  <c r="F131" i="21"/>
  <c r="L131" i="21" s="1"/>
  <c r="N131" i="21" s="1"/>
  <c r="G131" i="21"/>
  <c r="I131" i="21"/>
  <c r="K131" i="21" s="1"/>
  <c r="J131" i="21"/>
  <c r="M131" i="21"/>
  <c r="P131" i="21"/>
  <c r="N132" i="21"/>
  <c r="C141" i="21"/>
  <c r="D141" i="21"/>
  <c r="E141" i="21"/>
  <c r="F141" i="21"/>
  <c r="L141" i="21" s="1"/>
  <c r="N141" i="21" s="1"/>
  <c r="G141" i="21"/>
  <c r="I141" i="21"/>
  <c r="K141" i="21" s="1"/>
  <c r="J141" i="21"/>
  <c r="M141" i="21"/>
  <c r="P141" i="21"/>
  <c r="E142" i="21"/>
  <c r="H142" i="21"/>
  <c r="K142" i="21"/>
  <c r="N142" i="21"/>
  <c r="Q142" i="21"/>
  <c r="C149" i="21"/>
  <c r="D149" i="21"/>
  <c r="M149" i="21" s="1"/>
  <c r="N149" i="21" s="1"/>
  <c r="E149" i="21"/>
  <c r="G149" i="21"/>
  <c r="H149" i="21"/>
  <c r="J149" i="21"/>
  <c r="K149" i="21"/>
  <c r="L149" i="21"/>
  <c r="O149" i="21"/>
  <c r="Q149" i="21" s="1"/>
  <c r="P149" i="21"/>
  <c r="E150" i="21"/>
  <c r="H150" i="21"/>
  <c r="K150" i="21"/>
  <c r="N150" i="21" s="1"/>
  <c r="Q150" i="21"/>
  <c r="C159" i="21"/>
  <c r="E159" i="21" s="1"/>
  <c r="D159" i="21"/>
  <c r="G159" i="21"/>
  <c r="M159" i="21" s="1"/>
  <c r="H159" i="21"/>
  <c r="J159" i="21"/>
  <c r="K159" i="21" s="1"/>
  <c r="O159" i="21"/>
  <c r="P159" i="21"/>
  <c r="Q159" i="21"/>
  <c r="E160" i="21"/>
  <c r="N160" i="21" s="1"/>
  <c r="H160" i="21"/>
  <c r="K160" i="21"/>
  <c r="Q160" i="21"/>
  <c r="C172" i="21"/>
  <c r="L172" i="21" s="1"/>
  <c r="D172" i="21"/>
  <c r="M172" i="21" s="1"/>
  <c r="N172" i="21" s="1"/>
  <c r="E172" i="21"/>
  <c r="G172" i="21"/>
  <c r="H172" i="21" s="1"/>
  <c r="J172" i="21"/>
  <c r="K172" i="21"/>
  <c r="O172" i="21"/>
  <c r="P172" i="21"/>
  <c r="Q172" i="21" s="1"/>
  <c r="E173" i="21"/>
  <c r="H173" i="21"/>
  <c r="N173" i="21" s="1"/>
  <c r="K173" i="21"/>
  <c r="Q173" i="21"/>
  <c r="C178" i="21"/>
  <c r="C180" i="21" s="1"/>
  <c r="D178" i="21"/>
  <c r="D180" i="21" s="1"/>
  <c r="E180" i="21" s="1"/>
  <c r="G178" i="21"/>
  <c r="H178" i="21"/>
  <c r="J178" i="21"/>
  <c r="K178" i="21"/>
  <c r="O178" i="21"/>
  <c r="P178" i="21"/>
  <c r="P180" i="21" s="1"/>
  <c r="Q178" i="21"/>
  <c r="G180" i="21"/>
  <c r="G63" i="22" l="1"/>
  <c r="Q141" i="21"/>
  <c r="M62" i="22"/>
  <c r="G26" i="22"/>
  <c r="N30" i="21"/>
  <c r="K64" i="22"/>
  <c r="N181" i="21"/>
  <c r="M56" i="22"/>
  <c r="M178" i="21"/>
  <c r="M107" i="21"/>
  <c r="N107" i="21" s="1"/>
  <c r="L30" i="21"/>
  <c r="I64" i="22"/>
  <c r="M64" i="22" s="1"/>
  <c r="L178" i="21"/>
  <c r="J180" i="21"/>
  <c r="I180" i="21"/>
  <c r="L159" i="21"/>
  <c r="N159" i="21" s="1"/>
  <c r="H141" i="21"/>
  <c r="H131" i="21"/>
  <c r="L92" i="21"/>
  <c r="N92" i="21" s="1"/>
  <c r="M42" i="21"/>
  <c r="N42" i="21" s="1"/>
  <c r="E178" i="21"/>
  <c r="O141" i="21"/>
  <c r="O131" i="21"/>
  <c r="Q131" i="21" s="1"/>
  <c r="E66" i="21"/>
  <c r="F180" i="21"/>
  <c r="H180" i="21" s="1"/>
  <c r="M180" i="21" l="1"/>
  <c r="N178" i="21"/>
  <c r="K180" i="21"/>
  <c r="O180" i="21"/>
  <c r="Q180" i="21" s="1"/>
  <c r="L180" i="21"/>
  <c r="N180" i="21" l="1"/>
</calcChain>
</file>

<file path=xl/sharedStrings.xml><?xml version="1.0" encoding="utf-8"?>
<sst xmlns="http://schemas.openxmlformats.org/spreadsheetml/2006/main" count="702" uniqueCount="286">
  <si>
    <t>Mexico</t>
  </si>
  <si>
    <t>Office of the Chairman</t>
  </si>
  <si>
    <t>Principal Investing</t>
  </si>
  <si>
    <t>CTG</t>
  </si>
  <si>
    <t>East Midstream</t>
  </si>
  <si>
    <t>West Midstream</t>
  </si>
  <si>
    <t>Assets</t>
  </si>
  <si>
    <t>Canada</t>
  </si>
  <si>
    <t>CTG Assets</t>
  </si>
  <si>
    <t>Motown</t>
  </si>
  <si>
    <t>DRS</t>
  </si>
  <si>
    <t>Mission Restructure</t>
  </si>
  <si>
    <t>Pacific Forrest Resources</t>
  </si>
  <si>
    <t>Grupo Editorale Espresso</t>
  </si>
  <si>
    <t>Pacifica</t>
  </si>
  <si>
    <t>North Central Oil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</si>
  <si>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</si>
  <si>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</si>
  <si>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</si>
  <si>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</si>
  <si>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</si>
  <si>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</si>
  <si>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</si>
  <si>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</si>
  <si>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</si>
  <si>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</si>
  <si>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</si>
  <si>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</si>
  <si>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</si>
  <si>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</si>
  <si>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</si>
  <si>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</si>
  <si>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</si>
  <si>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</si>
  <si>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</si>
  <si>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</si>
  <si>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MYPA-Holtsville</t>
  </si>
  <si>
    <t>Dynegy</t>
  </si>
  <si>
    <t>Principal</t>
  </si>
  <si>
    <t>Investing</t>
  </si>
  <si>
    <t>Energy</t>
  </si>
  <si>
    <t>EEX Insurance</t>
  </si>
  <si>
    <t>LGE Canada Tax Pools</t>
  </si>
  <si>
    <t>Invasion</t>
  </si>
  <si>
    <t>Beau Canada</t>
  </si>
  <si>
    <t>Petro-Canada</t>
  </si>
  <si>
    <t>Place</t>
  </si>
  <si>
    <t>Petro-Canada(Incentive)</t>
  </si>
  <si>
    <t>British Energy PPA</t>
  </si>
  <si>
    <t>PML</t>
  </si>
  <si>
    <t>Startech</t>
  </si>
  <si>
    <t>Alberta PPA Auction</t>
  </si>
  <si>
    <t>Ontario NUG's</t>
  </si>
  <si>
    <t>G6</t>
  </si>
  <si>
    <t>ENERconnect</t>
  </si>
  <si>
    <t>Blue Range Recovery</t>
  </si>
  <si>
    <t>York BNY</t>
  </si>
  <si>
    <t>Coyote Springs 2</t>
  </si>
  <si>
    <t>Avista Power</t>
  </si>
  <si>
    <t>PSCo</t>
  </si>
  <si>
    <t>Cascade</t>
  </si>
  <si>
    <t>Pastoria</t>
  </si>
  <si>
    <t>LV Cogen Development</t>
  </si>
  <si>
    <t>Roseville</t>
  </si>
  <si>
    <t>Aera</t>
  </si>
  <si>
    <t>Santa Clara</t>
  </si>
  <si>
    <t>Alamac</t>
  </si>
  <si>
    <t>PSEG</t>
  </si>
  <si>
    <t>New Jersey Natural</t>
  </si>
  <si>
    <t>Chicago-Gas</t>
  </si>
  <si>
    <t>FOG</t>
  </si>
  <si>
    <t>Chicago-Hub</t>
  </si>
  <si>
    <t>Baltimore G&amp;E</t>
  </si>
  <si>
    <t>North Central Oil Corp</t>
  </si>
  <si>
    <t>DEALS IDENTIFIED</t>
  </si>
  <si>
    <t>Over/</t>
  </si>
  <si>
    <t>Under</t>
  </si>
  <si>
    <t>Totals</t>
  </si>
  <si>
    <t>GE Plastics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</si>
  <si>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</si>
  <si>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</si>
  <si>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</si>
  <si>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</si>
  <si>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</si>
  <si>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</si>
  <si>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</si>
  <si>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Smith Production</t>
  </si>
  <si>
    <t>Equity Oil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</si>
  <si>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</si>
  <si>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</si>
  <si>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</si>
  <si>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</si>
  <si>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</si>
  <si>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</si>
  <si>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</si>
  <si>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</si>
  <si>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</si>
  <si>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</si>
  <si>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</si>
  <si>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</si>
  <si>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</si>
  <si>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</si>
  <si>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</si>
  <si>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</si>
  <si>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</si>
  <si>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</si>
  <si>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</si>
  <si>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</si>
  <si>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AMCI</t>
  </si>
  <si>
    <t>EOL Auction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</si>
  <si>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</si>
  <si>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</si>
  <si>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</si>
  <si>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</si>
  <si>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</si>
  <si>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</si>
  <si>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</si>
  <si>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</si>
  <si>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</si>
  <si>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</si>
  <si>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Great River</t>
  </si>
  <si>
    <t>Project Green Jacket</t>
  </si>
  <si>
    <t>Tecate/Corona</t>
  </si>
  <si>
    <t>Pomona</t>
  </si>
  <si>
    <t>Newark</t>
  </si>
  <si>
    <t>Project Riviera</t>
  </si>
  <si>
    <t>Westvaco</t>
  </si>
  <si>
    <t>Stora Enso</t>
  </si>
  <si>
    <t>Massey</t>
  </si>
  <si>
    <t>Coal Origination &amp; Finance</t>
  </si>
  <si>
    <t>Metering Technology Corp</t>
  </si>
  <si>
    <t>Tridium</t>
  </si>
  <si>
    <t>Dais Analytic</t>
  </si>
  <si>
    <t>Syntroleum</t>
  </si>
  <si>
    <t>Engine World</t>
  </si>
  <si>
    <t>Active Power</t>
  </si>
  <si>
    <t>IFC</t>
  </si>
  <si>
    <t>First World</t>
  </si>
  <si>
    <t>Encorp</t>
  </si>
  <si>
    <t>Arco Permian</t>
  </si>
  <si>
    <t>20/20</t>
  </si>
  <si>
    <t>TCC Auction</t>
  </si>
  <si>
    <t>British Steel-Redcar</t>
  </si>
  <si>
    <t>DPR</t>
  </si>
  <si>
    <t xml:space="preserve">Coal </t>
  </si>
  <si>
    <t>Origination &amp; Finance</t>
  </si>
  <si>
    <t>Capital Resources</t>
  </si>
  <si>
    <t>the Chairman</t>
  </si>
  <si>
    <t>Trading</t>
  </si>
  <si>
    <t>EES London</t>
  </si>
  <si>
    <t>FAPSA</t>
  </si>
  <si>
    <t>Risk Management</t>
  </si>
  <si>
    <t>FERSINSA</t>
  </si>
  <si>
    <t>Unrealized Budget</t>
  </si>
  <si>
    <t>CRRA</t>
  </si>
  <si>
    <t>Project Tex Mex</t>
  </si>
  <si>
    <t>Project Silver Oak</t>
  </si>
  <si>
    <t>IMM Bulk Terminal</t>
  </si>
  <si>
    <t>Jupiter / Eagle Energy</t>
  </si>
  <si>
    <t>British Energy - UK</t>
  </si>
  <si>
    <t>Powder River Financing</t>
  </si>
  <si>
    <t>Western Gas Resources</t>
  </si>
  <si>
    <t>JM Hubert</t>
  </si>
  <si>
    <t>Rebox Mill</t>
  </si>
  <si>
    <t>Aectra / Short BTU Swap</t>
  </si>
  <si>
    <t>West Tacoma</t>
  </si>
  <si>
    <t>Inland (Orange)</t>
  </si>
  <si>
    <t>Inland (Rome)</t>
  </si>
  <si>
    <t>USEC</t>
  </si>
  <si>
    <t>AES</t>
  </si>
  <si>
    <t>Con Ed</t>
  </si>
  <si>
    <t>Con Ed Restructuring</t>
  </si>
  <si>
    <t>Total Deals Identified</t>
  </si>
  <si>
    <t>Tenaska - Cleeborne</t>
  </si>
  <si>
    <t>ANP</t>
  </si>
  <si>
    <t>Florida Power &amp; Light (FPL)</t>
  </si>
  <si>
    <t>Gas Alberta</t>
  </si>
  <si>
    <t>Enmax</t>
  </si>
  <si>
    <t>Enron/Austin Energy</t>
  </si>
  <si>
    <t>Investments</t>
  </si>
  <si>
    <t>2Q00 DEALS COMPLETED</t>
  </si>
  <si>
    <t>Budget</t>
  </si>
  <si>
    <t>Saxet Energy</t>
  </si>
  <si>
    <t>CP&amp;L</t>
  </si>
  <si>
    <t>Costilla</t>
  </si>
  <si>
    <t>Industrial Downstream</t>
  </si>
  <si>
    <t>Chusei</t>
  </si>
  <si>
    <t>EEX</t>
  </si>
  <si>
    <t>Energy Capital Resources</t>
  </si>
  <si>
    <t>CNR Pipe Assignment</t>
  </si>
  <si>
    <t>CNR Warrants</t>
  </si>
  <si>
    <t>CNR Warrants 2</t>
  </si>
  <si>
    <t>GRM New Products</t>
  </si>
  <si>
    <t>City of Austin</t>
  </si>
  <si>
    <t>Petrosource</t>
  </si>
  <si>
    <t>Treasure Island</t>
  </si>
  <si>
    <t>Project Liberty</t>
  </si>
  <si>
    <t>Project Margin Call</t>
  </si>
  <si>
    <t>Project Chesapeake</t>
  </si>
  <si>
    <t>Project Taft</t>
  </si>
  <si>
    <t>Project Mardi Gras</t>
  </si>
  <si>
    <t>Keyspan</t>
  </si>
  <si>
    <t>Generation / IPP</t>
  </si>
  <si>
    <t>Freight Liner</t>
  </si>
  <si>
    <t>SynFuel - Sempra</t>
  </si>
  <si>
    <t>AES - UK</t>
  </si>
  <si>
    <t>CFE - Mexico</t>
  </si>
  <si>
    <t>LNG</t>
  </si>
  <si>
    <t>Smurfit Stone - Pontiac</t>
  </si>
  <si>
    <t>Niagara Parkway Optionality</t>
  </si>
  <si>
    <t>Aggregate Deals &lt; $200K</t>
  </si>
  <si>
    <t>Gallup</t>
  </si>
  <si>
    <t>4 Accrual Deals</t>
  </si>
  <si>
    <t>Results based on Activity through June 16, 2000</t>
  </si>
  <si>
    <t>SynFuel - AJG</t>
  </si>
  <si>
    <t>Cline-Panther</t>
  </si>
  <si>
    <t>Drummond - Carbocol</t>
  </si>
  <si>
    <t>RR Marketing JV - USA</t>
  </si>
  <si>
    <t>Utiliquest (Byer's Locate)</t>
  </si>
  <si>
    <t>Power Systems MFG</t>
  </si>
  <si>
    <t>Abitibi Bridgewater</t>
  </si>
  <si>
    <t>West QF's</t>
  </si>
  <si>
    <t>Palm Springs/SSF</t>
  </si>
  <si>
    <t>Tri Valley</t>
  </si>
  <si>
    <t>Con Ed/QF</t>
  </si>
  <si>
    <t>AES / Calvert City</t>
  </si>
  <si>
    <t>Pitchbook</t>
  </si>
  <si>
    <t>Southern</t>
  </si>
  <si>
    <t>TVSG</t>
  </si>
  <si>
    <t>LM 6000's</t>
  </si>
  <si>
    <t>CIPCO's</t>
  </si>
  <si>
    <t>NYSEG</t>
  </si>
  <si>
    <t>Chicago HUB</t>
  </si>
  <si>
    <t>China Light &amp; Power</t>
  </si>
  <si>
    <t>Drummond</t>
  </si>
  <si>
    <t>SynFuel - Dycoal</t>
  </si>
  <si>
    <t>SynFuel - Pacificorp</t>
  </si>
  <si>
    <t>Generation Investments/IPP</t>
  </si>
  <si>
    <t>NYISO</t>
  </si>
  <si>
    <t>Northern Natural Gas Co</t>
  </si>
  <si>
    <t>ENA Bammel Emission Credit II</t>
  </si>
  <si>
    <t>Long Island Power Authority</t>
  </si>
  <si>
    <t>Murphy E &amp; P</t>
  </si>
  <si>
    <t>ANR Pipeline Company</t>
  </si>
  <si>
    <t>Amerada Hess Corp</t>
  </si>
  <si>
    <t>EEX Corporation</t>
  </si>
  <si>
    <t>Mariner</t>
  </si>
  <si>
    <t>Oakhill Pipeline Co</t>
  </si>
  <si>
    <t>Chiles Offshore</t>
  </si>
  <si>
    <t>Koch Energy Services</t>
  </si>
  <si>
    <t>HPL Resources - Rollover</t>
  </si>
  <si>
    <t>CNG Producing Co - Osprey #4</t>
  </si>
  <si>
    <t>HPL Resources - SW Speaks</t>
  </si>
  <si>
    <t>119 Deals under $250K</t>
  </si>
  <si>
    <t>13 Deals under $150K</t>
  </si>
  <si>
    <t>12 Deals under $250K</t>
  </si>
  <si>
    <t>Blackwater</t>
  </si>
  <si>
    <t>Colonial Gas Company</t>
  </si>
  <si>
    <t>NY State Electric &amp; Gas</t>
  </si>
  <si>
    <t>Sydkraft Konsult</t>
  </si>
  <si>
    <t>CNG</t>
  </si>
  <si>
    <t>Conoco Inc - Magnolia</t>
  </si>
  <si>
    <t>Conoco Inc</t>
  </si>
  <si>
    <t>EEX Corporation - Llano</t>
  </si>
  <si>
    <t>Vastar Resources</t>
  </si>
  <si>
    <t>Kinder Morgan</t>
  </si>
  <si>
    <t>New Century Energies</t>
  </si>
  <si>
    <t>Chicago Compression HUB</t>
  </si>
  <si>
    <t>Iroquois Gas Pipeline</t>
  </si>
  <si>
    <t>Mango</t>
  </si>
  <si>
    <t>Ocean Energy</t>
  </si>
  <si>
    <t>3 Accrual Deals</t>
  </si>
  <si>
    <t>United O &amp; M - Treating Alliance</t>
  </si>
  <si>
    <t>30 Deals under $250K</t>
  </si>
  <si>
    <t>Farmland Industries</t>
  </si>
  <si>
    <t>Bonneville Power Admin</t>
  </si>
  <si>
    <t>Horizon Pipeline Co</t>
  </si>
  <si>
    <t>Michigan Consol Gas Co</t>
  </si>
  <si>
    <t>Natural Gas Pipeline</t>
  </si>
  <si>
    <t>Trailblazer Pipeline Co</t>
  </si>
  <si>
    <t>NYSIO</t>
  </si>
  <si>
    <t>Other</t>
  </si>
  <si>
    <t>97 Deals Under 200K</t>
  </si>
  <si>
    <t>Upstream Originations</t>
  </si>
  <si>
    <t>HPL &amp; LRC</t>
  </si>
  <si>
    <t>HPL and 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</si>
</sst>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7" formatCode="&quot;$&quot;#,##0.0_);\(&quot;$&quot;#,##0.0\)"/>
  </numFmts>
  <fonts count="2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166" fontId="9" fillId="0" borderId="0" xfId="3" quotePrefix="1" applyNumberFormat="1" applyFont="1" applyFill="1" applyAlignment="1">
      <alignment horizontal="right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5" fontId="2" fillId="0" borderId="0" xfId="1" applyNumberFormat="1" applyFont="1" applyFill="1" applyBorder="1"/>
    <xf numFmtId="0" fontId="13" fillId="0" borderId="0" xfId="3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2" borderId="11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3" applyNumberFormat="1" applyFont="1" applyAlignment="1">
      <alignment horizontal="left"/>
    </xf>
    <xf numFmtId="37" fontId="21" fillId="0" borderId="8" xfId="1" applyNumberFormat="1" applyFont="1" applyBorder="1" applyAlignment="1">
      <alignment horizontal="righ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5" fontId="14" fillId="0" borderId="12" xfId="1" applyNumberFormat="1" applyFont="1" applyBorder="1" applyAlignment="1">
      <alignment horizontal="center"/>
    </xf>
    <xf numFmtId="165" fontId="14" fillId="0" borderId="13" xfId="1" applyNumberFormat="1" applyFont="1" applyBorder="1" applyAlignment="1">
      <alignment horizontal="center"/>
    </xf>
    <xf numFmtId="0" fontId="2" fillId="0" borderId="0" xfId="0" applyFont="1" applyBorder="1"/>
    <xf numFmtId="5" fontId="2" fillId="0" borderId="0" xfId="0" applyNumberFormat="1" applyFont="1"/>
    <xf numFmtId="5" fontId="24" fillId="0" borderId="14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  <xf numFmtId="0" fontId="2" fillId="0" borderId="1" xfId="0" applyFont="1" applyBorder="1"/>
    <xf numFmtId="165" fontId="3" fillId="0" borderId="1" xfId="1" applyNumberFormat="1" applyFont="1" applyBorder="1" applyAlignment="1"/>
    <xf numFmtId="37" fontId="2" fillId="0" borderId="0" xfId="0" applyNumberFormat="1" applyFont="1"/>
    <xf numFmtId="5" fontId="25" fillId="0" borderId="1" xfId="1" applyNumberFormat="1" applyFont="1" applyBorder="1" applyAlignment="1">
      <alignment horizontal="left"/>
    </xf>
    <xf numFmtId="165" fontId="26" fillId="0" borderId="0" xfId="1" applyNumberFormat="1" applyFont="1" applyFill="1" applyBorder="1" applyAlignment="1">
      <alignment horizontal="center"/>
    </xf>
    <xf numFmtId="5" fontId="26" fillId="0" borderId="2" xfId="1" applyNumberFormat="1" applyFont="1" applyFill="1" applyBorder="1" applyAlignment="1">
      <alignment horizontal="center"/>
    </xf>
    <xf numFmtId="0" fontId="25" fillId="0" borderId="0" xfId="3" applyFont="1"/>
    <xf numFmtId="165" fontId="25" fillId="0" borderId="1" xfId="1" applyNumberFormat="1" applyFont="1" applyBorder="1"/>
    <xf numFmtId="165" fontId="25" fillId="0" borderId="0" xfId="1" applyNumberFormat="1" applyFont="1" applyBorder="1"/>
    <xf numFmtId="5" fontId="25" fillId="0" borderId="1" xfId="1" applyNumberFormat="1" applyFont="1" applyFill="1" applyBorder="1"/>
    <xf numFmtId="165" fontId="25" fillId="0" borderId="0" xfId="1" applyNumberFormat="1" applyFont="1" applyFill="1" applyBorder="1"/>
    <xf numFmtId="5" fontId="25" fillId="0" borderId="2" xfId="1" applyNumberFormat="1" applyFont="1" applyFill="1" applyBorder="1"/>
    <xf numFmtId="165" fontId="25" fillId="0" borderId="0" xfId="1" applyNumberFormat="1" applyFont="1" applyBorder="1" applyAlignment="1">
      <alignment horizontal="left"/>
    </xf>
    <xf numFmtId="5" fontId="26" fillId="0" borderId="1" xfId="1" applyNumberFormat="1" applyFont="1" applyFill="1" applyBorder="1" applyAlignment="1">
      <alignment horizontal="center"/>
    </xf>
    <xf numFmtId="5" fontId="26" fillId="0" borderId="0" xfId="1" applyNumberFormat="1" applyFont="1" applyFill="1" applyBorder="1" applyAlignment="1">
      <alignment horizontal="center"/>
    </xf>
    <xf numFmtId="5" fontId="27" fillId="0" borderId="2" xfId="1" applyNumberFormat="1" applyFont="1" applyFill="1" applyBorder="1" applyAlignment="1">
      <alignment horizontal="right"/>
    </xf>
    <xf numFmtId="5" fontId="25" fillId="0" borderId="0" xfId="1" applyNumberFormat="1" applyFont="1" applyBorder="1"/>
    <xf numFmtId="5" fontId="25" fillId="0" borderId="1" xfId="1" applyNumberFormat="1" applyFont="1" applyBorder="1" applyAlignment="1"/>
    <xf numFmtId="165" fontId="25" fillId="0" borderId="0" xfId="1" applyNumberFormat="1" applyFont="1" applyBorder="1" applyAlignment="1"/>
    <xf numFmtId="5" fontId="28" fillId="2" borderId="14" xfId="2" applyNumberFormat="1" applyFont="1" applyFill="1" applyBorder="1"/>
    <xf numFmtId="169" fontId="28" fillId="2" borderId="5" xfId="2" applyNumberFormat="1" applyFont="1" applyFill="1" applyBorder="1"/>
    <xf numFmtId="5" fontId="28" fillId="2" borderId="5" xfId="2" applyNumberFormat="1" applyFont="1" applyFill="1" applyBorder="1"/>
    <xf numFmtId="5" fontId="28" fillId="2" borderId="11" xfId="2" applyNumberFormat="1" applyFont="1" applyFill="1" applyBorder="1"/>
    <xf numFmtId="165" fontId="25" fillId="0" borderId="1" xfId="1" applyNumberFormat="1" applyFont="1" applyBorder="1" applyAlignment="1"/>
    <xf numFmtId="177" fontId="26" fillId="0" borderId="0" xfId="1" applyNumberFormat="1" applyFont="1" applyFill="1" applyBorder="1" applyAlignment="1">
      <alignment horizontal="center"/>
    </xf>
    <xf numFmtId="177" fontId="25" fillId="0" borderId="0" xfId="1" applyNumberFormat="1" applyFont="1" applyFill="1"/>
    <xf numFmtId="5" fontId="25" fillId="0" borderId="0" xfId="1" applyNumberFormat="1" applyFont="1"/>
    <xf numFmtId="5" fontId="25" fillId="0" borderId="0" xfId="1" applyNumberFormat="1" applyFont="1" applyFill="1"/>
    <xf numFmtId="5" fontId="25" fillId="0" borderId="0" xfId="1" applyNumberFormat="1" applyFont="1" applyFill="1" applyBorder="1"/>
    <xf numFmtId="5" fontId="15" fillId="2" borderId="5" xfId="2" applyNumberFormat="1" applyFont="1" applyFill="1" applyBorder="1"/>
    <xf numFmtId="5" fontId="25" fillId="0" borderId="0" xfId="1" applyNumberFormat="1" applyFont="1" applyBorder="1" applyAlignment="1"/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2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3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Fill="1" applyBorder="1"/>
    <xf numFmtId="0" fontId="0" fillId="0" borderId="12" xfId="0" applyFill="1" applyBorder="1"/>
    <xf numFmtId="166" fontId="10" fillId="0" borderId="0" xfId="0" applyNumberFormat="1" applyFont="1" applyFill="1" applyAlignment="1">
      <alignment horizontal="right" vertical="top"/>
    </xf>
    <xf numFmtId="0" fontId="19" fillId="0" borderId="1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5" fontId="24" fillId="0" borderId="14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201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8201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4886325" y="723900"/>
          <a:ext cx="6343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Metrics/Metrics%2006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0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"/>
      <sheetName val="East"/>
      <sheetName val="West"/>
      <sheetName val="Downstream"/>
      <sheetName val="Generation"/>
      <sheetName val="Coal"/>
      <sheetName val="Canada"/>
      <sheetName val="New Products"/>
      <sheetName val="Mexico"/>
      <sheetName val=" Upstream Originations"/>
      <sheetName val="HPL&amp;LRC"/>
      <sheetName val="Principal Investing"/>
      <sheetName val="Energy Capital Res."/>
      <sheetName val="CTG Assets"/>
      <sheetName val="Chairman"/>
    </sheetNames>
    <sheetDataSet>
      <sheetData sheetId="0" refreshError="1"/>
      <sheetData sheetId="1">
        <row r="40">
          <cell r="F40">
            <v>0</v>
          </cell>
        </row>
      </sheetData>
      <sheetData sheetId="2">
        <row r="40">
          <cell r="F40">
            <v>0.50600000000000001</v>
          </cell>
        </row>
      </sheetData>
      <sheetData sheetId="3">
        <row r="40">
          <cell r="F40">
            <v>2.915</v>
          </cell>
        </row>
      </sheetData>
      <sheetData sheetId="4">
        <row r="40">
          <cell r="F40">
            <v>3.5499999999999989</v>
          </cell>
        </row>
      </sheetData>
      <sheetData sheetId="5">
        <row r="40">
          <cell r="F40">
            <v>0.223</v>
          </cell>
        </row>
      </sheetData>
      <sheetData sheetId="6">
        <row r="40">
          <cell r="F40">
            <v>2.2410000000000005</v>
          </cell>
        </row>
      </sheetData>
      <sheetData sheetId="7">
        <row r="40">
          <cell r="F40">
            <v>0.65300000000000002</v>
          </cell>
        </row>
      </sheetData>
      <sheetData sheetId="8">
        <row r="40">
          <cell r="F40">
            <v>2E-3</v>
          </cell>
        </row>
      </sheetData>
      <sheetData sheetId="9">
        <row r="40">
          <cell r="F40">
            <v>10.481999999999999</v>
          </cell>
        </row>
      </sheetData>
      <sheetData sheetId="10">
        <row r="40">
          <cell r="F40">
            <v>8.8649999999999984</v>
          </cell>
        </row>
      </sheetData>
      <sheetData sheetId="11">
        <row r="40">
          <cell r="F40">
            <v>-34.212000000000003</v>
          </cell>
        </row>
      </sheetData>
      <sheetData sheetId="12">
        <row r="40">
          <cell r="F40">
            <v>2.3250000000000002</v>
          </cell>
        </row>
      </sheetData>
      <sheetData sheetId="13">
        <row r="40">
          <cell r="F40">
            <v>-4.5250269999999997</v>
          </cell>
        </row>
      </sheetData>
      <sheetData sheetId="14">
        <row r="40">
          <cell r="F40">
            <v>-19.100999999999999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19">
          <cell r="D19">
            <v>20493</v>
          </cell>
          <cell r="E19">
            <v>-20493</v>
          </cell>
        </row>
        <row r="20">
          <cell r="D20">
            <v>13235</v>
          </cell>
          <cell r="E20">
            <v>-12729</v>
          </cell>
        </row>
        <row r="21">
          <cell r="D21">
            <v>22861</v>
          </cell>
          <cell r="E21">
            <v>-19610</v>
          </cell>
        </row>
        <row r="22">
          <cell r="D22">
            <v>18711</v>
          </cell>
          <cell r="E22">
            <v>-2561</v>
          </cell>
        </row>
        <row r="23">
          <cell r="D23">
            <v>6212</v>
          </cell>
          <cell r="E23">
            <v>-5989</v>
          </cell>
        </row>
        <row r="24">
          <cell r="D24">
            <v>11556</v>
          </cell>
          <cell r="E24">
            <v>-2845</v>
          </cell>
        </row>
        <row r="25">
          <cell r="D25">
            <v>18423</v>
          </cell>
          <cell r="E25">
            <v>-6553</v>
          </cell>
        </row>
        <row r="26">
          <cell r="D26">
            <v>10746</v>
          </cell>
          <cell r="E26">
            <v>3765</v>
          </cell>
        </row>
        <row r="27">
          <cell r="D27">
            <v>1690</v>
          </cell>
          <cell r="E27">
            <v>-2506</v>
          </cell>
        </row>
        <row r="28">
          <cell r="D28">
            <v>7712</v>
          </cell>
          <cell r="E28">
            <v>-7059</v>
          </cell>
        </row>
        <row r="29">
          <cell r="D29">
            <v>4656</v>
          </cell>
          <cell r="E29">
            <v>-4654</v>
          </cell>
        </row>
        <row r="32">
          <cell r="D32">
            <v>15385</v>
          </cell>
          <cell r="E32">
            <v>-43597</v>
          </cell>
        </row>
        <row r="33">
          <cell r="D33">
            <v>2000</v>
          </cell>
          <cell r="E33">
            <v>325</v>
          </cell>
        </row>
        <row r="34">
          <cell r="D34">
            <v>14705</v>
          </cell>
          <cell r="E34">
            <v>-19455</v>
          </cell>
        </row>
        <row r="38">
          <cell r="D38">
            <v>0</v>
          </cell>
          <cell r="E38">
            <v>-19101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84"/>
  <sheetViews>
    <sheetView tabSelected="1" zoomScale="80" zoomScaleNormal="75" workbookViewId="0">
      <pane xSplit="2" ySplit="5" topLeftCell="C153" activePane="bottomRight" state="frozen"/>
      <selection activeCell="A132" sqref="A132:A141"/>
      <selection pane="topRight" activeCell="A132" sqref="A132:A141"/>
      <selection pane="bottomLeft" activeCell="A132" sqref="A132:A141"/>
      <selection pane="bottomRight" activeCell="P180" sqref="P180"/>
    </sheetView>
  </sheetViews>
  <sheetFormatPr defaultRowHeight="12.75" x14ac:dyDescent="0.25"/>
  <cols>
    <col min="1" max="2" width="2.7109375" style="12" customWidth="1"/>
    <col min="3" max="3" width="20.85546875" style="1" customWidth="1"/>
    <col min="4" max="4" width="7.7109375" style="1" customWidth="1"/>
    <col min="5" max="5" width="6.28515625" style="1" customWidth="1"/>
    <col min="6" max="6" width="20.28515625" style="1" customWidth="1"/>
    <col min="7" max="7" width="7.7109375" style="1" customWidth="1"/>
    <col min="8" max="8" width="6.7109375" style="1" customWidth="1"/>
    <col min="9" max="9" width="21" style="1" customWidth="1"/>
    <col min="10" max="10" width="7.7109375" style="1" customWidth="1"/>
    <col min="11" max="11" width="6.85546875" style="1" bestFit="1" customWidth="1"/>
    <col min="12" max="12" width="12.42578125" style="1" customWidth="1"/>
    <col min="13" max="13" width="7.7109375" style="1" customWidth="1"/>
    <col min="14" max="14" width="6.85546875" style="1" bestFit="1" customWidth="1"/>
    <col min="15" max="15" width="16.140625" style="1" customWidth="1"/>
    <col min="16" max="16" width="7.7109375" style="1" customWidth="1"/>
    <col min="17" max="17" width="7" style="1" customWidth="1"/>
    <col min="18" max="16384" width="9.140625" style="1"/>
  </cols>
  <sheetData>
    <row r="1" spans="1:17" ht="9.75" customHeight="1" x14ac:dyDescent="0.25">
      <c r="B1" s="15"/>
      <c r="C1" s="15"/>
      <c r="D1" s="15"/>
      <c r="E1" s="12"/>
    </row>
    <row r="2" spans="1:17" s="19" customFormat="1" ht="27" customHeight="1" x14ac:dyDescent="0.4">
      <c r="A2" s="16" t="s">
        <v>17</v>
      </c>
      <c r="B2" s="16"/>
      <c r="C2" s="17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32" t="s">
        <v>74</v>
      </c>
    </row>
    <row r="3" spans="1:17" s="20" customFormat="1" ht="13.5" customHeight="1" x14ac:dyDescent="0.2">
      <c r="B3" s="56"/>
      <c r="D3" s="21"/>
      <c r="E3" s="22"/>
      <c r="F3" s="22"/>
      <c r="G3" s="22"/>
      <c r="H3" s="22"/>
      <c r="I3" s="22"/>
      <c r="J3" s="22"/>
      <c r="K3" s="22"/>
      <c r="L3" s="145" t="s">
        <v>213</v>
      </c>
      <c r="M3" s="145"/>
      <c r="N3" s="145"/>
      <c r="O3" s="145"/>
      <c r="P3" s="145"/>
      <c r="Q3" s="145"/>
    </row>
    <row r="4" spans="1:17" s="20" customFormat="1" ht="15" customHeight="1" x14ac:dyDescent="0.2">
      <c r="B4" s="56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6.5" x14ac:dyDescent="0.25">
      <c r="C5" s="146" t="s">
        <v>18</v>
      </c>
      <c r="D5" s="147"/>
      <c r="E5" s="148"/>
      <c r="F5" s="146" t="s">
        <v>19</v>
      </c>
      <c r="G5" s="147"/>
      <c r="H5" s="148"/>
      <c r="I5" s="146" t="s">
        <v>20</v>
      </c>
      <c r="J5" s="147"/>
      <c r="K5" s="148"/>
      <c r="L5" s="146" t="s">
        <v>77</v>
      </c>
      <c r="M5" s="147"/>
      <c r="N5" s="148"/>
      <c r="O5" s="146" t="s">
        <v>21</v>
      </c>
      <c r="P5" s="147"/>
      <c r="Q5" s="148"/>
    </row>
    <row r="6" spans="1:17" ht="16.5" thickBot="1" x14ac:dyDescent="0.45">
      <c r="A6" s="133" t="s">
        <v>22</v>
      </c>
      <c r="B6" s="136" t="s">
        <v>23</v>
      </c>
      <c r="C6" s="45" t="s">
        <v>24</v>
      </c>
      <c r="D6" s="46" t="s">
        <v>25</v>
      </c>
      <c r="E6" s="47">
        <f>COUNTA(C7:C28)</f>
        <v>3</v>
      </c>
      <c r="F6" s="45" t="s">
        <v>24</v>
      </c>
      <c r="G6" s="46" t="s">
        <v>25</v>
      </c>
      <c r="H6" s="47">
        <f>COUNTA(F7:F28)</f>
        <v>21</v>
      </c>
      <c r="I6" s="45" t="s">
        <v>24</v>
      </c>
      <c r="J6" s="46" t="s">
        <v>25</v>
      </c>
      <c r="K6" s="47">
        <f>COUNTA(I7:I28)</f>
        <v>3</v>
      </c>
      <c r="L6" s="45"/>
      <c r="M6" s="46"/>
      <c r="N6" s="47">
        <f>+K6+H6+E6</f>
        <v>27</v>
      </c>
      <c r="O6" s="45" t="s">
        <v>24</v>
      </c>
      <c r="P6" s="46" t="s">
        <v>25</v>
      </c>
      <c r="Q6" s="47">
        <f>COUNTA(P7:P28)</f>
        <v>0</v>
      </c>
    </row>
    <row r="7" spans="1:17" x14ac:dyDescent="0.25">
      <c r="A7" s="134"/>
      <c r="B7" s="137"/>
      <c r="C7" s="2" t="s">
        <v>69</v>
      </c>
      <c r="D7" s="3">
        <v>2000</v>
      </c>
      <c r="E7" s="4"/>
      <c r="F7" s="2" t="s">
        <v>224</v>
      </c>
      <c r="G7" s="3">
        <v>15000</v>
      </c>
      <c r="H7" s="4"/>
      <c r="I7" s="2" t="s">
        <v>232</v>
      </c>
      <c r="J7" s="3">
        <v>3000</v>
      </c>
      <c r="K7" s="4"/>
      <c r="L7" s="2"/>
      <c r="M7" s="3"/>
      <c r="N7" s="4"/>
      <c r="O7" s="2"/>
      <c r="P7" s="3"/>
      <c r="Q7" s="4"/>
    </row>
    <row r="8" spans="1:17" x14ac:dyDescent="0.25">
      <c r="A8" s="134"/>
      <c r="B8" s="137"/>
      <c r="C8" s="2" t="s">
        <v>120</v>
      </c>
      <c r="D8" s="3">
        <v>1000</v>
      </c>
      <c r="E8" s="4"/>
      <c r="F8" s="2" t="s">
        <v>68</v>
      </c>
      <c r="G8" s="3">
        <v>10000</v>
      </c>
      <c r="H8" s="4"/>
      <c r="I8" s="2" t="s">
        <v>72</v>
      </c>
      <c r="J8" s="3">
        <v>2000</v>
      </c>
      <c r="K8" s="4"/>
      <c r="L8" s="2"/>
      <c r="M8" s="3"/>
      <c r="N8" s="4"/>
      <c r="O8" s="2"/>
      <c r="P8" s="3"/>
      <c r="Q8" s="4"/>
    </row>
    <row r="9" spans="1:17" x14ac:dyDescent="0.25">
      <c r="A9" s="134"/>
      <c r="B9" s="137"/>
      <c r="C9" s="2" t="s">
        <v>201</v>
      </c>
      <c r="D9" s="3">
        <v>0</v>
      </c>
      <c r="E9" s="4"/>
      <c r="F9" s="2" t="s">
        <v>67</v>
      </c>
      <c r="G9" s="3">
        <v>10000</v>
      </c>
      <c r="H9" s="4"/>
      <c r="I9" s="2" t="s">
        <v>231</v>
      </c>
      <c r="J9" s="3">
        <v>2000</v>
      </c>
      <c r="K9" s="4"/>
      <c r="L9" s="2"/>
      <c r="M9" s="3"/>
      <c r="N9" s="4"/>
      <c r="O9" s="2"/>
      <c r="P9" s="3"/>
      <c r="Q9" s="4"/>
    </row>
    <row r="10" spans="1:17" x14ac:dyDescent="0.25">
      <c r="A10" s="134"/>
      <c r="B10" s="137"/>
      <c r="C10" s="2"/>
      <c r="D10" s="3"/>
      <c r="E10" s="4"/>
      <c r="F10" s="2" t="s">
        <v>207</v>
      </c>
      <c r="G10" s="3">
        <v>10000</v>
      </c>
      <c r="H10" s="4"/>
      <c r="I10" s="6"/>
      <c r="J10" s="3"/>
      <c r="K10" s="4"/>
      <c r="L10" s="2"/>
      <c r="M10" s="3"/>
      <c r="N10" s="4"/>
      <c r="O10" s="2"/>
      <c r="P10" s="3"/>
      <c r="Q10" s="4"/>
    </row>
    <row r="11" spans="1:17" x14ac:dyDescent="0.25">
      <c r="A11" s="134"/>
      <c r="B11" s="137"/>
      <c r="C11" s="2"/>
      <c r="D11" s="3"/>
      <c r="E11" s="4"/>
      <c r="F11" s="2" t="s">
        <v>225</v>
      </c>
      <c r="G11" s="3">
        <v>10000</v>
      </c>
      <c r="H11" s="4"/>
      <c r="I11" s="6"/>
      <c r="J11" s="3"/>
      <c r="K11" s="4"/>
      <c r="L11" s="2"/>
      <c r="M11" s="3"/>
      <c r="N11" s="4"/>
      <c r="O11" s="2"/>
      <c r="P11" s="3"/>
      <c r="Q11" s="4"/>
    </row>
    <row r="12" spans="1:17" x14ac:dyDescent="0.25">
      <c r="A12" s="134"/>
      <c r="B12" s="137"/>
      <c r="C12" s="2"/>
      <c r="D12" s="3"/>
      <c r="E12" s="4"/>
      <c r="F12" s="2" t="s">
        <v>113</v>
      </c>
      <c r="G12" s="3">
        <v>10000</v>
      </c>
      <c r="H12" s="4"/>
      <c r="I12" s="2"/>
      <c r="J12" s="3"/>
      <c r="K12" s="4"/>
      <c r="L12" s="2"/>
      <c r="M12" s="3"/>
      <c r="N12" s="4"/>
      <c r="O12" s="2"/>
      <c r="P12" s="3"/>
      <c r="Q12" s="4"/>
    </row>
    <row r="13" spans="1:17" x14ac:dyDescent="0.25">
      <c r="A13" s="134"/>
      <c r="B13" s="137"/>
      <c r="C13" s="2"/>
      <c r="D13" s="3"/>
      <c r="E13" s="4"/>
      <c r="F13" s="2" t="s">
        <v>155</v>
      </c>
      <c r="G13" s="3">
        <v>8000</v>
      </c>
      <c r="H13" s="4"/>
      <c r="I13" s="2"/>
      <c r="J13" s="3"/>
      <c r="K13" s="4"/>
      <c r="L13" s="2"/>
      <c r="M13" s="3"/>
      <c r="N13" s="4"/>
      <c r="O13" s="2"/>
      <c r="P13" s="3"/>
      <c r="Q13" s="4"/>
    </row>
    <row r="14" spans="1:17" x14ac:dyDescent="0.25">
      <c r="A14" s="134"/>
      <c r="B14" s="137"/>
      <c r="C14" s="2"/>
      <c r="D14" s="3"/>
      <c r="E14" s="4"/>
      <c r="F14" s="3" t="s">
        <v>156</v>
      </c>
      <c r="G14" s="3">
        <v>8000</v>
      </c>
      <c r="H14" s="4"/>
      <c r="I14" s="6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34"/>
      <c r="B15" s="137"/>
      <c r="C15" s="2"/>
      <c r="D15" s="3"/>
      <c r="E15" s="4"/>
      <c r="F15" s="3" t="s">
        <v>66</v>
      </c>
      <c r="G15" s="3">
        <v>7500</v>
      </c>
      <c r="H15" s="4"/>
      <c r="I15" s="7"/>
      <c r="J15" s="3"/>
      <c r="K15" s="4"/>
      <c r="L15" s="2"/>
      <c r="M15" s="3"/>
      <c r="N15" s="4"/>
      <c r="O15" s="2"/>
      <c r="P15" s="3"/>
      <c r="Q15" s="4"/>
    </row>
    <row r="16" spans="1:17" x14ac:dyDescent="0.25">
      <c r="A16" s="134"/>
      <c r="B16" s="137"/>
      <c r="C16" s="2"/>
      <c r="D16" s="3"/>
      <c r="E16" s="4"/>
      <c r="F16" s="3" t="s">
        <v>154</v>
      </c>
      <c r="G16" s="3">
        <v>5000</v>
      </c>
      <c r="H16" s="4"/>
      <c r="I16" s="7"/>
      <c r="J16" s="3"/>
      <c r="K16" s="4"/>
      <c r="L16" s="2"/>
      <c r="M16" s="3"/>
      <c r="N16" s="4"/>
      <c r="O16" s="2"/>
      <c r="P16" s="3"/>
      <c r="Q16" s="4"/>
    </row>
    <row r="17" spans="1:17" x14ac:dyDescent="0.25">
      <c r="A17" s="134"/>
      <c r="B17" s="137"/>
      <c r="C17" s="2"/>
      <c r="D17" s="3"/>
      <c r="E17" s="4"/>
      <c r="F17" s="2" t="s">
        <v>71</v>
      </c>
      <c r="G17" s="3">
        <v>5000</v>
      </c>
      <c r="H17" s="4"/>
      <c r="I17" s="3"/>
      <c r="J17" s="3"/>
      <c r="K17" s="4"/>
      <c r="L17" s="2"/>
      <c r="M17" s="3"/>
      <c r="N17" s="4"/>
      <c r="O17" s="2"/>
      <c r="P17" s="3"/>
      <c r="Q17" s="4"/>
    </row>
    <row r="18" spans="1:17" x14ac:dyDescent="0.25">
      <c r="A18" s="134"/>
      <c r="B18" s="137"/>
      <c r="C18" s="2"/>
      <c r="D18" s="3"/>
      <c r="E18" s="4"/>
      <c r="F18" s="2" t="s">
        <v>227</v>
      </c>
      <c r="G18" s="3">
        <v>5000</v>
      </c>
      <c r="H18" s="4"/>
      <c r="I18" s="3"/>
      <c r="J18" s="3"/>
      <c r="K18" s="4"/>
      <c r="L18" s="2"/>
      <c r="M18" s="3"/>
      <c r="N18" s="4"/>
      <c r="O18" s="2"/>
      <c r="P18" s="3"/>
      <c r="Q18" s="4"/>
    </row>
    <row r="19" spans="1:17" x14ac:dyDescent="0.25">
      <c r="A19" s="134"/>
      <c r="B19" s="137"/>
      <c r="C19" s="2"/>
      <c r="D19" s="3"/>
      <c r="E19" s="4"/>
      <c r="F19" s="2" t="s">
        <v>226</v>
      </c>
      <c r="G19" s="3">
        <v>5000</v>
      </c>
      <c r="H19" s="4"/>
      <c r="I19" s="3"/>
      <c r="J19" s="3"/>
      <c r="K19" s="4"/>
      <c r="L19" s="2"/>
      <c r="M19" s="3"/>
      <c r="N19" s="4"/>
      <c r="O19" s="2"/>
      <c r="P19" s="3"/>
      <c r="Q19" s="4"/>
    </row>
    <row r="20" spans="1:17" x14ac:dyDescent="0.25">
      <c r="A20" s="134"/>
      <c r="B20" s="137"/>
      <c r="C20" s="2"/>
      <c r="D20" s="3"/>
      <c r="E20" s="4"/>
      <c r="F20" s="2" t="s">
        <v>121</v>
      </c>
      <c r="G20" s="3">
        <v>5000</v>
      </c>
      <c r="H20" s="4"/>
      <c r="I20" s="3"/>
      <c r="J20" s="3"/>
      <c r="K20" s="4"/>
      <c r="L20" s="2"/>
      <c r="M20" s="3"/>
      <c r="N20" s="4"/>
      <c r="O20" s="2"/>
      <c r="P20" s="3"/>
      <c r="Q20" s="4"/>
    </row>
    <row r="21" spans="1:17" x14ac:dyDescent="0.25">
      <c r="A21" s="134"/>
      <c r="B21" s="137"/>
      <c r="C21" s="2"/>
      <c r="D21" s="3"/>
      <c r="E21" s="4"/>
      <c r="F21" s="2" t="s">
        <v>170</v>
      </c>
      <c r="G21" s="3">
        <v>3000</v>
      </c>
      <c r="H21" s="4"/>
      <c r="I21" s="3"/>
      <c r="J21" s="3"/>
      <c r="K21" s="4"/>
      <c r="L21" s="2"/>
      <c r="M21" s="3"/>
      <c r="N21" s="4"/>
      <c r="O21" s="2"/>
      <c r="P21" s="3"/>
      <c r="Q21" s="4"/>
    </row>
    <row r="22" spans="1:17" x14ac:dyDescent="0.25">
      <c r="A22" s="134"/>
      <c r="B22" s="137"/>
      <c r="C22" s="2"/>
      <c r="D22" s="3"/>
      <c r="E22" s="4"/>
      <c r="F22" s="2" t="s">
        <v>230</v>
      </c>
      <c r="G22" s="3">
        <v>1000</v>
      </c>
      <c r="H22" s="4"/>
      <c r="I22" s="3"/>
      <c r="J22" s="3"/>
      <c r="K22" s="4"/>
      <c r="L22" s="2"/>
      <c r="M22" s="3"/>
      <c r="N22" s="4"/>
      <c r="O22" s="2"/>
      <c r="P22" s="3"/>
      <c r="Q22" s="4"/>
    </row>
    <row r="23" spans="1:17" x14ac:dyDescent="0.25">
      <c r="A23" s="134"/>
      <c r="B23" s="137"/>
      <c r="C23" s="2"/>
      <c r="D23" s="3"/>
      <c r="E23" s="4"/>
      <c r="F23" s="2" t="s">
        <v>228</v>
      </c>
      <c r="G23" s="3">
        <v>1000</v>
      </c>
      <c r="H23" s="4"/>
      <c r="I23" s="3"/>
      <c r="J23" s="3"/>
      <c r="K23" s="4"/>
      <c r="L23" s="2"/>
      <c r="M23" s="3"/>
      <c r="N23" s="4"/>
      <c r="O23" s="2"/>
      <c r="P23" s="3"/>
      <c r="Q23" s="4"/>
    </row>
    <row r="24" spans="1:17" x14ac:dyDescent="0.25">
      <c r="A24" s="134"/>
      <c r="B24" s="137"/>
      <c r="C24" s="2"/>
      <c r="D24" s="3"/>
      <c r="E24" s="4"/>
      <c r="F24" s="2" t="s">
        <v>70</v>
      </c>
      <c r="G24" s="3">
        <v>1000</v>
      </c>
      <c r="H24" s="4"/>
      <c r="I24" s="3"/>
      <c r="J24" s="3"/>
      <c r="K24" s="4"/>
      <c r="L24" s="2"/>
      <c r="M24" s="3"/>
      <c r="N24" s="4"/>
      <c r="O24" s="2"/>
      <c r="P24" s="3"/>
      <c r="Q24" s="4"/>
    </row>
    <row r="25" spans="1:17" x14ac:dyDescent="0.25">
      <c r="A25" s="134"/>
      <c r="B25" s="137"/>
      <c r="C25" s="2"/>
      <c r="D25" s="3"/>
      <c r="E25" s="4"/>
      <c r="F25" s="2" t="s">
        <v>112</v>
      </c>
      <c r="G25" s="3">
        <v>750</v>
      </c>
      <c r="H25" s="4"/>
      <c r="I25" s="3"/>
      <c r="J25" s="3"/>
      <c r="K25" s="4"/>
      <c r="L25" s="2"/>
      <c r="M25" s="3"/>
      <c r="N25" s="4"/>
      <c r="O25" s="2"/>
      <c r="P25" s="3"/>
      <c r="Q25" s="4"/>
    </row>
    <row r="26" spans="1:17" x14ac:dyDescent="0.25">
      <c r="A26" s="134"/>
      <c r="B26" s="137"/>
      <c r="C26" s="2"/>
      <c r="D26" s="3"/>
      <c r="E26" s="4"/>
      <c r="F26" s="2" t="s">
        <v>111</v>
      </c>
      <c r="G26" s="3">
        <v>0</v>
      </c>
      <c r="H26" s="4"/>
      <c r="I26" s="3"/>
      <c r="J26" s="3"/>
      <c r="K26" s="4"/>
      <c r="L26" s="2"/>
      <c r="M26" s="3"/>
      <c r="N26" s="4"/>
      <c r="O26" s="2"/>
      <c r="P26" s="3"/>
      <c r="Q26" s="4"/>
    </row>
    <row r="27" spans="1:17" x14ac:dyDescent="0.25">
      <c r="A27" s="134"/>
      <c r="B27" s="137"/>
      <c r="C27" s="2"/>
      <c r="D27" s="3"/>
      <c r="E27" s="4"/>
      <c r="F27" s="2" t="s">
        <v>229</v>
      </c>
      <c r="G27" s="3">
        <v>0</v>
      </c>
      <c r="H27" s="4"/>
      <c r="I27" s="3"/>
      <c r="J27" s="3"/>
      <c r="K27" s="4"/>
      <c r="L27" s="2"/>
      <c r="M27" s="3"/>
      <c r="N27" s="4"/>
      <c r="O27" s="2"/>
      <c r="P27" s="3"/>
      <c r="Q27" s="4"/>
    </row>
    <row r="28" spans="1:17" x14ac:dyDescent="0.25">
      <c r="A28" s="134"/>
      <c r="B28" s="137"/>
      <c r="C28" s="34"/>
      <c r="D28" s="3"/>
      <c r="E28" s="37" t="s">
        <v>75</v>
      </c>
      <c r="F28" s="34"/>
      <c r="G28" s="3"/>
      <c r="H28" s="37" t="s">
        <v>75</v>
      </c>
      <c r="I28" s="34"/>
      <c r="K28" s="37" t="s">
        <v>75</v>
      </c>
      <c r="L28" s="34"/>
      <c r="M28" s="35"/>
      <c r="N28" s="37" t="s">
        <v>75</v>
      </c>
      <c r="O28" s="34"/>
      <c r="P28" s="3"/>
      <c r="Q28" s="37" t="s">
        <v>75</v>
      </c>
    </row>
    <row r="29" spans="1:17" ht="15" x14ac:dyDescent="0.4">
      <c r="A29" s="134"/>
      <c r="B29" s="137"/>
      <c r="C29" s="23" t="s">
        <v>153</v>
      </c>
      <c r="D29" s="24"/>
      <c r="E29" s="25" t="s">
        <v>76</v>
      </c>
      <c r="F29" s="23" t="s">
        <v>153</v>
      </c>
      <c r="G29" s="24"/>
      <c r="H29" s="25" t="s">
        <v>76</v>
      </c>
      <c r="I29" s="23" t="s">
        <v>153</v>
      </c>
      <c r="J29" s="24"/>
      <c r="K29" s="25" t="s">
        <v>76</v>
      </c>
      <c r="L29" s="23" t="s">
        <v>153</v>
      </c>
      <c r="M29" s="36" t="s">
        <v>25</v>
      </c>
      <c r="N29" s="25" t="s">
        <v>76</v>
      </c>
      <c r="O29" s="23" t="s">
        <v>153</v>
      </c>
      <c r="P29" s="24"/>
      <c r="Q29" s="25" t="s">
        <v>76</v>
      </c>
    </row>
    <row r="30" spans="1:17" x14ac:dyDescent="0.25">
      <c r="A30" s="135"/>
      <c r="B30" s="138"/>
      <c r="C30" s="44">
        <f>'[2]QTD Mgmt Summary'!$E$19*-1</f>
        <v>20493</v>
      </c>
      <c r="D30" s="26">
        <f>SUM(D7:D29)</f>
        <v>3000</v>
      </c>
      <c r="E30" s="33">
        <f>+D30-C30</f>
        <v>-17493</v>
      </c>
      <c r="F30" s="44">
        <v>21493</v>
      </c>
      <c r="G30" s="26">
        <f>SUM(G7:G29)</f>
        <v>120250</v>
      </c>
      <c r="H30" s="33">
        <f>+G30-F30</f>
        <v>98757</v>
      </c>
      <c r="I30" s="44">
        <v>22344</v>
      </c>
      <c r="J30" s="26">
        <f>SUM(J7:J29)</f>
        <v>7000</v>
      </c>
      <c r="K30" s="33">
        <f>+J30-I30</f>
        <v>-15344</v>
      </c>
      <c r="L30" s="44">
        <f>+C30+F30+I30</f>
        <v>64330</v>
      </c>
      <c r="M30" s="26">
        <f>+D30+G30+J30</f>
        <v>130250</v>
      </c>
      <c r="N30" s="33">
        <f>+M30-L30</f>
        <v>65920</v>
      </c>
      <c r="O30" s="44">
        <f>+I30*1.35</f>
        <v>30164.400000000001</v>
      </c>
      <c r="P30" s="26">
        <f>SUM(P7:P29)</f>
        <v>0</v>
      </c>
      <c r="Q30" s="33">
        <f>+P30-O30</f>
        <v>-30164.400000000001</v>
      </c>
    </row>
    <row r="31" spans="1:17" ht="16.5" thickBot="1" x14ac:dyDescent="0.45">
      <c r="A31" s="133" t="s">
        <v>26</v>
      </c>
      <c r="B31" s="136" t="s">
        <v>23</v>
      </c>
      <c r="C31" s="45" t="s">
        <v>24</v>
      </c>
      <c r="D31" s="46" t="s">
        <v>25</v>
      </c>
      <c r="E31" s="47">
        <f>COUNTA(D32:D40)</f>
        <v>4</v>
      </c>
      <c r="F31" s="45" t="s">
        <v>24</v>
      </c>
      <c r="G31" s="46" t="s">
        <v>25</v>
      </c>
      <c r="H31" s="47">
        <f>COUNTA(G32:G40)</f>
        <v>3</v>
      </c>
      <c r="I31" s="45" t="s">
        <v>24</v>
      </c>
      <c r="J31" s="46" t="s">
        <v>25</v>
      </c>
      <c r="K31" s="47">
        <f>COUNTA(J32:J40)</f>
        <v>8</v>
      </c>
      <c r="L31" s="45"/>
      <c r="M31" s="46"/>
      <c r="N31" s="47">
        <f>+K31+H31+E31</f>
        <v>15</v>
      </c>
      <c r="O31" s="45" t="s">
        <v>24</v>
      </c>
      <c r="P31" s="46" t="s">
        <v>25</v>
      </c>
      <c r="Q31" s="47">
        <f>COUNTA(P32:P40)</f>
        <v>1</v>
      </c>
    </row>
    <row r="32" spans="1:17" x14ac:dyDescent="0.25">
      <c r="A32" s="134"/>
      <c r="B32" s="137"/>
      <c r="C32" s="2" t="s">
        <v>221</v>
      </c>
      <c r="D32" s="3">
        <v>8000</v>
      </c>
      <c r="E32" s="4"/>
      <c r="F32" s="2" t="s">
        <v>60</v>
      </c>
      <c r="G32" s="3">
        <v>5000</v>
      </c>
      <c r="H32" s="4"/>
      <c r="I32" s="2" t="s">
        <v>61</v>
      </c>
      <c r="J32" s="3">
        <v>30000</v>
      </c>
      <c r="K32" s="4"/>
      <c r="L32" s="2"/>
      <c r="M32" s="3"/>
      <c r="N32" s="4"/>
      <c r="O32" s="2" t="s">
        <v>65</v>
      </c>
      <c r="P32" s="3">
        <v>5000</v>
      </c>
      <c r="Q32" s="4"/>
    </row>
    <row r="33" spans="1:17" x14ac:dyDescent="0.25">
      <c r="A33" s="134"/>
      <c r="B33" s="137"/>
      <c r="C33" s="2" t="s">
        <v>57</v>
      </c>
      <c r="D33" s="3">
        <v>7300</v>
      </c>
      <c r="E33" s="4"/>
      <c r="F33" s="2" t="s">
        <v>122</v>
      </c>
      <c r="G33" s="3">
        <v>4000</v>
      </c>
      <c r="H33" s="4"/>
      <c r="I33" s="2" t="s">
        <v>62</v>
      </c>
      <c r="J33" s="3">
        <v>10000</v>
      </c>
      <c r="K33" s="4"/>
      <c r="L33" s="2"/>
      <c r="M33" s="3"/>
      <c r="N33" s="4"/>
      <c r="O33" s="2"/>
      <c r="P33" s="3"/>
      <c r="Q33" s="4"/>
    </row>
    <row r="34" spans="1:17" x14ac:dyDescent="0.25">
      <c r="A34" s="134"/>
      <c r="B34" s="137"/>
      <c r="C34" s="2" t="s">
        <v>58</v>
      </c>
      <c r="D34" s="3">
        <v>600</v>
      </c>
      <c r="E34" s="4"/>
      <c r="F34" s="2" t="s">
        <v>59</v>
      </c>
      <c r="G34" s="3">
        <v>1000</v>
      </c>
      <c r="H34" s="4"/>
      <c r="I34" s="2" t="s">
        <v>27</v>
      </c>
      <c r="J34" s="3">
        <v>6000</v>
      </c>
      <c r="K34" s="4"/>
      <c r="L34" s="2"/>
      <c r="M34" s="3"/>
      <c r="N34" s="4"/>
      <c r="O34" s="2"/>
      <c r="P34" s="3"/>
      <c r="Q34" s="4"/>
    </row>
    <row r="35" spans="1:17" x14ac:dyDescent="0.25">
      <c r="A35" s="134"/>
      <c r="B35" s="137"/>
      <c r="C35" s="2" t="s">
        <v>222</v>
      </c>
      <c r="D35" s="3">
        <v>580</v>
      </c>
      <c r="E35" s="4"/>
      <c r="F35" s="2"/>
      <c r="G35" s="3"/>
      <c r="H35" s="4"/>
      <c r="I35" s="2" t="s">
        <v>64</v>
      </c>
      <c r="J35" s="3">
        <v>5000</v>
      </c>
      <c r="K35" s="4"/>
      <c r="L35" s="2"/>
      <c r="M35" s="3"/>
      <c r="N35" s="4"/>
      <c r="O35" s="2"/>
      <c r="P35" s="3"/>
      <c r="Q35" s="4"/>
    </row>
    <row r="36" spans="1:17" x14ac:dyDescent="0.25">
      <c r="A36" s="134"/>
      <c r="B36" s="137"/>
      <c r="E36" s="4"/>
      <c r="F36" s="2"/>
      <c r="G36" s="3"/>
      <c r="H36" s="4"/>
      <c r="I36" s="2" t="s">
        <v>110</v>
      </c>
      <c r="J36" s="3">
        <v>5000</v>
      </c>
      <c r="K36" s="4"/>
      <c r="L36" s="2"/>
      <c r="M36" s="3"/>
      <c r="N36" s="4"/>
      <c r="O36" s="2"/>
      <c r="P36" s="3"/>
      <c r="Q36" s="4"/>
    </row>
    <row r="37" spans="1:17" x14ac:dyDescent="0.25">
      <c r="A37" s="134"/>
      <c r="B37" s="137"/>
      <c r="E37" s="4"/>
      <c r="F37" s="2"/>
      <c r="G37" s="3"/>
      <c r="H37" s="4"/>
      <c r="I37" s="2" t="s">
        <v>59</v>
      </c>
      <c r="J37" s="3">
        <v>4000</v>
      </c>
      <c r="K37" s="4"/>
      <c r="L37" s="2"/>
      <c r="M37" s="3"/>
      <c r="N37" s="4"/>
      <c r="O37" s="2"/>
      <c r="P37" s="3"/>
      <c r="Q37" s="4"/>
    </row>
    <row r="38" spans="1:17" x14ac:dyDescent="0.25">
      <c r="A38" s="134"/>
      <c r="B38" s="137"/>
      <c r="E38" s="4"/>
      <c r="H38" s="4"/>
      <c r="I38" s="2" t="s">
        <v>223</v>
      </c>
      <c r="J38" s="3">
        <v>2000</v>
      </c>
      <c r="K38" s="4"/>
      <c r="L38" s="34"/>
      <c r="M38" s="35"/>
      <c r="N38" s="37"/>
      <c r="O38" s="2"/>
      <c r="P38" s="3"/>
      <c r="Q38" s="4"/>
    </row>
    <row r="39" spans="1:17" x14ac:dyDescent="0.25">
      <c r="A39" s="134"/>
      <c r="B39" s="137"/>
      <c r="E39" s="4"/>
      <c r="H39" s="4"/>
      <c r="I39" s="2" t="s">
        <v>63</v>
      </c>
      <c r="J39" s="3">
        <v>2000</v>
      </c>
      <c r="K39" s="4"/>
      <c r="L39" s="34"/>
      <c r="M39" s="35"/>
      <c r="N39" s="37"/>
      <c r="O39" s="2"/>
      <c r="P39" s="3"/>
      <c r="Q39" s="4"/>
    </row>
    <row r="40" spans="1:17" x14ac:dyDescent="0.25">
      <c r="A40" s="134"/>
      <c r="B40" s="137"/>
      <c r="C40" s="34"/>
      <c r="D40" s="3"/>
      <c r="E40" s="37" t="s">
        <v>75</v>
      </c>
      <c r="F40" s="34"/>
      <c r="G40" s="3"/>
      <c r="H40" s="37" t="s">
        <v>75</v>
      </c>
      <c r="I40" s="34"/>
      <c r="K40" s="37" t="s">
        <v>75</v>
      </c>
      <c r="L40" s="34"/>
      <c r="M40" s="35"/>
      <c r="N40" s="37" t="s">
        <v>75</v>
      </c>
      <c r="O40" s="34"/>
      <c r="P40" s="3"/>
      <c r="Q40" s="37" t="s">
        <v>75</v>
      </c>
    </row>
    <row r="41" spans="1:17" ht="15" x14ac:dyDescent="0.4">
      <c r="A41" s="134"/>
      <c r="B41" s="137"/>
      <c r="C41" s="23" t="s">
        <v>153</v>
      </c>
      <c r="D41" s="24"/>
      <c r="E41" s="25" t="s">
        <v>76</v>
      </c>
      <c r="F41" s="23" t="s">
        <v>153</v>
      </c>
      <c r="G41" s="24"/>
      <c r="H41" s="25" t="s">
        <v>76</v>
      </c>
      <c r="I41" s="23" t="s">
        <v>153</v>
      </c>
      <c r="J41" s="24"/>
      <c r="K41" s="25" t="s">
        <v>76</v>
      </c>
      <c r="L41" s="23" t="s">
        <v>153</v>
      </c>
      <c r="M41" s="36" t="s">
        <v>25</v>
      </c>
      <c r="N41" s="25" t="s">
        <v>76</v>
      </c>
      <c r="O41" s="23" t="s">
        <v>153</v>
      </c>
      <c r="P41" s="24"/>
      <c r="Q41" s="25" t="s">
        <v>76</v>
      </c>
    </row>
    <row r="42" spans="1:17" x14ac:dyDescent="0.25">
      <c r="A42" s="135"/>
      <c r="B42" s="138"/>
      <c r="C42" s="44">
        <f>'[2]QTD Mgmt Summary'!$E$20*-1</f>
        <v>12729</v>
      </c>
      <c r="D42" s="26">
        <f>SUM(D32:D41)</f>
        <v>16480</v>
      </c>
      <c r="E42" s="33">
        <f>+D42-C42</f>
        <v>3751</v>
      </c>
      <c r="F42" s="44">
        <v>17163</v>
      </c>
      <c r="G42" s="26">
        <f>SUM(G32:G41)</f>
        <v>10000</v>
      </c>
      <c r="H42" s="33">
        <f>+G42-F42</f>
        <v>-7163</v>
      </c>
      <c r="I42" s="44">
        <v>43231</v>
      </c>
      <c r="J42" s="26">
        <f>SUM(J32:J41)</f>
        <v>64000</v>
      </c>
      <c r="K42" s="33">
        <f>+J42-I42</f>
        <v>20769</v>
      </c>
      <c r="L42" s="44">
        <f>+C42+F42+I42</f>
        <v>73123</v>
      </c>
      <c r="M42" s="26">
        <f>+D42+G42+J42</f>
        <v>90480</v>
      </c>
      <c r="N42" s="33">
        <f>+M42-L42</f>
        <v>17357</v>
      </c>
      <c r="O42" s="44">
        <f>+I42*1.35</f>
        <v>58361.850000000006</v>
      </c>
      <c r="P42" s="26">
        <f>SUM(P32:P41)</f>
        <v>5000</v>
      </c>
      <c r="Q42" s="33">
        <f>+P42-O42</f>
        <v>-53361.850000000006</v>
      </c>
    </row>
    <row r="43" spans="1:17" ht="16.5" thickBot="1" x14ac:dyDescent="0.45">
      <c r="A43" s="133" t="s">
        <v>28</v>
      </c>
      <c r="B43" s="136" t="s">
        <v>29</v>
      </c>
      <c r="C43" s="45" t="s">
        <v>24</v>
      </c>
      <c r="D43" s="46" t="s">
        <v>25</v>
      </c>
      <c r="E43" s="47">
        <f>COUNTA(C44:C54)</f>
        <v>2</v>
      </c>
      <c r="F43" s="45" t="s">
        <v>24</v>
      </c>
      <c r="G43" s="46" t="s">
        <v>25</v>
      </c>
      <c r="H43" s="47">
        <f>COUNTA(F44:F54)</f>
        <v>9</v>
      </c>
      <c r="I43" s="45" t="s">
        <v>24</v>
      </c>
      <c r="J43" s="46" t="s">
        <v>25</v>
      </c>
      <c r="K43" s="47">
        <f>COUNTA(I44:I54)</f>
        <v>10</v>
      </c>
      <c r="L43" s="45"/>
      <c r="M43" s="46"/>
      <c r="N43" s="47">
        <f>+K43+H43+E43</f>
        <v>21</v>
      </c>
      <c r="O43" s="45" t="s">
        <v>24</v>
      </c>
      <c r="P43" s="46" t="s">
        <v>25</v>
      </c>
      <c r="Q43" s="47">
        <f>COUNTA(O44:O54)</f>
        <v>4</v>
      </c>
    </row>
    <row r="44" spans="1:17" x14ac:dyDescent="0.25">
      <c r="A44" s="134"/>
      <c r="B44" s="137"/>
      <c r="C44" s="9" t="s">
        <v>163</v>
      </c>
      <c r="D44" s="8">
        <v>10000</v>
      </c>
      <c r="E44" s="10"/>
      <c r="F44" s="9" t="s">
        <v>123</v>
      </c>
      <c r="G44" s="8">
        <v>10000</v>
      </c>
      <c r="H44" s="10"/>
      <c r="I44" s="9" t="s">
        <v>208</v>
      </c>
      <c r="J44" s="3">
        <v>10000</v>
      </c>
      <c r="K44" s="4"/>
      <c r="L44" s="2"/>
      <c r="M44" s="3"/>
      <c r="N44" s="4"/>
      <c r="O44" s="9" t="s">
        <v>168</v>
      </c>
      <c r="P44" s="3">
        <v>10000</v>
      </c>
      <c r="Q44" s="4"/>
    </row>
    <row r="45" spans="1:17" x14ac:dyDescent="0.25">
      <c r="A45" s="134"/>
      <c r="B45" s="137"/>
      <c r="C45" s="9" t="s">
        <v>148</v>
      </c>
      <c r="D45" s="8">
        <f>5000-3403</f>
        <v>1597</v>
      </c>
      <c r="E45" s="10"/>
      <c r="F45" s="9" t="s">
        <v>30</v>
      </c>
      <c r="G45" s="8">
        <v>10000</v>
      </c>
      <c r="H45" s="10"/>
      <c r="I45" s="9" t="s">
        <v>125</v>
      </c>
      <c r="J45" s="3">
        <v>5000</v>
      </c>
      <c r="K45" s="4"/>
      <c r="L45" s="2"/>
      <c r="M45" s="3"/>
      <c r="N45" s="4"/>
      <c r="O45" s="9" t="s">
        <v>220</v>
      </c>
      <c r="P45" s="3">
        <v>8000</v>
      </c>
      <c r="Q45" s="4"/>
    </row>
    <row r="46" spans="1:17" x14ac:dyDescent="0.25">
      <c r="A46" s="134"/>
      <c r="B46" s="137"/>
      <c r="C46" s="9"/>
      <c r="D46" s="8"/>
      <c r="E46" s="10"/>
      <c r="F46" s="9" t="s">
        <v>165</v>
      </c>
      <c r="G46" s="8">
        <v>10000</v>
      </c>
      <c r="H46" s="10"/>
      <c r="I46" s="9" t="s">
        <v>166</v>
      </c>
      <c r="J46" s="3">
        <v>5000</v>
      </c>
      <c r="K46" s="4"/>
      <c r="L46" s="2"/>
      <c r="M46" s="3"/>
      <c r="N46" s="4"/>
      <c r="O46" s="9" t="s">
        <v>127</v>
      </c>
      <c r="P46" s="3">
        <v>8000</v>
      </c>
      <c r="Q46" s="4"/>
    </row>
    <row r="47" spans="1:17" x14ac:dyDescent="0.25">
      <c r="A47" s="134"/>
      <c r="B47" s="137"/>
      <c r="C47" s="9"/>
      <c r="D47" s="8"/>
      <c r="E47" s="10"/>
      <c r="F47" s="9" t="s">
        <v>66</v>
      </c>
      <c r="G47" s="8">
        <v>5000</v>
      </c>
      <c r="H47" s="10"/>
      <c r="I47" s="9" t="s">
        <v>80</v>
      </c>
      <c r="J47" s="3">
        <v>5000</v>
      </c>
      <c r="K47" s="4"/>
      <c r="L47" s="2"/>
      <c r="M47" s="3"/>
      <c r="N47" s="4"/>
      <c r="O47" s="9" t="s">
        <v>148</v>
      </c>
      <c r="P47" s="3">
        <v>5000</v>
      </c>
      <c r="Q47" s="4"/>
    </row>
    <row r="48" spans="1:17" x14ac:dyDescent="0.25">
      <c r="A48" s="134"/>
      <c r="B48" s="137"/>
      <c r="C48" s="9"/>
      <c r="D48" s="8"/>
      <c r="E48" s="10"/>
      <c r="F48" s="9" t="s">
        <v>79</v>
      </c>
      <c r="G48" s="8">
        <v>5000</v>
      </c>
      <c r="H48" s="10"/>
      <c r="I48" s="9" t="s">
        <v>167</v>
      </c>
      <c r="J48" s="3">
        <v>5000</v>
      </c>
      <c r="K48" s="4"/>
      <c r="L48" s="2"/>
      <c r="M48" s="3"/>
      <c r="N48" s="4"/>
      <c r="O48" s="9"/>
      <c r="P48" s="3"/>
      <c r="Q48" s="4"/>
    </row>
    <row r="49" spans="1:17" x14ac:dyDescent="0.25">
      <c r="A49" s="134"/>
      <c r="B49" s="137"/>
      <c r="C49" s="9"/>
      <c r="D49" s="8"/>
      <c r="E49" s="10"/>
      <c r="F49" s="9" t="s">
        <v>78</v>
      </c>
      <c r="G49" s="8">
        <v>5000</v>
      </c>
      <c r="H49" s="10"/>
      <c r="I49" s="9" t="s">
        <v>81</v>
      </c>
      <c r="J49" s="3">
        <v>5000</v>
      </c>
      <c r="K49" s="4"/>
      <c r="L49" s="2"/>
      <c r="M49" s="3"/>
      <c r="N49" s="4"/>
      <c r="O49" s="2"/>
      <c r="P49" s="3"/>
      <c r="Q49" s="4"/>
    </row>
    <row r="50" spans="1:17" ht="12.75" customHeight="1" x14ac:dyDescent="0.25">
      <c r="A50" s="134"/>
      <c r="B50" s="137"/>
      <c r="C50" s="9"/>
      <c r="D50" s="8"/>
      <c r="E50" s="10"/>
      <c r="F50" s="9" t="s">
        <v>164</v>
      </c>
      <c r="G50" s="8">
        <v>3000</v>
      </c>
      <c r="H50" s="10"/>
      <c r="I50" s="9" t="s">
        <v>126</v>
      </c>
      <c r="J50" s="3">
        <v>5000</v>
      </c>
      <c r="K50" s="4"/>
      <c r="L50" s="2"/>
      <c r="M50" s="3"/>
      <c r="N50" s="4"/>
      <c r="O50" s="2"/>
      <c r="P50" s="3"/>
      <c r="Q50" s="4"/>
    </row>
    <row r="51" spans="1:17" x14ac:dyDescent="0.25">
      <c r="A51" s="134"/>
      <c r="B51" s="137"/>
      <c r="C51" s="9"/>
      <c r="D51" s="8"/>
      <c r="E51" s="10"/>
      <c r="F51" s="9" t="s">
        <v>14</v>
      </c>
      <c r="G51" s="8">
        <v>3000</v>
      </c>
      <c r="H51" s="10"/>
      <c r="I51" s="9" t="s">
        <v>149</v>
      </c>
      <c r="J51" s="3">
        <v>4000</v>
      </c>
      <c r="K51" s="4"/>
      <c r="L51" s="2"/>
      <c r="M51" s="3"/>
      <c r="N51" s="4"/>
      <c r="O51" s="2"/>
      <c r="P51" s="3"/>
      <c r="Q51" s="4"/>
    </row>
    <row r="52" spans="1:17" x14ac:dyDescent="0.25">
      <c r="A52" s="134"/>
      <c r="B52" s="137"/>
      <c r="C52" s="9"/>
      <c r="D52" s="8"/>
      <c r="E52" s="10"/>
      <c r="F52" s="9" t="s">
        <v>148</v>
      </c>
      <c r="G52" s="8">
        <v>5000</v>
      </c>
      <c r="H52" s="10"/>
      <c r="I52" s="9" t="s">
        <v>124</v>
      </c>
      <c r="J52" s="3">
        <v>2000</v>
      </c>
      <c r="K52" s="4"/>
      <c r="L52" s="2"/>
      <c r="M52" s="3"/>
      <c r="N52" s="4"/>
      <c r="O52" s="2"/>
      <c r="P52" s="3"/>
      <c r="Q52" s="4"/>
    </row>
    <row r="53" spans="1:17" x14ac:dyDescent="0.25">
      <c r="A53" s="134"/>
      <c r="B53" s="137"/>
      <c r="C53" s="9"/>
      <c r="D53" s="8"/>
      <c r="E53" s="10"/>
      <c r="F53" s="9"/>
      <c r="G53" s="8"/>
      <c r="H53" s="10"/>
      <c r="I53" s="9" t="s">
        <v>148</v>
      </c>
      <c r="J53" s="3">
        <v>5000</v>
      </c>
      <c r="K53" s="4"/>
      <c r="L53" s="2"/>
      <c r="M53" s="3"/>
      <c r="N53" s="4"/>
      <c r="O53" s="2"/>
      <c r="P53" s="3"/>
      <c r="Q53" s="4"/>
    </row>
    <row r="54" spans="1:17" x14ac:dyDescent="0.25">
      <c r="A54" s="134"/>
      <c r="B54" s="137"/>
      <c r="C54" s="34"/>
      <c r="D54" s="3"/>
      <c r="E54" s="37" t="s">
        <v>75</v>
      </c>
      <c r="F54" s="34"/>
      <c r="G54" s="3"/>
      <c r="H54" s="37" t="s">
        <v>75</v>
      </c>
      <c r="I54" s="34"/>
      <c r="K54" s="37" t="s">
        <v>75</v>
      </c>
      <c r="L54" s="34"/>
      <c r="M54" s="35"/>
      <c r="N54" s="37" t="s">
        <v>75</v>
      </c>
      <c r="O54" s="34"/>
      <c r="P54" s="3"/>
      <c r="Q54" s="37" t="s">
        <v>75</v>
      </c>
    </row>
    <row r="55" spans="1:17" ht="15" x14ac:dyDescent="0.4">
      <c r="A55" s="134"/>
      <c r="B55" s="137"/>
      <c r="C55" s="23" t="s">
        <v>153</v>
      </c>
      <c r="D55" s="24"/>
      <c r="E55" s="25" t="s">
        <v>76</v>
      </c>
      <c r="F55" s="23" t="s">
        <v>153</v>
      </c>
      <c r="G55" s="24"/>
      <c r="H55" s="25" t="s">
        <v>76</v>
      </c>
      <c r="I55" s="23" t="s">
        <v>153</v>
      </c>
      <c r="J55" s="24"/>
      <c r="K55" s="25" t="s">
        <v>76</v>
      </c>
      <c r="L55" s="23" t="s">
        <v>153</v>
      </c>
      <c r="M55" s="36" t="s">
        <v>25</v>
      </c>
      <c r="N55" s="25" t="s">
        <v>76</v>
      </c>
      <c r="O55" s="23" t="s">
        <v>153</v>
      </c>
      <c r="P55" s="24"/>
      <c r="Q55" s="25" t="s">
        <v>76</v>
      </c>
    </row>
    <row r="56" spans="1:17" x14ac:dyDescent="0.25">
      <c r="A56" s="135"/>
      <c r="B56" s="138"/>
      <c r="C56" s="44">
        <f>'[2]QTD Mgmt Summary'!$E$21*-1</f>
        <v>19610</v>
      </c>
      <c r="D56" s="26">
        <f>SUM(D44:D55)</f>
        <v>11597</v>
      </c>
      <c r="E56" s="33">
        <f>+D56-C56</f>
        <v>-8013</v>
      </c>
      <c r="F56" s="44">
        <v>28361</v>
      </c>
      <c r="G56" s="26">
        <f>SUM(G44:G55)</f>
        <v>56000</v>
      </c>
      <c r="H56" s="33">
        <f>+G56-F56</f>
        <v>27639</v>
      </c>
      <c r="I56" s="44">
        <v>28361</v>
      </c>
      <c r="J56" s="26">
        <f>SUM(J44:J55)</f>
        <v>51000</v>
      </c>
      <c r="K56" s="33">
        <f>+J56-I56</f>
        <v>22639</v>
      </c>
      <c r="L56" s="44">
        <f>+C56+F56+I56</f>
        <v>76332</v>
      </c>
      <c r="M56" s="26">
        <f>+D56+G56+J56</f>
        <v>118597</v>
      </c>
      <c r="N56" s="33">
        <f>+M56-L56</f>
        <v>42265</v>
      </c>
      <c r="O56" s="44">
        <f>+I56*1.35</f>
        <v>38287.350000000006</v>
      </c>
      <c r="P56" s="26">
        <f>SUM(P44:P55)</f>
        <v>31000</v>
      </c>
      <c r="Q56" s="33">
        <f>+P56-O56</f>
        <v>-7287.3500000000058</v>
      </c>
    </row>
    <row r="57" spans="1:17" ht="16.5" thickBot="1" x14ac:dyDescent="0.45">
      <c r="A57" s="133" t="s">
        <v>202</v>
      </c>
      <c r="B57" s="136" t="s">
        <v>179</v>
      </c>
      <c r="C57" s="45" t="s">
        <v>24</v>
      </c>
      <c r="D57" s="46" t="s">
        <v>25</v>
      </c>
      <c r="E57" s="47">
        <f>COUNTA(C58:C64)</f>
        <v>1</v>
      </c>
      <c r="F57" s="45" t="s">
        <v>24</v>
      </c>
      <c r="G57" s="46" t="s">
        <v>25</v>
      </c>
      <c r="H57" s="47">
        <f>COUNTA(F58:F64)</f>
        <v>3</v>
      </c>
      <c r="I57" s="45" t="s">
        <v>24</v>
      </c>
      <c r="J57" s="46" t="s">
        <v>25</v>
      </c>
      <c r="K57" s="47">
        <f>COUNTA(I58:I64)</f>
        <v>6</v>
      </c>
      <c r="L57" s="45"/>
      <c r="M57" s="46"/>
      <c r="N57" s="47">
        <f>+K57+H57+E57</f>
        <v>10</v>
      </c>
      <c r="O57" s="45" t="s">
        <v>24</v>
      </c>
      <c r="P57" s="46" t="s">
        <v>25</v>
      </c>
      <c r="Q57" s="47">
        <f>COUNTA(O58:O64)</f>
        <v>2</v>
      </c>
    </row>
    <row r="58" spans="1:17" ht="12.75" customHeight="1" x14ac:dyDescent="0.4">
      <c r="A58" s="143"/>
      <c r="B58" s="137"/>
      <c r="C58" s="29" t="s">
        <v>173</v>
      </c>
      <c r="D58" s="30">
        <v>22400</v>
      </c>
      <c r="E58" s="25"/>
      <c r="F58" s="2" t="s">
        <v>35</v>
      </c>
      <c r="G58" s="3">
        <v>10000</v>
      </c>
      <c r="H58" s="25"/>
      <c r="I58" s="2" t="s">
        <v>171</v>
      </c>
      <c r="J58" s="3">
        <v>30000</v>
      </c>
      <c r="K58" s="25"/>
      <c r="L58" s="23"/>
      <c r="M58" s="24"/>
      <c r="N58" s="25"/>
      <c r="O58" s="2" t="s">
        <v>34</v>
      </c>
      <c r="P58" s="3">
        <v>10000</v>
      </c>
      <c r="Q58" s="31"/>
    </row>
    <row r="59" spans="1:17" ht="12.75" customHeight="1" x14ac:dyDescent="0.4">
      <c r="A59" s="143"/>
      <c r="B59" s="137"/>
      <c r="C59" s="103"/>
      <c r="D59" s="30"/>
      <c r="E59" s="25"/>
      <c r="F59" s="2" t="s">
        <v>174</v>
      </c>
      <c r="G59" s="3">
        <v>10000</v>
      </c>
      <c r="H59" s="25"/>
      <c r="I59" s="2" t="s">
        <v>33</v>
      </c>
      <c r="J59" s="3">
        <v>12500</v>
      </c>
      <c r="K59" s="25"/>
      <c r="L59" s="23"/>
      <c r="M59" s="24"/>
      <c r="N59" s="25"/>
      <c r="O59" s="2" t="s">
        <v>36</v>
      </c>
      <c r="P59" s="3">
        <v>7500</v>
      </c>
      <c r="Q59" s="31"/>
    </row>
    <row r="60" spans="1:17" ht="12.75" customHeight="1" x14ac:dyDescent="0.4">
      <c r="A60" s="143"/>
      <c r="B60" s="137"/>
      <c r="C60" s="2"/>
      <c r="D60" s="3"/>
      <c r="E60" s="25"/>
      <c r="F60" s="29" t="s">
        <v>37</v>
      </c>
      <c r="G60" s="30">
        <v>9000</v>
      </c>
      <c r="H60" s="25"/>
      <c r="I60" s="29" t="s">
        <v>175</v>
      </c>
      <c r="J60" s="30">
        <v>12500</v>
      </c>
      <c r="K60" s="25"/>
      <c r="L60" s="23"/>
      <c r="M60" s="24"/>
      <c r="N60" s="25"/>
      <c r="O60" s="29"/>
      <c r="P60" s="30"/>
      <c r="Q60" s="31"/>
    </row>
    <row r="61" spans="1:17" ht="12.75" customHeight="1" x14ac:dyDescent="0.4">
      <c r="A61" s="143"/>
      <c r="B61" s="137"/>
      <c r="C61" s="2"/>
      <c r="D61" s="3"/>
      <c r="E61" s="25"/>
      <c r="F61" s="2"/>
      <c r="G61" s="3"/>
      <c r="H61" s="25"/>
      <c r="I61" s="2" t="s">
        <v>16</v>
      </c>
      <c r="J61" s="3">
        <v>7500</v>
      </c>
      <c r="K61" s="25"/>
      <c r="L61" s="23"/>
      <c r="M61" s="24"/>
      <c r="N61" s="25"/>
      <c r="O61" s="29"/>
      <c r="P61" s="30"/>
      <c r="Q61" s="31"/>
    </row>
    <row r="62" spans="1:17" ht="12.75" customHeight="1" x14ac:dyDescent="0.25">
      <c r="A62" s="143"/>
      <c r="B62" s="137"/>
      <c r="C62" s="29"/>
      <c r="D62" s="30"/>
      <c r="E62" s="4"/>
      <c r="F62" s="29"/>
      <c r="G62" s="30"/>
      <c r="H62" s="4"/>
      <c r="I62" s="2" t="s">
        <v>56</v>
      </c>
      <c r="J62" s="3">
        <v>5000</v>
      </c>
      <c r="K62" s="4"/>
      <c r="L62" s="2"/>
      <c r="M62" s="3"/>
      <c r="N62" s="4"/>
      <c r="O62" s="29"/>
      <c r="P62" s="30"/>
      <c r="Q62" s="31"/>
    </row>
    <row r="63" spans="1:17" ht="12.75" customHeight="1" x14ac:dyDescent="0.25">
      <c r="A63" s="143"/>
      <c r="B63" s="137"/>
      <c r="C63" s="29"/>
      <c r="D63" s="30"/>
      <c r="E63" s="4"/>
      <c r="F63" s="29"/>
      <c r="G63" s="30"/>
      <c r="H63" s="4"/>
      <c r="I63" s="2" t="s">
        <v>169</v>
      </c>
      <c r="J63" s="3">
        <v>5000</v>
      </c>
      <c r="K63" s="4"/>
      <c r="L63" s="2"/>
      <c r="M63" s="3"/>
      <c r="N63" s="4"/>
      <c r="O63" s="29"/>
      <c r="P63" s="30"/>
      <c r="Q63" s="31"/>
    </row>
    <row r="64" spans="1:17" x14ac:dyDescent="0.25">
      <c r="A64" s="143"/>
      <c r="B64" s="137"/>
      <c r="C64" s="34"/>
      <c r="D64" s="3"/>
      <c r="E64" s="37" t="s">
        <v>75</v>
      </c>
      <c r="F64" s="34"/>
      <c r="G64" s="3"/>
      <c r="H64" s="37" t="s">
        <v>75</v>
      </c>
      <c r="I64" s="34"/>
      <c r="K64" s="37" t="s">
        <v>75</v>
      </c>
      <c r="L64" s="34"/>
      <c r="M64" s="35"/>
      <c r="N64" s="37" t="s">
        <v>75</v>
      </c>
      <c r="O64" s="34"/>
      <c r="P64" s="3"/>
      <c r="Q64" s="37" t="s">
        <v>75</v>
      </c>
    </row>
    <row r="65" spans="1:17" ht="15" x14ac:dyDescent="0.4">
      <c r="A65" s="143"/>
      <c r="B65" s="137"/>
      <c r="C65" s="23" t="s">
        <v>153</v>
      </c>
      <c r="D65" s="24"/>
      <c r="E65" s="25" t="s">
        <v>76</v>
      </c>
      <c r="F65" s="23" t="s">
        <v>153</v>
      </c>
      <c r="G65" s="24"/>
      <c r="H65" s="25" t="s">
        <v>76</v>
      </c>
      <c r="I65" s="23" t="s">
        <v>153</v>
      </c>
      <c r="J65" s="24"/>
      <c r="K65" s="25" t="s">
        <v>76</v>
      </c>
      <c r="L65" s="23" t="s">
        <v>153</v>
      </c>
      <c r="M65" s="36" t="s">
        <v>25</v>
      </c>
      <c r="N65" s="25" t="s">
        <v>76</v>
      </c>
      <c r="O65" s="23" t="s">
        <v>153</v>
      </c>
      <c r="P65" s="24"/>
      <c r="Q65" s="25" t="s">
        <v>76</v>
      </c>
    </row>
    <row r="66" spans="1:17" x14ac:dyDescent="0.25">
      <c r="A66" s="144"/>
      <c r="B66" s="138"/>
      <c r="C66" s="44">
        <f>'[2]QTD Mgmt Summary'!$E$22*-1</f>
        <v>2561</v>
      </c>
      <c r="D66" s="26">
        <f>SUM(D58:D65)</f>
        <v>22400</v>
      </c>
      <c r="E66" s="33">
        <f>+D66-C66</f>
        <v>19839</v>
      </c>
      <c r="F66" s="44">
        <v>18712</v>
      </c>
      <c r="G66" s="26">
        <f>SUM(G58:G65)</f>
        <v>29000</v>
      </c>
      <c r="H66" s="33">
        <f>+G66-F66</f>
        <v>10288</v>
      </c>
      <c r="I66" s="44">
        <v>18713</v>
      </c>
      <c r="J66" s="26">
        <f>SUM(J58:J65)</f>
        <v>72500</v>
      </c>
      <c r="K66" s="33">
        <f>+J66-I66</f>
        <v>53787</v>
      </c>
      <c r="L66" s="44">
        <f>+C66+F66+I66</f>
        <v>39986</v>
      </c>
      <c r="M66" s="26">
        <f>+D66+G66+J66</f>
        <v>123900</v>
      </c>
      <c r="N66" s="33">
        <f>+M66-L66</f>
        <v>83914</v>
      </c>
      <c r="O66" s="44">
        <f>+I66*1.35</f>
        <v>25262.550000000003</v>
      </c>
      <c r="P66" s="26">
        <f>SUM(P58:P65)</f>
        <v>17500</v>
      </c>
      <c r="Q66" s="33">
        <f>+P66-O66</f>
        <v>-7762.5500000000029</v>
      </c>
    </row>
    <row r="67" spans="1:17" ht="16.5" thickBot="1" x14ac:dyDescent="0.45">
      <c r="A67" s="133" t="s">
        <v>144</v>
      </c>
      <c r="B67" s="136" t="s">
        <v>145</v>
      </c>
      <c r="C67" s="45" t="s">
        <v>24</v>
      </c>
      <c r="D67" s="46" t="s">
        <v>25</v>
      </c>
      <c r="E67" s="47">
        <f>COUNTA(C68:C78)</f>
        <v>5</v>
      </c>
      <c r="F67" s="45" t="s">
        <v>24</v>
      </c>
      <c r="G67" s="46" t="s">
        <v>25</v>
      </c>
      <c r="H67" s="47">
        <f>COUNTA(F68:F78)</f>
        <v>10</v>
      </c>
      <c r="I67" s="45" t="s">
        <v>24</v>
      </c>
      <c r="J67" s="46" t="s">
        <v>25</v>
      </c>
      <c r="K67" s="47">
        <f>COUNTA(I68:I78)</f>
        <v>5</v>
      </c>
      <c r="L67" s="45"/>
      <c r="M67" s="46"/>
      <c r="N67" s="47">
        <f>+K67+H67+E67</f>
        <v>20</v>
      </c>
      <c r="O67" s="45" t="s">
        <v>24</v>
      </c>
      <c r="P67" s="46" t="s">
        <v>25</v>
      </c>
      <c r="Q67" s="47">
        <f>COUNTA(O68:O78)</f>
        <v>2</v>
      </c>
    </row>
    <row r="68" spans="1:17" x14ac:dyDescent="0.25">
      <c r="A68" s="134"/>
      <c r="B68" s="137"/>
      <c r="C68" s="2" t="s">
        <v>157</v>
      </c>
      <c r="D68" s="3">
        <v>1500</v>
      </c>
      <c r="E68" s="4"/>
      <c r="F68" s="2" t="s">
        <v>204</v>
      </c>
      <c r="G68" s="3">
        <v>15000</v>
      </c>
      <c r="H68" s="4"/>
      <c r="I68" s="2" t="s">
        <v>216</v>
      </c>
      <c r="J68" s="3">
        <v>7000</v>
      </c>
      <c r="K68" s="4"/>
      <c r="L68" s="2"/>
      <c r="M68" s="3"/>
      <c r="N68" s="4"/>
      <c r="O68" s="2" t="s">
        <v>217</v>
      </c>
      <c r="P68" s="3">
        <v>10000</v>
      </c>
      <c r="Q68" s="4"/>
    </row>
    <row r="69" spans="1:17" x14ac:dyDescent="0.25">
      <c r="A69" s="134"/>
      <c r="B69" s="137"/>
      <c r="C69" s="3" t="s">
        <v>233</v>
      </c>
      <c r="D69" s="5">
        <v>1000</v>
      </c>
      <c r="E69" s="4"/>
      <c r="F69" s="2" t="s">
        <v>236</v>
      </c>
      <c r="G69" s="3">
        <v>15000</v>
      </c>
      <c r="H69" s="4"/>
      <c r="I69" s="2" t="s">
        <v>143</v>
      </c>
      <c r="J69" s="3">
        <v>5000</v>
      </c>
      <c r="K69" s="4"/>
      <c r="L69" s="2"/>
      <c r="M69" s="3"/>
      <c r="N69" s="4"/>
      <c r="O69" s="2" t="s">
        <v>109</v>
      </c>
      <c r="P69" s="3">
        <v>0</v>
      </c>
      <c r="Q69" s="4"/>
    </row>
    <row r="70" spans="1:17" x14ac:dyDescent="0.25">
      <c r="A70" s="134"/>
      <c r="B70" s="137"/>
      <c r="C70" s="2" t="s">
        <v>11</v>
      </c>
      <c r="D70" s="3">
        <v>500</v>
      </c>
      <c r="E70" s="84"/>
      <c r="F70" s="2" t="s">
        <v>214</v>
      </c>
      <c r="G70" s="3">
        <v>4000</v>
      </c>
      <c r="H70" s="4"/>
      <c r="I70" s="2" t="s">
        <v>159</v>
      </c>
      <c r="J70" s="3">
        <v>5000</v>
      </c>
      <c r="K70" s="4"/>
      <c r="L70" s="2"/>
      <c r="M70" s="3"/>
      <c r="N70" s="4"/>
      <c r="O70" s="2"/>
      <c r="P70" s="3"/>
      <c r="Q70" s="4"/>
    </row>
    <row r="71" spans="1:17" x14ac:dyDescent="0.25">
      <c r="A71" s="134"/>
      <c r="B71" s="137"/>
      <c r="C71" s="2" t="s">
        <v>234</v>
      </c>
      <c r="D71" s="3">
        <v>500</v>
      </c>
      <c r="E71" s="84"/>
      <c r="F71" s="2" t="s">
        <v>235</v>
      </c>
      <c r="G71" s="3">
        <v>3000</v>
      </c>
      <c r="H71" s="4"/>
      <c r="I71" s="2" t="s">
        <v>205</v>
      </c>
      <c r="J71" s="3">
        <v>5000</v>
      </c>
      <c r="K71" s="4"/>
      <c r="L71" s="2"/>
      <c r="M71" s="3"/>
      <c r="N71" s="4"/>
      <c r="O71" s="2"/>
      <c r="P71" s="3"/>
      <c r="Q71" s="4"/>
    </row>
    <row r="72" spans="1:17" x14ac:dyDescent="0.25">
      <c r="A72" s="134"/>
      <c r="B72" s="137"/>
      <c r="C72" s="2" t="s">
        <v>203</v>
      </c>
      <c r="D72" s="3">
        <v>500</v>
      </c>
      <c r="E72" s="4"/>
      <c r="F72" s="2" t="s">
        <v>158</v>
      </c>
      <c r="G72" s="3">
        <v>3000</v>
      </c>
      <c r="H72" s="4"/>
      <c r="I72" s="2" t="s">
        <v>108</v>
      </c>
      <c r="J72" s="3">
        <v>3000</v>
      </c>
      <c r="K72" s="4"/>
      <c r="L72" s="2"/>
      <c r="M72" s="3"/>
      <c r="N72" s="4"/>
      <c r="O72" s="2"/>
      <c r="P72" s="3"/>
      <c r="Q72" s="4"/>
    </row>
    <row r="73" spans="1:17" x14ac:dyDescent="0.25">
      <c r="A73" s="134"/>
      <c r="B73" s="137"/>
      <c r="C73" s="2"/>
      <c r="D73" s="3"/>
      <c r="E73" s="4"/>
      <c r="F73" s="2" t="s">
        <v>128</v>
      </c>
      <c r="G73" s="3">
        <v>2000</v>
      </c>
      <c r="H73" s="4"/>
      <c r="I73" s="2"/>
      <c r="J73" s="3"/>
      <c r="K73" s="4"/>
      <c r="L73" s="2"/>
      <c r="M73" s="3"/>
      <c r="N73" s="4"/>
      <c r="O73" s="2"/>
      <c r="P73" s="3"/>
      <c r="Q73" s="4"/>
    </row>
    <row r="74" spans="1:17" x14ac:dyDescent="0.25">
      <c r="A74" s="134"/>
      <c r="B74" s="137"/>
      <c r="C74" s="7"/>
      <c r="D74" s="5"/>
      <c r="E74" s="4"/>
      <c r="F74" s="2" t="s">
        <v>10</v>
      </c>
      <c r="G74" s="3">
        <v>1000</v>
      </c>
      <c r="H74" s="4"/>
      <c r="I74" s="6"/>
      <c r="J74" s="3"/>
      <c r="K74" s="4"/>
      <c r="L74" s="2"/>
      <c r="M74" s="3"/>
      <c r="N74" s="4"/>
      <c r="O74" s="2"/>
      <c r="P74" s="3"/>
      <c r="Q74" s="4"/>
    </row>
    <row r="75" spans="1:17" x14ac:dyDescent="0.25">
      <c r="A75" s="134"/>
      <c r="B75" s="137"/>
      <c r="C75" s="7"/>
      <c r="D75" s="5"/>
      <c r="E75" s="4"/>
      <c r="F75" s="2" t="s">
        <v>107</v>
      </c>
      <c r="G75" s="3">
        <v>1000</v>
      </c>
      <c r="H75" s="4"/>
      <c r="I75" s="2"/>
      <c r="J75" s="3"/>
      <c r="K75" s="4"/>
      <c r="L75" s="2"/>
      <c r="M75" s="3"/>
      <c r="N75" s="4"/>
      <c r="O75" s="2"/>
      <c r="P75" s="3"/>
      <c r="Q75" s="4"/>
    </row>
    <row r="76" spans="1:17" x14ac:dyDescent="0.25">
      <c r="A76" s="134"/>
      <c r="B76" s="137"/>
      <c r="C76" s="7"/>
      <c r="D76" s="5"/>
      <c r="E76" s="4"/>
      <c r="F76" s="3" t="s">
        <v>142</v>
      </c>
      <c r="G76" s="3">
        <v>500</v>
      </c>
      <c r="H76" s="4"/>
      <c r="I76" s="2"/>
      <c r="J76" s="3"/>
      <c r="K76" s="4"/>
      <c r="L76" s="2"/>
      <c r="M76" s="3"/>
      <c r="N76" s="4"/>
      <c r="O76" s="2"/>
      <c r="P76" s="3"/>
      <c r="Q76" s="4"/>
    </row>
    <row r="77" spans="1:17" x14ac:dyDescent="0.25">
      <c r="A77" s="134"/>
      <c r="B77" s="137"/>
      <c r="C77" s="7"/>
      <c r="D77" s="5"/>
      <c r="E77" s="4"/>
      <c r="F77" s="2" t="s">
        <v>215</v>
      </c>
      <c r="G77" s="3">
        <v>500</v>
      </c>
      <c r="H77" s="4"/>
      <c r="I77" s="2"/>
      <c r="J77" s="3"/>
      <c r="K77" s="4"/>
      <c r="L77" s="2"/>
      <c r="M77" s="3"/>
      <c r="N77" s="4"/>
      <c r="O77" s="2"/>
      <c r="P77" s="3"/>
      <c r="Q77" s="4"/>
    </row>
    <row r="78" spans="1:17" x14ac:dyDescent="0.25">
      <c r="A78" s="134"/>
      <c r="B78" s="137"/>
      <c r="C78" s="34"/>
      <c r="D78" s="3"/>
      <c r="E78" s="37" t="s">
        <v>75</v>
      </c>
      <c r="F78" s="34"/>
      <c r="G78" s="3"/>
      <c r="H78" s="37" t="s">
        <v>75</v>
      </c>
      <c r="I78" s="34"/>
      <c r="K78" s="37" t="s">
        <v>75</v>
      </c>
      <c r="L78" s="34"/>
      <c r="M78" s="35"/>
      <c r="N78" s="37" t="s">
        <v>75</v>
      </c>
      <c r="O78" s="34"/>
      <c r="P78" s="3"/>
      <c r="Q78" s="37" t="s">
        <v>75</v>
      </c>
    </row>
    <row r="79" spans="1:17" ht="15" x14ac:dyDescent="0.4">
      <c r="A79" s="134"/>
      <c r="B79" s="137"/>
      <c r="C79" s="23" t="s">
        <v>153</v>
      </c>
      <c r="D79" s="24"/>
      <c r="E79" s="25" t="s">
        <v>76</v>
      </c>
      <c r="F79" s="23" t="s">
        <v>153</v>
      </c>
      <c r="G79" s="24"/>
      <c r="H79" s="25" t="s">
        <v>76</v>
      </c>
      <c r="I79" s="23" t="s">
        <v>153</v>
      </c>
      <c r="J79" s="24"/>
      <c r="K79" s="25" t="s">
        <v>76</v>
      </c>
      <c r="L79" s="23" t="s">
        <v>153</v>
      </c>
      <c r="M79" s="36" t="s">
        <v>25</v>
      </c>
      <c r="N79" s="25" t="s">
        <v>76</v>
      </c>
      <c r="O79" s="23" t="s">
        <v>153</v>
      </c>
      <c r="P79" s="24"/>
      <c r="Q79" s="25" t="s">
        <v>76</v>
      </c>
    </row>
    <row r="80" spans="1:17" x14ac:dyDescent="0.25">
      <c r="A80" s="135"/>
      <c r="B80" s="138"/>
      <c r="C80" s="44">
        <f>'[2]QTD Mgmt Summary'!$E$23*-1</f>
        <v>5989</v>
      </c>
      <c r="D80" s="26">
        <f>SUM(D68:D79)</f>
        <v>4000</v>
      </c>
      <c r="E80" s="33">
        <f>+D80-C80</f>
        <v>-1989</v>
      </c>
      <c r="F80" s="44">
        <v>6279</v>
      </c>
      <c r="G80" s="26">
        <f>SUM(G68:G79)</f>
        <v>45000</v>
      </c>
      <c r="H80" s="33">
        <f>+G80-F80</f>
        <v>38721</v>
      </c>
      <c r="I80" s="44">
        <v>6279</v>
      </c>
      <c r="J80" s="26">
        <f>SUM(J68:J79)</f>
        <v>25000</v>
      </c>
      <c r="K80" s="33">
        <f>+J80-I80</f>
        <v>18721</v>
      </c>
      <c r="L80" s="44">
        <f>+C80+F80+I80</f>
        <v>18547</v>
      </c>
      <c r="M80" s="26">
        <f>+D80+G80+J80</f>
        <v>74000</v>
      </c>
      <c r="N80" s="33">
        <f>+M80-L80</f>
        <v>55453</v>
      </c>
      <c r="O80" s="44">
        <f>+I80*1.35</f>
        <v>8476.6500000000015</v>
      </c>
      <c r="P80" s="26">
        <f>SUM(P68:P79)</f>
        <v>10000</v>
      </c>
      <c r="Q80" s="33">
        <f>+P80-O80</f>
        <v>1523.3499999999985</v>
      </c>
    </row>
    <row r="81" spans="1:17" ht="15" customHeight="1" thickBot="1" x14ac:dyDescent="0.45">
      <c r="A81" s="133" t="s">
        <v>7</v>
      </c>
      <c r="B81" s="136" t="s">
        <v>145</v>
      </c>
      <c r="C81" s="45" t="s">
        <v>24</v>
      </c>
      <c r="D81" s="46" t="s">
        <v>25</v>
      </c>
      <c r="E81" s="47">
        <f>COUNTA(C82:C90)</f>
        <v>3</v>
      </c>
      <c r="F81" s="45" t="s">
        <v>24</v>
      </c>
      <c r="G81" s="46" t="s">
        <v>25</v>
      </c>
      <c r="H81" s="47">
        <f>COUNTA(F82:F90)</f>
        <v>8</v>
      </c>
      <c r="I81" s="45" t="s">
        <v>24</v>
      </c>
      <c r="J81" s="46" t="s">
        <v>25</v>
      </c>
      <c r="K81" s="47">
        <f>COUNTA(I82:I90)</f>
        <v>2</v>
      </c>
      <c r="L81" s="45"/>
      <c r="M81" s="46"/>
      <c r="N81" s="47">
        <f>+K81+H81+E81</f>
        <v>13</v>
      </c>
      <c r="O81" s="45" t="s">
        <v>24</v>
      </c>
      <c r="P81" s="46" t="s">
        <v>25</v>
      </c>
      <c r="Q81" s="47">
        <f>COUNTA(O82:O90)</f>
        <v>0</v>
      </c>
    </row>
    <row r="82" spans="1:17" x14ac:dyDescent="0.25">
      <c r="A82" s="134"/>
      <c r="B82" s="137"/>
      <c r="C82" s="2" t="s">
        <v>45</v>
      </c>
      <c r="D82" s="3">
        <v>2000</v>
      </c>
      <c r="E82" s="4"/>
      <c r="F82" s="2" t="s">
        <v>42</v>
      </c>
      <c r="G82" s="3">
        <v>10000</v>
      </c>
      <c r="H82" s="4"/>
      <c r="I82" s="2" t="s">
        <v>54</v>
      </c>
      <c r="J82" s="3">
        <v>5000</v>
      </c>
      <c r="K82" s="4"/>
      <c r="L82" s="2"/>
      <c r="M82" s="3"/>
      <c r="N82" s="4"/>
      <c r="O82" s="2"/>
      <c r="P82" s="3"/>
      <c r="Q82" s="4"/>
    </row>
    <row r="83" spans="1:17" x14ac:dyDescent="0.25">
      <c r="A83" s="134"/>
      <c r="B83" s="137"/>
      <c r="C83" s="2" t="s">
        <v>46</v>
      </c>
      <c r="D83" s="3">
        <v>800</v>
      </c>
      <c r="E83" s="4"/>
      <c r="F83" s="2" t="s">
        <v>43</v>
      </c>
      <c r="G83" s="3">
        <v>4000</v>
      </c>
      <c r="H83" s="4"/>
      <c r="I83" s="2" t="s">
        <v>55</v>
      </c>
      <c r="J83" s="3">
        <v>2000</v>
      </c>
      <c r="K83" s="4"/>
      <c r="L83" s="2"/>
      <c r="M83" s="3"/>
      <c r="N83" s="4"/>
      <c r="O83" s="2"/>
      <c r="P83" s="3"/>
      <c r="Q83" s="4"/>
    </row>
    <row r="84" spans="1:17" x14ac:dyDescent="0.25">
      <c r="A84" s="134"/>
      <c r="B84" s="137"/>
      <c r="C84" s="2" t="s">
        <v>47</v>
      </c>
      <c r="D84" s="3">
        <v>500</v>
      </c>
      <c r="E84" s="4"/>
      <c r="F84" s="2" t="s">
        <v>49</v>
      </c>
      <c r="G84" s="3">
        <v>3000</v>
      </c>
      <c r="H84" s="4"/>
      <c r="I84" s="2"/>
      <c r="J84" s="3"/>
      <c r="K84" s="4"/>
      <c r="L84" s="2"/>
      <c r="M84" s="3"/>
      <c r="N84" s="4"/>
      <c r="O84" s="2"/>
      <c r="P84" s="3"/>
      <c r="Q84" s="4"/>
    </row>
    <row r="85" spans="1:17" x14ac:dyDescent="0.25">
      <c r="A85" s="134"/>
      <c r="B85" s="137"/>
      <c r="C85" s="2"/>
      <c r="D85" s="3"/>
      <c r="E85" s="4"/>
      <c r="F85" s="2" t="s">
        <v>50</v>
      </c>
      <c r="G85" s="3">
        <v>2000</v>
      </c>
      <c r="H85" s="4"/>
      <c r="I85" s="2"/>
      <c r="J85" s="3"/>
      <c r="K85" s="4"/>
      <c r="L85" s="2"/>
      <c r="M85" s="3"/>
      <c r="N85" s="4"/>
      <c r="O85" s="2"/>
      <c r="P85" s="3"/>
      <c r="Q85" s="4"/>
    </row>
    <row r="86" spans="1:17" x14ac:dyDescent="0.25">
      <c r="A86" s="134"/>
      <c r="B86" s="137"/>
      <c r="C86" s="2"/>
      <c r="D86" s="28"/>
      <c r="E86" s="4"/>
      <c r="F86" s="2" t="s">
        <v>44</v>
      </c>
      <c r="G86" s="3">
        <v>1000</v>
      </c>
      <c r="H86" s="4"/>
      <c r="I86" s="2"/>
      <c r="J86" s="3"/>
      <c r="K86" s="4"/>
      <c r="L86" s="2"/>
      <c r="M86" s="3"/>
      <c r="N86" s="4"/>
      <c r="O86" s="2"/>
      <c r="P86" s="3"/>
      <c r="Q86" s="4"/>
    </row>
    <row r="87" spans="1:17" x14ac:dyDescent="0.25">
      <c r="A87" s="134"/>
      <c r="B87" s="137"/>
      <c r="C87" s="2"/>
      <c r="D87" s="3"/>
      <c r="E87" s="4"/>
      <c r="F87" s="2" t="s">
        <v>51</v>
      </c>
      <c r="G87" s="28">
        <v>0</v>
      </c>
      <c r="H87" s="4"/>
      <c r="I87" s="2"/>
      <c r="J87" s="3"/>
      <c r="K87" s="4"/>
      <c r="L87" s="2"/>
      <c r="M87" s="3"/>
      <c r="N87" s="4"/>
      <c r="O87" s="2"/>
      <c r="P87" s="3"/>
      <c r="Q87" s="4"/>
    </row>
    <row r="88" spans="1:17" x14ac:dyDescent="0.25">
      <c r="A88" s="134"/>
      <c r="B88" s="137"/>
      <c r="C88" s="2"/>
      <c r="D88" s="28"/>
      <c r="E88" s="4"/>
      <c r="F88" s="2" t="s">
        <v>52</v>
      </c>
      <c r="G88" s="28">
        <v>0</v>
      </c>
      <c r="H88" s="4"/>
      <c r="I88" s="2"/>
      <c r="J88" s="3"/>
      <c r="K88" s="4"/>
      <c r="L88" s="2"/>
      <c r="M88" s="3"/>
      <c r="N88" s="4"/>
      <c r="O88" s="2"/>
      <c r="P88" s="3"/>
      <c r="Q88" s="4"/>
    </row>
    <row r="89" spans="1:17" x14ac:dyDescent="0.25">
      <c r="A89" s="134"/>
      <c r="B89" s="137"/>
      <c r="C89" s="2"/>
      <c r="D89" s="3"/>
      <c r="E89" s="4"/>
      <c r="F89" s="2" t="s">
        <v>53</v>
      </c>
      <c r="G89" s="28">
        <v>0</v>
      </c>
      <c r="H89" s="4"/>
      <c r="I89" s="2"/>
      <c r="J89" s="3"/>
      <c r="K89" s="4"/>
      <c r="L89" s="2"/>
      <c r="M89" s="3"/>
      <c r="N89" s="4"/>
      <c r="O89" s="2"/>
      <c r="P89" s="3"/>
      <c r="Q89" s="4"/>
    </row>
    <row r="90" spans="1:17" x14ac:dyDescent="0.25">
      <c r="A90" s="134"/>
      <c r="B90" s="137"/>
      <c r="C90" s="34"/>
      <c r="D90" s="3"/>
      <c r="E90" s="37" t="s">
        <v>75</v>
      </c>
      <c r="F90" s="34"/>
      <c r="G90" s="3"/>
      <c r="H90" s="37" t="s">
        <v>75</v>
      </c>
      <c r="I90" s="34"/>
      <c r="K90" s="37" t="s">
        <v>75</v>
      </c>
      <c r="L90" s="34"/>
      <c r="M90" s="35"/>
      <c r="N90" s="37" t="s">
        <v>75</v>
      </c>
      <c r="O90" s="34"/>
      <c r="P90" s="3"/>
      <c r="Q90" s="37" t="s">
        <v>75</v>
      </c>
    </row>
    <row r="91" spans="1:17" ht="15" x14ac:dyDescent="0.4">
      <c r="A91" s="134"/>
      <c r="B91" s="137"/>
      <c r="C91" s="23" t="s">
        <v>153</v>
      </c>
      <c r="D91" s="24"/>
      <c r="E91" s="25" t="s">
        <v>76</v>
      </c>
      <c r="F91" s="23" t="s">
        <v>153</v>
      </c>
      <c r="G91" s="24"/>
      <c r="H91" s="25" t="s">
        <v>76</v>
      </c>
      <c r="I91" s="23" t="s">
        <v>153</v>
      </c>
      <c r="J91" s="24"/>
      <c r="K91" s="25" t="s">
        <v>76</v>
      </c>
      <c r="L91" s="23" t="s">
        <v>153</v>
      </c>
      <c r="M91" s="36" t="s">
        <v>25</v>
      </c>
      <c r="N91" s="25" t="s">
        <v>76</v>
      </c>
      <c r="O91" s="23" t="s">
        <v>153</v>
      </c>
      <c r="P91" s="24"/>
      <c r="Q91" s="25" t="s">
        <v>76</v>
      </c>
    </row>
    <row r="92" spans="1:17" x14ac:dyDescent="0.25">
      <c r="A92" s="135"/>
      <c r="B92" s="138"/>
      <c r="C92" s="44">
        <f>'[2]QTD Mgmt Summary'!$E$24*-1</f>
        <v>2845</v>
      </c>
      <c r="D92" s="26">
        <f>SUM(D82:D91)</f>
        <v>3300</v>
      </c>
      <c r="E92" s="33">
        <f>+D92-C92</f>
        <v>455</v>
      </c>
      <c r="F92" s="44">
        <v>11557</v>
      </c>
      <c r="G92" s="26">
        <f>SUM(G82:G91)</f>
        <v>20000</v>
      </c>
      <c r="H92" s="33">
        <f>+G92-F92</f>
        <v>8443</v>
      </c>
      <c r="I92" s="44">
        <v>11558</v>
      </c>
      <c r="J92" s="26">
        <f>SUM(J82:J91)</f>
        <v>7000</v>
      </c>
      <c r="K92" s="33">
        <f>+J92-I92</f>
        <v>-4558</v>
      </c>
      <c r="L92" s="44">
        <f>+C92+F92+I92</f>
        <v>25960</v>
      </c>
      <c r="M92" s="26">
        <f>+D92+G92+J92</f>
        <v>30300</v>
      </c>
      <c r="N92" s="33">
        <f>+M92-L92</f>
        <v>4340</v>
      </c>
      <c r="O92" s="44">
        <f>+I92*1.35</f>
        <v>15603.300000000001</v>
      </c>
      <c r="P92" s="26">
        <f>SUM(P82:P91)</f>
        <v>0</v>
      </c>
      <c r="Q92" s="33">
        <f>+P92-O92</f>
        <v>-15603.300000000001</v>
      </c>
    </row>
    <row r="93" spans="1:17" ht="16.5" thickBot="1" x14ac:dyDescent="0.45">
      <c r="A93" s="133" t="s">
        <v>31</v>
      </c>
      <c r="B93" s="136" t="s">
        <v>32</v>
      </c>
      <c r="C93" s="45" t="s">
        <v>24</v>
      </c>
      <c r="D93" s="46" t="s">
        <v>25</v>
      </c>
      <c r="E93" s="47">
        <f>COUNTA(C94:C97)</f>
        <v>2</v>
      </c>
      <c r="F93" s="45" t="s">
        <v>24</v>
      </c>
      <c r="G93" s="46" t="s">
        <v>25</v>
      </c>
      <c r="H93" s="47">
        <f>COUNTA(F94:F97)</f>
        <v>1</v>
      </c>
      <c r="I93" s="45" t="s">
        <v>24</v>
      </c>
      <c r="J93" s="46" t="s">
        <v>25</v>
      </c>
      <c r="K93" s="47">
        <f>COUNTA(I94:I97)</f>
        <v>3</v>
      </c>
      <c r="L93" s="45"/>
      <c r="M93" s="46"/>
      <c r="N93" s="47">
        <f>+K93+H93+E93</f>
        <v>6</v>
      </c>
      <c r="O93" s="45" t="s">
        <v>24</v>
      </c>
      <c r="P93" s="46" t="s">
        <v>25</v>
      </c>
      <c r="Q93" s="47">
        <f>COUNTA(O94:O97)</f>
        <v>1</v>
      </c>
    </row>
    <row r="94" spans="1:17" x14ac:dyDescent="0.25">
      <c r="A94" s="139"/>
      <c r="B94" s="141"/>
      <c r="C94" s="2" t="s">
        <v>178</v>
      </c>
      <c r="D94" s="28">
        <v>300</v>
      </c>
      <c r="E94" s="4"/>
      <c r="F94" s="2" t="s">
        <v>196</v>
      </c>
      <c r="G94" s="3">
        <v>750</v>
      </c>
      <c r="H94" s="4"/>
      <c r="I94" s="2" t="s">
        <v>198</v>
      </c>
      <c r="J94" s="3">
        <v>10000</v>
      </c>
      <c r="K94" s="4"/>
      <c r="L94" s="2"/>
      <c r="M94" s="3"/>
      <c r="N94" s="4"/>
      <c r="O94" s="2" t="s">
        <v>200</v>
      </c>
      <c r="P94" s="3">
        <v>7500</v>
      </c>
      <c r="Q94" s="4"/>
    </row>
    <row r="95" spans="1:17" x14ac:dyDescent="0.25">
      <c r="A95" s="139"/>
      <c r="B95" s="141"/>
      <c r="C95" s="2" t="s">
        <v>41</v>
      </c>
      <c r="D95" s="28">
        <v>300</v>
      </c>
      <c r="E95" s="4"/>
      <c r="F95" s="2"/>
      <c r="G95" s="3"/>
      <c r="H95" s="4"/>
      <c r="I95" s="2" t="s">
        <v>199</v>
      </c>
      <c r="J95" s="3">
        <v>10000</v>
      </c>
      <c r="K95" s="4"/>
      <c r="L95" s="2"/>
      <c r="M95" s="3"/>
      <c r="N95" s="4"/>
      <c r="O95" s="2"/>
      <c r="P95" s="3"/>
      <c r="Q95" s="4"/>
    </row>
    <row r="96" spans="1:17" x14ac:dyDescent="0.25">
      <c r="A96" s="139"/>
      <c r="B96" s="141"/>
      <c r="C96" s="2"/>
      <c r="D96" s="28"/>
      <c r="E96" s="4"/>
      <c r="F96" s="2"/>
      <c r="G96" s="3"/>
      <c r="H96" s="4"/>
      <c r="I96" s="2" t="s">
        <v>197</v>
      </c>
      <c r="J96" s="3">
        <v>1500</v>
      </c>
      <c r="K96" s="4"/>
      <c r="L96" s="2"/>
      <c r="M96" s="3"/>
      <c r="N96" s="4"/>
      <c r="O96" s="2"/>
      <c r="P96" s="3"/>
      <c r="Q96" s="4"/>
    </row>
    <row r="97" spans="1:17" x14ac:dyDescent="0.25">
      <c r="A97" s="139"/>
      <c r="B97" s="141"/>
      <c r="C97" s="34"/>
      <c r="D97" s="3"/>
      <c r="E97" s="37" t="s">
        <v>75</v>
      </c>
      <c r="F97" s="34"/>
      <c r="G97" s="3"/>
      <c r="H97" s="37" t="s">
        <v>75</v>
      </c>
      <c r="I97" s="34"/>
      <c r="K97" s="37" t="s">
        <v>75</v>
      </c>
      <c r="L97" s="34"/>
      <c r="M97" s="35"/>
      <c r="N97" s="37" t="s">
        <v>75</v>
      </c>
      <c r="O97" s="34"/>
      <c r="P97" s="3"/>
      <c r="Q97" s="37" t="s">
        <v>75</v>
      </c>
    </row>
    <row r="98" spans="1:17" ht="15" x14ac:dyDescent="0.4">
      <c r="A98" s="139"/>
      <c r="B98" s="141"/>
      <c r="C98" s="23" t="s">
        <v>153</v>
      </c>
      <c r="D98" s="24"/>
      <c r="E98" s="25" t="s">
        <v>76</v>
      </c>
      <c r="F98" s="23" t="s">
        <v>153</v>
      </c>
      <c r="G98" s="24"/>
      <c r="H98" s="25" t="s">
        <v>76</v>
      </c>
      <c r="I98" s="23" t="s">
        <v>153</v>
      </c>
      <c r="J98" s="24"/>
      <c r="K98" s="25" t="s">
        <v>76</v>
      </c>
      <c r="L98" s="23" t="s">
        <v>153</v>
      </c>
      <c r="M98" s="36" t="s">
        <v>25</v>
      </c>
      <c r="N98" s="25" t="s">
        <v>76</v>
      </c>
      <c r="O98" s="23" t="s">
        <v>153</v>
      </c>
      <c r="P98" s="24"/>
      <c r="Q98" s="25" t="s">
        <v>76</v>
      </c>
    </row>
    <row r="99" spans="1:17" x14ac:dyDescent="0.25">
      <c r="A99" s="140"/>
      <c r="B99" s="142"/>
      <c r="C99" s="44">
        <f>'[2]QTD Mgmt Summary'!$E$28*-1</f>
        <v>7059</v>
      </c>
      <c r="D99" s="26">
        <f>SUM(D94:D98)</f>
        <v>600</v>
      </c>
      <c r="E99" s="33">
        <f>+D99-C99</f>
        <v>-6459</v>
      </c>
      <c r="F99" s="44">
        <v>7712</v>
      </c>
      <c r="G99" s="26">
        <f>SUM(G94:G98)</f>
        <v>750</v>
      </c>
      <c r="H99" s="33">
        <f>+G99-F99</f>
        <v>-6962</v>
      </c>
      <c r="I99" s="44">
        <v>7712</v>
      </c>
      <c r="J99" s="26">
        <f>SUM(J94:J98)</f>
        <v>21500</v>
      </c>
      <c r="K99" s="33">
        <f>+J99-I99</f>
        <v>13788</v>
      </c>
      <c r="L99" s="44">
        <f>+C99+F99+I99</f>
        <v>22483</v>
      </c>
      <c r="M99" s="26">
        <f>+D99+G99+J99</f>
        <v>22850</v>
      </c>
      <c r="N99" s="33">
        <f>+M99-L99</f>
        <v>367</v>
      </c>
      <c r="O99" s="44">
        <f>+I99*1.35</f>
        <v>10411.200000000001</v>
      </c>
      <c r="P99" s="26">
        <f>SUM(P94:P98)</f>
        <v>7500</v>
      </c>
      <c r="Q99" s="33">
        <f>+P99-O99</f>
        <v>-2911.2000000000007</v>
      </c>
    </row>
    <row r="100" spans="1:17" ht="16.5" thickBot="1" x14ac:dyDescent="0.45">
      <c r="A100" s="133"/>
      <c r="B100" s="136" t="s">
        <v>0</v>
      </c>
      <c r="C100" s="45" t="s">
        <v>24</v>
      </c>
      <c r="D100" s="46" t="s">
        <v>25</v>
      </c>
      <c r="E100" s="47">
        <f>COUNTA(C101:C105)</f>
        <v>0</v>
      </c>
      <c r="F100" s="45" t="s">
        <v>24</v>
      </c>
      <c r="G100" s="46" t="s">
        <v>25</v>
      </c>
      <c r="H100" s="47">
        <f>COUNTA(F101:F105)</f>
        <v>2</v>
      </c>
      <c r="I100" s="45" t="s">
        <v>24</v>
      </c>
      <c r="J100" s="46" t="s">
        <v>25</v>
      </c>
      <c r="K100" s="47">
        <f>COUNTA(I101:I105)</f>
        <v>4</v>
      </c>
      <c r="L100" s="45"/>
      <c r="M100" s="46"/>
      <c r="N100" s="47">
        <f>+K100+H100+E100</f>
        <v>6</v>
      </c>
      <c r="O100" s="45" t="s">
        <v>24</v>
      </c>
      <c r="P100" s="46" t="s">
        <v>25</v>
      </c>
      <c r="Q100" s="47">
        <f>COUNTA(O101:O105)</f>
        <v>2</v>
      </c>
    </row>
    <row r="101" spans="1:17" x14ac:dyDescent="0.25">
      <c r="A101" s="134"/>
      <c r="B101" s="137"/>
      <c r="C101" s="2"/>
      <c r="D101" s="3"/>
      <c r="E101" s="4"/>
      <c r="F101" s="2" t="s">
        <v>117</v>
      </c>
      <c r="G101" s="3">
        <v>0</v>
      </c>
      <c r="H101" s="4"/>
      <c r="I101" s="2" t="s">
        <v>116</v>
      </c>
      <c r="J101" s="3">
        <v>26000</v>
      </c>
      <c r="K101" s="4"/>
      <c r="L101" s="2"/>
      <c r="M101" s="3"/>
      <c r="N101" s="4"/>
      <c r="O101" s="2" t="s">
        <v>150</v>
      </c>
      <c r="P101" s="3">
        <v>2000</v>
      </c>
      <c r="Q101" s="4"/>
    </row>
    <row r="102" spans="1:17" x14ac:dyDescent="0.25">
      <c r="A102" s="134"/>
      <c r="B102" s="137"/>
      <c r="C102" s="2"/>
      <c r="D102" s="3"/>
      <c r="E102" s="4"/>
      <c r="F102" s="2" t="s">
        <v>151</v>
      </c>
      <c r="G102" s="3">
        <v>0</v>
      </c>
      <c r="H102" s="4"/>
      <c r="I102" s="2" t="s">
        <v>206</v>
      </c>
      <c r="J102" s="3">
        <v>8000</v>
      </c>
      <c r="K102" s="4"/>
      <c r="L102" s="2"/>
      <c r="M102" s="3"/>
      <c r="N102" s="4"/>
      <c r="O102" s="2" t="s">
        <v>152</v>
      </c>
      <c r="P102" s="3">
        <v>2000</v>
      </c>
      <c r="Q102" s="4"/>
    </row>
    <row r="103" spans="1:17" x14ac:dyDescent="0.25">
      <c r="A103" s="134"/>
      <c r="B103" s="137"/>
      <c r="C103" s="2"/>
      <c r="D103" s="3"/>
      <c r="E103" s="4"/>
      <c r="F103" s="2"/>
      <c r="G103" s="3"/>
      <c r="H103" s="4"/>
      <c r="I103" s="2" t="s">
        <v>117</v>
      </c>
      <c r="J103" s="3">
        <v>0</v>
      </c>
      <c r="K103" s="4"/>
      <c r="L103" s="2"/>
      <c r="M103" s="3"/>
      <c r="N103" s="4"/>
      <c r="O103" s="2"/>
      <c r="P103" s="3"/>
      <c r="Q103" s="4"/>
    </row>
    <row r="104" spans="1:17" x14ac:dyDescent="0.25">
      <c r="A104" s="134"/>
      <c r="B104" s="137"/>
      <c r="C104" s="2"/>
      <c r="D104" s="3"/>
      <c r="E104" s="4"/>
      <c r="F104" s="2"/>
      <c r="G104" s="3"/>
      <c r="H104" s="4"/>
      <c r="I104" s="2" t="s">
        <v>151</v>
      </c>
      <c r="J104" s="3">
        <v>0</v>
      </c>
      <c r="K104" s="4"/>
      <c r="L104" s="2"/>
      <c r="M104" s="3"/>
      <c r="N104" s="4"/>
      <c r="O104" s="2"/>
      <c r="P104" s="3"/>
      <c r="Q104" s="4"/>
    </row>
    <row r="105" spans="1:17" x14ac:dyDescent="0.25">
      <c r="A105" s="134"/>
      <c r="B105" s="137"/>
      <c r="C105" s="34"/>
      <c r="D105" s="3"/>
      <c r="E105" s="37" t="s">
        <v>75</v>
      </c>
      <c r="F105" s="34"/>
      <c r="G105" s="3"/>
      <c r="H105" s="37" t="s">
        <v>75</v>
      </c>
      <c r="I105" s="34"/>
      <c r="K105" s="37" t="s">
        <v>75</v>
      </c>
      <c r="L105" s="34"/>
      <c r="M105" s="35"/>
      <c r="N105" s="37" t="s">
        <v>75</v>
      </c>
      <c r="O105" s="34"/>
      <c r="P105" s="3"/>
      <c r="Q105" s="37" t="s">
        <v>75</v>
      </c>
    </row>
    <row r="106" spans="1:17" ht="15" x14ac:dyDescent="0.4">
      <c r="A106" s="134"/>
      <c r="B106" s="137"/>
      <c r="C106" s="23" t="s">
        <v>153</v>
      </c>
      <c r="D106" s="24"/>
      <c r="E106" s="25" t="s">
        <v>76</v>
      </c>
      <c r="F106" s="23" t="s">
        <v>153</v>
      </c>
      <c r="G106" s="24"/>
      <c r="H106" s="25" t="s">
        <v>76</v>
      </c>
      <c r="I106" s="23" t="s">
        <v>153</v>
      </c>
      <c r="J106" s="24"/>
      <c r="K106" s="25" t="s">
        <v>76</v>
      </c>
      <c r="L106" s="23" t="s">
        <v>153</v>
      </c>
      <c r="M106" s="36" t="s">
        <v>25</v>
      </c>
      <c r="N106" s="25" t="s">
        <v>76</v>
      </c>
      <c r="O106" s="23" t="s">
        <v>153</v>
      </c>
      <c r="P106" s="24"/>
      <c r="Q106" s="25" t="s">
        <v>76</v>
      </c>
    </row>
    <row r="107" spans="1:17" x14ac:dyDescent="0.25">
      <c r="A107" s="135"/>
      <c r="B107" s="138"/>
      <c r="C107" s="44">
        <f>'[2]QTD Mgmt Summary'!$E$29*-1</f>
        <v>4654</v>
      </c>
      <c r="D107" s="26">
        <f>SUM(D101:D106)</f>
        <v>0</v>
      </c>
      <c r="E107" s="33">
        <f>+D107-C107</f>
        <v>-4654</v>
      </c>
      <c r="F107" s="44">
        <v>4656</v>
      </c>
      <c r="G107" s="26">
        <f>SUM(G101:G106)</f>
        <v>0</v>
      </c>
      <c r="H107" s="33">
        <f>+G107-F107</f>
        <v>-4656</v>
      </c>
      <c r="I107" s="44">
        <v>4656</v>
      </c>
      <c r="J107" s="26">
        <f>SUM(J101:J106)</f>
        <v>34000</v>
      </c>
      <c r="K107" s="33">
        <f>+J107-I107</f>
        <v>29344</v>
      </c>
      <c r="L107" s="44">
        <f>+C107+F107+I107</f>
        <v>13966</v>
      </c>
      <c r="M107" s="26">
        <f>+D107+G107+J107</f>
        <v>34000</v>
      </c>
      <c r="N107" s="33">
        <f>+M107-L107</f>
        <v>20034</v>
      </c>
      <c r="O107" s="44">
        <f>+I107*1.35</f>
        <v>6285.6</v>
      </c>
      <c r="P107" s="26">
        <f>SUM(P101:P106)</f>
        <v>4000</v>
      </c>
      <c r="Q107" s="33">
        <f>+P107-O107</f>
        <v>-2285.6000000000004</v>
      </c>
    </row>
    <row r="108" spans="1:17" ht="16.5" thickBot="1" x14ac:dyDescent="0.45">
      <c r="A108" s="133"/>
      <c r="B108" s="136" t="s">
        <v>283</v>
      </c>
      <c r="C108" s="45" t="s">
        <v>24</v>
      </c>
      <c r="D108" s="46" t="s">
        <v>25</v>
      </c>
      <c r="E108" s="47">
        <v>6</v>
      </c>
      <c r="F108" s="45" t="s">
        <v>24</v>
      </c>
      <c r="G108" s="46" t="s">
        <v>25</v>
      </c>
      <c r="H108" s="47">
        <v>24</v>
      </c>
      <c r="I108" s="45" t="s">
        <v>24</v>
      </c>
      <c r="J108" s="46" t="s">
        <v>25</v>
      </c>
      <c r="K108" s="47">
        <v>22</v>
      </c>
      <c r="L108" s="45"/>
      <c r="M108" s="46"/>
      <c r="N108" s="47">
        <f>+K108+H108+E108</f>
        <v>52</v>
      </c>
      <c r="O108" s="45" t="s">
        <v>24</v>
      </c>
      <c r="P108" s="46" t="s">
        <v>25</v>
      </c>
      <c r="Q108" s="47">
        <v>7</v>
      </c>
    </row>
    <row r="109" spans="1:17" x14ac:dyDescent="0.25">
      <c r="A109" s="134"/>
      <c r="B109" s="137"/>
      <c r="C109" s="9" t="s">
        <v>238</v>
      </c>
      <c r="D109" s="8">
        <v>1600</v>
      </c>
      <c r="E109" s="10"/>
      <c r="F109" s="55" t="s">
        <v>140</v>
      </c>
      <c r="G109" s="13">
        <v>20000</v>
      </c>
      <c r="H109" s="10"/>
      <c r="I109" s="9" t="s">
        <v>256</v>
      </c>
      <c r="J109" s="8">
        <v>2500</v>
      </c>
      <c r="K109" s="10"/>
      <c r="L109" s="2"/>
      <c r="M109" s="3"/>
      <c r="N109" s="4"/>
      <c r="O109" s="2" t="s">
        <v>274</v>
      </c>
      <c r="P109" s="3">
        <v>2000</v>
      </c>
      <c r="Q109" s="4"/>
    </row>
    <row r="110" spans="1:17" x14ac:dyDescent="0.25">
      <c r="A110" s="134"/>
      <c r="B110" s="137"/>
      <c r="C110" s="9" t="s">
        <v>239</v>
      </c>
      <c r="D110" s="8">
        <v>1000</v>
      </c>
      <c r="E110" s="10"/>
      <c r="F110" s="9" t="s">
        <v>238</v>
      </c>
      <c r="G110" s="8">
        <v>2452.4699999999998</v>
      </c>
      <c r="H110" s="10"/>
      <c r="I110" s="9" t="s">
        <v>73</v>
      </c>
      <c r="J110" s="8">
        <v>1100</v>
      </c>
      <c r="K110" s="10"/>
      <c r="L110" s="2"/>
      <c r="M110" s="3"/>
      <c r="N110" s="4"/>
      <c r="O110" s="2" t="s">
        <v>275</v>
      </c>
      <c r="P110" s="3">
        <v>2000</v>
      </c>
      <c r="Q110" s="4"/>
    </row>
    <row r="111" spans="1:17" x14ac:dyDescent="0.25">
      <c r="A111" s="134"/>
      <c r="B111" s="137"/>
      <c r="C111" s="9" t="s">
        <v>212</v>
      </c>
      <c r="D111" s="8">
        <v>0</v>
      </c>
      <c r="E111" s="10"/>
      <c r="F111" s="9" t="s">
        <v>114</v>
      </c>
      <c r="G111" s="8">
        <v>2000</v>
      </c>
      <c r="H111" s="10"/>
      <c r="I111" s="9" t="s">
        <v>257</v>
      </c>
      <c r="J111" s="8">
        <v>1000</v>
      </c>
      <c r="K111" s="10"/>
      <c r="L111" s="2"/>
      <c r="M111" s="3"/>
      <c r="N111" s="4"/>
      <c r="O111" s="2" t="s">
        <v>276</v>
      </c>
      <c r="P111" s="3">
        <v>500</v>
      </c>
      <c r="Q111" s="4"/>
    </row>
    <row r="112" spans="1:17" x14ac:dyDescent="0.25">
      <c r="A112" s="134"/>
      <c r="B112" s="137"/>
      <c r="C112" s="9"/>
      <c r="D112" s="8"/>
      <c r="E112" s="10"/>
      <c r="F112" s="9" t="s">
        <v>241</v>
      </c>
      <c r="G112" s="8">
        <v>2000</v>
      </c>
      <c r="H112" s="10"/>
      <c r="I112" s="9" t="s">
        <v>258</v>
      </c>
      <c r="J112" s="8">
        <v>1000</v>
      </c>
      <c r="K112" s="10"/>
      <c r="L112" s="2"/>
      <c r="M112" s="3"/>
      <c r="N112" s="4"/>
      <c r="O112" s="2" t="s">
        <v>277</v>
      </c>
      <c r="P112" s="3">
        <v>500</v>
      </c>
      <c r="Q112" s="4"/>
    </row>
    <row r="113" spans="1:18" x14ac:dyDescent="0.25">
      <c r="A113" s="134"/>
      <c r="B113" s="137"/>
      <c r="C113" s="9"/>
      <c r="D113" s="8"/>
      <c r="E113" s="10"/>
      <c r="F113" s="8" t="s">
        <v>242</v>
      </c>
      <c r="G113" s="8">
        <v>1000</v>
      </c>
      <c r="H113" s="10"/>
      <c r="I113" s="9" t="s">
        <v>259</v>
      </c>
      <c r="J113" s="8">
        <v>1000</v>
      </c>
      <c r="K113" s="10"/>
      <c r="L113" s="2"/>
      <c r="M113" s="3"/>
      <c r="N113" s="4"/>
      <c r="O113" s="2" t="s">
        <v>278</v>
      </c>
      <c r="P113" s="3">
        <v>500</v>
      </c>
      <c r="Q113" s="4"/>
    </row>
    <row r="114" spans="1:18" x14ac:dyDescent="0.25">
      <c r="A114" s="134"/>
      <c r="B114" s="137"/>
      <c r="C114" s="9"/>
      <c r="D114" s="8"/>
      <c r="E114" s="10"/>
      <c r="F114" s="9" t="s">
        <v>243</v>
      </c>
      <c r="G114" s="8">
        <v>800</v>
      </c>
      <c r="H114" s="10"/>
      <c r="I114" s="9" t="s">
        <v>194</v>
      </c>
      <c r="J114" s="8">
        <v>1000</v>
      </c>
      <c r="K114" s="10"/>
      <c r="L114" s="2"/>
      <c r="M114" s="3"/>
      <c r="N114" s="4"/>
      <c r="O114" s="2" t="s">
        <v>279</v>
      </c>
      <c r="P114" s="3">
        <v>500</v>
      </c>
      <c r="Q114" s="4"/>
    </row>
    <row r="115" spans="1:18" x14ac:dyDescent="0.25">
      <c r="A115" s="134"/>
      <c r="B115" s="137"/>
      <c r="C115" s="9"/>
      <c r="D115" s="8"/>
      <c r="E115" s="10"/>
      <c r="F115" s="9" t="s">
        <v>245</v>
      </c>
      <c r="G115" s="8">
        <v>500</v>
      </c>
      <c r="H115" s="10"/>
      <c r="I115" s="9" t="s">
        <v>266</v>
      </c>
      <c r="J115" s="8">
        <v>1000</v>
      </c>
      <c r="K115" s="10"/>
      <c r="L115" s="2"/>
      <c r="M115" s="3"/>
      <c r="N115" s="4"/>
      <c r="O115" s="2" t="s">
        <v>280</v>
      </c>
      <c r="P115" s="3">
        <v>349.73399999999998</v>
      </c>
      <c r="Q115" s="4"/>
    </row>
    <row r="116" spans="1:18" x14ac:dyDescent="0.25">
      <c r="A116" s="134"/>
      <c r="B116" s="137"/>
      <c r="C116" s="9"/>
      <c r="D116" s="8"/>
      <c r="E116" s="10"/>
      <c r="F116" s="8" t="s">
        <v>246</v>
      </c>
      <c r="G116" s="8">
        <v>500</v>
      </c>
      <c r="H116" s="10"/>
      <c r="I116" s="9" t="s">
        <v>262</v>
      </c>
      <c r="J116" s="8">
        <v>1000</v>
      </c>
      <c r="K116" s="10"/>
      <c r="L116" s="2"/>
      <c r="M116" s="3"/>
      <c r="N116" s="4"/>
      <c r="O116" s="2"/>
      <c r="P116" s="3"/>
      <c r="Q116" s="4"/>
    </row>
    <row r="117" spans="1:18" x14ac:dyDescent="0.25">
      <c r="A117" s="134"/>
      <c r="B117" s="137"/>
      <c r="C117" s="9"/>
      <c r="D117" s="8"/>
      <c r="E117" s="10"/>
      <c r="F117" s="9" t="s">
        <v>244</v>
      </c>
      <c r="G117" s="8">
        <v>500</v>
      </c>
      <c r="H117" s="10"/>
      <c r="I117" s="9" t="s">
        <v>260</v>
      </c>
      <c r="J117" s="8">
        <v>1000</v>
      </c>
      <c r="K117" s="10"/>
      <c r="L117" s="2"/>
      <c r="M117" s="3"/>
      <c r="N117" s="4"/>
      <c r="O117" s="2"/>
      <c r="P117" s="3"/>
      <c r="Q117" s="4"/>
    </row>
    <row r="118" spans="1:18" x14ac:dyDescent="0.25">
      <c r="A118" s="134"/>
      <c r="B118" s="137"/>
      <c r="C118" s="9"/>
      <c r="D118" s="8"/>
      <c r="E118" s="10"/>
      <c r="F118" s="9" t="s">
        <v>83</v>
      </c>
      <c r="G118" s="8">
        <v>500</v>
      </c>
      <c r="H118" s="10"/>
      <c r="I118" s="9" t="s">
        <v>261</v>
      </c>
      <c r="J118" s="8">
        <v>1000</v>
      </c>
      <c r="K118" s="10"/>
      <c r="L118" s="2"/>
      <c r="M118" s="3"/>
      <c r="N118" s="4"/>
      <c r="O118" s="2"/>
      <c r="P118" s="3"/>
      <c r="Q118" s="4"/>
    </row>
    <row r="119" spans="1:18" x14ac:dyDescent="0.25">
      <c r="A119" s="134"/>
      <c r="B119" s="137"/>
      <c r="C119" s="9"/>
      <c r="D119" s="8"/>
      <c r="E119" s="10"/>
      <c r="F119" s="9" t="s">
        <v>247</v>
      </c>
      <c r="G119" s="8">
        <v>500</v>
      </c>
      <c r="H119" s="10"/>
      <c r="I119" s="9" t="s">
        <v>264</v>
      </c>
      <c r="J119" s="8">
        <v>1000</v>
      </c>
      <c r="K119" s="10"/>
      <c r="L119" s="2"/>
      <c r="M119" s="3"/>
      <c r="N119" s="4"/>
      <c r="O119" s="2"/>
      <c r="P119" s="3"/>
      <c r="Q119" s="4"/>
    </row>
    <row r="120" spans="1:18" x14ac:dyDescent="0.25">
      <c r="A120" s="134"/>
      <c r="B120" s="137"/>
      <c r="C120" s="9"/>
      <c r="D120" s="8"/>
      <c r="E120" s="10"/>
      <c r="F120" s="9" t="s">
        <v>248</v>
      </c>
      <c r="G120" s="8">
        <v>300</v>
      </c>
      <c r="H120" s="10"/>
      <c r="I120" s="9" t="s">
        <v>195</v>
      </c>
      <c r="J120" s="8">
        <v>1000</v>
      </c>
      <c r="K120" s="10"/>
      <c r="L120" s="2"/>
      <c r="M120" s="3"/>
      <c r="N120" s="4"/>
      <c r="O120" s="2"/>
      <c r="P120" s="3"/>
      <c r="Q120" s="4"/>
    </row>
    <row r="121" spans="1:18" x14ac:dyDescent="0.25">
      <c r="A121" s="134"/>
      <c r="B121" s="137"/>
      <c r="C121" s="9"/>
      <c r="D121" s="8"/>
      <c r="E121" s="10"/>
      <c r="F121" s="9" t="s">
        <v>255</v>
      </c>
      <c r="G121" s="8">
        <v>810</v>
      </c>
      <c r="H121" s="10"/>
      <c r="I121" s="9" t="s">
        <v>265</v>
      </c>
      <c r="J121" s="8">
        <v>1000</v>
      </c>
      <c r="K121" s="10"/>
      <c r="L121" s="2"/>
      <c r="M121" s="3"/>
      <c r="N121" s="4"/>
      <c r="O121" s="2"/>
      <c r="P121" s="3"/>
      <c r="Q121" s="4"/>
    </row>
    <row r="122" spans="1:18" x14ac:dyDescent="0.25">
      <c r="A122" s="134"/>
      <c r="B122" s="137"/>
      <c r="C122" s="9"/>
      <c r="D122" s="8"/>
      <c r="E122" s="10"/>
      <c r="F122" s="9"/>
      <c r="G122" s="8"/>
      <c r="H122" s="10"/>
      <c r="I122" s="2" t="s">
        <v>263</v>
      </c>
      <c r="J122" s="3">
        <v>1000</v>
      </c>
      <c r="K122" s="10"/>
      <c r="L122" s="2"/>
      <c r="M122" s="3"/>
      <c r="N122" s="4"/>
      <c r="O122" s="2"/>
      <c r="P122" s="3"/>
      <c r="Q122" s="4"/>
    </row>
    <row r="123" spans="1:18" x14ac:dyDescent="0.25">
      <c r="A123" s="134"/>
      <c r="B123" s="137"/>
      <c r="C123" s="9"/>
      <c r="D123" s="8"/>
      <c r="E123" s="10"/>
      <c r="F123" s="9"/>
      <c r="G123" s="8"/>
      <c r="H123" s="10"/>
      <c r="I123" s="9" t="s">
        <v>141</v>
      </c>
      <c r="J123" s="8">
        <v>537.35299999999995</v>
      </c>
      <c r="K123" s="10"/>
      <c r="L123" s="2"/>
      <c r="M123" s="3"/>
      <c r="N123" s="4"/>
      <c r="O123" s="2"/>
      <c r="P123" s="3"/>
      <c r="Q123" s="4"/>
    </row>
    <row r="124" spans="1:18" x14ac:dyDescent="0.25">
      <c r="A124" s="134"/>
      <c r="B124" s="137"/>
      <c r="C124" s="9"/>
      <c r="D124" s="8"/>
      <c r="E124" s="10"/>
      <c r="F124" s="92"/>
      <c r="G124" s="8"/>
      <c r="H124" s="10"/>
      <c r="I124" s="9" t="s">
        <v>270</v>
      </c>
      <c r="J124" s="8">
        <v>500</v>
      </c>
      <c r="K124" s="10"/>
      <c r="L124" s="2"/>
      <c r="M124" s="3"/>
      <c r="N124" s="4"/>
      <c r="O124" s="2"/>
      <c r="P124" s="3"/>
      <c r="Q124" s="4"/>
    </row>
    <row r="125" spans="1:18" x14ac:dyDescent="0.25">
      <c r="A125" s="134"/>
      <c r="B125" s="137"/>
      <c r="C125" s="9"/>
      <c r="D125" s="8"/>
      <c r="E125" s="10"/>
      <c r="F125" s="92"/>
      <c r="G125" s="8"/>
      <c r="H125" s="10"/>
      <c r="I125" s="2" t="s">
        <v>267</v>
      </c>
      <c r="J125" s="3">
        <v>500</v>
      </c>
      <c r="K125" s="10"/>
      <c r="L125" s="2"/>
      <c r="M125" s="3"/>
      <c r="N125" s="4"/>
      <c r="O125" s="2"/>
      <c r="P125" s="3"/>
      <c r="Q125" s="4"/>
    </row>
    <row r="126" spans="1:18" x14ac:dyDescent="0.25">
      <c r="A126" s="134"/>
      <c r="B126" s="137"/>
      <c r="C126" s="9"/>
      <c r="D126" s="8"/>
      <c r="E126" s="10"/>
      <c r="F126" s="92"/>
      <c r="G126" s="8"/>
      <c r="H126" s="10"/>
      <c r="I126" s="9" t="s">
        <v>268</v>
      </c>
      <c r="J126" s="8">
        <v>500</v>
      </c>
      <c r="K126" s="10"/>
      <c r="L126" s="2"/>
      <c r="M126" s="3"/>
      <c r="N126" s="4"/>
      <c r="O126" s="2"/>
      <c r="P126" s="3"/>
      <c r="Q126" s="4"/>
      <c r="R126" s="104"/>
    </row>
    <row r="127" spans="1:18" x14ac:dyDescent="0.25">
      <c r="A127" s="134"/>
      <c r="B127" s="137"/>
      <c r="C127" s="9"/>
      <c r="D127" s="8"/>
      <c r="E127" s="10"/>
      <c r="F127" s="9"/>
      <c r="G127" s="8"/>
      <c r="H127" s="10"/>
      <c r="I127" s="9" t="s">
        <v>269</v>
      </c>
      <c r="J127" s="8">
        <v>500</v>
      </c>
      <c r="K127" s="10"/>
      <c r="L127" s="2"/>
      <c r="M127" s="3"/>
      <c r="N127" s="4"/>
      <c r="O127" s="2"/>
      <c r="P127" s="3"/>
      <c r="Q127" s="4"/>
    </row>
    <row r="128" spans="1:18" x14ac:dyDescent="0.25">
      <c r="A128" s="134"/>
      <c r="B128" s="137"/>
      <c r="C128" s="9"/>
      <c r="D128" s="8"/>
      <c r="E128" s="10"/>
      <c r="F128" s="9"/>
      <c r="G128" s="8"/>
      <c r="H128" s="10"/>
      <c r="I128" s="9" t="s">
        <v>271</v>
      </c>
      <c r="J128" s="8">
        <v>0</v>
      </c>
      <c r="K128" s="10"/>
      <c r="L128" s="2"/>
      <c r="M128" s="3"/>
      <c r="N128" s="4"/>
      <c r="O128" s="2"/>
      <c r="P128" s="3"/>
      <c r="Q128" s="4"/>
    </row>
    <row r="129" spans="1:18" ht="15" x14ac:dyDescent="0.4">
      <c r="A129" s="134"/>
      <c r="B129" s="137"/>
      <c r="C129" s="97"/>
      <c r="D129" s="24"/>
      <c r="E129" s="37" t="s">
        <v>75</v>
      </c>
      <c r="F129" s="97"/>
      <c r="G129" s="24"/>
      <c r="H129" s="37" t="s">
        <v>75</v>
      </c>
      <c r="I129" s="97"/>
      <c r="J129" s="24"/>
      <c r="K129" s="37" t="s">
        <v>75</v>
      </c>
      <c r="L129" s="97"/>
      <c r="M129" s="35"/>
      <c r="N129" s="37" t="s">
        <v>75</v>
      </c>
      <c r="O129" s="102"/>
      <c r="P129" s="24"/>
      <c r="Q129" s="37" t="s">
        <v>75</v>
      </c>
    </row>
    <row r="130" spans="1:18" ht="15" x14ac:dyDescent="0.4">
      <c r="A130" s="134"/>
      <c r="B130" s="137"/>
      <c r="C130" s="24" t="s">
        <v>153</v>
      </c>
      <c r="D130" s="97"/>
      <c r="E130" s="25" t="s">
        <v>76</v>
      </c>
      <c r="F130" s="23" t="s">
        <v>153</v>
      </c>
      <c r="G130" s="97"/>
      <c r="H130" s="25" t="s">
        <v>76</v>
      </c>
      <c r="I130" s="23" t="s">
        <v>153</v>
      </c>
      <c r="J130" s="97"/>
      <c r="K130" s="25" t="s">
        <v>76</v>
      </c>
      <c r="L130" s="23" t="s">
        <v>153</v>
      </c>
      <c r="M130" s="97"/>
      <c r="N130" s="25" t="s">
        <v>76</v>
      </c>
      <c r="O130" s="95" t="s">
        <v>153</v>
      </c>
      <c r="P130" s="97"/>
      <c r="Q130" s="96" t="s">
        <v>76</v>
      </c>
    </row>
    <row r="131" spans="1:18" x14ac:dyDescent="0.25">
      <c r="A131" s="135"/>
      <c r="B131" s="138"/>
      <c r="C131" s="44">
        <f>'[2]QTD Mgmt Summary'!$E$25*-1</f>
        <v>6553</v>
      </c>
      <c r="D131" s="26">
        <f>SUM(D109:D130)</f>
        <v>2600</v>
      </c>
      <c r="E131" s="33">
        <f>+D131-C131</f>
        <v>-3953</v>
      </c>
      <c r="F131" s="44">
        <f>18902+1336</f>
        <v>20238</v>
      </c>
      <c r="G131" s="26">
        <f>SUM(G109:G130)</f>
        <v>31862.47</v>
      </c>
      <c r="H131" s="26">
        <f>+G131-F131</f>
        <v>11624.470000000001</v>
      </c>
      <c r="I131" s="44">
        <f>20242+1113</f>
        <v>21355</v>
      </c>
      <c r="J131" s="26">
        <f>SUM(J109:J128)</f>
        <v>18137.352999999999</v>
      </c>
      <c r="K131" s="26">
        <f>+J131-I131</f>
        <v>-3217.6470000000008</v>
      </c>
      <c r="L131" s="44">
        <f>+C131+F131+I131</f>
        <v>48146</v>
      </c>
      <c r="M131" s="26">
        <f>+D131+G131+J131</f>
        <v>52599.823000000004</v>
      </c>
      <c r="N131" s="26">
        <f>+M131-L131</f>
        <v>4453.823000000004</v>
      </c>
      <c r="O131" s="44">
        <f>+I131*1.35</f>
        <v>28829.250000000004</v>
      </c>
      <c r="P131" s="26">
        <f>SUM(P109:P130)</f>
        <v>6349.7340000000004</v>
      </c>
      <c r="Q131" s="26">
        <f>+P131-O131</f>
        <v>-22479.516000000003</v>
      </c>
    </row>
    <row r="132" spans="1:18" ht="16.5" thickBot="1" x14ac:dyDescent="0.45">
      <c r="A132" s="133"/>
      <c r="B132" s="136" t="s">
        <v>285</v>
      </c>
      <c r="C132" s="45" t="s">
        <v>24</v>
      </c>
      <c r="D132" s="46" t="s">
        <v>25</v>
      </c>
      <c r="E132" s="47">
        <v>14</v>
      </c>
      <c r="F132" s="45" t="s">
        <v>24</v>
      </c>
      <c r="G132" s="46" t="s">
        <v>25</v>
      </c>
      <c r="H132" s="47">
        <v>124</v>
      </c>
      <c r="I132" s="45" t="s">
        <v>24</v>
      </c>
      <c r="J132" s="46" t="s">
        <v>25</v>
      </c>
      <c r="K132" s="47">
        <v>31</v>
      </c>
      <c r="L132" s="45"/>
      <c r="M132" s="46"/>
      <c r="N132" s="47">
        <f>+K132+H132+E132</f>
        <v>169</v>
      </c>
      <c r="O132" s="45" t="s">
        <v>24</v>
      </c>
      <c r="P132" s="46" t="s">
        <v>25</v>
      </c>
      <c r="Q132" s="47">
        <v>0</v>
      </c>
    </row>
    <row r="133" spans="1:18" x14ac:dyDescent="0.25">
      <c r="A133" s="139"/>
      <c r="B133" s="141"/>
      <c r="C133" s="9" t="s">
        <v>240</v>
      </c>
      <c r="D133" s="8">
        <v>879.12</v>
      </c>
      <c r="E133" s="10"/>
      <c r="F133" s="9" t="s">
        <v>249</v>
      </c>
      <c r="G133" s="8">
        <v>500</v>
      </c>
      <c r="H133" s="10"/>
      <c r="I133" s="9" t="s">
        <v>272</v>
      </c>
      <c r="J133" s="8">
        <v>500</v>
      </c>
      <c r="K133" s="10"/>
      <c r="L133" s="2"/>
      <c r="M133" s="3"/>
      <c r="N133" s="4"/>
      <c r="O133" s="2"/>
      <c r="P133" s="3"/>
      <c r="Q133" s="4"/>
    </row>
    <row r="134" spans="1:18" x14ac:dyDescent="0.25">
      <c r="A134" s="139"/>
      <c r="B134" s="141"/>
      <c r="C134" s="9" t="s">
        <v>254</v>
      </c>
      <c r="D134" s="8">
        <v>496</v>
      </c>
      <c r="E134" s="10"/>
      <c r="F134" s="9" t="s">
        <v>250</v>
      </c>
      <c r="G134" s="8">
        <v>500</v>
      </c>
      <c r="H134" s="10"/>
      <c r="I134" s="9" t="s">
        <v>273</v>
      </c>
      <c r="J134" s="8">
        <v>2435</v>
      </c>
      <c r="K134" s="10"/>
      <c r="L134" s="2"/>
      <c r="M134" s="3"/>
      <c r="N134" s="4"/>
      <c r="O134" s="2"/>
      <c r="P134" s="3"/>
      <c r="Q134" s="4"/>
    </row>
    <row r="135" spans="1:18" x14ac:dyDescent="0.25">
      <c r="A135" s="139"/>
      <c r="B135" s="141"/>
      <c r="C135" s="9"/>
      <c r="D135" s="8"/>
      <c r="E135" s="10"/>
      <c r="F135" s="9" t="s">
        <v>240</v>
      </c>
      <c r="G135" s="8">
        <v>350</v>
      </c>
      <c r="H135" s="10"/>
      <c r="I135" s="9"/>
      <c r="J135" s="8"/>
      <c r="K135" s="10"/>
      <c r="L135" s="2"/>
      <c r="M135" s="3"/>
      <c r="N135" s="4"/>
      <c r="O135" s="2"/>
      <c r="P135" s="3"/>
      <c r="Q135" s="4"/>
    </row>
    <row r="136" spans="1:18" x14ac:dyDescent="0.25">
      <c r="A136" s="139"/>
      <c r="B136" s="141"/>
      <c r="C136" s="9"/>
      <c r="D136" s="8"/>
      <c r="E136" s="10"/>
      <c r="F136" s="9" t="s">
        <v>251</v>
      </c>
      <c r="G136" s="8">
        <v>300</v>
      </c>
      <c r="H136" s="10"/>
      <c r="I136" s="9"/>
      <c r="J136" s="8"/>
      <c r="K136" s="10"/>
      <c r="L136" s="2"/>
      <c r="M136" s="3"/>
      <c r="N136" s="4"/>
      <c r="O136" s="2"/>
      <c r="P136" s="3"/>
      <c r="Q136" s="4"/>
    </row>
    <row r="137" spans="1:18" x14ac:dyDescent="0.25">
      <c r="A137" s="139"/>
      <c r="B137" s="141"/>
      <c r="C137" s="9"/>
      <c r="D137" s="8"/>
      <c r="E137" s="10"/>
      <c r="F137" s="9" t="s">
        <v>252</v>
      </c>
      <c r="G137" s="8">
        <v>300</v>
      </c>
      <c r="H137" s="10"/>
      <c r="I137" s="9"/>
      <c r="J137" s="8"/>
      <c r="K137" s="10"/>
      <c r="L137" s="2"/>
      <c r="M137" s="3"/>
      <c r="N137" s="4"/>
      <c r="O137" s="2"/>
      <c r="P137" s="3"/>
      <c r="Q137" s="4"/>
    </row>
    <row r="138" spans="1:18" x14ac:dyDescent="0.25">
      <c r="A138" s="139"/>
      <c r="B138" s="141"/>
      <c r="C138" s="9"/>
      <c r="D138" s="8"/>
      <c r="E138" s="10"/>
      <c r="F138" s="9" t="s">
        <v>253</v>
      </c>
      <c r="G138" s="8">
        <v>4604</v>
      </c>
      <c r="H138" s="10"/>
      <c r="I138" s="9"/>
      <c r="J138" s="8"/>
      <c r="K138" s="10"/>
      <c r="L138" s="2"/>
      <c r="M138" s="3"/>
      <c r="N138" s="4"/>
      <c r="O138" s="2"/>
      <c r="P138" s="3"/>
      <c r="Q138" s="4"/>
      <c r="R138" s="97"/>
    </row>
    <row r="139" spans="1:18" ht="15" x14ac:dyDescent="0.4">
      <c r="A139" s="139"/>
      <c r="B139" s="141"/>
      <c r="C139" s="97"/>
      <c r="D139" s="24"/>
      <c r="E139" s="37" t="s">
        <v>75</v>
      </c>
      <c r="F139" s="97"/>
      <c r="G139" s="24"/>
      <c r="H139" s="37" t="s">
        <v>75</v>
      </c>
      <c r="I139" s="97"/>
      <c r="J139" s="24"/>
      <c r="K139" s="37" t="s">
        <v>75</v>
      </c>
      <c r="L139" s="97"/>
      <c r="M139" s="35"/>
      <c r="N139" s="37" t="s">
        <v>75</v>
      </c>
      <c r="O139" s="102"/>
      <c r="P139" s="24"/>
      <c r="Q139" s="37" t="s">
        <v>75</v>
      </c>
    </row>
    <row r="140" spans="1:18" ht="15" x14ac:dyDescent="0.4">
      <c r="A140" s="139"/>
      <c r="B140" s="141"/>
      <c r="C140" s="24" t="s">
        <v>153</v>
      </c>
      <c r="D140" s="97"/>
      <c r="E140" s="25" t="s">
        <v>76</v>
      </c>
      <c r="F140" s="23" t="s">
        <v>153</v>
      </c>
      <c r="G140" s="97"/>
      <c r="H140" s="25" t="s">
        <v>76</v>
      </c>
      <c r="I140" s="23" t="s">
        <v>153</v>
      </c>
      <c r="J140" s="97"/>
      <c r="K140" s="25" t="s">
        <v>76</v>
      </c>
      <c r="L140" s="23" t="s">
        <v>153</v>
      </c>
      <c r="M140" s="97"/>
      <c r="N140" s="25" t="s">
        <v>76</v>
      </c>
      <c r="O140" s="95" t="s">
        <v>153</v>
      </c>
      <c r="P140" s="97"/>
      <c r="Q140" s="96" t="s">
        <v>76</v>
      </c>
    </row>
    <row r="141" spans="1:18" x14ac:dyDescent="0.25">
      <c r="A141" s="140"/>
      <c r="B141" s="142"/>
      <c r="C141" s="44">
        <f>('[2]QTD Mgmt Summary'!$E$26+'[2]QTD Mgmt Summary'!$E$27)*-1</f>
        <v>-1259</v>
      </c>
      <c r="D141" s="26">
        <f>SUM(D133:D140)</f>
        <v>1375.12</v>
      </c>
      <c r="E141" s="33">
        <f>+D141-C141</f>
        <v>2634.12</v>
      </c>
      <c r="F141" s="44">
        <f>7295+18093+1690</f>
        <v>27078</v>
      </c>
      <c r="G141" s="26">
        <f>SUM(G133:G140)</f>
        <v>6554</v>
      </c>
      <c r="H141" s="26">
        <f>+G141-F141</f>
        <v>-20524</v>
      </c>
      <c r="I141" s="44">
        <f>7202+17949+1690</f>
        <v>26841</v>
      </c>
      <c r="J141" s="26">
        <f>SUM(J133:J140)</f>
        <v>2935</v>
      </c>
      <c r="K141" s="26">
        <f>+J141-I141</f>
        <v>-23906</v>
      </c>
      <c r="L141" s="44">
        <f>+C141+F141+I141</f>
        <v>52660</v>
      </c>
      <c r="M141" s="26">
        <f>+D141+G141+J141</f>
        <v>10864.119999999999</v>
      </c>
      <c r="N141" s="26">
        <f>+M141-L141</f>
        <v>-41795.880000000005</v>
      </c>
      <c r="O141" s="44">
        <f>+I141*1.35</f>
        <v>36235.350000000006</v>
      </c>
      <c r="P141" s="26">
        <f>SUM(P133:P140)</f>
        <v>0</v>
      </c>
      <c r="Q141" s="26">
        <f>+P141-O141</f>
        <v>-36235.350000000006</v>
      </c>
    </row>
    <row r="142" spans="1:18" s="12" customFormat="1" ht="15" customHeight="1" thickBot="1" x14ac:dyDescent="0.45">
      <c r="A142" s="134" t="s">
        <v>38</v>
      </c>
      <c r="B142" s="137" t="s">
        <v>39</v>
      </c>
      <c r="C142" s="45" t="s">
        <v>24</v>
      </c>
      <c r="D142" s="46" t="s">
        <v>25</v>
      </c>
      <c r="E142" s="47">
        <f>COUNTA(C143:C147)</f>
        <v>1</v>
      </c>
      <c r="F142" s="45" t="s">
        <v>24</v>
      </c>
      <c r="G142" s="46" t="s">
        <v>25</v>
      </c>
      <c r="H142" s="47">
        <f>COUNTA(F143:F147)</f>
        <v>4</v>
      </c>
      <c r="I142" s="45" t="s">
        <v>24</v>
      </c>
      <c r="J142" s="46" t="s">
        <v>25</v>
      </c>
      <c r="K142" s="47">
        <f>COUNTA(I143:I147)</f>
        <v>2</v>
      </c>
      <c r="L142" s="45"/>
      <c r="M142" s="46"/>
      <c r="N142" s="47">
        <f>+K142+H142+E142</f>
        <v>7</v>
      </c>
      <c r="O142" s="45" t="s">
        <v>24</v>
      </c>
      <c r="P142" s="46" t="s">
        <v>25</v>
      </c>
      <c r="Q142" s="47">
        <f>COUNTA(O143:O147)</f>
        <v>2</v>
      </c>
    </row>
    <row r="143" spans="1:18" s="12" customFormat="1" ht="12" customHeight="1" x14ac:dyDescent="0.25">
      <c r="A143" s="134"/>
      <c r="B143" s="137"/>
      <c r="C143" s="2" t="s">
        <v>133</v>
      </c>
      <c r="D143" s="3">
        <v>0</v>
      </c>
      <c r="E143" s="4"/>
      <c r="F143" s="2" t="s">
        <v>135</v>
      </c>
      <c r="G143" s="3">
        <v>10000</v>
      </c>
      <c r="H143" s="4"/>
      <c r="I143" s="2" t="s">
        <v>218</v>
      </c>
      <c r="J143" s="3">
        <v>10000</v>
      </c>
      <c r="K143" s="4"/>
      <c r="L143" s="2"/>
      <c r="M143" s="3"/>
      <c r="N143" s="4"/>
      <c r="O143" s="2" t="s">
        <v>137</v>
      </c>
      <c r="P143" s="3">
        <v>0</v>
      </c>
      <c r="Q143" s="4"/>
    </row>
    <row r="144" spans="1:18" s="12" customFormat="1" ht="12" customHeight="1" x14ac:dyDescent="0.25">
      <c r="A144" s="134"/>
      <c r="B144" s="137"/>
      <c r="C144" s="2"/>
      <c r="D144" s="3"/>
      <c r="E144" s="4"/>
      <c r="F144" s="2" t="s">
        <v>136</v>
      </c>
      <c r="G144" s="3">
        <v>0</v>
      </c>
      <c r="H144" s="4"/>
      <c r="I144" s="2" t="s">
        <v>131</v>
      </c>
      <c r="J144" s="3">
        <v>0</v>
      </c>
      <c r="K144" s="4"/>
      <c r="L144" s="2"/>
      <c r="M144" s="3"/>
      <c r="N144" s="4"/>
      <c r="O144" s="2" t="s">
        <v>138</v>
      </c>
      <c r="P144" s="3">
        <v>0</v>
      </c>
      <c r="Q144" s="4"/>
    </row>
    <row r="145" spans="1:17" s="12" customFormat="1" ht="12" customHeight="1" x14ac:dyDescent="0.25">
      <c r="A145" s="134"/>
      <c r="B145" s="137"/>
      <c r="C145" s="6"/>
      <c r="D145" s="3"/>
      <c r="E145" s="4"/>
      <c r="F145" s="2" t="s">
        <v>132</v>
      </c>
      <c r="G145" s="3">
        <v>0</v>
      </c>
      <c r="H145" s="4"/>
      <c r="I145" s="2"/>
      <c r="J145" s="3"/>
      <c r="K145" s="4"/>
      <c r="L145" s="2"/>
      <c r="M145" s="3"/>
      <c r="N145" s="4"/>
      <c r="O145" s="2"/>
      <c r="P145" s="3"/>
      <c r="Q145" s="4"/>
    </row>
    <row r="146" spans="1:17" s="12" customFormat="1" ht="12" customHeight="1" x14ac:dyDescent="0.25">
      <c r="A146" s="134"/>
      <c r="B146" s="137"/>
      <c r="C146" s="6"/>
      <c r="D146" s="3"/>
      <c r="E146" s="4"/>
      <c r="F146" s="2" t="s">
        <v>134</v>
      </c>
      <c r="G146" s="3">
        <v>0</v>
      </c>
      <c r="H146" s="4"/>
      <c r="I146" s="2"/>
      <c r="J146" s="3"/>
      <c r="K146" s="4"/>
      <c r="L146" s="2"/>
      <c r="M146" s="3"/>
      <c r="N146" s="4"/>
      <c r="O146" s="2"/>
      <c r="P146" s="3"/>
      <c r="Q146" s="4"/>
    </row>
    <row r="147" spans="1:17" s="12" customFormat="1" ht="12" customHeight="1" x14ac:dyDescent="0.25">
      <c r="A147" s="134"/>
      <c r="B147" s="137"/>
      <c r="C147" s="34"/>
      <c r="D147" s="3"/>
      <c r="E147" s="37" t="s">
        <v>75</v>
      </c>
      <c r="F147" s="34"/>
      <c r="G147" s="3"/>
      <c r="H147" s="37" t="s">
        <v>75</v>
      </c>
      <c r="I147" s="34"/>
      <c r="J147" s="1"/>
      <c r="K147" s="37" t="s">
        <v>75</v>
      </c>
      <c r="L147" s="34"/>
      <c r="M147" s="35"/>
      <c r="N147" s="37" t="s">
        <v>75</v>
      </c>
      <c r="O147" s="34"/>
      <c r="P147" s="3"/>
      <c r="Q147" s="37" t="s">
        <v>75</v>
      </c>
    </row>
    <row r="148" spans="1:17" s="12" customFormat="1" ht="15" customHeight="1" x14ac:dyDescent="0.4">
      <c r="A148" s="134"/>
      <c r="B148" s="137"/>
      <c r="C148" s="23" t="s">
        <v>153</v>
      </c>
      <c r="D148" s="24"/>
      <c r="E148" s="25" t="s">
        <v>76</v>
      </c>
      <c r="F148" s="23" t="s">
        <v>153</v>
      </c>
      <c r="G148" s="24"/>
      <c r="H148" s="25" t="s">
        <v>76</v>
      </c>
      <c r="I148" s="23" t="s">
        <v>153</v>
      </c>
      <c r="J148" s="24"/>
      <c r="K148" s="25" t="s">
        <v>76</v>
      </c>
      <c r="L148" s="23" t="s">
        <v>153</v>
      </c>
      <c r="M148" s="36" t="s">
        <v>25</v>
      </c>
      <c r="N148" s="25" t="s">
        <v>76</v>
      </c>
      <c r="O148" s="23" t="s">
        <v>153</v>
      </c>
      <c r="P148" s="24"/>
      <c r="Q148" s="25" t="s">
        <v>76</v>
      </c>
    </row>
    <row r="149" spans="1:17" s="12" customFormat="1" ht="12" customHeight="1" x14ac:dyDescent="0.25">
      <c r="A149" s="135"/>
      <c r="B149" s="138"/>
      <c r="C149" s="44">
        <f>'[2]QTD Mgmt Summary'!$E$32*-1</f>
        <v>43597</v>
      </c>
      <c r="D149" s="26">
        <f>SUM(D143:D148)</f>
        <v>0</v>
      </c>
      <c r="E149" s="33">
        <f>+D149-C149</f>
        <v>-43597</v>
      </c>
      <c r="F149" s="44">
        <v>15390</v>
      </c>
      <c r="G149" s="26">
        <f>SUM(G143:G148)</f>
        <v>10000</v>
      </c>
      <c r="H149" s="33">
        <f>+G149-F149</f>
        <v>-5390</v>
      </c>
      <c r="I149" s="44">
        <v>15390</v>
      </c>
      <c r="J149" s="26">
        <f>SUM(J143:J148)</f>
        <v>10000</v>
      </c>
      <c r="K149" s="33">
        <f>+J149-I149</f>
        <v>-5390</v>
      </c>
      <c r="L149" s="44">
        <f>+C149+F149+I149</f>
        <v>74377</v>
      </c>
      <c r="M149" s="26">
        <f>+D149+G149+J149</f>
        <v>20000</v>
      </c>
      <c r="N149" s="33">
        <f>+M149-L149</f>
        <v>-54377</v>
      </c>
      <c r="O149" s="44">
        <f>+I149*1.35</f>
        <v>20776.5</v>
      </c>
      <c r="P149" s="26">
        <f>SUM(P143:P148)</f>
        <v>0</v>
      </c>
      <c r="Q149" s="33">
        <f>+P149-O149</f>
        <v>-20776.5</v>
      </c>
    </row>
    <row r="150" spans="1:17" s="12" customFormat="1" ht="15" customHeight="1" thickBot="1" x14ac:dyDescent="0.45">
      <c r="A150" s="133" t="s">
        <v>40</v>
      </c>
      <c r="B150" s="136" t="s">
        <v>146</v>
      </c>
      <c r="C150" s="45" t="s">
        <v>24</v>
      </c>
      <c r="D150" s="46" t="s">
        <v>25</v>
      </c>
      <c r="E150" s="47">
        <f>COUNTA(C151:C157)</f>
        <v>1</v>
      </c>
      <c r="F150" s="45" t="s">
        <v>24</v>
      </c>
      <c r="G150" s="46" t="s">
        <v>25</v>
      </c>
      <c r="H150" s="47">
        <f>COUNTA(F151:F157)</f>
        <v>5</v>
      </c>
      <c r="I150" s="45" t="s">
        <v>24</v>
      </c>
      <c r="J150" s="46" t="s">
        <v>25</v>
      </c>
      <c r="K150" s="47">
        <f>COUNTA(I151:I157)</f>
        <v>6</v>
      </c>
      <c r="L150" s="45"/>
      <c r="M150" s="46"/>
      <c r="N150" s="47">
        <f>+K150+H150+E150</f>
        <v>12</v>
      </c>
      <c r="O150" s="45" t="s">
        <v>24</v>
      </c>
      <c r="P150" s="46" t="s">
        <v>25</v>
      </c>
      <c r="Q150" s="47">
        <f>COUNTA(O151:O157)</f>
        <v>0</v>
      </c>
    </row>
    <row r="151" spans="1:17" s="12" customFormat="1" ht="12.75" customHeight="1" x14ac:dyDescent="0.4">
      <c r="A151" s="134"/>
      <c r="B151" s="137"/>
      <c r="C151" s="38" t="s">
        <v>82</v>
      </c>
      <c r="D151" s="39">
        <v>0</v>
      </c>
      <c r="E151" s="40"/>
      <c r="F151" s="38" t="s">
        <v>83</v>
      </c>
      <c r="G151" s="39">
        <v>0</v>
      </c>
      <c r="H151" s="41"/>
      <c r="I151" s="38" t="s">
        <v>86</v>
      </c>
      <c r="J151" s="39">
        <v>0</v>
      </c>
      <c r="K151" s="25"/>
      <c r="L151" s="2"/>
      <c r="M151" s="3"/>
      <c r="N151" s="4"/>
      <c r="O151" s="2"/>
      <c r="P151" s="3"/>
      <c r="Q151" s="4"/>
    </row>
    <row r="152" spans="1:17" s="12" customFormat="1" ht="12.75" customHeight="1" x14ac:dyDescent="0.4">
      <c r="A152" s="134"/>
      <c r="B152" s="137"/>
      <c r="C152" s="38"/>
      <c r="D152" s="39"/>
      <c r="E152" s="40"/>
      <c r="F152" s="38" t="s">
        <v>84</v>
      </c>
      <c r="G152" s="39">
        <v>0</v>
      </c>
      <c r="H152" s="41"/>
      <c r="I152" s="38" t="s">
        <v>87</v>
      </c>
      <c r="J152" s="39">
        <v>0</v>
      </c>
      <c r="K152" s="25"/>
      <c r="L152" s="2"/>
      <c r="M152" s="3"/>
      <c r="N152" s="4"/>
      <c r="O152" s="2"/>
      <c r="P152" s="3"/>
      <c r="Q152" s="4"/>
    </row>
    <row r="153" spans="1:17" s="12" customFormat="1" ht="12.75" customHeight="1" x14ac:dyDescent="0.4">
      <c r="A153" s="134"/>
      <c r="B153" s="137"/>
      <c r="C153" s="38"/>
      <c r="D153" s="39"/>
      <c r="E153" s="40"/>
      <c r="F153" s="38" t="s">
        <v>85</v>
      </c>
      <c r="G153" s="39">
        <v>0</v>
      </c>
      <c r="H153" s="41"/>
      <c r="I153" s="38" t="s">
        <v>161</v>
      </c>
      <c r="J153" s="39">
        <v>0</v>
      </c>
      <c r="K153" s="25"/>
      <c r="L153" s="2"/>
      <c r="M153" s="3"/>
      <c r="N153" s="4"/>
      <c r="O153" s="2"/>
      <c r="P153" s="3"/>
      <c r="Q153" s="4"/>
    </row>
    <row r="154" spans="1:17" s="12" customFormat="1" ht="12.75" customHeight="1" x14ac:dyDescent="0.4">
      <c r="A154" s="134"/>
      <c r="B154" s="137"/>
      <c r="C154" s="38"/>
      <c r="D154" s="39"/>
      <c r="E154" s="40"/>
      <c r="F154" s="38" t="s">
        <v>160</v>
      </c>
      <c r="G154" s="39">
        <v>0</v>
      </c>
      <c r="H154" s="41"/>
      <c r="I154" s="38" t="s">
        <v>88</v>
      </c>
      <c r="J154" s="39">
        <v>0</v>
      </c>
      <c r="K154" s="25"/>
      <c r="L154" s="2"/>
      <c r="M154" s="3"/>
      <c r="N154" s="4"/>
      <c r="O154" s="2"/>
      <c r="P154" s="3"/>
      <c r="Q154" s="4"/>
    </row>
    <row r="155" spans="1:17" s="12" customFormat="1" ht="12.75" customHeight="1" x14ac:dyDescent="0.4">
      <c r="A155" s="134"/>
      <c r="B155" s="137"/>
      <c r="C155" s="38"/>
      <c r="D155" s="39"/>
      <c r="E155" s="40"/>
      <c r="F155" s="38" t="s">
        <v>139</v>
      </c>
      <c r="G155" s="39">
        <v>0</v>
      </c>
      <c r="H155" s="41"/>
      <c r="I155" s="38" t="s">
        <v>89</v>
      </c>
      <c r="J155" s="39">
        <v>0</v>
      </c>
      <c r="K155" s="25"/>
      <c r="L155" s="2"/>
      <c r="M155" s="3"/>
      <c r="N155" s="4"/>
      <c r="O155" s="2"/>
      <c r="P155" s="3"/>
      <c r="Q155" s="4"/>
    </row>
    <row r="156" spans="1:17" s="12" customFormat="1" ht="12.75" customHeight="1" x14ac:dyDescent="0.4">
      <c r="A156" s="134"/>
      <c r="B156" s="137"/>
      <c r="C156" s="38"/>
      <c r="D156" s="39"/>
      <c r="E156" s="40"/>
      <c r="F156" s="38"/>
      <c r="G156" s="39"/>
      <c r="H156" s="41"/>
      <c r="I156" s="38" t="s">
        <v>162</v>
      </c>
      <c r="J156" s="39">
        <v>0</v>
      </c>
      <c r="K156" s="25"/>
      <c r="L156" s="2"/>
      <c r="M156" s="3"/>
      <c r="N156" s="4"/>
      <c r="O156" s="2"/>
      <c r="P156" s="3"/>
      <c r="Q156" s="4"/>
    </row>
    <row r="157" spans="1:17" s="12" customFormat="1" ht="12" customHeight="1" x14ac:dyDescent="0.25">
      <c r="A157" s="134"/>
      <c r="B157" s="137"/>
      <c r="C157" s="34"/>
      <c r="D157" s="3"/>
      <c r="E157" s="37" t="s">
        <v>75</v>
      </c>
      <c r="F157" s="34"/>
      <c r="G157" s="3"/>
      <c r="H157" s="37" t="s">
        <v>75</v>
      </c>
      <c r="I157" s="34"/>
      <c r="J157" s="1"/>
      <c r="K157" s="37" t="s">
        <v>75</v>
      </c>
      <c r="L157" s="34"/>
      <c r="M157" s="35"/>
      <c r="N157" s="37" t="s">
        <v>75</v>
      </c>
      <c r="O157" s="34"/>
      <c r="P157" s="3"/>
      <c r="Q157" s="37" t="s">
        <v>75</v>
      </c>
    </row>
    <row r="158" spans="1:17" s="12" customFormat="1" ht="15" customHeight="1" x14ac:dyDescent="0.4">
      <c r="A158" s="134"/>
      <c r="B158" s="137"/>
      <c r="C158" s="23" t="s">
        <v>153</v>
      </c>
      <c r="D158" s="24"/>
      <c r="E158" s="25" t="s">
        <v>76</v>
      </c>
      <c r="F158" s="23" t="s">
        <v>153</v>
      </c>
      <c r="G158" s="24"/>
      <c r="H158" s="25" t="s">
        <v>76</v>
      </c>
      <c r="I158" s="23" t="s">
        <v>153</v>
      </c>
      <c r="J158" s="24"/>
      <c r="K158" s="25" t="s">
        <v>76</v>
      </c>
      <c r="L158" s="23" t="s">
        <v>153</v>
      </c>
      <c r="M158" s="36" t="s">
        <v>25</v>
      </c>
      <c r="N158" s="25" t="s">
        <v>76</v>
      </c>
      <c r="O158" s="23" t="s">
        <v>153</v>
      </c>
      <c r="P158" s="24"/>
      <c r="Q158" s="25" t="s">
        <v>76</v>
      </c>
    </row>
    <row r="159" spans="1:17" s="12" customFormat="1" ht="12" customHeight="1" x14ac:dyDescent="0.25">
      <c r="A159" s="135"/>
      <c r="B159" s="138"/>
      <c r="C159" s="44">
        <f>'[2]QTD Mgmt Summary'!$E$33*-1</f>
        <v>-325</v>
      </c>
      <c r="D159" s="26">
        <f>SUM(D151:D158)</f>
        <v>0</v>
      </c>
      <c r="E159" s="33">
        <f>+D159-C159</f>
        <v>325</v>
      </c>
      <c r="F159" s="44">
        <v>5000</v>
      </c>
      <c r="G159" s="26">
        <f>SUM(G151:G158)</f>
        <v>0</v>
      </c>
      <c r="H159" s="33">
        <f>+G159-F159</f>
        <v>-5000</v>
      </c>
      <c r="I159" s="44">
        <v>8000</v>
      </c>
      <c r="J159" s="26">
        <f>SUM(J151:J158)</f>
        <v>0</v>
      </c>
      <c r="K159" s="33">
        <f>+J159-I159</f>
        <v>-8000</v>
      </c>
      <c r="L159" s="44">
        <f>+C159+F159+I159</f>
        <v>12675</v>
      </c>
      <c r="M159" s="26">
        <f>+D159+G159+J159</f>
        <v>0</v>
      </c>
      <c r="N159" s="33">
        <f>+M159-L159</f>
        <v>-12675</v>
      </c>
      <c r="O159" s="44">
        <f>+I159*1.35</f>
        <v>10800</v>
      </c>
      <c r="P159" s="26">
        <f>SUM(P151:P158)</f>
        <v>0</v>
      </c>
      <c r="Q159" s="33">
        <f>+P159-O159</f>
        <v>-10800</v>
      </c>
    </row>
    <row r="160" spans="1:17" ht="16.5" thickBot="1" x14ac:dyDescent="0.45">
      <c r="A160" s="133" t="s">
        <v>3</v>
      </c>
      <c r="B160" s="136" t="s">
        <v>6</v>
      </c>
      <c r="C160" s="45" t="s">
        <v>24</v>
      </c>
      <c r="D160" s="46" t="s">
        <v>25</v>
      </c>
      <c r="E160" s="47">
        <f>COUNTA(C161:C170)</f>
        <v>3</v>
      </c>
      <c r="F160" s="45" t="s">
        <v>24</v>
      </c>
      <c r="G160" s="46" t="s">
        <v>25</v>
      </c>
      <c r="H160" s="47">
        <f>COUNTA(F161:F170)</f>
        <v>9</v>
      </c>
      <c r="I160" s="45" t="s">
        <v>24</v>
      </c>
      <c r="J160" s="46" t="s">
        <v>25</v>
      </c>
      <c r="K160" s="47">
        <f>COUNTA(I161:I170)</f>
        <v>3</v>
      </c>
      <c r="L160" s="45"/>
      <c r="M160" s="46"/>
      <c r="N160" s="47">
        <f>+K160+H160+E160</f>
        <v>15</v>
      </c>
      <c r="O160" s="45" t="s">
        <v>24</v>
      </c>
      <c r="P160" s="46" t="s">
        <v>25</v>
      </c>
      <c r="Q160" s="47">
        <f>COUNTA(O161:O170)</f>
        <v>0</v>
      </c>
    </row>
    <row r="161" spans="1:17" ht="12.75" customHeight="1" x14ac:dyDescent="0.4">
      <c r="A161" s="134"/>
      <c r="B161" s="137"/>
      <c r="C161" s="2" t="s">
        <v>93</v>
      </c>
      <c r="D161" s="3">
        <v>0</v>
      </c>
      <c r="E161" s="4"/>
      <c r="F161" s="29" t="s">
        <v>96</v>
      </c>
      <c r="G161" s="30">
        <v>1000</v>
      </c>
      <c r="H161" s="25"/>
      <c r="I161" s="29" t="s">
        <v>104</v>
      </c>
      <c r="J161" s="30">
        <v>0</v>
      </c>
      <c r="K161" s="25"/>
      <c r="L161" s="2"/>
      <c r="M161" s="3"/>
      <c r="N161" s="4"/>
      <c r="O161" s="2"/>
      <c r="P161" s="3"/>
      <c r="Q161" s="4"/>
    </row>
    <row r="162" spans="1:17" ht="12.75" customHeight="1" x14ac:dyDescent="0.4">
      <c r="A162" s="134"/>
      <c r="B162" s="137"/>
      <c r="C162" s="2" t="s">
        <v>94</v>
      </c>
      <c r="D162" s="3">
        <v>0</v>
      </c>
      <c r="E162" s="4"/>
      <c r="F162" s="29" t="s">
        <v>97</v>
      </c>
      <c r="G162" s="30">
        <v>0</v>
      </c>
      <c r="H162" s="25"/>
      <c r="I162" s="29" t="s">
        <v>105</v>
      </c>
      <c r="J162" s="30">
        <v>0</v>
      </c>
      <c r="K162" s="25"/>
      <c r="L162" s="2"/>
      <c r="M162" s="3"/>
      <c r="N162" s="4"/>
      <c r="O162" s="2"/>
      <c r="P162" s="3"/>
      <c r="Q162" s="4"/>
    </row>
    <row r="163" spans="1:17" ht="12.75" customHeight="1" x14ac:dyDescent="0.4">
      <c r="A163" s="134"/>
      <c r="B163" s="137"/>
      <c r="C163" s="2" t="s">
        <v>95</v>
      </c>
      <c r="D163" s="3">
        <v>0</v>
      </c>
      <c r="E163" s="4"/>
      <c r="F163" s="29" t="s">
        <v>98</v>
      </c>
      <c r="G163" s="30">
        <v>0</v>
      </c>
      <c r="H163" s="25"/>
      <c r="I163" s="29" t="s">
        <v>106</v>
      </c>
      <c r="J163" s="30">
        <v>0</v>
      </c>
      <c r="K163" s="25"/>
      <c r="L163" s="2"/>
      <c r="M163" s="3"/>
      <c r="N163" s="4"/>
      <c r="O163" s="2"/>
      <c r="P163" s="3"/>
      <c r="Q163" s="4"/>
    </row>
    <row r="164" spans="1:17" ht="12.75" customHeight="1" x14ac:dyDescent="0.4">
      <c r="A164" s="134"/>
      <c r="B164" s="137"/>
      <c r="C164" s="2"/>
      <c r="D164" s="3"/>
      <c r="E164" s="4"/>
      <c r="F164" s="29" t="s">
        <v>99</v>
      </c>
      <c r="G164" s="30">
        <v>0</v>
      </c>
      <c r="H164" s="25"/>
      <c r="I164" s="29"/>
      <c r="J164" s="30"/>
      <c r="K164" s="25"/>
      <c r="L164" s="2"/>
      <c r="M164" s="3"/>
      <c r="N164" s="4"/>
      <c r="O164" s="2"/>
      <c r="P164" s="3"/>
      <c r="Q164" s="4"/>
    </row>
    <row r="165" spans="1:17" ht="12.75" customHeight="1" x14ac:dyDescent="0.4">
      <c r="A165" s="134"/>
      <c r="B165" s="137"/>
      <c r="C165" s="2"/>
      <c r="D165" s="3"/>
      <c r="E165" s="4"/>
      <c r="F165" s="29" t="s">
        <v>100</v>
      </c>
      <c r="G165" s="30">
        <v>0</v>
      </c>
      <c r="H165" s="25"/>
      <c r="I165" s="29"/>
      <c r="J165" s="30"/>
      <c r="K165" s="25"/>
      <c r="L165" s="2"/>
      <c r="M165" s="3"/>
      <c r="N165" s="4"/>
      <c r="O165" s="2"/>
      <c r="P165" s="3"/>
      <c r="Q165" s="4"/>
    </row>
    <row r="166" spans="1:17" ht="12.75" customHeight="1" x14ac:dyDescent="0.4">
      <c r="A166" s="134"/>
      <c r="B166" s="137"/>
      <c r="C166" s="2"/>
      <c r="D166" s="3"/>
      <c r="E166" s="4"/>
      <c r="F166" s="29" t="s">
        <v>101</v>
      </c>
      <c r="G166" s="30">
        <v>0</v>
      </c>
      <c r="H166" s="25"/>
      <c r="I166" s="29"/>
      <c r="J166" s="30"/>
      <c r="K166" s="25"/>
      <c r="L166" s="2"/>
      <c r="M166" s="3"/>
      <c r="N166" s="4"/>
      <c r="O166" s="2"/>
      <c r="P166" s="3"/>
      <c r="Q166" s="4"/>
    </row>
    <row r="167" spans="1:17" ht="12.75" customHeight="1" x14ac:dyDescent="0.4">
      <c r="A167" s="134"/>
      <c r="B167" s="137"/>
      <c r="C167" s="2"/>
      <c r="D167" s="3"/>
      <c r="E167" s="4"/>
      <c r="F167" s="29" t="s">
        <v>102</v>
      </c>
      <c r="G167" s="30">
        <v>0</v>
      </c>
      <c r="H167" s="25"/>
      <c r="I167" s="29"/>
      <c r="J167" s="30"/>
      <c r="K167" s="25"/>
      <c r="L167" s="2"/>
      <c r="M167" s="3"/>
      <c r="N167" s="4"/>
      <c r="O167" s="2"/>
      <c r="P167" s="3"/>
      <c r="Q167" s="4"/>
    </row>
    <row r="168" spans="1:17" ht="12.75" customHeight="1" x14ac:dyDescent="0.4">
      <c r="A168" s="134"/>
      <c r="B168" s="137"/>
      <c r="C168" s="2"/>
      <c r="D168" s="3"/>
      <c r="E168" s="4"/>
      <c r="F168" s="29" t="s">
        <v>103</v>
      </c>
      <c r="G168" s="30">
        <v>0</v>
      </c>
      <c r="H168" s="25"/>
      <c r="I168" s="29"/>
      <c r="J168" s="30"/>
      <c r="K168" s="25"/>
      <c r="L168" s="2"/>
      <c r="M168" s="3"/>
      <c r="N168" s="4"/>
      <c r="O168" s="2"/>
      <c r="P168" s="3"/>
      <c r="Q168" s="4"/>
    </row>
    <row r="169" spans="1:17" ht="12.75" customHeight="1" x14ac:dyDescent="0.4">
      <c r="A169" s="134"/>
      <c r="B169" s="137"/>
      <c r="C169" s="2"/>
      <c r="D169" s="3"/>
      <c r="E169" s="4"/>
      <c r="F169" s="2" t="s">
        <v>90</v>
      </c>
      <c r="G169" s="3">
        <v>0</v>
      </c>
      <c r="H169" s="25"/>
      <c r="I169" s="29"/>
      <c r="J169" s="30"/>
      <c r="K169" s="25"/>
      <c r="L169" s="2"/>
      <c r="M169" s="3"/>
      <c r="N169" s="4"/>
      <c r="O169" s="2"/>
      <c r="P169" s="3"/>
      <c r="Q169" s="4"/>
    </row>
    <row r="170" spans="1:17" ht="12.75" customHeight="1" x14ac:dyDescent="0.25">
      <c r="A170" s="134"/>
      <c r="B170" s="137"/>
      <c r="C170" s="34"/>
      <c r="D170" s="3"/>
      <c r="E170" s="37" t="s">
        <v>75</v>
      </c>
      <c r="F170" s="34"/>
      <c r="G170" s="3"/>
      <c r="H170" s="37" t="s">
        <v>75</v>
      </c>
      <c r="I170" s="34"/>
      <c r="K170" s="37" t="s">
        <v>75</v>
      </c>
      <c r="L170" s="34"/>
      <c r="M170" s="35"/>
      <c r="N170" s="37" t="s">
        <v>75</v>
      </c>
      <c r="O170" s="34"/>
      <c r="P170" s="3"/>
      <c r="Q170" s="37" t="s">
        <v>75</v>
      </c>
    </row>
    <row r="171" spans="1:17" ht="15" x14ac:dyDescent="0.4">
      <c r="A171" s="134"/>
      <c r="B171" s="137"/>
      <c r="C171" s="23" t="s">
        <v>153</v>
      </c>
      <c r="D171" s="24"/>
      <c r="E171" s="25" t="s">
        <v>76</v>
      </c>
      <c r="F171" s="23" t="s">
        <v>153</v>
      </c>
      <c r="G171" s="24"/>
      <c r="H171" s="25" t="s">
        <v>76</v>
      </c>
      <c r="I171" s="23" t="s">
        <v>153</v>
      </c>
      <c r="J171" s="24"/>
      <c r="K171" s="25" t="s">
        <v>76</v>
      </c>
      <c r="L171" s="23" t="s">
        <v>153</v>
      </c>
      <c r="M171" s="36" t="s">
        <v>25</v>
      </c>
      <c r="N171" s="25" t="s">
        <v>76</v>
      </c>
      <c r="O171" s="23" t="s">
        <v>153</v>
      </c>
      <c r="P171" s="24"/>
      <c r="Q171" s="25" t="s">
        <v>76</v>
      </c>
    </row>
    <row r="172" spans="1:17" x14ac:dyDescent="0.25">
      <c r="A172" s="135"/>
      <c r="B172" s="138"/>
      <c r="C172" s="44">
        <f>'[2]QTD Mgmt Summary'!$E$34*-1</f>
        <v>19455</v>
      </c>
      <c r="D172" s="26">
        <f>SUM(D161:D171)</f>
        <v>0</v>
      </c>
      <c r="E172" s="33">
        <f>+D172-C172</f>
        <v>-19455</v>
      </c>
      <c r="F172" s="44">
        <v>13905</v>
      </c>
      <c r="G172" s="26">
        <f>SUM(G161:G171)</f>
        <v>1000</v>
      </c>
      <c r="H172" s="33">
        <f>+G172-F172</f>
        <v>-12905</v>
      </c>
      <c r="I172" s="44">
        <v>19955</v>
      </c>
      <c r="J172" s="26">
        <f>SUM(J161:J171)</f>
        <v>0</v>
      </c>
      <c r="K172" s="33">
        <f>+J172-I172</f>
        <v>-19955</v>
      </c>
      <c r="L172" s="44">
        <f>+C172+F172+I172</f>
        <v>53315</v>
      </c>
      <c r="M172" s="26">
        <f>+D172+G172+J172</f>
        <v>1000</v>
      </c>
      <c r="N172" s="33">
        <f>+M172-L172</f>
        <v>-52315</v>
      </c>
      <c r="O172" s="44">
        <f>+I172*1.35</f>
        <v>26939.25</v>
      </c>
      <c r="P172" s="26">
        <f>SUM(P161:P171)</f>
        <v>0</v>
      </c>
      <c r="Q172" s="33">
        <f>+P172-O172</f>
        <v>-26939.25</v>
      </c>
    </row>
    <row r="173" spans="1:17" s="12" customFormat="1" ht="15" customHeight="1" thickBot="1" x14ac:dyDescent="0.45">
      <c r="A173" s="133" t="s">
        <v>118</v>
      </c>
      <c r="B173" s="136" t="s">
        <v>147</v>
      </c>
      <c r="C173" s="45" t="s">
        <v>24</v>
      </c>
      <c r="D173" s="46" t="s">
        <v>25</v>
      </c>
      <c r="E173" s="47">
        <f>COUNTA(C174:C176)</f>
        <v>0</v>
      </c>
      <c r="F173" s="45" t="s">
        <v>24</v>
      </c>
      <c r="G173" s="46" t="s">
        <v>25</v>
      </c>
      <c r="H173" s="47">
        <f>COUNTA(F174:F176)</f>
        <v>1</v>
      </c>
      <c r="I173" s="45" t="s">
        <v>24</v>
      </c>
      <c r="J173" s="46" t="s">
        <v>25</v>
      </c>
      <c r="K173" s="47">
        <f>COUNTA(I174:I176)</f>
        <v>0</v>
      </c>
      <c r="L173" s="45"/>
      <c r="M173" s="46"/>
      <c r="N173" s="47">
        <f>+K173+H173+E173</f>
        <v>1</v>
      </c>
      <c r="O173" s="45" t="s">
        <v>24</v>
      </c>
      <c r="P173" s="46" t="s">
        <v>25</v>
      </c>
      <c r="Q173" s="47">
        <f>COUNTA(O174:O176)</f>
        <v>0</v>
      </c>
    </row>
    <row r="174" spans="1:17" s="12" customFormat="1" ht="12" customHeight="1" x14ac:dyDescent="0.25">
      <c r="A174" s="134"/>
      <c r="B174" s="137"/>
      <c r="C174" s="2"/>
      <c r="D174" s="3"/>
      <c r="E174" s="4"/>
      <c r="F174" s="2" t="s">
        <v>119</v>
      </c>
      <c r="G174" s="3">
        <v>30000</v>
      </c>
      <c r="H174" s="4"/>
      <c r="I174" s="2"/>
      <c r="J174" s="3"/>
      <c r="K174" s="4"/>
      <c r="L174" s="2"/>
      <c r="M174" s="3"/>
      <c r="N174" s="4"/>
      <c r="O174" s="2"/>
      <c r="P174" s="3"/>
      <c r="Q174" s="4"/>
    </row>
    <row r="175" spans="1:17" s="12" customFormat="1" ht="12" customHeight="1" x14ac:dyDescent="0.25">
      <c r="A175" s="134"/>
      <c r="B175" s="137"/>
      <c r="C175" s="2"/>
      <c r="D175" s="3"/>
      <c r="E175" s="4"/>
      <c r="F175" s="2"/>
      <c r="G175" s="3"/>
      <c r="H175" s="4"/>
      <c r="I175" s="3"/>
      <c r="J175" s="3"/>
      <c r="K175" s="4"/>
      <c r="L175" s="2"/>
      <c r="M175" s="3"/>
      <c r="N175" s="4"/>
      <c r="O175" s="2"/>
      <c r="P175" s="3"/>
      <c r="Q175" s="4"/>
    </row>
    <row r="176" spans="1:17" s="12" customFormat="1" ht="12" customHeight="1" x14ac:dyDescent="0.25">
      <c r="A176" s="134"/>
      <c r="B176" s="137"/>
      <c r="C176" s="34"/>
      <c r="D176" s="7"/>
      <c r="E176" s="37" t="s">
        <v>75</v>
      </c>
      <c r="F176" s="34"/>
      <c r="G176" s="7"/>
      <c r="H176" s="37" t="s">
        <v>75</v>
      </c>
      <c r="I176" s="34"/>
      <c r="J176" s="14"/>
      <c r="K176" s="37" t="s">
        <v>75</v>
      </c>
      <c r="L176" s="34"/>
      <c r="M176" s="35"/>
      <c r="N176" s="37" t="s">
        <v>75</v>
      </c>
      <c r="O176" s="34"/>
      <c r="P176" s="7"/>
      <c r="Q176" s="37" t="s">
        <v>75</v>
      </c>
    </row>
    <row r="177" spans="1:17" s="12" customFormat="1" ht="15" customHeight="1" x14ac:dyDescent="0.4">
      <c r="A177" s="134"/>
      <c r="B177" s="137"/>
      <c r="C177" s="23" t="s">
        <v>153</v>
      </c>
      <c r="D177" s="24"/>
      <c r="E177" s="25" t="s">
        <v>76</v>
      </c>
      <c r="F177" s="23" t="s">
        <v>153</v>
      </c>
      <c r="G177" s="24"/>
      <c r="H177" s="25" t="s">
        <v>76</v>
      </c>
      <c r="I177" s="23" t="s">
        <v>153</v>
      </c>
      <c r="J177" s="24"/>
      <c r="K177" s="25" t="s">
        <v>76</v>
      </c>
      <c r="L177" s="23" t="s">
        <v>153</v>
      </c>
      <c r="M177" s="36" t="s">
        <v>25</v>
      </c>
      <c r="N177" s="25" t="s">
        <v>76</v>
      </c>
      <c r="O177" s="23" t="s">
        <v>153</v>
      </c>
      <c r="P177" s="24"/>
      <c r="Q177" s="25" t="s">
        <v>76</v>
      </c>
    </row>
    <row r="178" spans="1:17" s="12" customFormat="1" ht="12" customHeight="1" x14ac:dyDescent="0.25">
      <c r="A178" s="135"/>
      <c r="B178" s="138"/>
      <c r="C178" s="44">
        <f>'[2]QTD Mgmt Summary'!$E$38*-1</f>
        <v>19101</v>
      </c>
      <c r="D178" s="26">
        <f>SUM(D174:D177)</f>
        <v>0</v>
      </c>
      <c r="E178" s="48">
        <f>+D178-C178</f>
        <v>-19101</v>
      </c>
      <c r="F178" s="44">
        <v>0</v>
      </c>
      <c r="G178" s="26">
        <f>SUM(G174:G177)</f>
        <v>30000</v>
      </c>
      <c r="H178" s="48">
        <f>+G178-F178</f>
        <v>30000</v>
      </c>
      <c r="I178" s="44">
        <v>0</v>
      </c>
      <c r="J178" s="26">
        <f>SUM(J174:J177)</f>
        <v>0</v>
      </c>
      <c r="K178" s="26">
        <f>+J178-I178</f>
        <v>0</v>
      </c>
      <c r="L178" s="44">
        <f>+C178+F178+I178</f>
        <v>19101</v>
      </c>
      <c r="M178" s="26">
        <f>+D178+G178+J178</f>
        <v>30000</v>
      </c>
      <c r="N178" s="33">
        <f>+M178-L178</f>
        <v>10899</v>
      </c>
      <c r="O178" s="44">
        <f>+I178*1.35</f>
        <v>0</v>
      </c>
      <c r="P178" s="26">
        <f>SUM(P174:P177)</f>
        <v>0</v>
      </c>
      <c r="Q178" s="26">
        <f>+P178-O178</f>
        <v>0</v>
      </c>
    </row>
    <row r="179" spans="1:17" s="12" customFormat="1" ht="9" customHeight="1" x14ac:dyDescent="0.25">
      <c r="A179" s="42"/>
      <c r="B179" s="42"/>
      <c r="C179" s="43"/>
      <c r="D179" s="43"/>
      <c r="E179" s="43"/>
      <c r="F179" s="43"/>
      <c r="G179" s="49"/>
      <c r="H179" s="43"/>
      <c r="I179" s="43"/>
      <c r="J179" s="43"/>
      <c r="K179" s="43"/>
      <c r="L179" s="43"/>
      <c r="M179" s="43"/>
      <c r="N179" s="43"/>
      <c r="O179" s="43"/>
      <c r="P179" s="43"/>
      <c r="Q179" s="43"/>
    </row>
    <row r="180" spans="1:17" ht="13.5" thickBot="1" x14ac:dyDescent="0.3">
      <c r="A180" s="57"/>
      <c r="B180" s="54"/>
      <c r="C180" s="44">
        <f>+C178+C172+C159+C149+C141+C131+C107+C99+C92+C80+C66+C56+C42+C30</f>
        <v>163062</v>
      </c>
      <c r="D180" s="44">
        <f>+D178+D172+D159+D149+D141+D131+D107+D99+D92+D80+D66+D56+D42+D30</f>
        <v>65352.119999999995</v>
      </c>
      <c r="E180" s="33">
        <f>+D180-C180</f>
        <v>-97709.88</v>
      </c>
      <c r="F180" s="44">
        <f>+F178+F172+F159+F149+F141+F131+F107+F99+F92+F80+F66+F56+F42+F30</f>
        <v>197544</v>
      </c>
      <c r="G180" s="44">
        <f>+G178+G172+G159+G149+G141+G131+G107+G99+G92+G80+G66+G56+G42+G30</f>
        <v>360416.47</v>
      </c>
      <c r="H180" s="33">
        <f>+G180-F180</f>
        <v>162872.46999999997</v>
      </c>
      <c r="I180" s="44">
        <f>+I178+I172+I159+I149+I141+I131+I107+I99+I92+I80+I66+I56+I42+I30</f>
        <v>234395</v>
      </c>
      <c r="J180" s="44">
        <f>+J178+J172+J159+J149+J141+J131+J107+J99+J92+J80+J66+J56+J42+J30</f>
        <v>313072.353</v>
      </c>
      <c r="K180" s="33">
        <f>+J180-I180</f>
        <v>78677.353000000003</v>
      </c>
      <c r="L180" s="44">
        <f>+L178+L172+L159+L149+L141+L131+L107+L99+L92+L80+L66+L56+L42+L30</f>
        <v>595001</v>
      </c>
      <c r="M180" s="44">
        <f>+M178+M172+M159+M149+M141+M131+M107+M99+M92+M80+M66+M56+M42+M30</f>
        <v>738840.94299999997</v>
      </c>
      <c r="N180" s="33">
        <f>+M180-L180</f>
        <v>143839.94299999997</v>
      </c>
      <c r="O180" s="44">
        <f>+O178+O172+O159+O149+O141+O131+O107+O99+O92+O80+O66+O56+O42+O30</f>
        <v>316433.25000000006</v>
      </c>
      <c r="P180" s="44">
        <f>+P178+P172+P159+P149+P141+P131+P107+P99+P92+P80+P66+P56+P42+P30</f>
        <v>81349.733999999997</v>
      </c>
      <c r="Q180" s="33">
        <f>+P180-O180</f>
        <v>-235083.51600000006</v>
      </c>
    </row>
    <row r="181" spans="1:17" s="11" customFormat="1" ht="18" customHeight="1" thickBot="1" x14ac:dyDescent="0.25">
      <c r="A181" s="51"/>
      <c r="B181" s="51"/>
      <c r="C181" s="50"/>
      <c r="D181" s="50" t="s">
        <v>172</v>
      </c>
      <c r="E181" s="53">
        <f>+E6+E31+E43+E57+E67+E81+E93+E100+E132+E142+E150+E160+E173+E108</f>
        <v>45</v>
      </c>
      <c r="G181" s="52"/>
      <c r="H181" s="53">
        <f>+H6+H31+H43+H57+H67+H81+H93+H100+H132+H142+H150+H160+H173+H108</f>
        <v>224</v>
      </c>
      <c r="I181" s="50"/>
      <c r="J181" s="52"/>
      <c r="K181" s="53">
        <f>+K6+K31+K43+K57+K67+K81+K93+K100+K132+K142+K150+K160+K173+K108</f>
        <v>105</v>
      </c>
      <c r="L181" s="50"/>
      <c r="M181" s="52"/>
      <c r="N181" s="91">
        <f>+K181+H181+E181</f>
        <v>374</v>
      </c>
      <c r="O181" s="50"/>
      <c r="P181" s="52"/>
      <c r="Q181" s="53">
        <f>+Q6+Q31+Q43+Q57+Q67+Q81+Q93+Q100+Q132+Q142+Q150+Q160+Q173+Q108</f>
        <v>21</v>
      </c>
    </row>
    <row r="182" spans="1:17" s="27" customFormat="1" ht="6.75" customHeight="1" x14ac:dyDescent="0.25">
      <c r="A182" s="12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4" spans="1:17" x14ac:dyDescent="0.25">
      <c r="D184" s="98"/>
    </row>
  </sheetData>
  <mergeCells count="34">
    <mergeCell ref="I5:K5"/>
    <mergeCell ref="O5:Q5"/>
    <mergeCell ref="A31:A42"/>
    <mergeCell ref="B31:B42"/>
    <mergeCell ref="L3:Q3"/>
    <mergeCell ref="A93:A99"/>
    <mergeCell ref="B93:B99"/>
    <mergeCell ref="A6:A30"/>
    <mergeCell ref="B6:B30"/>
    <mergeCell ref="L5:N5"/>
    <mergeCell ref="C5:E5"/>
    <mergeCell ref="F5:H5"/>
    <mergeCell ref="A57:A66"/>
    <mergeCell ref="B57:B66"/>
    <mergeCell ref="A67:A80"/>
    <mergeCell ref="B67:B80"/>
    <mergeCell ref="A43:A56"/>
    <mergeCell ref="B43:B56"/>
    <mergeCell ref="A142:A149"/>
    <mergeCell ref="B142:B149"/>
    <mergeCell ref="A81:A92"/>
    <mergeCell ref="B81:B92"/>
    <mergeCell ref="A100:A107"/>
    <mergeCell ref="B100:B107"/>
    <mergeCell ref="A108:A131"/>
    <mergeCell ref="B108:B131"/>
    <mergeCell ref="A132:A141"/>
    <mergeCell ref="B132:B141"/>
    <mergeCell ref="A173:A178"/>
    <mergeCell ref="B173:B178"/>
    <mergeCell ref="A150:A159"/>
    <mergeCell ref="B150:B159"/>
    <mergeCell ref="A160:A172"/>
    <mergeCell ref="B160:B172"/>
  </mergeCells>
  <printOptions horizontalCentered="1"/>
  <pageMargins left="0.28000000000000003" right="0.25" top="0.22" bottom="0.24" header="0.27" footer="0.27"/>
  <pageSetup scale="58" fitToHeight="2" orientation="portrait" r:id="rId1"/>
  <headerFooter alignWithMargins="0"/>
  <rowBreaks count="1" manualBreakCount="1">
    <brk id="9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5"/>
  <sheetViews>
    <sheetView tabSelected="1" topLeftCell="A13" workbookViewId="0">
      <selection activeCell="P180" sqref="P180"/>
    </sheetView>
  </sheetViews>
  <sheetFormatPr defaultRowHeight="12.75" x14ac:dyDescent="0.25"/>
  <cols>
    <col min="1" max="2" width="2.7109375" style="58" customWidth="1"/>
    <col min="3" max="3" width="25.7109375" style="80" customWidth="1"/>
    <col min="4" max="4" width="8.7109375" style="58" customWidth="1"/>
    <col min="5" max="5" width="7.7109375" style="80" customWidth="1"/>
    <col min="6" max="6" width="7.7109375" style="58" customWidth="1"/>
    <col min="7" max="7" width="11.7109375" style="80" customWidth="1"/>
    <col min="8" max="8" width="9.85546875" style="58" customWidth="1"/>
    <col min="9" max="9" width="25.28515625" style="58" customWidth="1"/>
    <col min="10" max="10" width="8.7109375" style="58" customWidth="1"/>
    <col min="11" max="12" width="7.7109375" style="58" customWidth="1"/>
    <col min="13" max="13" width="11.7109375" style="58" customWidth="1"/>
    <col min="14" max="14" width="11.28515625" style="58" customWidth="1"/>
    <col min="15" max="15" width="13.7109375" style="58" customWidth="1"/>
    <col min="16" max="17" width="7.7109375" style="58" customWidth="1"/>
    <col min="18" max="18" width="13.7109375" style="58" customWidth="1"/>
    <col min="19" max="20" width="7.7109375" style="58" customWidth="1"/>
    <col min="21" max="16384" width="9.140625" style="58"/>
  </cols>
  <sheetData>
    <row r="1" spans="1:20" ht="9.75" customHeight="1" x14ac:dyDescent="0.25">
      <c r="B1" s="59"/>
      <c r="C1" s="60"/>
      <c r="D1" s="59"/>
      <c r="E1" s="60"/>
      <c r="F1" s="59"/>
      <c r="G1" s="61"/>
    </row>
    <row r="2" spans="1:20" s="69" customFormat="1" ht="27" customHeight="1" x14ac:dyDescent="0.4">
      <c r="A2" s="62" t="s">
        <v>17</v>
      </c>
      <c r="B2" s="62"/>
      <c r="C2" s="63"/>
      <c r="D2" s="64"/>
      <c r="E2" s="63"/>
      <c r="F2" s="64"/>
      <c r="G2" s="65"/>
      <c r="H2" s="66"/>
      <c r="I2" s="66"/>
      <c r="J2" s="66"/>
      <c r="K2" s="66"/>
      <c r="L2" s="66"/>
      <c r="M2" s="67" t="s">
        <v>180</v>
      </c>
      <c r="O2" s="66"/>
      <c r="P2" s="66"/>
      <c r="Q2" s="68"/>
    </row>
    <row r="3" spans="1:20" s="70" customFormat="1" ht="13.5" customHeight="1" x14ac:dyDescent="0.25">
      <c r="B3" s="71"/>
      <c r="C3" s="72"/>
      <c r="E3" s="73"/>
      <c r="F3" s="74"/>
      <c r="G3" s="75"/>
      <c r="H3" s="76"/>
      <c r="I3" s="93"/>
      <c r="J3" s="94"/>
      <c r="K3" s="94"/>
      <c r="L3" s="94"/>
      <c r="M3" s="94" t="str">
        <f>+'Hotlist - Identified '!L3</f>
        <v>Results based on Activity through June 16, 2000</v>
      </c>
      <c r="O3" s="76"/>
      <c r="P3" s="76"/>
      <c r="Q3" s="77"/>
      <c r="T3" s="78"/>
    </row>
    <row r="4" spans="1:20" s="70" customFormat="1" ht="15" customHeight="1" x14ac:dyDescent="0.2">
      <c r="B4" s="71"/>
      <c r="C4" s="73"/>
      <c r="D4" s="74"/>
      <c r="E4" s="73"/>
      <c r="F4" s="74"/>
      <c r="G4" s="75"/>
      <c r="H4" s="76"/>
      <c r="I4" s="76"/>
      <c r="J4" s="76"/>
      <c r="K4" s="76"/>
      <c r="L4" s="76"/>
      <c r="M4" s="76"/>
      <c r="N4" s="76"/>
      <c r="O4" s="76"/>
      <c r="P4" s="76"/>
    </row>
    <row r="5" spans="1:20" ht="15" customHeight="1" x14ac:dyDescent="0.25">
      <c r="A5" s="79"/>
      <c r="B5" s="79"/>
      <c r="R5" s="81"/>
    </row>
    <row r="6" spans="1:20" ht="15" customHeight="1" x14ac:dyDescent="0.25">
      <c r="A6" s="79"/>
      <c r="B6" s="79"/>
      <c r="C6" s="149" t="s">
        <v>4</v>
      </c>
      <c r="D6" s="150"/>
      <c r="E6" s="150"/>
      <c r="F6" s="150"/>
      <c r="G6" s="151"/>
      <c r="I6" s="149" t="s">
        <v>0</v>
      </c>
      <c r="J6" s="150"/>
      <c r="K6" s="150"/>
      <c r="L6" s="150"/>
      <c r="M6" s="151"/>
      <c r="R6" s="81"/>
    </row>
    <row r="7" spans="1:20" ht="15" customHeight="1" x14ac:dyDescent="0.4">
      <c r="A7" s="79"/>
      <c r="B7" s="79"/>
      <c r="C7" s="115" t="s">
        <v>24</v>
      </c>
      <c r="D7" s="106"/>
      <c r="E7" s="116" t="s">
        <v>25</v>
      </c>
      <c r="F7" s="106"/>
      <c r="G7" s="107"/>
      <c r="H7" s="108"/>
      <c r="I7" s="115" t="s">
        <v>24</v>
      </c>
      <c r="J7" s="106"/>
      <c r="K7" s="116" t="s">
        <v>25</v>
      </c>
      <c r="L7" s="106"/>
      <c r="M7" s="107"/>
    </row>
    <row r="8" spans="1:20" ht="15" customHeight="1" x14ac:dyDescent="0.4">
      <c r="A8" s="79"/>
      <c r="B8" s="79"/>
      <c r="C8" s="119" t="s">
        <v>193</v>
      </c>
      <c r="D8" s="106"/>
      <c r="E8" s="128">
        <v>0</v>
      </c>
      <c r="F8" s="106"/>
      <c r="G8" s="107"/>
      <c r="H8" s="108"/>
      <c r="I8" s="125" t="s">
        <v>116</v>
      </c>
      <c r="J8" s="110"/>
      <c r="K8" s="128">
        <v>0</v>
      </c>
      <c r="L8" s="106"/>
      <c r="M8" s="107"/>
    </row>
    <row r="9" spans="1:20" ht="15" customHeight="1" x14ac:dyDescent="0.4">
      <c r="A9" s="79"/>
      <c r="B9" s="79"/>
      <c r="C9" s="119" t="s">
        <v>281</v>
      </c>
      <c r="D9" s="106"/>
      <c r="E9" s="129">
        <f>+[1]East!$F$40</f>
        <v>0</v>
      </c>
      <c r="F9" s="106"/>
      <c r="G9" s="107"/>
      <c r="H9" s="108"/>
      <c r="I9" s="119" t="s">
        <v>281</v>
      </c>
      <c r="J9" s="106"/>
      <c r="K9" s="129">
        <f>+[1]Mexico!$F$40</f>
        <v>2E-3</v>
      </c>
      <c r="L9" s="106"/>
      <c r="M9" s="107"/>
    </row>
    <row r="10" spans="1:20" ht="15" customHeight="1" x14ac:dyDescent="0.4">
      <c r="A10" s="85"/>
      <c r="B10" s="85"/>
      <c r="C10" s="115" t="s">
        <v>181</v>
      </c>
      <c r="D10" s="106"/>
      <c r="E10" s="116"/>
      <c r="F10" s="106"/>
      <c r="G10" s="117" t="s">
        <v>153</v>
      </c>
      <c r="H10" s="108"/>
      <c r="I10" s="115" t="s">
        <v>181</v>
      </c>
      <c r="J10" s="106"/>
      <c r="K10" s="116"/>
      <c r="L10" s="106"/>
      <c r="M10" s="117" t="s">
        <v>153</v>
      </c>
    </row>
    <row r="11" spans="1:20" ht="15" customHeight="1" x14ac:dyDescent="0.25">
      <c r="A11" s="85"/>
      <c r="B11" s="85"/>
      <c r="C11" s="121">
        <f>+'[2]QTD Mgmt Summary'!$D$19</f>
        <v>20493</v>
      </c>
      <c r="D11" s="122"/>
      <c r="E11" s="123">
        <f>SUM(E8:E10)</f>
        <v>0</v>
      </c>
      <c r="F11" s="122"/>
      <c r="G11" s="124">
        <f>IF(C11-E11&gt;0,C11-E11,)</f>
        <v>20493</v>
      </c>
      <c r="I11" s="121">
        <f>+'[2]QTD Mgmt Summary'!$D$29</f>
        <v>4656</v>
      </c>
      <c r="J11" s="122"/>
      <c r="K11" s="123">
        <f>SUM(K8:K10)</f>
        <v>2E-3</v>
      </c>
      <c r="L11" s="122"/>
      <c r="M11" s="124">
        <f>IF(I11-K11&gt;0,I11-K11,)</f>
        <v>4655.9979999999996</v>
      </c>
    </row>
    <row r="12" spans="1:20" ht="15" customHeight="1" x14ac:dyDescent="0.25">
      <c r="A12" s="85"/>
      <c r="B12" s="85"/>
      <c r="C12" s="88"/>
      <c r="D12" s="89"/>
      <c r="E12" s="88"/>
      <c r="F12" s="89"/>
      <c r="G12" s="88"/>
      <c r="I12" s="88"/>
      <c r="J12" s="89"/>
      <c r="K12" s="88"/>
      <c r="L12" s="89"/>
      <c r="M12" s="88"/>
    </row>
    <row r="13" spans="1:20" ht="15" customHeight="1" x14ac:dyDescent="0.25">
      <c r="A13" s="85"/>
      <c r="B13" s="85"/>
      <c r="C13" s="149" t="s">
        <v>5</v>
      </c>
      <c r="D13" s="150"/>
      <c r="E13" s="150"/>
      <c r="F13" s="150"/>
      <c r="G13" s="151"/>
      <c r="I13" s="149" t="s">
        <v>284</v>
      </c>
      <c r="J13" s="150"/>
      <c r="K13" s="150"/>
      <c r="L13" s="150"/>
      <c r="M13" s="151"/>
    </row>
    <row r="14" spans="1:20" ht="15" customHeight="1" x14ac:dyDescent="0.4">
      <c r="A14" s="79"/>
      <c r="B14" s="79"/>
      <c r="C14" s="115" t="s">
        <v>24</v>
      </c>
      <c r="D14" s="106"/>
      <c r="E14" s="116" t="s">
        <v>25</v>
      </c>
      <c r="F14" s="106"/>
      <c r="G14" s="107"/>
      <c r="H14" s="108"/>
      <c r="I14" s="115" t="s">
        <v>24</v>
      </c>
      <c r="J14" s="106"/>
      <c r="K14" s="116" t="s">
        <v>25</v>
      </c>
      <c r="L14" s="82"/>
      <c r="M14" s="83"/>
    </row>
    <row r="15" spans="1:20" ht="15" customHeight="1" x14ac:dyDescent="0.4">
      <c r="A15" s="85"/>
      <c r="B15" s="85"/>
      <c r="C15" s="119" t="s">
        <v>281</v>
      </c>
      <c r="D15" s="106"/>
      <c r="E15" s="129">
        <f>+[1]West!$F$40</f>
        <v>0.50600000000000001</v>
      </c>
      <c r="F15" s="112"/>
      <c r="G15" s="113"/>
      <c r="H15" s="108"/>
      <c r="I15" s="119" t="s">
        <v>182</v>
      </c>
      <c r="J15" s="108"/>
      <c r="K15" s="128">
        <v>552</v>
      </c>
      <c r="L15" s="112"/>
      <c r="M15" s="113"/>
    </row>
    <row r="16" spans="1:20" ht="15" customHeight="1" x14ac:dyDescent="0.25">
      <c r="A16" s="85"/>
      <c r="B16" s="85"/>
      <c r="C16" s="111"/>
      <c r="D16" s="112"/>
      <c r="E16" s="130"/>
      <c r="F16" s="112"/>
      <c r="G16" s="113"/>
      <c r="H16" s="108"/>
      <c r="I16" s="119" t="s">
        <v>183</v>
      </c>
      <c r="J16" s="108"/>
      <c r="K16" s="128">
        <v>490</v>
      </c>
      <c r="L16" s="112"/>
      <c r="M16" s="113"/>
    </row>
    <row r="17" spans="1:14" ht="15" customHeight="1" x14ac:dyDescent="0.4">
      <c r="A17" s="85"/>
      <c r="B17" s="85"/>
      <c r="C17" s="115" t="s">
        <v>181</v>
      </c>
      <c r="D17" s="106"/>
      <c r="E17" s="116"/>
      <c r="F17" s="106"/>
      <c r="G17" s="117" t="s">
        <v>153</v>
      </c>
      <c r="H17" s="108"/>
      <c r="I17" s="119" t="s">
        <v>184</v>
      </c>
      <c r="J17" s="108"/>
      <c r="K17" s="128">
        <v>454</v>
      </c>
      <c r="L17" s="112"/>
      <c r="M17" s="113"/>
    </row>
    <row r="18" spans="1:14" ht="15" customHeight="1" x14ac:dyDescent="0.25">
      <c r="A18" s="85"/>
      <c r="B18" s="85"/>
      <c r="C18" s="121">
        <f>+'[2]QTD Mgmt Summary'!$D$20</f>
        <v>13235</v>
      </c>
      <c r="D18" s="86"/>
      <c r="E18" s="131">
        <f>SUM(E15:E17)</f>
        <v>0.50600000000000001</v>
      </c>
      <c r="F18" s="86"/>
      <c r="G18" s="87">
        <f>IF(C18-E18&gt;0,C18-E18,)</f>
        <v>13234.494000000001</v>
      </c>
      <c r="I18" s="119" t="s">
        <v>184</v>
      </c>
      <c r="J18" s="108"/>
      <c r="K18" s="128">
        <v>256</v>
      </c>
      <c r="L18" s="112"/>
      <c r="M18" s="113"/>
    </row>
    <row r="19" spans="1:14" ht="15" customHeight="1" x14ac:dyDescent="0.25">
      <c r="A19" s="85"/>
      <c r="B19" s="85"/>
      <c r="C19" s="88"/>
      <c r="D19" s="89"/>
      <c r="E19" s="88"/>
      <c r="F19" s="89"/>
      <c r="G19" s="88"/>
      <c r="I19" s="119" t="s">
        <v>187</v>
      </c>
      <c r="J19" s="108"/>
      <c r="K19" s="128">
        <v>230</v>
      </c>
      <c r="L19" s="112"/>
      <c r="M19" s="113"/>
    </row>
    <row r="20" spans="1:14" ht="15" customHeight="1" x14ac:dyDescent="0.25">
      <c r="A20" s="85"/>
      <c r="B20" s="85"/>
      <c r="C20" s="149" t="s">
        <v>185</v>
      </c>
      <c r="D20" s="150"/>
      <c r="E20" s="150"/>
      <c r="F20" s="150"/>
      <c r="G20" s="151"/>
      <c r="I20" s="119" t="s">
        <v>186</v>
      </c>
      <c r="J20" s="108"/>
      <c r="K20" s="128">
        <v>208</v>
      </c>
      <c r="L20" s="112"/>
      <c r="M20" s="113"/>
    </row>
    <row r="21" spans="1:14" ht="15" customHeight="1" x14ac:dyDescent="0.4">
      <c r="A21" s="85"/>
      <c r="B21" s="85"/>
      <c r="C21" s="115" t="s">
        <v>24</v>
      </c>
      <c r="D21" s="106"/>
      <c r="E21" s="116" t="s">
        <v>25</v>
      </c>
      <c r="F21" s="106"/>
      <c r="G21" s="107"/>
      <c r="I21" s="119" t="s">
        <v>282</v>
      </c>
      <c r="J21" s="108"/>
      <c r="K21" s="128">
        <f>2174+98+365</f>
        <v>2637</v>
      </c>
      <c r="L21" s="112"/>
      <c r="M21" s="113"/>
    </row>
    <row r="22" spans="1:14" ht="15" customHeight="1" x14ac:dyDescent="0.25">
      <c r="A22" s="85"/>
      <c r="B22" s="85"/>
      <c r="C22" s="119" t="s">
        <v>13</v>
      </c>
      <c r="D22" s="108"/>
      <c r="E22" s="128">
        <v>220</v>
      </c>
      <c r="F22" s="112"/>
      <c r="G22" s="113"/>
      <c r="I22" s="119" t="s">
        <v>281</v>
      </c>
      <c r="J22" s="108"/>
      <c r="K22" s="128">
        <f>+'[1]HPL&amp;LRC'!$F$40</f>
        <v>8.8649999999999984</v>
      </c>
      <c r="L22" s="112"/>
      <c r="M22" s="113"/>
      <c r="N22" s="80"/>
    </row>
    <row r="23" spans="1:14" ht="15" customHeight="1" x14ac:dyDescent="0.25">
      <c r="A23" s="85"/>
      <c r="B23" s="85"/>
      <c r="C23" s="119" t="s">
        <v>12</v>
      </c>
      <c r="D23" s="108"/>
      <c r="E23" s="128">
        <v>116</v>
      </c>
      <c r="F23" s="112"/>
      <c r="G23" s="113"/>
      <c r="I23" s="105"/>
      <c r="J23" s="114"/>
      <c r="K23" s="128"/>
      <c r="L23" s="112"/>
      <c r="M23" s="113"/>
      <c r="N23" s="80"/>
    </row>
    <row r="24" spans="1:14" ht="15" customHeight="1" x14ac:dyDescent="0.25">
      <c r="A24" s="85"/>
      <c r="B24" s="85"/>
      <c r="C24" s="119" t="s">
        <v>281</v>
      </c>
      <c r="D24" s="108"/>
      <c r="E24" s="128">
        <f>+[1]Downstream!$F$40</f>
        <v>2.915</v>
      </c>
      <c r="F24" s="112"/>
      <c r="G24" s="113"/>
      <c r="I24" s="105"/>
      <c r="J24" s="114"/>
      <c r="K24" s="128"/>
      <c r="L24" s="112"/>
      <c r="M24" s="113"/>
      <c r="N24" s="80"/>
    </row>
    <row r="25" spans="1:14" ht="15" customHeight="1" x14ac:dyDescent="0.4">
      <c r="A25" s="85"/>
      <c r="B25" s="85"/>
      <c r="C25" s="115" t="s">
        <v>181</v>
      </c>
      <c r="D25" s="106"/>
      <c r="E25" s="116"/>
      <c r="F25" s="106"/>
      <c r="G25" s="117" t="s">
        <v>153</v>
      </c>
      <c r="I25" s="115" t="s">
        <v>181</v>
      </c>
      <c r="J25" s="106"/>
      <c r="K25" s="116"/>
      <c r="L25" s="106"/>
      <c r="M25" s="117" t="s">
        <v>153</v>
      </c>
    </row>
    <row r="26" spans="1:14" ht="15" customHeight="1" x14ac:dyDescent="0.25">
      <c r="A26" s="85"/>
      <c r="B26" s="85"/>
      <c r="C26" s="121">
        <f>+'[2]QTD Mgmt Summary'!$D$21</f>
        <v>22861</v>
      </c>
      <c r="D26" s="122"/>
      <c r="E26" s="123">
        <f>SUM(E22:E25)</f>
        <v>338.91500000000002</v>
      </c>
      <c r="F26" s="122"/>
      <c r="G26" s="124">
        <f>IF(C26-E26&gt;0,C26-E26,)</f>
        <v>22522.084999999999</v>
      </c>
      <c r="I26" s="121">
        <f>+'[2]QTD Mgmt Summary'!$D$26+'[2]QTD Mgmt Summary'!$D$27</f>
        <v>12436</v>
      </c>
      <c r="J26" s="122"/>
      <c r="K26" s="123">
        <f>SUM(K15:K25)</f>
        <v>4835.8649999999998</v>
      </c>
      <c r="L26" s="122"/>
      <c r="M26" s="124">
        <f>IF(I26-K26&gt;0,I26-K26,)</f>
        <v>7600.1350000000002</v>
      </c>
    </row>
    <row r="27" spans="1:14" ht="15" customHeight="1" x14ac:dyDescent="0.25">
      <c r="A27" s="85"/>
      <c r="B27" s="85"/>
      <c r="C27" s="88"/>
      <c r="D27" s="89"/>
      <c r="E27" s="88"/>
      <c r="F27" s="100"/>
      <c r="G27" s="101"/>
      <c r="I27" s="88"/>
      <c r="J27" s="89"/>
      <c r="K27" s="88"/>
      <c r="L27" s="89"/>
      <c r="M27" s="88"/>
    </row>
    <row r="28" spans="1:14" ht="15" customHeight="1" x14ac:dyDescent="0.4">
      <c r="A28" s="85"/>
      <c r="B28" s="85"/>
      <c r="C28" s="99" t="s">
        <v>237</v>
      </c>
      <c r="D28" s="100"/>
      <c r="E28" s="100"/>
      <c r="F28" s="106"/>
      <c r="G28" s="107"/>
      <c r="I28" s="149" t="s">
        <v>283</v>
      </c>
      <c r="J28" s="150"/>
      <c r="K28" s="150"/>
      <c r="L28" s="150"/>
      <c r="M28" s="151"/>
    </row>
    <row r="29" spans="1:14" ht="15" customHeight="1" x14ac:dyDescent="0.4">
      <c r="A29" s="79"/>
      <c r="B29" s="79"/>
      <c r="C29" s="115" t="s">
        <v>24</v>
      </c>
      <c r="D29" s="106"/>
      <c r="E29" s="116" t="s">
        <v>25</v>
      </c>
      <c r="F29" s="112"/>
      <c r="G29" s="113"/>
      <c r="I29" s="115" t="s">
        <v>24</v>
      </c>
      <c r="J29" s="106"/>
      <c r="K29" s="116" t="s">
        <v>25</v>
      </c>
      <c r="L29" s="106"/>
      <c r="M29" s="107"/>
    </row>
    <row r="30" spans="1:14" ht="15" customHeight="1" x14ac:dyDescent="0.25">
      <c r="A30" s="85"/>
      <c r="B30" s="85"/>
      <c r="C30" s="119" t="s">
        <v>9</v>
      </c>
      <c r="D30" s="120"/>
      <c r="E30" s="132">
        <v>12600</v>
      </c>
      <c r="F30" s="112"/>
      <c r="G30" s="113"/>
      <c r="I30" s="119" t="s">
        <v>211</v>
      </c>
      <c r="J30" s="114"/>
      <c r="K30" s="128">
        <v>861</v>
      </c>
      <c r="L30" s="112"/>
      <c r="M30" s="113"/>
    </row>
    <row r="31" spans="1:14" ht="15" customHeight="1" x14ac:dyDescent="0.4">
      <c r="A31" s="85"/>
      <c r="B31" s="85"/>
      <c r="C31" s="119" t="s">
        <v>281</v>
      </c>
      <c r="D31" s="106"/>
      <c r="E31" s="129">
        <f>+[1]Generation!$F$40</f>
        <v>3.5499999999999989</v>
      </c>
      <c r="F31" s="112"/>
      <c r="G31" s="113"/>
      <c r="H31" s="80"/>
      <c r="I31" s="119" t="s">
        <v>15</v>
      </c>
      <c r="J31" s="114"/>
      <c r="K31" s="128">
        <v>527</v>
      </c>
      <c r="L31" s="112"/>
      <c r="M31" s="113"/>
    </row>
    <row r="32" spans="1:14" ht="15" customHeight="1" x14ac:dyDescent="0.4">
      <c r="A32" s="85"/>
      <c r="B32" s="85"/>
      <c r="C32" s="115" t="s">
        <v>181</v>
      </c>
      <c r="D32" s="106"/>
      <c r="E32" s="116"/>
      <c r="F32" s="106"/>
      <c r="G32" s="117" t="s">
        <v>153</v>
      </c>
      <c r="I32" s="119" t="s">
        <v>281</v>
      </c>
      <c r="J32" s="127"/>
      <c r="K32" s="129">
        <f>+'[1] Upstream Originations'!$F$40</f>
        <v>10.481999999999999</v>
      </c>
      <c r="L32" s="106"/>
      <c r="M32" s="107"/>
    </row>
    <row r="33" spans="1:13" ht="15" customHeight="1" x14ac:dyDescent="0.4">
      <c r="A33" s="85"/>
      <c r="B33" s="85"/>
      <c r="C33" s="121">
        <f>+'[2]QTD Mgmt Summary'!$D$22</f>
        <v>18711</v>
      </c>
      <c r="D33" s="122"/>
      <c r="E33" s="123">
        <f>SUM(E30:E32)</f>
        <v>12603.55</v>
      </c>
      <c r="F33" s="122"/>
      <c r="G33" s="124">
        <f>IF(C33-E33&gt;0,C33-E33,)</f>
        <v>6107.4500000000007</v>
      </c>
      <c r="I33" s="115" t="s">
        <v>181</v>
      </c>
      <c r="J33" s="106"/>
      <c r="K33" s="116"/>
      <c r="L33" s="106"/>
      <c r="M33" s="117" t="s">
        <v>153</v>
      </c>
    </row>
    <row r="34" spans="1:13" ht="15" customHeight="1" x14ac:dyDescent="0.25">
      <c r="A34" s="85"/>
      <c r="B34" s="85"/>
      <c r="C34" s="88"/>
      <c r="D34" s="89"/>
      <c r="E34" s="88"/>
      <c r="F34" s="89"/>
      <c r="G34" s="88"/>
      <c r="I34" s="121">
        <f>+'[2]QTD Mgmt Summary'!$D$25</f>
        <v>18423</v>
      </c>
      <c r="J34" s="122"/>
      <c r="K34" s="123">
        <f>SUM(K30:K33)</f>
        <v>1398.482</v>
      </c>
      <c r="L34" s="122"/>
      <c r="M34" s="124">
        <f>IF(I34-K34&gt;0,I34-K34,)</f>
        <v>17024.518</v>
      </c>
    </row>
    <row r="35" spans="1:13" ht="15" customHeight="1" x14ac:dyDescent="0.25">
      <c r="A35" s="85"/>
      <c r="B35" s="85"/>
      <c r="C35" s="99" t="s">
        <v>129</v>
      </c>
      <c r="D35" s="100"/>
      <c r="E35" s="100"/>
      <c r="F35" s="100"/>
      <c r="G35" s="101"/>
    </row>
    <row r="36" spans="1:13" ht="15" customHeight="1" x14ac:dyDescent="0.4">
      <c r="A36" s="79"/>
      <c r="B36" s="79"/>
      <c r="C36" s="115" t="s">
        <v>24</v>
      </c>
      <c r="D36" s="106"/>
      <c r="E36" s="116" t="s">
        <v>25</v>
      </c>
      <c r="F36" s="106"/>
      <c r="G36" s="107"/>
      <c r="I36" s="149" t="s">
        <v>2</v>
      </c>
      <c r="J36" s="150"/>
      <c r="K36" s="150"/>
      <c r="L36" s="150"/>
      <c r="M36" s="151"/>
    </row>
    <row r="37" spans="1:13" ht="15" customHeight="1" x14ac:dyDescent="0.4">
      <c r="A37" s="85"/>
      <c r="B37" s="85"/>
      <c r="C37" s="119" t="s">
        <v>281</v>
      </c>
      <c r="D37" s="106"/>
      <c r="E37" s="129">
        <f>+[1]Coal!$F$40</f>
        <v>0.223</v>
      </c>
      <c r="F37" s="106"/>
      <c r="G37" s="107"/>
      <c r="I37" s="115" t="s">
        <v>24</v>
      </c>
      <c r="J37" s="106"/>
      <c r="K37" s="116" t="s">
        <v>25</v>
      </c>
      <c r="L37" s="106"/>
      <c r="M37" s="107"/>
    </row>
    <row r="38" spans="1:13" ht="15" customHeight="1" x14ac:dyDescent="0.4">
      <c r="A38" s="85"/>
      <c r="B38" s="85"/>
      <c r="C38" s="125"/>
      <c r="D38" s="110"/>
      <c r="E38" s="127"/>
      <c r="F38" s="112"/>
      <c r="G38" s="113"/>
      <c r="I38" s="125" t="s">
        <v>130</v>
      </c>
      <c r="J38" s="110"/>
      <c r="K38" s="130">
        <v>5000</v>
      </c>
      <c r="L38" s="106"/>
      <c r="M38" s="107"/>
    </row>
    <row r="39" spans="1:13" ht="15" customHeight="1" x14ac:dyDescent="0.4">
      <c r="A39" s="85"/>
      <c r="B39" s="85"/>
      <c r="C39" s="119"/>
      <c r="D39" s="106"/>
      <c r="E39" s="127"/>
      <c r="F39" s="112"/>
      <c r="G39" s="113"/>
      <c r="I39" s="125" t="s">
        <v>219</v>
      </c>
      <c r="J39" s="110"/>
      <c r="K39" s="130">
        <v>1000</v>
      </c>
      <c r="L39" s="106"/>
      <c r="M39" s="107"/>
    </row>
    <row r="40" spans="1:13" ht="15" customHeight="1" x14ac:dyDescent="0.4">
      <c r="A40" s="85"/>
      <c r="B40" s="85"/>
      <c r="C40" s="115" t="s">
        <v>181</v>
      </c>
      <c r="D40" s="106"/>
      <c r="E40" s="126"/>
      <c r="F40" s="106"/>
      <c r="G40" s="117" t="s">
        <v>153</v>
      </c>
      <c r="I40" s="119" t="s">
        <v>281</v>
      </c>
      <c r="J40" s="106"/>
      <c r="K40" s="129">
        <f>+'[1]Principal Investing'!$F$40</f>
        <v>-34.212000000000003</v>
      </c>
      <c r="L40" s="112"/>
      <c r="M40" s="113"/>
    </row>
    <row r="41" spans="1:13" ht="15" customHeight="1" x14ac:dyDescent="0.4">
      <c r="A41" s="85"/>
      <c r="B41" s="85"/>
      <c r="C41" s="121">
        <f>+'[2]QTD Mgmt Summary'!$D$23</f>
        <v>6212</v>
      </c>
      <c r="D41" s="122"/>
      <c r="E41" s="123">
        <f>SUM(E37:E40)</f>
        <v>0.223</v>
      </c>
      <c r="F41" s="122"/>
      <c r="G41" s="124">
        <f>IF(C41-E41&gt;0,C41-E41,)</f>
        <v>6211.777</v>
      </c>
      <c r="I41" s="115" t="s">
        <v>181</v>
      </c>
      <c r="J41" s="106"/>
      <c r="K41" s="116"/>
      <c r="L41" s="106"/>
      <c r="M41" s="117" t="s">
        <v>153</v>
      </c>
    </row>
    <row r="42" spans="1:13" ht="15" customHeight="1" x14ac:dyDescent="0.25">
      <c r="A42" s="85"/>
      <c r="B42" s="85"/>
      <c r="C42" s="88"/>
      <c r="D42" s="89"/>
      <c r="E42" s="88"/>
      <c r="F42" s="89"/>
      <c r="G42" s="88"/>
      <c r="I42" s="121">
        <f>+'[2]QTD Mgmt Summary'!$D$32</f>
        <v>15385</v>
      </c>
      <c r="J42" s="122"/>
      <c r="K42" s="123">
        <f>SUM(K38:K41)</f>
        <v>5965.7879999999996</v>
      </c>
      <c r="L42" s="122"/>
      <c r="M42" s="124">
        <f>IF(I42-K42&gt;0,I42-K42,)</f>
        <v>9419.2119999999995</v>
      </c>
    </row>
    <row r="43" spans="1:13" ht="15" customHeight="1" x14ac:dyDescent="0.25">
      <c r="A43" s="79"/>
      <c r="B43" s="79"/>
      <c r="C43" s="99" t="s">
        <v>115</v>
      </c>
      <c r="D43" s="100"/>
      <c r="E43" s="100"/>
      <c r="F43" s="100"/>
      <c r="G43" s="101"/>
      <c r="I43" s="88"/>
      <c r="J43" s="89"/>
      <c r="K43" s="88"/>
      <c r="L43" s="89"/>
      <c r="M43" s="88"/>
    </row>
    <row r="44" spans="1:13" ht="15" customHeight="1" x14ac:dyDescent="0.4">
      <c r="A44" s="85"/>
      <c r="B44" s="85"/>
      <c r="C44" s="115" t="s">
        <v>24</v>
      </c>
      <c r="D44" s="106"/>
      <c r="E44" s="116" t="s">
        <v>25</v>
      </c>
      <c r="F44" s="106"/>
      <c r="G44" s="107"/>
      <c r="I44" s="99" t="s">
        <v>188</v>
      </c>
      <c r="J44" s="100"/>
      <c r="K44" s="100"/>
      <c r="L44" s="100"/>
      <c r="M44" s="101"/>
    </row>
    <row r="45" spans="1:13" ht="15" customHeight="1" x14ac:dyDescent="0.4">
      <c r="A45" s="85"/>
      <c r="B45" s="85"/>
      <c r="C45" s="109" t="s">
        <v>189</v>
      </c>
      <c r="D45" s="110"/>
      <c r="E45" s="118">
        <v>1300</v>
      </c>
      <c r="F45" s="112"/>
      <c r="G45" s="113"/>
      <c r="I45" s="115" t="s">
        <v>24</v>
      </c>
      <c r="J45" s="106"/>
      <c r="K45" s="116" t="s">
        <v>25</v>
      </c>
      <c r="L45" s="106"/>
      <c r="M45" s="107"/>
    </row>
    <row r="46" spans="1:13" ht="15" customHeight="1" x14ac:dyDescent="0.4">
      <c r="A46" s="85"/>
      <c r="B46" s="85"/>
      <c r="C46" s="109" t="s">
        <v>190</v>
      </c>
      <c r="D46" s="112"/>
      <c r="E46" s="130">
        <v>1700</v>
      </c>
      <c r="F46" s="112"/>
      <c r="G46" s="113"/>
      <c r="I46" s="119" t="s">
        <v>281</v>
      </c>
      <c r="J46" s="106"/>
      <c r="K46" s="129">
        <f>+'[1]Energy Capital Res.'!$F$40</f>
        <v>2.3250000000000002</v>
      </c>
      <c r="L46" s="112"/>
      <c r="M46" s="113"/>
    </row>
    <row r="47" spans="1:13" ht="15" customHeight="1" x14ac:dyDescent="0.4">
      <c r="A47" s="85"/>
      <c r="B47" s="85"/>
      <c r="C47" s="109" t="s">
        <v>191</v>
      </c>
      <c r="D47" s="110"/>
      <c r="E47" s="130">
        <v>950</v>
      </c>
      <c r="F47" s="112"/>
      <c r="G47" s="113"/>
      <c r="I47" s="115" t="s">
        <v>181</v>
      </c>
      <c r="J47" s="106"/>
      <c r="K47" s="116"/>
      <c r="L47" s="106"/>
      <c r="M47" s="117" t="s">
        <v>153</v>
      </c>
    </row>
    <row r="48" spans="1:13" ht="15" customHeight="1" x14ac:dyDescent="0.25">
      <c r="A48" s="85"/>
      <c r="B48" s="85"/>
      <c r="C48" s="109" t="s">
        <v>55</v>
      </c>
      <c r="D48" s="110"/>
      <c r="E48" s="130">
        <v>500</v>
      </c>
      <c r="F48" s="112"/>
      <c r="G48" s="113"/>
      <c r="I48" s="121">
        <f>+'[2]QTD Mgmt Summary'!$D$33</f>
        <v>2000</v>
      </c>
      <c r="J48" s="122"/>
      <c r="K48" s="123">
        <f>SUM(K46:K47)</f>
        <v>2.3250000000000002</v>
      </c>
      <c r="L48" s="122"/>
      <c r="M48" s="124">
        <f>IF(I48-K48&gt;0,I48-K48,)</f>
        <v>1997.675</v>
      </c>
    </row>
    <row r="49" spans="1:13" ht="15" customHeight="1" x14ac:dyDescent="0.25">
      <c r="A49" s="85"/>
      <c r="B49" s="85"/>
      <c r="C49" s="109" t="s">
        <v>209</v>
      </c>
      <c r="D49" s="110"/>
      <c r="E49" s="130">
        <v>400</v>
      </c>
      <c r="F49" s="112"/>
      <c r="G49" s="113"/>
      <c r="I49" s="88"/>
      <c r="J49" s="89"/>
      <c r="K49" s="88"/>
      <c r="L49" s="89"/>
      <c r="M49" s="88"/>
    </row>
    <row r="50" spans="1:13" ht="15" customHeight="1" x14ac:dyDescent="0.25">
      <c r="A50" s="85"/>
      <c r="B50" s="85"/>
      <c r="C50" s="109" t="s">
        <v>44</v>
      </c>
      <c r="D50" s="110"/>
      <c r="E50" s="130">
        <v>350</v>
      </c>
      <c r="F50" s="112"/>
      <c r="G50" s="113"/>
      <c r="I50" s="99" t="s">
        <v>8</v>
      </c>
      <c r="J50" s="100"/>
      <c r="K50" s="100"/>
      <c r="L50" s="100"/>
      <c r="M50" s="101"/>
    </row>
    <row r="51" spans="1:13" ht="15" customHeight="1" x14ac:dyDescent="0.4">
      <c r="A51" s="85"/>
      <c r="B51" s="85"/>
      <c r="C51" s="109" t="s">
        <v>176</v>
      </c>
      <c r="D51" s="110"/>
      <c r="E51" s="130">
        <v>340</v>
      </c>
      <c r="F51" s="112"/>
      <c r="G51" s="113"/>
      <c r="I51" s="115" t="s">
        <v>24</v>
      </c>
      <c r="J51" s="106"/>
      <c r="K51" s="116" t="s">
        <v>25</v>
      </c>
      <c r="L51" s="106"/>
      <c r="M51" s="107"/>
    </row>
    <row r="52" spans="1:13" ht="15" customHeight="1" x14ac:dyDescent="0.4">
      <c r="A52" s="85"/>
      <c r="B52" s="85"/>
      <c r="C52" s="109" t="s">
        <v>177</v>
      </c>
      <c r="D52" s="110"/>
      <c r="E52" s="130">
        <v>230</v>
      </c>
      <c r="F52" s="112"/>
      <c r="G52" s="113"/>
      <c r="I52" s="125" t="s">
        <v>92</v>
      </c>
      <c r="J52" s="110"/>
      <c r="K52" s="118">
        <v>-170</v>
      </c>
      <c r="L52" s="106"/>
      <c r="M52" s="107"/>
    </row>
    <row r="53" spans="1:13" ht="15" customHeight="1" x14ac:dyDescent="0.4">
      <c r="A53" s="85"/>
      <c r="B53" s="85"/>
      <c r="C53" s="109" t="s">
        <v>210</v>
      </c>
      <c r="D53" s="110"/>
      <c r="E53" s="130">
        <v>700</v>
      </c>
      <c r="F53" s="112"/>
      <c r="G53" s="113"/>
      <c r="I53" s="125" t="s">
        <v>91</v>
      </c>
      <c r="J53" s="110"/>
      <c r="K53" s="118">
        <v>-54.942999999999998</v>
      </c>
      <c r="L53" s="106"/>
      <c r="M53" s="107"/>
    </row>
    <row r="54" spans="1:13" ht="15" customHeight="1" x14ac:dyDescent="0.4">
      <c r="A54" s="85"/>
      <c r="B54" s="85"/>
      <c r="C54" s="119" t="s">
        <v>48</v>
      </c>
      <c r="D54" s="110"/>
      <c r="E54" s="130">
        <v>0</v>
      </c>
      <c r="F54" s="112"/>
      <c r="G54" s="113"/>
      <c r="I54" s="119" t="s">
        <v>281</v>
      </c>
      <c r="J54" s="106"/>
      <c r="K54" s="127">
        <f>+'[1]CTG Assets'!$F$40</f>
        <v>-4.5250269999999997</v>
      </c>
      <c r="L54" s="106"/>
      <c r="M54" s="107"/>
    </row>
    <row r="55" spans="1:13" ht="15" customHeight="1" x14ac:dyDescent="0.4">
      <c r="A55" s="85"/>
      <c r="B55" s="85"/>
      <c r="C55" s="119" t="s">
        <v>281</v>
      </c>
      <c r="D55" s="106"/>
      <c r="E55" s="129">
        <f>+[1]Canada!$F$40</f>
        <v>2.2410000000000005</v>
      </c>
      <c r="F55" s="112"/>
      <c r="G55" s="113"/>
      <c r="I55" s="115" t="s">
        <v>181</v>
      </c>
      <c r="J55" s="106"/>
      <c r="K55" s="116"/>
      <c r="L55" s="106"/>
      <c r="M55" s="117" t="s">
        <v>153</v>
      </c>
    </row>
    <row r="56" spans="1:13" ht="15" customHeight="1" x14ac:dyDescent="0.4">
      <c r="A56" s="85"/>
      <c r="B56" s="85"/>
      <c r="C56" s="115" t="s">
        <v>181</v>
      </c>
      <c r="D56" s="106"/>
      <c r="E56" s="116"/>
      <c r="F56" s="106"/>
      <c r="G56" s="117" t="s">
        <v>153</v>
      </c>
      <c r="I56" s="121">
        <f>+'[2]QTD Mgmt Summary'!$D$34</f>
        <v>14705</v>
      </c>
      <c r="J56" s="122"/>
      <c r="K56" s="123">
        <f>SUM(K45:K55)</f>
        <v>-224.818027</v>
      </c>
      <c r="L56" s="122"/>
      <c r="M56" s="124">
        <f>IF(I56-K56&gt;0,I56-K56,)</f>
        <v>14929.818026999999</v>
      </c>
    </row>
    <row r="57" spans="1:13" ht="15" customHeight="1" x14ac:dyDescent="0.25">
      <c r="A57" s="85"/>
      <c r="B57" s="85"/>
      <c r="C57" s="121">
        <f>+'[2]QTD Mgmt Summary'!$D$24</f>
        <v>11556</v>
      </c>
      <c r="D57" s="122"/>
      <c r="E57" s="123">
        <f>SUM(E45:E56)</f>
        <v>6472.241</v>
      </c>
      <c r="F57" s="122"/>
      <c r="G57" s="124">
        <f>IF(C57-E57&gt;0,C57-E57,)</f>
        <v>5083.759</v>
      </c>
      <c r="I57" s="88"/>
      <c r="J57" s="89"/>
      <c r="K57" s="88"/>
      <c r="L57" s="89"/>
      <c r="M57" s="88"/>
    </row>
    <row r="58" spans="1:13" ht="15" customHeight="1" x14ac:dyDescent="0.25">
      <c r="A58" s="85"/>
      <c r="B58" s="85"/>
      <c r="C58" s="58"/>
      <c r="E58" s="58"/>
      <c r="G58" s="58"/>
      <c r="I58" s="149" t="s">
        <v>1</v>
      </c>
      <c r="J58" s="150"/>
      <c r="K58" s="150"/>
      <c r="L58" s="150"/>
      <c r="M58" s="151"/>
    </row>
    <row r="59" spans="1:13" ht="15" customHeight="1" x14ac:dyDescent="0.4">
      <c r="A59" s="85"/>
      <c r="B59" s="85"/>
      <c r="C59" s="99" t="s">
        <v>192</v>
      </c>
      <c r="D59" s="100"/>
      <c r="E59" s="100"/>
      <c r="F59" s="100"/>
      <c r="G59" s="101"/>
      <c r="I59" s="115" t="s">
        <v>24</v>
      </c>
      <c r="J59" s="106"/>
      <c r="K59" s="116" t="s">
        <v>25</v>
      </c>
      <c r="L59" s="106"/>
      <c r="M59" s="107"/>
    </row>
    <row r="60" spans="1:13" ht="15" customHeight="1" x14ac:dyDescent="0.4">
      <c r="A60" s="85"/>
      <c r="B60" s="85"/>
      <c r="C60" s="115" t="s">
        <v>24</v>
      </c>
      <c r="D60" s="106"/>
      <c r="E60" s="116" t="s">
        <v>25</v>
      </c>
      <c r="F60" s="106"/>
      <c r="G60" s="107"/>
      <c r="I60" s="119" t="s">
        <v>281</v>
      </c>
      <c r="J60" s="106"/>
      <c r="K60" s="129">
        <f>+[1]Chairman!$F$40</f>
        <v>-19.100999999999999</v>
      </c>
      <c r="L60" s="112"/>
      <c r="M60" s="113"/>
    </row>
    <row r="61" spans="1:13" ht="15" customHeight="1" x14ac:dyDescent="0.4">
      <c r="A61" s="85"/>
      <c r="B61" s="85"/>
      <c r="C61" s="119" t="s">
        <v>281</v>
      </c>
      <c r="D61" s="106"/>
      <c r="E61" s="129">
        <f>+'[1]New Products'!$F$40</f>
        <v>0.65300000000000002</v>
      </c>
      <c r="F61" s="112"/>
      <c r="G61" s="113"/>
      <c r="I61" s="115" t="s">
        <v>181</v>
      </c>
      <c r="J61" s="106"/>
      <c r="K61" s="116"/>
      <c r="L61" s="106"/>
      <c r="M61" s="117" t="s">
        <v>153</v>
      </c>
    </row>
    <row r="62" spans="1:13" ht="15" customHeight="1" x14ac:dyDescent="0.4">
      <c r="A62" s="85"/>
      <c r="B62" s="85"/>
      <c r="C62" s="115" t="s">
        <v>181</v>
      </c>
      <c r="D62" s="106"/>
      <c r="E62" s="116"/>
      <c r="F62" s="106"/>
      <c r="G62" s="117" t="s">
        <v>153</v>
      </c>
      <c r="I62" s="121">
        <f>+'[2]QTD Mgmt Summary'!$D$38</f>
        <v>0</v>
      </c>
      <c r="J62" s="122"/>
      <c r="K62" s="123">
        <f>SUM(K60:K61)</f>
        <v>-19.100999999999999</v>
      </c>
      <c r="L62" s="122"/>
      <c r="M62" s="124">
        <f>IF(I62-K62&gt;0,I62-K62,)</f>
        <v>19.100999999999999</v>
      </c>
    </row>
    <row r="63" spans="1:13" ht="15" customHeight="1" x14ac:dyDescent="0.25">
      <c r="A63" s="85"/>
      <c r="B63" s="85"/>
      <c r="C63" s="121">
        <f>+'[2]QTD Mgmt Summary'!$D$28</f>
        <v>7712</v>
      </c>
      <c r="D63" s="122"/>
      <c r="E63" s="123">
        <f>SUM(E61:E62)</f>
        <v>0.65300000000000002</v>
      </c>
      <c r="F63" s="122"/>
      <c r="G63" s="124">
        <f>IF(C63-E63&gt;0,C63-E63,)</f>
        <v>7711.3469999999998</v>
      </c>
    </row>
    <row r="64" spans="1:13" ht="15" customHeight="1" x14ac:dyDescent="0.25">
      <c r="A64" s="85"/>
      <c r="B64" s="85"/>
      <c r="C64" s="58" t="str">
        <f ca="1">CELL("filename")</f>
        <v xml:space="preserve">C:\Users\Felienne\Enron\EnronSpreadsheets\[sally_beck__33708__Hot List 0616.xls]Hotlist - Identified </v>
      </c>
      <c r="E64" s="58"/>
      <c r="G64" s="58"/>
      <c r="I64" s="121">
        <f>+I62+I42+I34+I26+I11+C57+C41+C33+C26+C18+C11+C63+I48+I56</f>
        <v>168385</v>
      </c>
      <c r="J64" s="122"/>
      <c r="K64" s="123">
        <f>+K62+K42+K34+K26+K11+E57+E41+E33+E26+E18+E11+E63+K48+K56</f>
        <v>31374.630973000003</v>
      </c>
      <c r="L64" s="122"/>
      <c r="M64" s="124">
        <f>IF(I64-K64&gt;0,I64-K64,)</f>
        <v>137010.36902700001</v>
      </c>
    </row>
    <row r="65" spans="3:7" x14ac:dyDescent="0.25">
      <c r="C65" s="90">
        <f ca="1">NOW()</f>
        <v>41886.671144444445</v>
      </c>
      <c r="E65" s="58"/>
      <c r="G65" s="58"/>
    </row>
  </sheetData>
  <mergeCells count="8">
    <mergeCell ref="C13:G13"/>
    <mergeCell ref="C20:G20"/>
    <mergeCell ref="I58:M58"/>
    <mergeCell ref="I36:M36"/>
    <mergeCell ref="I28:M28"/>
    <mergeCell ref="I6:M6"/>
    <mergeCell ref="C6:G6"/>
    <mergeCell ref="I13:M13"/>
  </mergeCells>
  <pageMargins left="0.25" right="0.25" top="0.25" bottom="0.25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Hotlist - Identified </vt:lpstr>
      <vt:lpstr>Hotlist - Completed</vt:lpstr>
      <vt:lpstr>'Hotlist - Completed'!Print_Area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2000-06-16T17:21:25Z</cp:lastPrinted>
  <dcterms:created xsi:type="dcterms:W3CDTF">1999-10-18T12:36:30Z</dcterms:created>
  <dcterms:modified xsi:type="dcterms:W3CDTF">2014-09-04T14:06:27Z</dcterms:modified>
</cp:coreProperties>
</file>